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defaultThemeVersion="153222"/>
  <mc:AlternateContent xmlns:mc="http://schemas.openxmlformats.org/markup-compatibility/2006">
    <mc:Choice Requires="x15">
      <x15ac:absPath xmlns:x15ac="http://schemas.microsoft.com/office/spreadsheetml/2010/11/ac" url="U:\COORC\PESQUISAS DE PREÇOS\2023\00200.010143-2023-78 - Manutenção Civil\"/>
    </mc:Choice>
  </mc:AlternateContent>
  <bookViews>
    <workbookView xWindow="0" yWindow="0" windowWidth="24000" windowHeight="8235" activeTab="3"/>
  </bookViews>
  <sheets>
    <sheet name="Composições" sheetId="6" r:id="rId1"/>
    <sheet name="Comp.Aux1" sheetId="7" r:id="rId2"/>
    <sheet name="Comp.Aux2" sheetId="8" r:id="rId3"/>
    <sheet name="Orçamentária-TR" sheetId="13" r:id="rId4"/>
    <sheet name="BDI" sheetId="12" r:id="rId5"/>
  </sheets>
  <externalReferences>
    <externalReference r:id="rId6"/>
    <externalReference r:id="rId7"/>
  </externalReferences>
  <definedNames>
    <definedName name="_xlnm._FilterDatabase" localSheetId="1" hidden="1">'Comp.Aux1'!$A$5:$I$711</definedName>
    <definedName name="_xlnm._FilterDatabase" localSheetId="2" hidden="1">'Comp.Aux2'!$A$5:$I$139</definedName>
    <definedName name="_xlnm._FilterDatabase" localSheetId="0" hidden="1">Composições!$A$5:$K$8390</definedName>
    <definedName name="_xlnm._FilterDatabase" localSheetId="3" hidden="1">'Orçamentária-TR'!$A$5:$O$476</definedName>
    <definedName name="_xlnm.Print_Area" localSheetId="3">'Orçamentária-TR'!$A$1:$O$477</definedName>
    <definedName name="ÁREA_DE_IMPRESSÃO" localSheetId="3">#REF!</definedName>
    <definedName name="ÁREA_DE_IMPRESSÃO">#REF!</definedName>
    <definedName name="Arial">#REF!</definedName>
    <definedName name="BDI_Material" localSheetId="3">#REF!</definedName>
    <definedName name="BDI_Material">#REF!</definedName>
    <definedName name="BDI_Material_TCU" localSheetId="3">#REF!</definedName>
    <definedName name="BDI_Material_TCU">#REF!</definedName>
    <definedName name="BDI_Servico" localSheetId="3">#REF!</definedName>
    <definedName name="BDI_Servico">#REF!</definedName>
    <definedName name="BDI_Servico_TCU" localSheetId="3">#REF!</definedName>
    <definedName name="BDI_Servico_TCU">#REF!</definedName>
    <definedName name="Consumos" localSheetId="3">#REF!</definedName>
    <definedName name="Consumos">#REF!</definedName>
    <definedName name="Consumos_Coluna" localSheetId="3">#REF!</definedName>
    <definedName name="Consumos_Coluna">#REF!</definedName>
    <definedName name="Consumos_Item" localSheetId="3">#REF!</definedName>
    <definedName name="Consumos_Item">#REF!</definedName>
    <definedName name="Descontos_por_grupo" localSheetId="3">#REF!</definedName>
    <definedName name="Descontos_por_grupo">#REF!</definedName>
    <definedName name="GRUPO_Equipe" localSheetId="3">#REF!</definedName>
    <definedName name="GRUPO_Equipe">#REF!</definedName>
    <definedName name="GRUPO_Ferramentas" localSheetId="3">#REF!</definedName>
    <definedName name="GRUPO_Ferramentas">#REF!</definedName>
    <definedName name="GRUPO_Material" localSheetId="3">#REF!</definedName>
    <definedName name="GRUPO_Material">#REF!</definedName>
    <definedName name="GRUPO_Material_Fora" localSheetId="3">#REF!</definedName>
    <definedName name="GRUPO_Material_Fora">#REF!</definedName>
    <definedName name="GRUPO_Ponto" localSheetId="3">#REF!</definedName>
    <definedName name="GRUPO_Ponto">#REF!</definedName>
    <definedName name="GRUPO_Servico" localSheetId="3">#REF!</definedName>
    <definedName name="GRUPO_Servico">#REF!</definedName>
    <definedName name="GRUPO_Servicos_Fora" localSheetId="3">#REF!</definedName>
    <definedName name="GRUPO_Servicos_Fora">#REF!</definedName>
    <definedName name="GRUPO_Veiculos" localSheetId="3">#REF!</definedName>
    <definedName name="GRUPO_Veiculos">#REF!</definedName>
    <definedName name="IMPRESSÃO" localSheetId="3">#REF!</definedName>
    <definedName name="IMPRESSÃO">#REF!</definedName>
    <definedName name="IMPRESSÃO_00" localSheetId="3">#REF!</definedName>
    <definedName name="IMPRESSÃO_00">#REF!</definedName>
    <definedName name="k" localSheetId="3">'[1]Orçamentária-base'!#REF!</definedName>
    <definedName name="k">'[1]Orçamentária-base'!#REF!</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Precos" localSheetId="3">#REF!</definedName>
    <definedName name="Precos">#REF!</definedName>
    <definedName name="Precos_Descontos" localSheetId="3">#REF!</definedName>
    <definedName name="Precos_Descontos">#REF!</definedName>
    <definedName name="Precos_Grupos" localSheetId="3">#REF!</definedName>
    <definedName name="Precos_Grupos">#REF!</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'Orçamentária-TR'!$1:$5</definedName>
    <definedName name="Versao_Contrato" localSheetId="3">#REF!</definedName>
    <definedName name="Versao_Contrato">#REF!</definedName>
    <definedName name="Z_02E7A709_3F6B_48BE_8023_3D509F99F7FF_.wvu.FilterData" localSheetId="3" hidden="1">'Orçamentária-TR'!$B$5:$O$473</definedName>
    <definedName name="Z_03D74646_1150_480F_8BE1_213AA4C289CB_.wvu.FilterData" localSheetId="3" hidden="1">'Orçamentária-TR'!$B$5:$O$473</definedName>
    <definedName name="Z_0C4D640E_B9E1_4EAB_B3AB_89C41AF98082_.wvu.FilterData" localSheetId="3" hidden="1">'Orçamentária-TR'!$B$5:$O$473</definedName>
    <definedName name="Z_103B4532_830F_4D40_B519_2B5D82E8D0DF_.wvu.FilterData" localSheetId="3" hidden="1">'Orçamentária-TR'!$B$5:$O$473</definedName>
    <definedName name="Z_1233DEA2_5E57_472E_9026_2D59B49EDE23_.wvu.FilterData" localSheetId="3" hidden="1">'Orçamentária-TR'!$B$5:$O$473</definedName>
    <definedName name="Z_1400149A_252B_4AD1_9AE2_5793AA4A27D2_.wvu.Cols" localSheetId="3" hidden="1">'Orçamentária-TR'!$K:$O</definedName>
    <definedName name="Z_1400149A_252B_4AD1_9AE2_5793AA4A27D2_.wvu.FilterData" localSheetId="3" hidden="1">'Orçamentária-TR'!$B$5:$O$473</definedName>
    <definedName name="Z_1400149A_252B_4AD1_9AE2_5793AA4A27D2_.wvu.PrintArea" localSheetId="3" hidden="1">'Orçamentária-TR'!$B$1:$O$473</definedName>
    <definedName name="Z_1400149A_252B_4AD1_9AE2_5793AA4A27D2_.wvu.PrintTitles" localSheetId="3" hidden="1">'Orçamentária-TR'!$1:$5</definedName>
    <definedName name="Z_14F9A249_D491_44EF_A492_73D0B2E0EC1C_.wvu.FilterData" localSheetId="3" hidden="1">'Orçamentária-TR'!$B$5:$O$473</definedName>
    <definedName name="Z_1508C91F_7BBA_4B6E_9412_AC0099CC7C64_.wvu.FilterData" localSheetId="3" hidden="1">'Orçamentária-TR'!$B$5:$O$473</definedName>
    <definedName name="Z_184E0B6D_FF37_4CBD_88A9_6BFB3CA3186B_.wvu.FilterData" localSheetId="3" hidden="1">'Orçamentária-TR'!$B$5:$O$473</definedName>
    <definedName name="Z_184E0B6D_FF37_4CBD_88A9_6BFB3CA3186B_.wvu.PrintArea" localSheetId="3" hidden="1">'Orçamentária-TR'!$B$1:$O$473</definedName>
    <definedName name="Z_184E0B6D_FF37_4CBD_88A9_6BFB3CA3186B_.wvu.PrintTitles" localSheetId="3" hidden="1">'Orçamentária-TR'!$1:$5</definedName>
    <definedName name="Z_1F5F3FF6_134E_4BE3_931A_86A140230F01_.wvu.FilterData" localSheetId="3" hidden="1">'Orçamentária-TR'!$B$5:$O$473</definedName>
    <definedName name="Z_2108BB79_D2A4_494D_963C_F8471D86F0B2_.wvu.FilterData" localSheetId="3" hidden="1">'Orçamentária-TR'!$B$5:$O$473</definedName>
    <definedName name="Z_256828BB_3827_445A_A407_FFF15876225E_.wvu.FilterData" localSheetId="3" hidden="1">'Orçamentária-TR'!$B$5:$O$473</definedName>
    <definedName name="Z_260D23EF_A247_4C84_BDC8_F18F22091ADE_.wvu.FilterData" localSheetId="3" hidden="1">'Orçamentária-TR'!$B$5:$O$473</definedName>
    <definedName name="Z_2C8BFB8C_30B5_4612_979A_9A4837B7A4BD_.wvu.FilterData" localSheetId="3" hidden="1">'Orçamentária-TR'!$B$5:$O$473</definedName>
    <definedName name="Z_388EA09C_8141_4800_8A1E_E051726ADA8F_.wvu.FilterData" localSheetId="3" hidden="1">'Orçamentária-TR'!$B$5:$O$473</definedName>
    <definedName name="Z_388EA09C_8141_4800_8A1E_E051726ADA8F_.wvu.PrintArea" localSheetId="3" hidden="1">'Orçamentária-TR'!$B$1:$O$473</definedName>
    <definedName name="Z_388EA09C_8141_4800_8A1E_E051726ADA8F_.wvu.PrintTitles" localSheetId="3" hidden="1">'Orçamentária-TR'!$1:$5</definedName>
    <definedName name="Z_388EA09C_8141_4800_8A1E_E051726ADA8F_.wvu.Rows" localSheetId="3" hidden="1">'Orçamentária-TR'!#REF!</definedName>
    <definedName name="Z_3EE29867_432A_4BA3_89E1_F341CEBBAC88_.wvu.FilterData" localSheetId="3" hidden="1">'Orçamentária-TR'!$B$5:$O$473</definedName>
    <definedName name="Z_3EE29867_432A_4BA3_89E1_F341CEBBAC88_.wvu.PrintArea" localSheetId="3" hidden="1">'Orçamentária-TR'!$B$1:$O$473</definedName>
    <definedName name="Z_3EE29867_432A_4BA3_89E1_F341CEBBAC88_.wvu.PrintTitles" localSheetId="3" hidden="1">'Orçamentária-TR'!$1:$5</definedName>
    <definedName name="Z_3EE29867_432A_4BA3_89E1_F341CEBBAC88_.wvu.Rows" localSheetId="3" hidden="1">'Orçamentária-TR'!#REF!</definedName>
    <definedName name="Z_40337AE9_1607_448E_8742_24D71D4DB741_.wvu.FilterData" localSheetId="3" hidden="1">'Orçamentária-TR'!$B$5:$O$473</definedName>
    <definedName name="Z_4061C7FA_8486_49E5_B176_FAB0D844CA38_.wvu.FilterData" localSheetId="3" hidden="1">'Orçamentária-TR'!$B$5:$O$473</definedName>
    <definedName name="Z_4084C220_ED62_4400_8E87_B7B0B92D4EE3_.wvu.FilterData" localSheetId="3" hidden="1">'Orçamentária-TR'!$B$5:$O$473</definedName>
    <definedName name="Z_4BAF66BB_2070_4530_A84F_5AB8CB3CEDE8_.wvu.FilterData" localSheetId="3" hidden="1">'Orçamentária-TR'!$B$5:$O$473</definedName>
    <definedName name="Z_52D8B9C2_62A7_4109_9BE6_713DAADD942D_.wvu.FilterData" localSheetId="3" hidden="1">'Orçamentária-TR'!$B$5:$O$473</definedName>
    <definedName name="Z_52D8B9C2_62A7_4109_9BE6_713DAADD942D_.wvu.PrintArea" localSheetId="3" hidden="1">'Orçamentária-TR'!$B$1:$O$473</definedName>
    <definedName name="Z_52D8B9C2_62A7_4109_9BE6_713DAADD942D_.wvu.PrintTitles" localSheetId="3" hidden="1">'Orçamentária-TR'!$1:$5</definedName>
    <definedName name="Z_5487A251_C3E7_4145_9020_3D739357716C_.wvu.FilterData" localSheetId="3" hidden="1">'Orçamentária-TR'!$B$5:$O$473</definedName>
    <definedName name="Z_5C3F6C56_B73A_43E0_8278_7B62637D5522_.wvu.FilterData" localSheetId="3" hidden="1">'Orçamentária-TR'!$B$5:$O$473</definedName>
    <definedName name="Z_5DE6B415_5844_48EC_B314_C77EFAB69571_.wvu.FilterData" localSheetId="3" hidden="1">'Orçamentária-TR'!$B$5:$O$473</definedName>
    <definedName name="Z_621F33E6_5212_4A57_AD9D_BA86A737D9AF_.wvu.FilterData" localSheetId="3" hidden="1">'Orçamentária-TR'!$B$5:$O$473</definedName>
    <definedName name="Z_68AFDCF1_6306_4C31_A6DA_54D6FBA0C05D_.wvu.FilterData" localSheetId="3" hidden="1">'Orçamentária-TR'!$B$5:$O$473</definedName>
    <definedName name="Z_72DD8278_BC38_4AE5_B76C_EBE79FD72AF0_.wvu.FilterData" localSheetId="3" hidden="1">'Orçamentária-TR'!$B$5:$O$473</definedName>
    <definedName name="Z_761D86DB_5332_4CB4_A4C9_10A4F0C968CD_.wvu.FilterData" localSheetId="3" hidden="1">'Orçamentária-TR'!$B$5:$O$473</definedName>
    <definedName name="Z_84004490_2C0A_437D_83F9_83F396B1FCD6_.wvu.FilterData" localSheetId="3" hidden="1">'Orçamentária-TR'!$B$5:$O$473</definedName>
    <definedName name="Z_8404D714_1416_441F_BC2A_86C3BA0ED4A7_.wvu.FilterData" localSheetId="3" hidden="1">'Orçamentária-TR'!$B$5:$O$473</definedName>
    <definedName name="Z_8490C688_227D_4807_B48A_E99B98AA4ABA_.wvu.FilterData" localSheetId="3" hidden="1">'Orçamentária-TR'!$B$5:$O$473</definedName>
    <definedName name="Z_9226CEA5_2DEB_4F09_8A9E_201671FE3996_.wvu.FilterData" localSheetId="3" hidden="1">'Orçamentária-TR'!$B$5:$O$473</definedName>
    <definedName name="Z_9872962C_537A_42AF_9FC2_C758CA32B49A_.wvu.FilterData" localSheetId="3" hidden="1">'Orçamentária-TR'!$B$5:$O$473</definedName>
    <definedName name="Z_9D9D890B_7CAD_43FA_8B37_40B7CE51D7BB_.wvu.FilterData" localSheetId="3" hidden="1">'Orçamentária-TR'!$B$5:$O$473</definedName>
    <definedName name="Z_B236A6BF_71D4_4CD9_BBD0_698BCEA023CF_.wvu.FilterData" localSheetId="3" hidden="1">'Orçamentária-TR'!$B$5:$O$473</definedName>
    <definedName name="Z_BC95D367_E5F9_4D7F_9E29_86A33F32AAFF_.wvu.FilterData" localSheetId="3" hidden="1">'Orçamentária-TR'!$B$5:$O$473</definedName>
    <definedName name="Z_C3F45743_DBDA_4241_B0B6_5E88345390B5_.wvu.FilterData" localSheetId="3" hidden="1">'Orçamentária-TR'!$B$5:$O$473</definedName>
    <definedName name="Z_CA8CD684_5813_4814_9596_BC74CCC6F648_.wvu.FilterData" localSheetId="3" hidden="1">'Orçamentária-TR'!$B$5:$O$473</definedName>
    <definedName name="Z_D7B7D9EE_4074_4FED_9A68_56C7886D5723_.wvu.FilterData" localSheetId="3" hidden="1">'Orçamentária-TR'!$B$5:$O$473</definedName>
    <definedName name="Z_D80CD39D_2818_4F11_B510_562775715C69_.wvu.FilterData" localSheetId="3" hidden="1">'Orçamentária-TR'!$B$5:$O$473</definedName>
    <definedName name="Z_D80CD39D_2818_4F11_B510_562775715C69_.wvu.PrintArea" localSheetId="3" hidden="1">'Orçamentária-TR'!$B$1:$O$473</definedName>
    <definedName name="Z_D80CD39D_2818_4F11_B510_562775715C69_.wvu.PrintTitles" localSheetId="3" hidden="1">'Orçamentária-TR'!$1:$5</definedName>
    <definedName name="Z_D8BDBFFF_4E63_42E8_AF66_3A4A5922F3A9_.wvu.Cols" localSheetId="3" hidden="1">'Orçamentária-TR'!$K:$O</definedName>
    <definedName name="Z_D8BDBFFF_4E63_42E8_AF66_3A4A5922F3A9_.wvu.FilterData" localSheetId="3" hidden="1">'Orçamentária-TR'!$B$5:$O$473</definedName>
    <definedName name="Z_D8BDBFFF_4E63_42E8_AF66_3A4A5922F3A9_.wvu.PrintArea" localSheetId="3" hidden="1">'Orçamentária-TR'!$B$1:$O$473</definedName>
    <definedName name="Z_D8BDBFFF_4E63_42E8_AF66_3A4A5922F3A9_.wvu.PrintTitles" localSheetId="3" hidden="1">'Orçamentária-TR'!$1:$5</definedName>
    <definedName name="Z_DE3D750A_1352_4B72_B5EF_6B3CF0400C00_.wvu.FilterData" localSheetId="3" hidden="1">'Orçamentária-TR'!$B$5:$O$473</definedName>
    <definedName name="Z_E3F441FA_50DE_409F_B5A8_8880F3E748EB_.wvu.FilterData" localSheetId="3" hidden="1">'Orçamentária-TR'!$B$5:$O$473</definedName>
    <definedName name="Z_FBE20D2A_04F9_4378_A6DA_2D4796F29D79_.wvu.FilterData" localSheetId="3" hidden="1">'Orçamentária-TR'!$B$5:$O$473</definedName>
    <definedName name="Z_FD1CBB54_9774_4703_A628_1ECC0683BA70_.wvu.FilterData" localSheetId="3" hidden="1">'Orçamentária-TR'!$B$5:$O$473</definedName>
    <definedName name="Z_FDEEEDF6_B9AE_4B52_86A1_B09EE771BE76_.wvu.FilterData" localSheetId="3" hidden="1">'Orçamentária-TR'!$B$5:$O$473</definedName>
    <definedName name="Z_FEBB4EFB_B059_486C_9FE0_A3F428AFE568_.wvu.FilterData" localSheetId="3" hidden="1">'Orçamentária-TR'!$B$5:$O$473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50" i="13" l="1"/>
  <c r="K349" i="13"/>
  <c r="K348" i="13"/>
  <c r="K347" i="13"/>
  <c r="K346" i="13"/>
  <c r="K345" i="13"/>
  <c r="K344" i="13"/>
  <c r="K343" i="13"/>
  <c r="K342" i="13"/>
  <c r="K341" i="13"/>
  <c r="K340" i="13"/>
  <c r="K339" i="13"/>
  <c r="K338" i="13"/>
  <c r="K337" i="13"/>
  <c r="K336" i="13"/>
  <c r="K335" i="13"/>
  <c r="K334" i="13"/>
  <c r="K333" i="13"/>
  <c r="K332" i="13"/>
  <c r="K331" i="13"/>
  <c r="K330" i="13"/>
  <c r="K329" i="13"/>
  <c r="K328" i="13"/>
  <c r="K327" i="13"/>
  <c r="K326" i="13"/>
  <c r="K325" i="13"/>
  <c r="K324" i="13"/>
  <c r="K323" i="13"/>
  <c r="K322" i="13"/>
  <c r="K321" i="13"/>
  <c r="K320" i="13"/>
  <c r="K319" i="13"/>
  <c r="K318" i="13"/>
  <c r="K317" i="13"/>
  <c r="K316" i="13"/>
  <c r="K315" i="13"/>
  <c r="K314" i="13"/>
  <c r="K313" i="13"/>
  <c r="K312" i="13"/>
  <c r="K311" i="13"/>
  <c r="K310" i="13"/>
  <c r="K309" i="13"/>
  <c r="K308" i="13"/>
  <c r="K305" i="13"/>
  <c r="K304" i="13"/>
  <c r="K303" i="13"/>
  <c r="K302" i="13"/>
  <c r="K301" i="13"/>
  <c r="K300" i="13"/>
  <c r="K299" i="13"/>
  <c r="K298" i="13"/>
  <c r="K297" i="13"/>
  <c r="K296" i="13"/>
  <c r="K295" i="13"/>
  <c r="K294" i="13"/>
  <c r="K293" i="13"/>
  <c r="K292" i="13"/>
  <c r="K291" i="13"/>
  <c r="K290" i="13"/>
  <c r="K289" i="13"/>
  <c r="K288" i="13"/>
  <c r="K287" i="13"/>
  <c r="K286" i="13"/>
  <c r="K285" i="13"/>
  <c r="K284" i="13"/>
  <c r="K283" i="13"/>
  <c r="K282" i="13"/>
  <c r="K281" i="13"/>
  <c r="K280" i="13"/>
  <c r="K279" i="13"/>
  <c r="K278" i="13"/>
  <c r="K277" i="13"/>
  <c r="K276" i="13"/>
  <c r="K275" i="13"/>
  <c r="K274" i="13"/>
  <c r="K273" i="13"/>
  <c r="K272" i="13"/>
  <c r="K271" i="13"/>
  <c r="K270" i="13"/>
  <c r="K269" i="13"/>
  <c r="K268" i="13"/>
  <c r="K267" i="13"/>
  <c r="K266" i="13"/>
  <c r="K265" i="13"/>
  <c r="K264" i="13"/>
  <c r="K263" i="13"/>
  <c r="K262" i="13"/>
  <c r="K261" i="13"/>
  <c r="K260" i="13"/>
  <c r="K259" i="13"/>
  <c r="K258" i="13"/>
  <c r="K257" i="13"/>
  <c r="K256" i="13"/>
  <c r="K255" i="13"/>
  <c r="K254" i="13"/>
  <c r="K253" i="13"/>
  <c r="K252" i="13"/>
  <c r="K251" i="13"/>
  <c r="K249" i="13"/>
  <c r="K248" i="13"/>
  <c r="K247" i="13"/>
  <c r="K246" i="13"/>
  <c r="K245" i="13"/>
  <c r="K244" i="13"/>
  <c r="K243" i="13"/>
  <c r="K241" i="13"/>
  <c r="K240" i="13"/>
  <c r="K239" i="13"/>
  <c r="K238" i="13"/>
  <c r="K237" i="13"/>
  <c r="K236" i="13"/>
  <c r="K235" i="13"/>
  <c r="K234" i="13"/>
  <c r="K233" i="13"/>
  <c r="K232" i="13"/>
  <c r="K231" i="13"/>
  <c r="K230" i="13"/>
  <c r="K228" i="13"/>
  <c r="K227" i="13"/>
  <c r="K226" i="13"/>
  <c r="K225" i="13"/>
  <c r="K224" i="13"/>
  <c r="K222" i="13"/>
  <c r="K221" i="13"/>
  <c r="K220" i="13"/>
  <c r="K219" i="13"/>
  <c r="K218" i="13"/>
  <c r="K216" i="13"/>
  <c r="K215" i="13"/>
  <c r="K214" i="13"/>
  <c r="K213" i="13"/>
  <c r="K212" i="13"/>
  <c r="K211" i="13"/>
  <c r="K210" i="13"/>
  <c r="K209" i="13"/>
  <c r="K208" i="13"/>
  <c r="K207" i="13"/>
  <c r="K206" i="13"/>
  <c r="K204" i="13"/>
  <c r="K203" i="13"/>
  <c r="K202" i="13"/>
  <c r="K201" i="13"/>
  <c r="K200" i="13"/>
  <c r="K199" i="13"/>
  <c r="K198" i="13"/>
  <c r="K197" i="13"/>
  <c r="K196" i="13"/>
  <c r="K195" i="13"/>
  <c r="K194" i="13"/>
  <c r="K193" i="13"/>
  <c r="K192" i="13"/>
  <c r="K191" i="13"/>
  <c r="K190" i="13"/>
  <c r="K188" i="13"/>
  <c r="K187" i="13"/>
  <c r="K186" i="13"/>
  <c r="K185" i="13"/>
  <c r="K184" i="13"/>
  <c r="K183" i="13"/>
  <c r="K182" i="13"/>
  <c r="K181" i="13"/>
  <c r="K179" i="13"/>
  <c r="K178" i="13"/>
  <c r="K177" i="13"/>
  <c r="K176" i="13"/>
  <c r="K175" i="13"/>
  <c r="K174" i="13"/>
  <c r="K173" i="13"/>
  <c r="K172" i="13"/>
  <c r="K171" i="13"/>
  <c r="K170" i="13"/>
  <c r="K169" i="13"/>
  <c r="K168" i="13"/>
  <c r="K167" i="13"/>
  <c r="K166" i="13"/>
  <c r="K165" i="13"/>
  <c r="K163" i="13"/>
  <c r="K162" i="13"/>
  <c r="K161" i="13"/>
  <c r="K160" i="13"/>
  <c r="K159" i="13"/>
  <c r="K158" i="13"/>
  <c r="K157" i="13"/>
  <c r="K155" i="13"/>
  <c r="K154" i="13"/>
  <c r="K153" i="13"/>
  <c r="K152" i="13"/>
  <c r="K151" i="13"/>
  <c r="K150" i="13"/>
  <c r="K149" i="13"/>
  <c r="K148" i="13"/>
  <c r="K147" i="13"/>
  <c r="K146" i="13"/>
  <c r="K145" i="13"/>
  <c r="K144" i="13"/>
  <c r="K143" i="13"/>
  <c r="K142" i="13"/>
  <c r="K141" i="13"/>
  <c r="K140" i="13"/>
  <c r="K139" i="13"/>
  <c r="K138" i="13"/>
  <c r="K137" i="13"/>
  <c r="K135" i="13"/>
  <c r="K134" i="13"/>
  <c r="K133" i="13"/>
  <c r="K132" i="13"/>
  <c r="K131" i="13"/>
  <c r="K130" i="13"/>
  <c r="K129" i="13"/>
  <c r="K128" i="13"/>
  <c r="K127" i="13"/>
  <c r="K125" i="13"/>
  <c r="K124" i="13"/>
  <c r="K123" i="13"/>
  <c r="K122" i="13"/>
  <c r="K121" i="13"/>
  <c r="K120" i="13"/>
  <c r="K119" i="13"/>
  <c r="K118" i="13"/>
  <c r="K116" i="13"/>
  <c r="K115" i="13"/>
  <c r="K114" i="13"/>
  <c r="K113" i="13"/>
  <c r="K112" i="13"/>
  <c r="K111" i="13"/>
  <c r="K110" i="13"/>
  <c r="K109" i="13"/>
  <c r="K108" i="13"/>
  <c r="K107" i="13"/>
  <c r="K106" i="13"/>
  <c r="K104" i="13"/>
  <c r="K103" i="13"/>
  <c r="K102" i="13"/>
  <c r="K100" i="13"/>
  <c r="K99" i="13"/>
  <c r="K98" i="13"/>
  <c r="K96" i="13"/>
  <c r="K95" i="13"/>
  <c r="K94" i="13"/>
  <c r="K93" i="13"/>
  <c r="K92" i="13"/>
  <c r="K91" i="13"/>
  <c r="K90" i="13"/>
  <c r="K89" i="13"/>
  <c r="K88" i="13"/>
  <c r="K87" i="13"/>
  <c r="K86" i="13"/>
  <c r="K85" i="13"/>
  <c r="K84" i="13"/>
  <c r="K83" i="13"/>
  <c r="K82" i="13"/>
  <c r="K81" i="13"/>
  <c r="K80" i="13"/>
  <c r="K79" i="13"/>
  <c r="K78" i="13"/>
  <c r="K77" i="13"/>
  <c r="K76" i="13"/>
  <c r="K75" i="13"/>
  <c r="K74" i="13"/>
  <c r="K73" i="13"/>
  <c r="K72" i="13"/>
  <c r="K71" i="13"/>
  <c r="K69" i="13"/>
  <c r="K68" i="13"/>
  <c r="K67" i="13"/>
  <c r="K66" i="13"/>
  <c r="K65" i="13"/>
  <c r="K64" i="13"/>
  <c r="K62" i="13"/>
  <c r="K61" i="13"/>
  <c r="K60" i="13"/>
  <c r="K59" i="13"/>
  <c r="K58" i="13"/>
  <c r="K57" i="13"/>
  <c r="K56" i="13"/>
  <c r="K55" i="13"/>
  <c r="K54" i="13"/>
  <c r="K53" i="13"/>
  <c r="K52" i="13"/>
  <c r="K51" i="13"/>
  <c r="K50" i="13"/>
  <c r="K49" i="13"/>
  <c r="K48" i="13"/>
  <c r="K47" i="13"/>
  <c r="K46" i="13"/>
  <c r="K45" i="13"/>
  <c r="K44" i="13"/>
  <c r="K43" i="13"/>
  <c r="K42" i="13"/>
  <c r="K41" i="13"/>
  <c r="K40" i="13"/>
  <c r="K39" i="13"/>
  <c r="K38" i="13"/>
  <c r="K37" i="13"/>
  <c r="K35" i="13"/>
  <c r="K34" i="13"/>
  <c r="K33" i="13"/>
  <c r="K32" i="13"/>
  <c r="K31" i="13"/>
  <c r="K30" i="13"/>
  <c r="K29" i="13"/>
  <c r="K28" i="13"/>
  <c r="K27" i="13"/>
  <c r="K26" i="13"/>
  <c r="K25" i="13"/>
  <c r="K24" i="13"/>
  <c r="K23" i="13"/>
  <c r="K22" i="13"/>
  <c r="K21" i="13"/>
  <c r="K20" i="13"/>
  <c r="K19" i="13"/>
  <c r="K18" i="13"/>
  <c r="K17" i="13"/>
  <c r="K16" i="13"/>
  <c r="K15" i="13"/>
  <c r="K14" i="13"/>
  <c r="K13" i="13"/>
  <c r="K12" i="13"/>
  <c r="K11" i="13"/>
  <c r="K10" i="13"/>
  <c r="K9" i="13"/>
  <c r="K8" i="13"/>
  <c r="H474" i="13" l="1"/>
  <c r="H473" i="13"/>
  <c r="H472" i="13"/>
  <c r="H471" i="13"/>
  <c r="H468" i="13"/>
  <c r="H467" i="13"/>
  <c r="H466" i="13"/>
  <c r="H465" i="13"/>
  <c r="H464" i="13"/>
  <c r="H463" i="13"/>
  <c r="H462" i="13"/>
  <c r="H461" i="13"/>
  <c r="H460" i="13"/>
  <c r="H459" i="13"/>
  <c r="H458" i="13"/>
  <c r="H457" i="13"/>
  <c r="H456" i="13"/>
  <c r="H455" i="13"/>
  <c r="H454" i="13"/>
  <c r="H453" i="13"/>
  <c r="H452" i="13"/>
  <c r="H451" i="13"/>
  <c r="H450" i="13"/>
  <c r="H449" i="13"/>
  <c r="H448" i="13"/>
  <c r="H447" i="13"/>
  <c r="H446" i="13"/>
  <c r="H445" i="13"/>
  <c r="H444" i="13"/>
  <c r="H443" i="13"/>
  <c r="H442" i="13"/>
  <c r="H441" i="13"/>
  <c r="H440" i="13"/>
  <c r="H439" i="13"/>
  <c r="H438" i="13"/>
  <c r="H437" i="13"/>
  <c r="H436" i="13"/>
  <c r="H435" i="13"/>
  <c r="H434" i="13"/>
  <c r="H433" i="13"/>
  <c r="H432" i="13"/>
  <c r="H431" i="13"/>
  <c r="H430" i="13"/>
  <c r="H429" i="13"/>
  <c r="H428" i="13"/>
  <c r="H427" i="13"/>
  <c r="H426" i="13"/>
  <c r="H425" i="13"/>
  <c r="H424" i="13"/>
  <c r="H423" i="13"/>
  <c r="H422" i="13"/>
  <c r="H421" i="13"/>
  <c r="H420" i="13"/>
  <c r="H419" i="13"/>
  <c r="H418" i="13"/>
  <c r="H417" i="13"/>
  <c r="H416" i="13"/>
  <c r="H415" i="13"/>
  <c r="H414" i="13"/>
  <c r="H413" i="13"/>
  <c r="H412" i="13"/>
  <c r="H411" i="13"/>
  <c r="H410" i="13"/>
  <c r="H409" i="13"/>
  <c r="H408" i="13"/>
  <c r="H407" i="13"/>
  <c r="H406" i="13"/>
  <c r="H405" i="13"/>
  <c r="H404" i="13"/>
  <c r="H403" i="13"/>
  <c r="H402" i="13"/>
  <c r="H401" i="13"/>
  <c r="H400" i="13"/>
  <c r="H399" i="13"/>
  <c r="H398" i="13"/>
  <c r="H397" i="13"/>
  <c r="H396" i="13"/>
  <c r="H395" i="13"/>
  <c r="H394" i="13"/>
  <c r="H393" i="13"/>
  <c r="H392" i="13"/>
  <c r="H391" i="13"/>
  <c r="H390" i="13"/>
  <c r="H389" i="13"/>
  <c r="H388" i="13"/>
  <c r="H387" i="13"/>
  <c r="H386" i="13"/>
  <c r="H385" i="13"/>
  <c r="H384" i="13"/>
  <c r="H383" i="13"/>
  <c r="H382" i="13"/>
  <c r="H381" i="13"/>
  <c r="H380" i="13"/>
  <c r="H379" i="13"/>
  <c r="H378" i="13"/>
  <c r="H376" i="13"/>
  <c r="H375" i="13"/>
  <c r="H374" i="13"/>
  <c r="H373" i="13"/>
  <c r="H372" i="13"/>
  <c r="H371" i="13"/>
  <c r="H370" i="13"/>
  <c r="H369" i="13"/>
  <c r="H368" i="13"/>
  <c r="H367" i="13"/>
  <c r="H366" i="13"/>
  <c r="H365" i="13"/>
  <c r="H364" i="13"/>
  <c r="H363" i="13"/>
  <c r="H362" i="13"/>
  <c r="H361" i="13"/>
  <c r="H360" i="13"/>
  <c r="H359" i="13"/>
  <c r="H358" i="13"/>
  <c r="H357" i="13"/>
  <c r="H356" i="13"/>
  <c r="H353" i="13"/>
  <c r="E17" i="12" l="1"/>
  <c r="B17" i="12"/>
  <c r="F139" i="8"/>
  <c r="F138" i="8"/>
  <c r="F136" i="8"/>
  <c r="F135" i="8"/>
  <c r="F134" i="8"/>
  <c r="F133" i="8"/>
  <c r="F132" i="8"/>
  <c r="F130" i="8"/>
  <c r="F129" i="8"/>
  <c r="F128" i="8"/>
  <c r="F126" i="8"/>
  <c r="F125" i="8"/>
  <c r="F124" i="8"/>
  <c r="F123" i="8"/>
  <c r="F122" i="8"/>
  <c r="F121" i="8"/>
  <c r="D120" i="8"/>
  <c r="D119" i="8"/>
  <c r="F111" i="8"/>
  <c r="F110" i="8"/>
  <c r="F109" i="8"/>
  <c r="F108" i="8"/>
  <c r="F107" i="8"/>
  <c r="F106" i="8"/>
  <c r="D105" i="8"/>
  <c r="D104" i="8"/>
  <c r="F96" i="8"/>
  <c r="F95" i="8"/>
  <c r="F94" i="8"/>
  <c r="F93" i="8"/>
  <c r="F92" i="8"/>
  <c r="D91" i="8"/>
  <c r="D90" i="8"/>
  <c r="F82" i="8"/>
  <c r="F81" i="8"/>
  <c r="F80" i="8"/>
  <c r="F74" i="8"/>
  <c r="F73" i="8"/>
  <c r="D68" i="8"/>
  <c r="D67" i="8"/>
  <c r="F60" i="8"/>
  <c r="F59" i="8"/>
  <c r="D54" i="8"/>
  <c r="D53" i="8"/>
  <c r="F47" i="8"/>
  <c r="F46" i="8"/>
  <c r="F45" i="8"/>
  <c r="F40" i="8"/>
  <c r="F39" i="8"/>
  <c r="F36" i="8"/>
  <c r="F35" i="8"/>
  <c r="F34" i="8"/>
  <c r="F33" i="8"/>
  <c r="D32" i="8"/>
  <c r="D31" i="8"/>
  <c r="F30" i="8"/>
  <c r="F29" i="8"/>
  <c r="F28" i="8"/>
  <c r="F27" i="8"/>
  <c r="F24" i="8"/>
  <c r="F23" i="8"/>
  <c r="F22" i="8"/>
  <c r="F21" i="8"/>
  <c r="F20" i="8"/>
  <c r="F16" i="8"/>
  <c r="F13" i="8"/>
  <c r="F12" i="8"/>
  <c r="F10" i="8"/>
  <c r="F8" i="8"/>
  <c r="F7" i="8"/>
  <c r="F6" i="8"/>
  <c r="F711" i="7"/>
  <c r="F710" i="7"/>
  <c r="D708" i="7"/>
  <c r="D707" i="7"/>
  <c r="D706" i="7"/>
  <c r="F700" i="7"/>
  <c r="F693" i="7"/>
  <c r="F689" i="7"/>
  <c r="F686" i="7"/>
  <c r="F685" i="7"/>
  <c r="F683" i="7"/>
  <c r="D682" i="7"/>
  <c r="D681" i="7"/>
  <c r="F673" i="7"/>
  <c r="F672" i="7"/>
  <c r="F671" i="7"/>
  <c r="F665" i="7"/>
  <c r="F657" i="7"/>
  <c r="F656" i="7"/>
  <c r="F654" i="7"/>
  <c r="D653" i="7"/>
  <c r="D652" i="7"/>
  <c r="F647" i="7"/>
  <c r="F644" i="7"/>
  <c r="F643" i="7"/>
  <c r="F641" i="7"/>
  <c r="D640" i="7"/>
  <c r="D639" i="7"/>
  <c r="F631" i="7"/>
  <c r="F630" i="7"/>
  <c r="F629" i="7"/>
  <c r="F625" i="7"/>
  <c r="F619" i="7"/>
  <c r="F618" i="7"/>
  <c r="F615" i="7"/>
  <c r="F609" i="7"/>
  <c r="F608" i="7"/>
  <c r="F607" i="7"/>
  <c r="F601" i="7"/>
  <c r="F595" i="7"/>
  <c r="F594" i="7"/>
  <c r="F592" i="7"/>
  <c r="D591" i="7"/>
  <c r="D590" i="7"/>
  <c r="F582" i="7"/>
  <c r="F581" i="7"/>
  <c r="F578" i="7"/>
  <c r="F570" i="7"/>
  <c r="F569" i="7"/>
  <c r="F565" i="7"/>
  <c r="F564" i="7"/>
  <c r="F563" i="7"/>
  <c r="F562" i="7"/>
  <c r="F561" i="7"/>
  <c r="D560" i="7"/>
  <c r="D559" i="7"/>
  <c r="F552" i="7"/>
  <c r="F551" i="7"/>
  <c r="F550" i="7"/>
  <c r="F545" i="7"/>
  <c r="F544" i="7"/>
  <c r="F543" i="7"/>
  <c r="F539" i="7"/>
  <c r="F533" i="7"/>
  <c r="F532" i="7"/>
  <c r="F531" i="7"/>
  <c r="F527" i="7"/>
  <c r="F521" i="7"/>
  <c r="F520" i="7"/>
  <c r="F519" i="7"/>
  <c r="F515" i="7"/>
  <c r="F512" i="7"/>
  <c r="D510" i="7"/>
  <c r="D509" i="7"/>
  <c r="F504" i="7"/>
  <c r="F501" i="7"/>
  <c r="D499" i="7"/>
  <c r="D498" i="7"/>
  <c r="F492" i="7"/>
  <c r="F491" i="7"/>
  <c r="F490" i="7"/>
  <c r="F489" i="7"/>
  <c r="F488" i="7"/>
  <c r="F473" i="7"/>
  <c r="F472" i="7"/>
  <c r="F471" i="7"/>
  <c r="F470" i="7"/>
  <c r="F469" i="7"/>
  <c r="D468" i="7"/>
  <c r="D467" i="7"/>
  <c r="F458" i="7"/>
  <c r="F457" i="7"/>
  <c r="F455" i="7"/>
  <c r="F440" i="7"/>
  <c r="F439" i="7"/>
  <c r="F438" i="7"/>
  <c r="F437" i="7"/>
  <c r="F436" i="7"/>
  <c r="D435" i="7"/>
  <c r="D434" i="7"/>
  <c r="F428" i="7"/>
  <c r="F425" i="7"/>
  <c r="D423" i="7"/>
  <c r="D422" i="7"/>
  <c r="F417" i="7"/>
  <c r="F414" i="7"/>
  <c r="D412" i="7"/>
  <c r="D411" i="7"/>
  <c r="F405" i="7"/>
  <c r="F404" i="7"/>
  <c r="F403" i="7"/>
  <c r="F402" i="7"/>
  <c r="F401" i="7"/>
  <c r="D400" i="7"/>
  <c r="D399" i="7"/>
  <c r="F393" i="7"/>
  <c r="F383" i="7"/>
  <c r="F382" i="7"/>
  <c r="F381" i="7"/>
  <c r="F374" i="7"/>
  <c r="F373" i="7"/>
  <c r="F368" i="7"/>
  <c r="F367" i="7"/>
  <c r="F362" i="7"/>
  <c r="F361" i="7"/>
  <c r="F360" i="7"/>
  <c r="F354" i="7"/>
  <c r="F353" i="7"/>
  <c r="F352" i="7"/>
  <c r="F347" i="7"/>
  <c r="F346" i="7"/>
  <c r="F345" i="7"/>
  <c r="F340" i="7"/>
  <c r="F339" i="7"/>
  <c r="F338" i="7"/>
  <c r="F337" i="7"/>
  <c r="F336" i="7"/>
  <c r="D335" i="7"/>
  <c r="D334" i="7"/>
  <c r="F328" i="7"/>
  <c r="F327" i="7"/>
  <c r="F326" i="7"/>
  <c r="F325" i="7"/>
  <c r="F324" i="7"/>
  <c r="D323" i="7"/>
  <c r="D322" i="7"/>
  <c r="F314" i="7"/>
  <c r="F313" i="7"/>
  <c r="F312" i="7"/>
  <c r="F311" i="7"/>
  <c r="F310" i="7"/>
  <c r="D309" i="7"/>
  <c r="D308" i="7"/>
  <c r="F300" i="7"/>
  <c r="F293" i="7"/>
  <c r="F292" i="7"/>
  <c r="F286" i="7"/>
  <c r="F283" i="7"/>
  <c r="D281" i="7"/>
  <c r="D280" i="7"/>
  <c r="F275" i="7"/>
  <c r="F270" i="7"/>
  <c r="F266" i="7"/>
  <c r="F265" i="7"/>
  <c r="F264" i="7"/>
  <c r="F263" i="7"/>
  <c r="D262" i="7"/>
  <c r="D261" i="7"/>
  <c r="F257" i="7"/>
  <c r="F254" i="7"/>
  <c r="D252" i="7"/>
  <c r="D251" i="7"/>
  <c r="F242" i="7"/>
  <c r="F239" i="7"/>
  <c r="D237" i="7"/>
  <c r="D236" i="7"/>
  <c r="F228" i="7"/>
  <c r="F225" i="7"/>
  <c r="D223" i="7"/>
  <c r="D222" i="7"/>
  <c r="F214" i="7"/>
  <c r="F208" i="7"/>
  <c r="F207" i="7"/>
  <c r="F204" i="7"/>
  <c r="F195" i="7"/>
  <c r="F194" i="7"/>
  <c r="F192" i="7"/>
  <c r="F186" i="7"/>
  <c r="F185" i="7"/>
  <c r="F181" i="7"/>
  <c r="F174" i="7"/>
  <c r="F173" i="7"/>
  <c r="F169" i="7"/>
  <c r="F166" i="7"/>
  <c r="D164" i="7"/>
  <c r="D163" i="7"/>
  <c r="F157" i="7"/>
  <c r="F154" i="7"/>
  <c r="D152" i="7"/>
  <c r="D151" i="7"/>
  <c r="F143" i="7"/>
  <c r="F136" i="7"/>
  <c r="F135" i="7"/>
  <c r="F134" i="7"/>
  <c r="G132" i="7" s="1"/>
  <c r="F133" i="7"/>
  <c r="F132" i="7"/>
  <c r="F131" i="7"/>
  <c r="F130" i="7"/>
  <c r="F129" i="7"/>
  <c r="F128" i="7"/>
  <c r="F127" i="7"/>
  <c r="F126" i="7"/>
  <c r="G126" i="7" s="1"/>
  <c r="F125" i="7"/>
  <c r="F124" i="7"/>
  <c r="F123" i="7"/>
  <c r="F122" i="7"/>
  <c r="F121" i="7"/>
  <c r="G120" i="7"/>
  <c r="F120" i="7"/>
  <c r="F119" i="7"/>
  <c r="F118" i="7"/>
  <c r="F117" i="7"/>
  <c r="F116" i="7"/>
  <c r="F115" i="7"/>
  <c r="F114" i="7"/>
  <c r="G114" i="7" s="1"/>
  <c r="F113" i="7"/>
  <c r="F112" i="7"/>
  <c r="F106" i="7"/>
  <c r="F105" i="7"/>
  <c r="F103" i="7"/>
  <c r="D102" i="7"/>
  <c r="D101" i="7"/>
  <c r="F96" i="7"/>
  <c r="F95" i="7"/>
  <c r="F93" i="7"/>
  <c r="D92" i="7"/>
  <c r="D91" i="7"/>
  <c r="F86" i="7"/>
  <c r="F85" i="7"/>
  <c r="F80" i="7"/>
  <c r="F78" i="7"/>
  <c r="F76" i="7"/>
  <c r="D75" i="7"/>
  <c r="D74" i="7"/>
  <c r="F69" i="7"/>
  <c r="F68" i="7"/>
  <c r="F62" i="7"/>
  <c r="F59" i="7"/>
  <c r="D57" i="7"/>
  <c r="D56" i="7"/>
  <c r="F49" i="7"/>
  <c r="F38" i="7"/>
  <c r="F37" i="7"/>
  <c r="F28" i="7"/>
  <c r="F26" i="7"/>
  <c r="F22" i="7"/>
  <c r="F16" i="7"/>
  <c r="F14" i="7"/>
  <c r="D12" i="7"/>
  <c r="D11" i="7"/>
  <c r="F7" i="7"/>
  <c r="G8390" i="6"/>
  <c r="G8387" i="6"/>
  <c r="G8386" i="6"/>
  <c r="G8384" i="6"/>
  <c r="G8381" i="6"/>
  <c r="G8380" i="6"/>
  <c r="G8379" i="6"/>
  <c r="G8378" i="6"/>
  <c r="G8377" i="6"/>
  <c r="G8375" i="6"/>
  <c r="G8372" i="6"/>
  <c r="G8371" i="6"/>
  <c r="G8370" i="6"/>
  <c r="G8367" i="6"/>
  <c r="G8366" i="6"/>
  <c r="G8365" i="6"/>
  <c r="G8361" i="6"/>
  <c r="G8360" i="6"/>
  <c r="G8359" i="6"/>
  <c r="G8355" i="6"/>
  <c r="G8354" i="6"/>
  <c r="G8353" i="6"/>
  <c r="G8349" i="6"/>
  <c r="G8348" i="6"/>
  <c r="G8347" i="6"/>
  <c r="G8344" i="6"/>
  <c r="G8343" i="6"/>
  <c r="G8342" i="6"/>
  <c r="G8341" i="6"/>
  <c r="G8340" i="6"/>
  <c r="G8339" i="6"/>
  <c r="G8338" i="6"/>
  <c r="G8337" i="6"/>
  <c r="G8334" i="6"/>
  <c r="G8333" i="6"/>
  <c r="G8332" i="6"/>
  <c r="G8331" i="6"/>
  <c r="G8330" i="6"/>
  <c r="G8329" i="6"/>
  <c r="G8328" i="6"/>
  <c r="G8327" i="6"/>
  <c r="G8321" i="6"/>
  <c r="G8320" i="6"/>
  <c r="G8319" i="6"/>
  <c r="G8318" i="6"/>
  <c r="G8316" i="6"/>
  <c r="G8313" i="6"/>
  <c r="G8312" i="6"/>
  <c r="G8311" i="6"/>
  <c r="G8307" i="6"/>
  <c r="G8306" i="6"/>
  <c r="G8305" i="6"/>
  <c r="G8301" i="6"/>
  <c r="G8300" i="6"/>
  <c r="G8299" i="6"/>
  <c r="G8293" i="6"/>
  <c r="G8292" i="6"/>
  <c r="G8291" i="6"/>
  <c r="G8284" i="6"/>
  <c r="G8283" i="6"/>
  <c r="G8282" i="6"/>
  <c r="G8278" i="6"/>
  <c r="G8277" i="6"/>
  <c r="G8276" i="6"/>
  <c r="G8275" i="6"/>
  <c r="G8274" i="6"/>
  <c r="G8273" i="6"/>
  <c r="G8272" i="6"/>
  <c r="G8266" i="6"/>
  <c r="G8265" i="6"/>
  <c r="G8264" i="6"/>
  <c r="G8263" i="6"/>
  <c r="G8259" i="6"/>
  <c r="G8258" i="6"/>
  <c r="G8257" i="6"/>
  <c r="G8253" i="6"/>
  <c r="G8252" i="6"/>
  <c r="G8251" i="6"/>
  <c r="G8250" i="6"/>
  <c r="G8249" i="6"/>
  <c r="G8246" i="6"/>
  <c r="G8245" i="6"/>
  <c r="G8244" i="6"/>
  <c r="G8240" i="6"/>
  <c r="G8239" i="6"/>
  <c r="G8238" i="6"/>
  <c r="G8235" i="6"/>
  <c r="G8234" i="6"/>
  <c r="G8233" i="6"/>
  <c r="E8232" i="6"/>
  <c r="G8231" i="6"/>
  <c r="G8230" i="6"/>
  <c r="G8229" i="6"/>
  <c r="G8228" i="6"/>
  <c r="G8227" i="6"/>
  <c r="G8226" i="6"/>
  <c r="G8225" i="6"/>
  <c r="G8224" i="6"/>
  <c r="G8214" i="6"/>
  <c r="G8213" i="6"/>
  <c r="G8212" i="6"/>
  <c r="E8211" i="6"/>
  <c r="E8210" i="6"/>
  <c r="G8209" i="6"/>
  <c r="G8208" i="6"/>
  <c r="G8207" i="6"/>
  <c r="G8200" i="6"/>
  <c r="G8199" i="6"/>
  <c r="G8198" i="6"/>
  <c r="G8197" i="6"/>
  <c r="G8189" i="6"/>
  <c r="G8188" i="6"/>
  <c r="G8187" i="6"/>
  <c r="E8186" i="6"/>
  <c r="G8185" i="6"/>
  <c r="G8184" i="6"/>
  <c r="G8183" i="6"/>
  <c r="G8181" i="6"/>
  <c r="G8180" i="6"/>
  <c r="G8179" i="6"/>
  <c r="G8177" i="6"/>
  <c r="G8176" i="6"/>
  <c r="G8175" i="6"/>
  <c r="G8173" i="6"/>
  <c r="G8172" i="6"/>
  <c r="G8171" i="6"/>
  <c r="G8169" i="6"/>
  <c r="G8168" i="6"/>
  <c r="G8167" i="6"/>
  <c r="G8165" i="6"/>
  <c r="G8164" i="6"/>
  <c r="G8163" i="6"/>
  <c r="G8161" i="6"/>
  <c r="G8160" i="6"/>
  <c r="G8159" i="6"/>
  <c r="G8157" i="6"/>
  <c r="G8156" i="6"/>
  <c r="G8155" i="6"/>
  <c r="G8153" i="6"/>
  <c r="G8152" i="6"/>
  <c r="G8151" i="6"/>
  <c r="G8149" i="6"/>
  <c r="G8148" i="6"/>
  <c r="G8147" i="6"/>
  <c r="G8145" i="6"/>
  <c r="G8144" i="6"/>
  <c r="G8143" i="6"/>
  <c r="G8141" i="6"/>
  <c r="G8140" i="6"/>
  <c r="G8139" i="6"/>
  <c r="G8137" i="6"/>
  <c r="G8136" i="6"/>
  <c r="G8135" i="6"/>
  <c r="G8133" i="6"/>
  <c r="G8132" i="6"/>
  <c r="G8131" i="6"/>
  <c r="G8129" i="6"/>
  <c r="G8128" i="6"/>
  <c r="G8127" i="6"/>
  <c r="G8125" i="6"/>
  <c r="G8124" i="6"/>
  <c r="G8123" i="6"/>
  <c r="G8121" i="6"/>
  <c r="G8120" i="6"/>
  <c r="G8119" i="6"/>
  <c r="G8117" i="6"/>
  <c r="G8116" i="6"/>
  <c r="G8115" i="6"/>
  <c r="G8113" i="6"/>
  <c r="G8112" i="6"/>
  <c r="G8111" i="6"/>
  <c r="G8109" i="6"/>
  <c r="G8108" i="6"/>
  <c r="G8107" i="6"/>
  <c r="G8105" i="6"/>
  <c r="G8104" i="6"/>
  <c r="G8103" i="6"/>
  <c r="G8101" i="6"/>
  <c r="G8100" i="6"/>
  <c r="G8099" i="6"/>
  <c r="G8097" i="6"/>
  <c r="G8096" i="6"/>
  <c r="G8095" i="6"/>
  <c r="G8093" i="6"/>
  <c r="G8092" i="6"/>
  <c r="G8091" i="6"/>
  <c r="G8089" i="6"/>
  <c r="G8088" i="6"/>
  <c r="G8087" i="6"/>
  <c r="G8085" i="6"/>
  <c r="G8084" i="6"/>
  <c r="G8083" i="6"/>
  <c r="G8081" i="6"/>
  <c r="G8080" i="6"/>
  <c r="G8079" i="6"/>
  <c r="G8077" i="6"/>
  <c r="G8076" i="6"/>
  <c r="G8075" i="6"/>
  <c r="G8073" i="6"/>
  <c r="G8072" i="6"/>
  <c r="G8071" i="6"/>
  <c r="G8069" i="6"/>
  <c r="G8068" i="6"/>
  <c r="G8067" i="6"/>
  <c r="G8065" i="6"/>
  <c r="G8064" i="6"/>
  <c r="G8063" i="6"/>
  <c r="G8061" i="6"/>
  <c r="G8060" i="6"/>
  <c r="G8059" i="6"/>
  <c r="G8057" i="6"/>
  <c r="G8056" i="6"/>
  <c r="G8055" i="6"/>
  <c r="G8053" i="6"/>
  <c r="G8052" i="6"/>
  <c r="G8051" i="6"/>
  <c r="G8049" i="6"/>
  <c r="G8048" i="6"/>
  <c r="G8047" i="6"/>
  <c r="G8045" i="6"/>
  <c r="G8044" i="6"/>
  <c r="G8043" i="6"/>
  <c r="G8041" i="6"/>
  <c r="G8040" i="6"/>
  <c r="G8039" i="6"/>
  <c r="G8037" i="6"/>
  <c r="G8036" i="6"/>
  <c r="G8035" i="6"/>
  <c r="G8033" i="6"/>
  <c r="G8032" i="6"/>
  <c r="G8031" i="6"/>
  <c r="G8029" i="6"/>
  <c r="G8028" i="6"/>
  <c r="G8027" i="6"/>
  <c r="G8025" i="6"/>
  <c r="G8024" i="6"/>
  <c r="G8023" i="6"/>
  <c r="G8021" i="6"/>
  <c r="G8020" i="6"/>
  <c r="G8019" i="6"/>
  <c r="G8017" i="6"/>
  <c r="G8016" i="6"/>
  <c r="G8015" i="6"/>
  <c r="G8013" i="6"/>
  <c r="G8012" i="6"/>
  <c r="G8011" i="6"/>
  <c r="G8009" i="6"/>
  <c r="G8008" i="6"/>
  <c r="G8007" i="6"/>
  <c r="G8005" i="6"/>
  <c r="G8004" i="6"/>
  <c r="G8003" i="6"/>
  <c r="G8001" i="6"/>
  <c r="G8000" i="6"/>
  <c r="G7999" i="6"/>
  <c r="G7997" i="6"/>
  <c r="G7996" i="6"/>
  <c r="G7995" i="6"/>
  <c r="G7993" i="6"/>
  <c r="G7992" i="6"/>
  <c r="G7991" i="6"/>
  <c r="G7989" i="6"/>
  <c r="G7988" i="6"/>
  <c r="G7987" i="6"/>
  <c r="G7985" i="6"/>
  <c r="G7984" i="6"/>
  <c r="G7983" i="6"/>
  <c r="G7981" i="6"/>
  <c r="G7980" i="6"/>
  <c r="G7979" i="6"/>
  <c r="G7977" i="6"/>
  <c r="G7976" i="6"/>
  <c r="G7975" i="6"/>
  <c r="G7973" i="6"/>
  <c r="G7972" i="6"/>
  <c r="G7971" i="6"/>
  <c r="G7969" i="6"/>
  <c r="G7968" i="6"/>
  <c r="G7967" i="6"/>
  <c r="G7965" i="6"/>
  <c r="G7964" i="6"/>
  <c r="G7963" i="6"/>
  <c r="G7961" i="6"/>
  <c r="G7960" i="6"/>
  <c r="G7959" i="6"/>
  <c r="G7957" i="6"/>
  <c r="G7956" i="6"/>
  <c r="G7955" i="6"/>
  <c r="G7953" i="6"/>
  <c r="G7952" i="6"/>
  <c r="G7951" i="6"/>
  <c r="G7949" i="6"/>
  <c r="G7948" i="6"/>
  <c r="G7947" i="6"/>
  <c r="G7945" i="6"/>
  <c r="G7944" i="6"/>
  <c r="G7943" i="6"/>
  <c r="G7941" i="6"/>
  <c r="G7940" i="6"/>
  <c r="G7939" i="6"/>
  <c r="G7937" i="6"/>
  <c r="G7936" i="6"/>
  <c r="G7935" i="6"/>
  <c r="G7933" i="6"/>
  <c r="G7932" i="6"/>
  <c r="G7931" i="6"/>
  <c r="G7929" i="6"/>
  <c r="G7928" i="6"/>
  <c r="G7927" i="6"/>
  <c r="G7925" i="6"/>
  <c r="G7924" i="6"/>
  <c r="G7923" i="6"/>
  <c r="G7921" i="6"/>
  <c r="G7920" i="6"/>
  <c r="G7919" i="6"/>
  <c r="G7917" i="6"/>
  <c r="G7916" i="6"/>
  <c r="G7915" i="6"/>
  <c r="G7913" i="6"/>
  <c r="G7912" i="6"/>
  <c r="G7911" i="6"/>
  <c r="G7909" i="6"/>
  <c r="G7908" i="6"/>
  <c r="G7907" i="6"/>
  <c r="G7905" i="6"/>
  <c r="G7904" i="6"/>
  <c r="G7903" i="6"/>
  <c r="G7901" i="6"/>
  <c r="G7900" i="6"/>
  <c r="G7899" i="6"/>
  <c r="G7897" i="6"/>
  <c r="G7896" i="6"/>
  <c r="G7895" i="6"/>
  <c r="G7893" i="6"/>
  <c r="G7892" i="6"/>
  <c r="G7891" i="6"/>
  <c r="G7889" i="6"/>
  <c r="G7888" i="6"/>
  <c r="G7887" i="6"/>
  <c r="G7885" i="6"/>
  <c r="G7884" i="6"/>
  <c r="G7883" i="6"/>
  <c r="G7881" i="6"/>
  <c r="G7880" i="6"/>
  <c r="A7880" i="6"/>
  <c r="G7879" i="6"/>
  <c r="G7877" i="6"/>
  <c r="G7876" i="6"/>
  <c r="A7876" i="6"/>
  <c r="G7875" i="6"/>
  <c r="G7873" i="6"/>
  <c r="G7872" i="6"/>
  <c r="G7871" i="6"/>
  <c r="G7869" i="6"/>
  <c r="G7868" i="6"/>
  <c r="G7867" i="6"/>
  <c r="G7865" i="6"/>
  <c r="G7864" i="6"/>
  <c r="G7863" i="6"/>
  <c r="G7861" i="6"/>
  <c r="G7860" i="6"/>
  <c r="G7859" i="6"/>
  <c r="G7857" i="6"/>
  <c r="G7856" i="6"/>
  <c r="G7855" i="6"/>
  <c r="G7853" i="6"/>
  <c r="G7852" i="6"/>
  <c r="G7851" i="6"/>
  <c r="G7849" i="6"/>
  <c r="G7848" i="6"/>
  <c r="G7847" i="6"/>
  <c r="G7845" i="6"/>
  <c r="G7844" i="6"/>
  <c r="G7843" i="6"/>
  <c r="G7841" i="6"/>
  <c r="G7840" i="6"/>
  <c r="G7839" i="6"/>
  <c r="G7837" i="6"/>
  <c r="G7836" i="6"/>
  <c r="G7835" i="6"/>
  <c r="G7833" i="6"/>
  <c r="G7832" i="6"/>
  <c r="G7831" i="6"/>
  <c r="G7829" i="6"/>
  <c r="G7828" i="6"/>
  <c r="G7827" i="6"/>
  <c r="G7825" i="6"/>
  <c r="G7824" i="6"/>
  <c r="G7823" i="6"/>
  <c r="G7821" i="6"/>
  <c r="G7820" i="6"/>
  <c r="G7819" i="6"/>
  <c r="G7817" i="6"/>
  <c r="G7816" i="6"/>
  <c r="G7815" i="6"/>
  <c r="G7813" i="6"/>
  <c r="G7812" i="6"/>
  <c r="G7811" i="6"/>
  <c r="G7809" i="6"/>
  <c r="G7808" i="6"/>
  <c r="G7807" i="6"/>
  <c r="G7805" i="6"/>
  <c r="G7804" i="6"/>
  <c r="G7803" i="6"/>
  <c r="G7801" i="6"/>
  <c r="G7800" i="6"/>
  <c r="G7799" i="6"/>
  <c r="G7797" i="6"/>
  <c r="G7796" i="6"/>
  <c r="G7795" i="6"/>
  <c r="G7793" i="6"/>
  <c r="G7792" i="6"/>
  <c r="G7791" i="6"/>
  <c r="G7789" i="6"/>
  <c r="G7788" i="6"/>
  <c r="G7787" i="6"/>
  <c r="G7785" i="6"/>
  <c r="G7784" i="6"/>
  <c r="G7783" i="6"/>
  <c r="G7781" i="6"/>
  <c r="G7780" i="6"/>
  <c r="G7779" i="6"/>
  <c r="G7777" i="6"/>
  <c r="G7776" i="6"/>
  <c r="G7775" i="6"/>
  <c r="G7773" i="6"/>
  <c r="G7772" i="6"/>
  <c r="G7771" i="6"/>
  <c r="G7769" i="6"/>
  <c r="G7768" i="6"/>
  <c r="G7767" i="6"/>
  <c r="G7765" i="6"/>
  <c r="G7764" i="6"/>
  <c r="G7763" i="6"/>
  <c r="G7761" i="6"/>
  <c r="G7760" i="6"/>
  <c r="G7759" i="6"/>
  <c r="G7757" i="6"/>
  <c r="G7756" i="6"/>
  <c r="G7755" i="6"/>
  <c r="G7753" i="6"/>
  <c r="G7752" i="6"/>
  <c r="G7751" i="6"/>
  <c r="G7749" i="6"/>
  <c r="G7748" i="6"/>
  <c r="G7747" i="6"/>
  <c r="G7745" i="6"/>
  <c r="G7744" i="6"/>
  <c r="G7743" i="6"/>
  <c r="G7741" i="6"/>
  <c r="G7740" i="6"/>
  <c r="G7739" i="6"/>
  <c r="G7737" i="6"/>
  <c r="G7736" i="6"/>
  <c r="G7735" i="6"/>
  <c r="G7733" i="6"/>
  <c r="G7732" i="6"/>
  <c r="G7731" i="6"/>
  <c r="G7729" i="6"/>
  <c r="G7728" i="6"/>
  <c r="G7727" i="6"/>
  <c r="G7725" i="6"/>
  <c r="G7724" i="6"/>
  <c r="G7723" i="6"/>
  <c r="G7721" i="6"/>
  <c r="G7720" i="6"/>
  <c r="G7719" i="6"/>
  <c r="G7717" i="6"/>
  <c r="G7716" i="6"/>
  <c r="G7715" i="6"/>
  <c r="G7713" i="6"/>
  <c r="G7712" i="6"/>
  <c r="G7711" i="6"/>
  <c r="G7709" i="6"/>
  <c r="G7708" i="6"/>
  <c r="G7707" i="6"/>
  <c r="G7705" i="6"/>
  <c r="G7704" i="6"/>
  <c r="G7703" i="6"/>
  <c r="G7701" i="6"/>
  <c r="G7700" i="6"/>
  <c r="G7699" i="6"/>
  <c r="G7697" i="6"/>
  <c r="G7696" i="6"/>
  <c r="G7695" i="6"/>
  <c r="G7693" i="6"/>
  <c r="G7692" i="6"/>
  <c r="G7691" i="6"/>
  <c r="G7689" i="6"/>
  <c r="G7688" i="6"/>
  <c r="G7687" i="6"/>
  <c r="G7685" i="6"/>
  <c r="G7684" i="6"/>
  <c r="G7683" i="6"/>
  <c r="G7681" i="6"/>
  <c r="G7680" i="6"/>
  <c r="G7679" i="6"/>
  <c r="G7677" i="6"/>
  <c r="G7676" i="6"/>
  <c r="G7675" i="6"/>
  <c r="G7673" i="6"/>
  <c r="G7672" i="6"/>
  <c r="G7671" i="6"/>
  <c r="G7669" i="6"/>
  <c r="G7668" i="6"/>
  <c r="G7667" i="6"/>
  <c r="G7665" i="6"/>
  <c r="G7664" i="6"/>
  <c r="G7663" i="6"/>
  <c r="G7661" i="6"/>
  <c r="G7660" i="6"/>
  <c r="G7659" i="6"/>
  <c r="G7657" i="6"/>
  <c r="G7656" i="6"/>
  <c r="G7655" i="6"/>
  <c r="G7653" i="6"/>
  <c r="G7652" i="6"/>
  <c r="G7651" i="6"/>
  <c r="G7649" i="6"/>
  <c r="G7648" i="6"/>
  <c r="G7647" i="6"/>
  <c r="G7645" i="6"/>
  <c r="G7644" i="6"/>
  <c r="G7643" i="6"/>
  <c r="G7641" i="6"/>
  <c r="G7640" i="6"/>
  <c r="G7639" i="6"/>
  <c r="G7637" i="6"/>
  <c r="G7636" i="6"/>
  <c r="G7635" i="6"/>
  <c r="G7633" i="6"/>
  <c r="G7632" i="6"/>
  <c r="G7631" i="6"/>
  <c r="G7629" i="6"/>
  <c r="G7628" i="6"/>
  <c r="G7627" i="6"/>
  <c r="G7625" i="6"/>
  <c r="G7624" i="6"/>
  <c r="G7623" i="6"/>
  <c r="G7621" i="6"/>
  <c r="G7620" i="6"/>
  <c r="G7619" i="6"/>
  <c r="G7617" i="6"/>
  <c r="G7616" i="6"/>
  <c r="G7615" i="6"/>
  <c r="G7613" i="6"/>
  <c r="G7612" i="6"/>
  <c r="G7611" i="6"/>
  <c r="G7609" i="6"/>
  <c r="G7608" i="6"/>
  <c r="G7607" i="6"/>
  <c r="G7605" i="6"/>
  <c r="G7604" i="6"/>
  <c r="G7603" i="6"/>
  <c r="G7601" i="6"/>
  <c r="G7600" i="6"/>
  <c r="G7599" i="6"/>
  <c r="G7597" i="6"/>
  <c r="G7596" i="6"/>
  <c r="G7595" i="6"/>
  <c r="G7593" i="6"/>
  <c r="G7592" i="6"/>
  <c r="G7591" i="6"/>
  <c r="G7589" i="6"/>
  <c r="G7588" i="6"/>
  <c r="G7587" i="6"/>
  <c r="G7585" i="6"/>
  <c r="G7584" i="6"/>
  <c r="G7583" i="6"/>
  <c r="G7581" i="6"/>
  <c r="G7580" i="6"/>
  <c r="G7579" i="6"/>
  <c r="G7577" i="6"/>
  <c r="G7576" i="6"/>
  <c r="G7575" i="6"/>
  <c r="G7573" i="6"/>
  <c r="G7572" i="6"/>
  <c r="G7571" i="6"/>
  <c r="G7569" i="6"/>
  <c r="G7568" i="6"/>
  <c r="G7567" i="6"/>
  <c r="G7565" i="6"/>
  <c r="G7564" i="6"/>
  <c r="G7563" i="6"/>
  <c r="G7561" i="6"/>
  <c r="G7560" i="6"/>
  <c r="G7559" i="6"/>
  <c r="G7557" i="6"/>
  <c r="G7556" i="6"/>
  <c r="G7555" i="6"/>
  <c r="G7553" i="6"/>
  <c r="G7552" i="6"/>
  <c r="G7551" i="6"/>
  <c r="G7547" i="6"/>
  <c r="G7546" i="6"/>
  <c r="G7545" i="6"/>
  <c r="G7544" i="6"/>
  <c r="G7543" i="6"/>
  <c r="G7542" i="6"/>
  <c r="G7541" i="6"/>
  <c r="G7540" i="6"/>
  <c r="G7539" i="6"/>
  <c r="G7538" i="6"/>
  <c r="G7532" i="6"/>
  <c r="G7531" i="6"/>
  <c r="G7530" i="6"/>
  <c r="G7529" i="6"/>
  <c r="G7528" i="6"/>
  <c r="G7527" i="6"/>
  <c r="G7526" i="6"/>
  <c r="G7525" i="6"/>
  <c r="G7524" i="6"/>
  <c r="G7519" i="6"/>
  <c r="G7518" i="6"/>
  <c r="G7517" i="6"/>
  <c r="G7516" i="6"/>
  <c r="G7512" i="6"/>
  <c r="G7511" i="6"/>
  <c r="G7510" i="6"/>
  <c r="G7509" i="6"/>
  <c r="G7506" i="6"/>
  <c r="G7505" i="6"/>
  <c r="G7504" i="6"/>
  <c r="G7503" i="6"/>
  <c r="G7502" i="6"/>
  <c r="G7501" i="6"/>
  <c r="G7500" i="6"/>
  <c r="G7497" i="6"/>
  <c r="G7496" i="6"/>
  <c r="G7495" i="6"/>
  <c r="G7494" i="6"/>
  <c r="G7491" i="6"/>
  <c r="G7490" i="6"/>
  <c r="G7489" i="6"/>
  <c r="G7488" i="6"/>
  <c r="G7485" i="6"/>
  <c r="G7484" i="6"/>
  <c r="G7483" i="6"/>
  <c r="G7480" i="6"/>
  <c r="G7479" i="6"/>
  <c r="G7478" i="6"/>
  <c r="G7477" i="6"/>
  <c r="G7476" i="6"/>
  <c r="G7475" i="6"/>
  <c r="G7472" i="6"/>
  <c r="G7470" i="6"/>
  <c r="G7469" i="6"/>
  <c r="G7468" i="6"/>
  <c r="G7467" i="6"/>
  <c r="G7462" i="6"/>
  <c r="G7461" i="6"/>
  <c r="G7460" i="6"/>
  <c r="G7459" i="6"/>
  <c r="G7458" i="6"/>
  <c r="G7457" i="6"/>
  <c r="G7456" i="6"/>
  <c r="G7455" i="6"/>
  <c r="G7450" i="6"/>
  <c r="G7449" i="6"/>
  <c r="G7448" i="6"/>
  <c r="G7444" i="6"/>
  <c r="G7443" i="6"/>
  <c r="G7442" i="6"/>
  <c r="G7441" i="6"/>
  <c r="G7437" i="6"/>
  <c r="G7436" i="6"/>
  <c r="G7435" i="6"/>
  <c r="G7434" i="6"/>
  <c r="G7431" i="6"/>
  <c r="G7430" i="6"/>
  <c r="G7429" i="6"/>
  <c r="G7428" i="6"/>
  <c r="G7425" i="6"/>
  <c r="G7422" i="6"/>
  <c r="G7421" i="6"/>
  <c r="G7420" i="6"/>
  <c r="G7419" i="6"/>
  <c r="G7416" i="6"/>
  <c r="G7415" i="6"/>
  <c r="G7414" i="6"/>
  <c r="G7411" i="6"/>
  <c r="G7410" i="6"/>
  <c r="G7409" i="6"/>
  <c r="G7408" i="6"/>
  <c r="G7405" i="6"/>
  <c r="G7404" i="6"/>
  <c r="G7403" i="6"/>
  <c r="G7402" i="6"/>
  <c r="G7398" i="6"/>
  <c r="G7397" i="6"/>
  <c r="G7396" i="6"/>
  <c r="G7392" i="6"/>
  <c r="G7391" i="6"/>
  <c r="G7390" i="6"/>
  <c r="G7389" i="6"/>
  <c r="G7388" i="6"/>
  <c r="G7385" i="6"/>
  <c r="G7384" i="6"/>
  <c r="G7383" i="6"/>
  <c r="G7379" i="6"/>
  <c r="G7378" i="6"/>
  <c r="G7377" i="6"/>
  <c r="G7374" i="6"/>
  <c r="G7373" i="6"/>
  <c r="G7371" i="6"/>
  <c r="G7370" i="6"/>
  <c r="G7369" i="6"/>
  <c r="G7365" i="6"/>
  <c r="G7364" i="6"/>
  <c r="G7363" i="6"/>
  <c r="G7362" i="6"/>
  <c r="G7361" i="6"/>
  <c r="G7360" i="6"/>
  <c r="G7357" i="6"/>
  <c r="G7356" i="6"/>
  <c r="G7355" i="6"/>
  <c r="G7352" i="6"/>
  <c r="G7351" i="6"/>
  <c r="G7350" i="6"/>
  <c r="G7347" i="6"/>
  <c r="G7346" i="6"/>
  <c r="G7345" i="6"/>
  <c r="G7342" i="6"/>
  <c r="G7341" i="6"/>
  <c r="G7340" i="6"/>
  <c r="G7339" i="6"/>
  <c r="G7333" i="6"/>
  <c r="G7331" i="6"/>
  <c r="G7325" i="6"/>
  <c r="G7324" i="6"/>
  <c r="G7323" i="6"/>
  <c r="G7319" i="6"/>
  <c r="G7318" i="6"/>
  <c r="G7317" i="6"/>
  <c r="G7312" i="6"/>
  <c r="G7311" i="6"/>
  <c r="G7310" i="6"/>
  <c r="G7308" i="6"/>
  <c r="G7307" i="6"/>
  <c r="G7306" i="6"/>
  <c r="G7304" i="6"/>
  <c r="G7303" i="6"/>
  <c r="G7302" i="6"/>
  <c r="G7300" i="6"/>
  <c r="G7299" i="6"/>
  <c r="G7298" i="6"/>
  <c r="G7297" i="6"/>
  <c r="G7296" i="6"/>
  <c r="G7295" i="6"/>
  <c r="G7294" i="6"/>
  <c r="G7292" i="6"/>
  <c r="G7291" i="6"/>
  <c r="G7290" i="6"/>
  <c r="G7288" i="6"/>
  <c r="G7287" i="6"/>
  <c r="G7286" i="6"/>
  <c r="G7284" i="6"/>
  <c r="G7283" i="6"/>
  <c r="G7282" i="6"/>
  <c r="G7280" i="6"/>
  <c r="G7278" i="6"/>
  <c r="G7276" i="6"/>
  <c r="G7275" i="6"/>
  <c r="G7274" i="6"/>
  <c r="G7272" i="6"/>
  <c r="G7271" i="6"/>
  <c r="G7270" i="6"/>
  <c r="G7268" i="6"/>
  <c r="G7267" i="6"/>
  <c r="G7266" i="6"/>
  <c r="G7264" i="6"/>
  <c r="G7263" i="6"/>
  <c r="G7262" i="6"/>
  <c r="G7260" i="6"/>
  <c r="G7259" i="6"/>
  <c r="G7258" i="6"/>
  <c r="G7256" i="6"/>
  <c r="G7255" i="6"/>
  <c r="G7254" i="6"/>
  <c r="G7252" i="6"/>
  <c r="G7250" i="6"/>
  <c r="G7249" i="6"/>
  <c r="G7248" i="6"/>
  <c r="G7247" i="6"/>
  <c r="G7246" i="6"/>
  <c r="G7245" i="6"/>
  <c r="G7244" i="6"/>
  <c r="G7243" i="6"/>
  <c r="G7242" i="6"/>
  <c r="G7241" i="6"/>
  <c r="G7240" i="6"/>
  <c r="G7239" i="6"/>
  <c r="G7238" i="6"/>
  <c r="G7237" i="6"/>
  <c r="G7236" i="6"/>
  <c r="G7235" i="6"/>
  <c r="G7230" i="6"/>
  <c r="G7229" i="6"/>
  <c r="G7224" i="6"/>
  <c r="G7223" i="6"/>
  <c r="G7222" i="6"/>
  <c r="G7221" i="6"/>
  <c r="G7218" i="6"/>
  <c r="G7217" i="6"/>
  <c r="G7216" i="6"/>
  <c r="G7214" i="6"/>
  <c r="G7213" i="6"/>
  <c r="G7212" i="6"/>
  <c r="G7210" i="6"/>
  <c r="G7209" i="6"/>
  <c r="G7208" i="6"/>
  <c r="G7206" i="6"/>
  <c r="G7205" i="6"/>
  <c r="G7204" i="6"/>
  <c r="G7202" i="6"/>
  <c r="G7201" i="6"/>
  <c r="G7200" i="6"/>
  <c r="G7199" i="6"/>
  <c r="G7198" i="6"/>
  <c r="G7196" i="6"/>
  <c r="G7195" i="6"/>
  <c r="G7194" i="6"/>
  <c r="G7193" i="6"/>
  <c r="G7192" i="6"/>
  <c r="G7190" i="6"/>
  <c r="G7189" i="6"/>
  <c r="G7188" i="6"/>
  <c r="G7187" i="6"/>
  <c r="G7186" i="6"/>
  <c r="G7184" i="6"/>
  <c r="G7183" i="6"/>
  <c r="G7182" i="6"/>
  <c r="G7181" i="6"/>
  <c r="G7180" i="6"/>
  <c r="G7178" i="6"/>
  <c r="G7177" i="6"/>
  <c r="G7176" i="6"/>
  <c r="G7175" i="6"/>
  <c r="G7174" i="6"/>
  <c r="G7172" i="6"/>
  <c r="G7171" i="6"/>
  <c r="G7170" i="6"/>
  <c r="G7169" i="6"/>
  <c r="G7168" i="6"/>
  <c r="G7166" i="6"/>
  <c r="G7165" i="6"/>
  <c r="G7164" i="6"/>
  <c r="G7163" i="6"/>
  <c r="G7162" i="6"/>
  <c r="G7160" i="6"/>
  <c r="G7159" i="6"/>
  <c r="G7158" i="6"/>
  <c r="G7157" i="6"/>
  <c r="G7156" i="6"/>
  <c r="G7154" i="6"/>
  <c r="G7153" i="6"/>
  <c r="G7152" i="6"/>
  <c r="G7151" i="6"/>
  <c r="G7150" i="6"/>
  <c r="G7148" i="6"/>
  <c r="G7147" i="6"/>
  <c r="G7146" i="6"/>
  <c r="G7145" i="6"/>
  <c r="G7144" i="6"/>
  <c r="G7142" i="6"/>
  <c r="G7141" i="6"/>
  <c r="G7140" i="6"/>
  <c r="G7138" i="6"/>
  <c r="G7137" i="6"/>
  <c r="G7136" i="6"/>
  <c r="G7134" i="6"/>
  <c r="G7132" i="6"/>
  <c r="G7130" i="6"/>
  <c r="G7129" i="6"/>
  <c r="G7128" i="6"/>
  <c r="G7126" i="6"/>
  <c r="G7125" i="6"/>
  <c r="G7124" i="6"/>
  <c r="G7122" i="6"/>
  <c r="G7121" i="6"/>
  <c r="G7120" i="6"/>
  <c r="G7118" i="6"/>
  <c r="G7117" i="6"/>
  <c r="G7116" i="6"/>
  <c r="G7114" i="6"/>
  <c r="G7113" i="6"/>
  <c r="G7112" i="6"/>
  <c r="G7110" i="6"/>
  <c r="G7108" i="6"/>
  <c r="G7106" i="6"/>
  <c r="G7105" i="6"/>
  <c r="G7104" i="6"/>
  <c r="G7102" i="6"/>
  <c r="G7101" i="6"/>
  <c r="G7100" i="6"/>
  <c r="G7098" i="6"/>
  <c r="G7097" i="6"/>
  <c r="G7096" i="6"/>
  <c r="G7094" i="6"/>
  <c r="G7092" i="6"/>
  <c r="G7090" i="6"/>
  <c r="G7089" i="6"/>
  <c r="G7088" i="6"/>
  <c r="G7086" i="6"/>
  <c r="G7085" i="6"/>
  <c r="G7084" i="6"/>
  <c r="G7082" i="6"/>
  <c r="G7081" i="6"/>
  <c r="G7080" i="6"/>
  <c r="G7078" i="6"/>
  <c r="G7076" i="6"/>
  <c r="G7074" i="6"/>
  <c r="G7073" i="6"/>
  <c r="G7072" i="6"/>
  <c r="G7070" i="6"/>
  <c r="G7069" i="6"/>
  <c r="G7068" i="6"/>
  <c r="G7066" i="6"/>
  <c r="G7065" i="6"/>
  <c r="G7064" i="6"/>
  <c r="G7062" i="6"/>
  <c r="G7060" i="6"/>
  <c r="G7058" i="6"/>
  <c r="G7057" i="6"/>
  <c r="G7056" i="6"/>
  <c r="G7054" i="6"/>
  <c r="G7053" i="6"/>
  <c r="G7052" i="6"/>
  <c r="G7050" i="6"/>
  <c r="G7049" i="6"/>
  <c r="G7048" i="6"/>
  <c r="G7046" i="6"/>
  <c r="G7044" i="6"/>
  <c r="G7042" i="6"/>
  <c r="G7041" i="6"/>
  <c r="G7040" i="6"/>
  <c r="G7038" i="6"/>
  <c r="G7037" i="6"/>
  <c r="G7036" i="6"/>
  <c r="G7034" i="6"/>
  <c r="G7033" i="6"/>
  <c r="G7032" i="6"/>
  <c r="G7030" i="6"/>
  <c r="G7028" i="6"/>
  <c r="G7026" i="6"/>
  <c r="G7025" i="6"/>
  <c r="G7024" i="6"/>
  <c r="G7022" i="6"/>
  <c r="G7021" i="6"/>
  <c r="G7020" i="6"/>
  <c r="G7018" i="6"/>
  <c r="G7017" i="6"/>
  <c r="G7016" i="6"/>
  <c r="G7014" i="6"/>
  <c r="G7012" i="6"/>
  <c r="G7010" i="6"/>
  <c r="G7009" i="6"/>
  <c r="G7008" i="6"/>
  <c r="G7006" i="6"/>
  <c r="G7005" i="6"/>
  <c r="G7004" i="6"/>
  <c r="G7002" i="6"/>
  <c r="G7001" i="6"/>
  <c r="G7000" i="6"/>
  <c r="G6998" i="6"/>
  <c r="G6996" i="6"/>
  <c r="G6994" i="6"/>
  <c r="G6993" i="6"/>
  <c r="G6992" i="6"/>
  <c r="G6990" i="6"/>
  <c r="G6989" i="6"/>
  <c r="G6988" i="6"/>
  <c r="G6986" i="6"/>
  <c r="G6985" i="6"/>
  <c r="G6984" i="6"/>
  <c r="G6982" i="6"/>
  <c r="G6980" i="6"/>
  <c r="G6978" i="6"/>
  <c r="G6977" i="6"/>
  <c r="G6976" i="6"/>
  <c r="G6974" i="6"/>
  <c r="G6973" i="6"/>
  <c r="G6972" i="6"/>
  <c r="G6970" i="6"/>
  <c r="G6969" i="6"/>
  <c r="G6968" i="6"/>
  <c r="G6966" i="6"/>
  <c r="G6964" i="6"/>
  <c r="G6962" i="6"/>
  <c r="G6961" i="6"/>
  <c r="G6960" i="6"/>
  <c r="G6958" i="6"/>
  <c r="G6957" i="6"/>
  <c r="G6956" i="6"/>
  <c r="G6954" i="6"/>
  <c r="G6953" i="6"/>
  <c r="G6952" i="6"/>
  <c r="G6950" i="6"/>
  <c r="G6949" i="6"/>
  <c r="G6948" i="6"/>
  <c r="G6946" i="6"/>
  <c r="G6945" i="6"/>
  <c r="G6944" i="6"/>
  <c r="G6942" i="6"/>
  <c r="G6940" i="6"/>
  <c r="G6938" i="6"/>
  <c r="G6937" i="6"/>
  <c r="G6936" i="6"/>
  <c r="G6934" i="6"/>
  <c r="G6933" i="6"/>
  <c r="G6932" i="6"/>
  <c r="G6930" i="6"/>
  <c r="G6929" i="6"/>
  <c r="G6928" i="6"/>
  <c r="G6926" i="6"/>
  <c r="G6924" i="6"/>
  <c r="G6922" i="6"/>
  <c r="G6921" i="6"/>
  <c r="G6920" i="6"/>
  <c r="G6918" i="6"/>
  <c r="G6917" i="6"/>
  <c r="G6916" i="6"/>
  <c r="G6914" i="6"/>
  <c r="G6913" i="6"/>
  <c r="G6912" i="6"/>
  <c r="G6910" i="6"/>
  <c r="G6908" i="6"/>
  <c r="G6906" i="6"/>
  <c r="G6905" i="6"/>
  <c r="G6904" i="6"/>
  <c r="G6902" i="6"/>
  <c r="G6901" i="6"/>
  <c r="G6900" i="6"/>
  <c r="G6898" i="6"/>
  <c r="G6897" i="6"/>
  <c r="G6896" i="6"/>
  <c r="G6894" i="6"/>
  <c r="G6892" i="6"/>
  <c r="G6890" i="6"/>
  <c r="G6889" i="6"/>
  <c r="G6888" i="6"/>
  <c r="G6886" i="6"/>
  <c r="G6885" i="6"/>
  <c r="G6884" i="6"/>
  <c r="G6882" i="6"/>
  <c r="G6881" i="6"/>
  <c r="G6880" i="6"/>
  <c r="G6878" i="6"/>
  <c r="G6876" i="6"/>
  <c r="G6874" i="6"/>
  <c r="G6873" i="6"/>
  <c r="G6872" i="6"/>
  <c r="G6870" i="6"/>
  <c r="G6869" i="6"/>
  <c r="G6868" i="6"/>
  <c r="G6866" i="6"/>
  <c r="G6865" i="6"/>
  <c r="G6864" i="6"/>
  <c r="G6862" i="6"/>
  <c r="G6860" i="6"/>
  <c r="G6858" i="6"/>
  <c r="G6857" i="6"/>
  <c r="G6856" i="6"/>
  <c r="G6854" i="6"/>
  <c r="G6853" i="6"/>
  <c r="G6852" i="6"/>
  <c r="G6850" i="6"/>
  <c r="G6849" i="6"/>
  <c r="G6848" i="6"/>
  <c r="G6846" i="6"/>
  <c r="G6844" i="6"/>
  <c r="G6842" i="6"/>
  <c r="G6841" i="6"/>
  <c r="G6840" i="6"/>
  <c r="G6838" i="6"/>
  <c r="G6837" i="6"/>
  <c r="G6836" i="6"/>
  <c r="G6834" i="6"/>
  <c r="G6833" i="6"/>
  <c r="G6832" i="6"/>
  <c r="G6830" i="6"/>
  <c r="G6828" i="6"/>
  <c r="G6826" i="6"/>
  <c r="G6825" i="6"/>
  <c r="G6824" i="6"/>
  <c r="G6822" i="6"/>
  <c r="G6821" i="6"/>
  <c r="G6820" i="6"/>
  <c r="G6818" i="6"/>
  <c r="G6817" i="6"/>
  <c r="G6816" i="6"/>
  <c r="G6814" i="6"/>
  <c r="G6812" i="6"/>
  <c r="G6810" i="6"/>
  <c r="G6809" i="6"/>
  <c r="G6808" i="6"/>
  <c r="G6806" i="6"/>
  <c r="G6805" i="6"/>
  <c r="G6804" i="6"/>
  <c r="G6802" i="6"/>
  <c r="G6801" i="6"/>
  <c r="G6800" i="6"/>
  <c r="G6798" i="6"/>
  <c r="G6797" i="6"/>
  <c r="G6796" i="6"/>
  <c r="G6794" i="6"/>
  <c r="G6793" i="6"/>
  <c r="G6792" i="6"/>
  <c r="G6790" i="6"/>
  <c r="G6789" i="6"/>
  <c r="G6788" i="6"/>
  <c r="G6786" i="6"/>
  <c r="G6785" i="6"/>
  <c r="G6784" i="6"/>
  <c r="G6782" i="6"/>
  <c r="G6780" i="6"/>
  <c r="G6778" i="6"/>
  <c r="G6777" i="6"/>
  <c r="G6776" i="6"/>
  <c r="G6774" i="6"/>
  <c r="G6773" i="6"/>
  <c r="G6772" i="6"/>
  <c r="G6770" i="6"/>
  <c r="G6769" i="6"/>
  <c r="G6768" i="6"/>
  <c r="G6766" i="6"/>
  <c r="G6764" i="6"/>
  <c r="G6762" i="6"/>
  <c r="G6761" i="6"/>
  <c r="G6760" i="6"/>
  <c r="G6758" i="6"/>
  <c r="G6757" i="6"/>
  <c r="G6756" i="6"/>
  <c r="G6754" i="6"/>
  <c r="G6753" i="6"/>
  <c r="G6752" i="6"/>
  <c r="G6750" i="6"/>
  <c r="G6748" i="6"/>
  <c r="G6746" i="6"/>
  <c r="G6745" i="6"/>
  <c r="G6744" i="6"/>
  <c r="G6742" i="6"/>
  <c r="G6741" i="6"/>
  <c r="G6740" i="6"/>
  <c r="G6738" i="6"/>
  <c r="G6737" i="6"/>
  <c r="G6736" i="6"/>
  <c r="G6734" i="6"/>
  <c r="G6732" i="6"/>
  <c r="G6730" i="6"/>
  <c r="G6729" i="6"/>
  <c r="G6728" i="6"/>
  <c r="G6726" i="6"/>
  <c r="G6725" i="6"/>
  <c r="G6724" i="6"/>
  <c r="G6722" i="6"/>
  <c r="G6721" i="6"/>
  <c r="G6720" i="6"/>
  <c r="G6718" i="6"/>
  <c r="G6716" i="6"/>
  <c r="G6714" i="6"/>
  <c r="G6713" i="6"/>
  <c r="G6712" i="6"/>
  <c r="G6710" i="6"/>
  <c r="G6709" i="6"/>
  <c r="G6708" i="6"/>
  <c r="G6706" i="6"/>
  <c r="G6705" i="6"/>
  <c r="G6704" i="6"/>
  <c r="G6702" i="6"/>
  <c r="G6700" i="6"/>
  <c r="G6698" i="6"/>
  <c r="G6697" i="6"/>
  <c r="G6696" i="6"/>
  <c r="G6694" i="6"/>
  <c r="G6693" i="6"/>
  <c r="G6692" i="6"/>
  <c r="G6690" i="6"/>
  <c r="G6689" i="6"/>
  <c r="G6688" i="6"/>
  <c r="G6686" i="6"/>
  <c r="G6684" i="6"/>
  <c r="G6682" i="6"/>
  <c r="G6681" i="6"/>
  <c r="G6680" i="6"/>
  <c r="G6678" i="6"/>
  <c r="G6677" i="6"/>
  <c r="G6676" i="6"/>
  <c r="G6674" i="6"/>
  <c r="G6673" i="6"/>
  <c r="G6672" i="6"/>
  <c r="G6670" i="6"/>
  <c r="G6668" i="6"/>
  <c r="G6666" i="6"/>
  <c r="G6665" i="6"/>
  <c r="G6664" i="6"/>
  <c r="G6662" i="6"/>
  <c r="G6661" i="6"/>
  <c r="G6660" i="6"/>
  <c r="G6658" i="6"/>
  <c r="G6657" i="6"/>
  <c r="G6656" i="6"/>
  <c r="G6654" i="6"/>
  <c r="G6652" i="6"/>
  <c r="G6650" i="6"/>
  <c r="G6649" i="6"/>
  <c r="G6648" i="6"/>
  <c r="G6646" i="6"/>
  <c r="G6645" i="6"/>
  <c r="G6644" i="6"/>
  <c r="G6642" i="6"/>
  <c r="G6641" i="6"/>
  <c r="G6640" i="6"/>
  <c r="G6638" i="6"/>
  <c r="G6636" i="6"/>
  <c r="G6634" i="6"/>
  <c r="G6633" i="6"/>
  <c r="G6632" i="6"/>
  <c r="G6630" i="6"/>
  <c r="G6629" i="6"/>
  <c r="G6628" i="6"/>
  <c r="G6626" i="6"/>
  <c r="G6625" i="6"/>
  <c r="G6624" i="6"/>
  <c r="G6622" i="6"/>
  <c r="G6620" i="6"/>
  <c r="G6618" i="6"/>
  <c r="G6617" i="6"/>
  <c r="G6616" i="6"/>
  <c r="G6614" i="6"/>
  <c r="G6613" i="6"/>
  <c r="G6612" i="6"/>
  <c r="G6610" i="6"/>
  <c r="G6609" i="6"/>
  <c r="G6608" i="6"/>
  <c r="G6606" i="6"/>
  <c r="G6604" i="6"/>
  <c r="G6602" i="6"/>
  <c r="G6601" i="6"/>
  <c r="G6600" i="6"/>
  <c r="G6598" i="6"/>
  <c r="G6597" i="6"/>
  <c r="G6596" i="6"/>
  <c r="G6594" i="6"/>
  <c r="G6593" i="6"/>
  <c r="G6592" i="6"/>
  <c r="G6590" i="6"/>
  <c r="G6588" i="6"/>
  <c r="G6586" i="6"/>
  <c r="G6585" i="6"/>
  <c r="G6584" i="6"/>
  <c r="G6582" i="6"/>
  <c r="G6581" i="6"/>
  <c r="G6580" i="6"/>
  <c r="G6578" i="6"/>
  <c r="G6577" i="6"/>
  <c r="G6576" i="6"/>
  <c r="G6574" i="6"/>
  <c r="G6572" i="6"/>
  <c r="G6570" i="6"/>
  <c r="G6569" i="6"/>
  <c r="G6568" i="6"/>
  <c r="G6566" i="6"/>
  <c r="G6565" i="6"/>
  <c r="G6564" i="6"/>
  <c r="G6562" i="6"/>
  <c r="G6561" i="6"/>
  <c r="G6560" i="6"/>
  <c r="G6558" i="6"/>
  <c r="G6556" i="6"/>
  <c r="G6554" i="6"/>
  <c r="G6553" i="6"/>
  <c r="G6552" i="6"/>
  <c r="G6550" i="6"/>
  <c r="G6549" i="6"/>
  <c r="G6548" i="6"/>
  <c r="G6546" i="6"/>
  <c r="G6545" i="6"/>
  <c r="G6544" i="6"/>
  <c r="G6542" i="6"/>
  <c r="G6540" i="6"/>
  <c r="G6538" i="6"/>
  <c r="G6537" i="6"/>
  <c r="G6536" i="6"/>
  <c r="G6534" i="6"/>
  <c r="G6533" i="6"/>
  <c r="G6532" i="6"/>
  <c r="G6530" i="6"/>
  <c r="G6529" i="6"/>
  <c r="G6528" i="6"/>
  <c r="G6526" i="6"/>
  <c r="G6524" i="6"/>
  <c r="G6522" i="6"/>
  <c r="G6521" i="6"/>
  <c r="G6520" i="6"/>
  <c r="G6518" i="6"/>
  <c r="G6517" i="6"/>
  <c r="G6516" i="6"/>
  <c r="G6514" i="6"/>
  <c r="G6513" i="6"/>
  <c r="G6512" i="6"/>
  <c r="G6510" i="6"/>
  <c r="G6508" i="6"/>
  <c r="G6506" i="6"/>
  <c r="G6505" i="6"/>
  <c r="G6504" i="6"/>
  <c r="G6502" i="6"/>
  <c r="G6501" i="6"/>
  <c r="G6500" i="6"/>
  <c r="G6498" i="6"/>
  <c r="G6497" i="6"/>
  <c r="G6496" i="6"/>
  <c r="G6494" i="6"/>
  <c r="G6492" i="6"/>
  <c r="G6490" i="6"/>
  <c r="G6489" i="6"/>
  <c r="G6488" i="6"/>
  <c r="G6484" i="6"/>
  <c r="G6483" i="6"/>
  <c r="G6482" i="6"/>
  <c r="G6481" i="6"/>
  <c r="G6477" i="6"/>
  <c r="G6476" i="6"/>
  <c r="G6475" i="6"/>
  <c r="G6474" i="6"/>
  <c r="G6470" i="6"/>
  <c r="G6469" i="6"/>
  <c r="G6468" i="6"/>
  <c r="G6467" i="6"/>
  <c r="G6464" i="6"/>
  <c r="G6463" i="6"/>
  <c r="G6462" i="6"/>
  <c r="G6461" i="6"/>
  <c r="G6460" i="6"/>
  <c r="G6456" i="6"/>
  <c r="G6455" i="6"/>
  <c r="G6454" i="6"/>
  <c r="G6453" i="6"/>
  <c r="G6446" i="6"/>
  <c r="G6445" i="6"/>
  <c r="G6444" i="6"/>
  <c r="G6441" i="6"/>
  <c r="G6440" i="6"/>
  <c r="G6439" i="6"/>
  <c r="G6435" i="6"/>
  <c r="G6434" i="6"/>
  <c r="G6433" i="6"/>
  <c r="G6432" i="6"/>
  <c r="G6429" i="6"/>
  <c r="G6428" i="6"/>
  <c r="G6427" i="6"/>
  <c r="G6424" i="6"/>
  <c r="G6423" i="6"/>
  <c r="G6422" i="6"/>
  <c r="G6419" i="6"/>
  <c r="G6418" i="6"/>
  <c r="G6417" i="6"/>
  <c r="E6416" i="6"/>
  <c r="G6415" i="6"/>
  <c r="G6414" i="6"/>
  <c r="G6413" i="6"/>
  <c r="G6411" i="6"/>
  <c r="G6410" i="6"/>
  <c r="G6409" i="6"/>
  <c r="G6406" i="6"/>
  <c r="G6405" i="6"/>
  <c r="G6404" i="6"/>
  <c r="G6402" i="6"/>
  <c r="G6401" i="6"/>
  <c r="G6400" i="6"/>
  <c r="G6395" i="6"/>
  <c r="G6394" i="6"/>
  <c r="G6393" i="6"/>
  <c r="G6390" i="6"/>
  <c r="G6389" i="6"/>
  <c r="G6388" i="6"/>
  <c r="G6387" i="6"/>
  <c r="E6386" i="6"/>
  <c r="E6385" i="6"/>
  <c r="G6383" i="6"/>
  <c r="G6382" i="6"/>
  <c r="G6381" i="6"/>
  <c r="E6377" i="6"/>
  <c r="E6376" i="6"/>
  <c r="G6372" i="6"/>
  <c r="E6372" i="6"/>
  <c r="G6368" i="6"/>
  <c r="G6367" i="6"/>
  <c r="G6366" i="6"/>
  <c r="G6354" i="6"/>
  <c r="G6353" i="6"/>
  <c r="G6352" i="6"/>
  <c r="G6348" i="6"/>
  <c r="G6347" i="6"/>
  <c r="G6339" i="6"/>
  <c r="G6338" i="6"/>
  <c r="E6330" i="6"/>
  <c r="G6329" i="6"/>
  <c r="G6328" i="6"/>
  <c r="G6306" i="6"/>
  <c r="G6305" i="6"/>
  <c r="G6304" i="6"/>
  <c r="G6296" i="6"/>
  <c r="G6295" i="6"/>
  <c r="G6294" i="6"/>
  <c r="G6288" i="6"/>
  <c r="G6287" i="6"/>
  <c r="G6280" i="6"/>
  <c r="G6279" i="6"/>
  <c r="G6272" i="6"/>
  <c r="G6271" i="6"/>
  <c r="G6262" i="6"/>
  <c r="G6261" i="6"/>
  <c r="G6260" i="6"/>
  <c r="G6253" i="6"/>
  <c r="G6252" i="6"/>
  <c r="G6251" i="6"/>
  <c r="G6247" i="6"/>
  <c r="G6246" i="6"/>
  <c r="G6245" i="6"/>
  <c r="G6240" i="6"/>
  <c r="G6239" i="6"/>
  <c r="G6233" i="6"/>
  <c r="G6232" i="6"/>
  <c r="E6229" i="6"/>
  <c r="E6228" i="6"/>
  <c r="G6227" i="6"/>
  <c r="G6226" i="6"/>
  <c r="G6220" i="6"/>
  <c r="G6219" i="6"/>
  <c r="G6211" i="6"/>
  <c r="G6210" i="6"/>
  <c r="G6203" i="6"/>
  <c r="G6202" i="6"/>
  <c r="G6198" i="6"/>
  <c r="E6198" i="6"/>
  <c r="G6195" i="6"/>
  <c r="G6194" i="6"/>
  <c r="G6190" i="6"/>
  <c r="G6189" i="6"/>
  <c r="G6185" i="6"/>
  <c r="G6184" i="6"/>
  <c r="G6178" i="6"/>
  <c r="G6177" i="6"/>
  <c r="G6176" i="6"/>
  <c r="E6175" i="6"/>
  <c r="G6175" i="6" s="1"/>
  <c r="G6174" i="6"/>
  <c r="G6171" i="6"/>
  <c r="G6170" i="6"/>
  <c r="G6167" i="6"/>
  <c r="G6166" i="6"/>
  <c r="G6165" i="6"/>
  <c r="E6164" i="6"/>
  <c r="G6164" i="6" s="1"/>
  <c r="G6160" i="6"/>
  <c r="G6159" i="6"/>
  <c r="E6158" i="6"/>
  <c r="E6157" i="6"/>
  <c r="G6156" i="6"/>
  <c r="G6155" i="6"/>
  <c r="G6154" i="6"/>
  <c r="G6152" i="6"/>
  <c r="G6151" i="6"/>
  <c r="G6150" i="6"/>
  <c r="G6148" i="6"/>
  <c r="G6147" i="6"/>
  <c r="G6146" i="6"/>
  <c r="G6144" i="6"/>
  <c r="G6143" i="6"/>
  <c r="G6141" i="6"/>
  <c r="G6140" i="6"/>
  <c r="G6136" i="6"/>
  <c r="G6135" i="6"/>
  <c r="G6134" i="6"/>
  <c r="E6133" i="6"/>
  <c r="G6132" i="6"/>
  <c r="G6131" i="6"/>
  <c r="G6130" i="6"/>
  <c r="G6128" i="6"/>
  <c r="G6127" i="6"/>
  <c r="G6126" i="6"/>
  <c r="G6124" i="6"/>
  <c r="G6123" i="6"/>
  <c r="G6122" i="6"/>
  <c r="G6121" i="6"/>
  <c r="G6120" i="6"/>
  <c r="G6119" i="6"/>
  <c r="G6118" i="6"/>
  <c r="G6116" i="6"/>
  <c r="G6114" i="6"/>
  <c r="G6112" i="6"/>
  <c r="G6111" i="6"/>
  <c r="G6110" i="6"/>
  <c r="G6108" i="6"/>
  <c r="G6107" i="6"/>
  <c r="G6106" i="6"/>
  <c r="G6105" i="6"/>
  <c r="G6104" i="6"/>
  <c r="G6103" i="6"/>
  <c r="G6102" i="6"/>
  <c r="G6100" i="6"/>
  <c r="G6098" i="6"/>
  <c r="G6096" i="6"/>
  <c r="G6095" i="6"/>
  <c r="G6094" i="6"/>
  <c r="G6092" i="6"/>
  <c r="G6091" i="6"/>
  <c r="G6090" i="6"/>
  <c r="G6088" i="6"/>
  <c r="G6087" i="6"/>
  <c r="G6086" i="6"/>
  <c r="G6084" i="6"/>
  <c r="G6083" i="6"/>
  <c r="G6082" i="6"/>
  <c r="G6081" i="6"/>
  <c r="G6080" i="6"/>
  <c r="G6079" i="6"/>
  <c r="G6078" i="6"/>
  <c r="G6076" i="6"/>
  <c r="G6074" i="6"/>
  <c r="G6073" i="6"/>
  <c r="G6072" i="6"/>
  <c r="G6071" i="6"/>
  <c r="G6070" i="6"/>
  <c r="G6068" i="6"/>
  <c r="G6067" i="6"/>
  <c r="G6066" i="6"/>
  <c r="G6064" i="6"/>
  <c r="G6063" i="6"/>
  <c r="G6062" i="6"/>
  <c r="G6060" i="6"/>
  <c r="G6059" i="6"/>
  <c r="G6058" i="6"/>
  <c r="G6057" i="6"/>
  <c r="G6056" i="6"/>
  <c r="G6055" i="6"/>
  <c r="G6054" i="6"/>
  <c r="G6052" i="6"/>
  <c r="G6051" i="6"/>
  <c r="G6050" i="6"/>
  <c r="G6049" i="6"/>
  <c r="G6048" i="6"/>
  <c r="G6047" i="6"/>
  <c r="G6046" i="6"/>
  <c r="G6044" i="6"/>
  <c r="G6042" i="6"/>
  <c r="G6040" i="6"/>
  <c r="G6039" i="6"/>
  <c r="G6038" i="6"/>
  <c r="G6036" i="6"/>
  <c r="G6035" i="6"/>
  <c r="G6034" i="6"/>
  <c r="G6033" i="6"/>
  <c r="G6032" i="6"/>
  <c r="G6031" i="6"/>
  <c r="G6030" i="6"/>
  <c r="G6029" i="6"/>
  <c r="G6028" i="6"/>
  <c r="G6027" i="6"/>
  <c r="G6026" i="6"/>
  <c r="G6025" i="6"/>
  <c r="G6024" i="6"/>
  <c r="G6023" i="6"/>
  <c r="G6022" i="6"/>
  <c r="G6020" i="6"/>
  <c r="G6019" i="6"/>
  <c r="G6018" i="6"/>
  <c r="G6017" i="6"/>
  <c r="G6016" i="6"/>
  <c r="G6015" i="6"/>
  <c r="G6014" i="6"/>
  <c r="G6013" i="6"/>
  <c r="G6012" i="6"/>
  <c r="G6011" i="6"/>
  <c r="G6010" i="6"/>
  <c r="G6009" i="6"/>
  <c r="G6008" i="6"/>
  <c r="G6007" i="6"/>
  <c r="G6006" i="6"/>
  <c r="G6004" i="6"/>
  <c r="G6003" i="6"/>
  <c r="G6002" i="6"/>
  <c r="G6001" i="6"/>
  <c r="G6000" i="6"/>
  <c r="G5999" i="6"/>
  <c r="G5998" i="6"/>
  <c r="G5996" i="6"/>
  <c r="G5994" i="6"/>
  <c r="G5992" i="6"/>
  <c r="G5991" i="6"/>
  <c r="G5990" i="6"/>
  <c r="G5988" i="6"/>
  <c r="G5987" i="6"/>
  <c r="G5986" i="6"/>
  <c r="G5984" i="6"/>
  <c r="G5983" i="6"/>
  <c r="G5982" i="6"/>
  <c r="G5980" i="6"/>
  <c r="G5979" i="6"/>
  <c r="G5978" i="6"/>
  <c r="G5976" i="6"/>
  <c r="G5975" i="6"/>
  <c r="G5974" i="6"/>
  <c r="G5972" i="6"/>
  <c r="G5971" i="6"/>
  <c r="G5970" i="6"/>
  <c r="G5968" i="6"/>
  <c r="G5967" i="6"/>
  <c r="G5966" i="6"/>
  <c r="G5964" i="6"/>
  <c r="G5962" i="6"/>
  <c r="G5960" i="6"/>
  <c r="G5959" i="6"/>
  <c r="G5958" i="6"/>
  <c r="G5956" i="6"/>
  <c r="G5955" i="6"/>
  <c r="G5954" i="6"/>
  <c r="G5953" i="6"/>
  <c r="G5952" i="6"/>
  <c r="G5951" i="6"/>
  <c r="G5950" i="6"/>
  <c r="G5948" i="6"/>
  <c r="G5946" i="6"/>
  <c r="G5944" i="6"/>
  <c r="G5943" i="6"/>
  <c r="G5942" i="6"/>
  <c r="G5940" i="6"/>
  <c r="G5939" i="6"/>
  <c r="G5938" i="6"/>
  <c r="G5937" i="6"/>
  <c r="G5936" i="6"/>
  <c r="G5935" i="6"/>
  <c r="G5934" i="6"/>
  <c r="G5932" i="6"/>
  <c r="G5930" i="6"/>
  <c r="G5928" i="6"/>
  <c r="G5927" i="6"/>
  <c r="G5926" i="6"/>
  <c r="G5924" i="6"/>
  <c r="G5923" i="6"/>
  <c r="G5922" i="6"/>
  <c r="G5920" i="6"/>
  <c r="G5919" i="6"/>
  <c r="G5918" i="6"/>
  <c r="G5916" i="6"/>
  <c r="G5915" i="6"/>
  <c r="G5914" i="6"/>
  <c r="G5912" i="6"/>
  <c r="G5911" i="6"/>
  <c r="G5910" i="6"/>
  <c r="G5908" i="6"/>
  <c r="G5907" i="6"/>
  <c r="G5906" i="6"/>
  <c r="G5904" i="6"/>
  <c r="G5903" i="6"/>
  <c r="G5902" i="6"/>
  <c r="G5900" i="6"/>
  <c r="G5898" i="6"/>
  <c r="G5896" i="6"/>
  <c r="G5895" i="6"/>
  <c r="G5894" i="6"/>
  <c r="G5892" i="6"/>
  <c r="G5891" i="6"/>
  <c r="G5890" i="6"/>
  <c r="G5889" i="6"/>
  <c r="G5888" i="6"/>
  <c r="G5887" i="6"/>
  <c r="G5886" i="6"/>
  <c r="G5884" i="6"/>
  <c r="G5882" i="6"/>
  <c r="G5880" i="6"/>
  <c r="G5879" i="6"/>
  <c r="G5878" i="6"/>
  <c r="G5876" i="6"/>
  <c r="G5875" i="6"/>
  <c r="G5874" i="6"/>
  <c r="G5873" i="6"/>
  <c r="G5872" i="6"/>
  <c r="G5871" i="6"/>
  <c r="G5870" i="6"/>
  <c r="G5868" i="6"/>
  <c r="G5866" i="6"/>
  <c r="G5864" i="6"/>
  <c r="G5863" i="6"/>
  <c r="G5862" i="6"/>
  <c r="G5860" i="6"/>
  <c r="G5859" i="6"/>
  <c r="G5858" i="6"/>
  <c r="G5856" i="6"/>
  <c r="G5855" i="6"/>
  <c r="G5854" i="6"/>
  <c r="G5852" i="6"/>
  <c r="G5851" i="6"/>
  <c r="G5850" i="6"/>
  <c r="G5848" i="6"/>
  <c r="G5847" i="6"/>
  <c r="G5846" i="6"/>
  <c r="G5844" i="6"/>
  <c r="G5843" i="6"/>
  <c r="G5842" i="6"/>
  <c r="G5840" i="6"/>
  <c r="G5839" i="6"/>
  <c r="G5838" i="6"/>
  <c r="G5836" i="6"/>
  <c r="G5834" i="6"/>
  <c r="G5832" i="6"/>
  <c r="G5831" i="6"/>
  <c r="G5830" i="6"/>
  <c r="G5828" i="6"/>
  <c r="G5827" i="6"/>
  <c r="G5826" i="6"/>
  <c r="G5825" i="6"/>
  <c r="G5824" i="6"/>
  <c r="G5823" i="6"/>
  <c r="G5822" i="6"/>
  <c r="G5820" i="6"/>
  <c r="G5818" i="6"/>
  <c r="G5816" i="6"/>
  <c r="G5815" i="6"/>
  <c r="G5814" i="6"/>
  <c r="G5812" i="6"/>
  <c r="G5811" i="6"/>
  <c r="G5810" i="6"/>
  <c r="G5809" i="6"/>
  <c r="G5808" i="6"/>
  <c r="G5807" i="6"/>
  <c r="G5806" i="6"/>
  <c r="G5804" i="6"/>
  <c r="G5802" i="6"/>
  <c r="G5800" i="6"/>
  <c r="G5799" i="6"/>
  <c r="G5798" i="6"/>
  <c r="G5796" i="6"/>
  <c r="G5795" i="6"/>
  <c r="G5794" i="6"/>
  <c r="G5792" i="6"/>
  <c r="G5791" i="6"/>
  <c r="G5790" i="6"/>
  <c r="G5788" i="6"/>
  <c r="G5787" i="6"/>
  <c r="G5786" i="6"/>
  <c r="G5784" i="6"/>
  <c r="G5783" i="6"/>
  <c r="G5782" i="6"/>
  <c r="G5780" i="6"/>
  <c r="G5779" i="6"/>
  <c r="G5778" i="6"/>
  <c r="G5776" i="6"/>
  <c r="G5775" i="6"/>
  <c r="G5774" i="6"/>
  <c r="G5772" i="6"/>
  <c r="G5770" i="6"/>
  <c r="G5768" i="6"/>
  <c r="G5767" i="6"/>
  <c r="G5766" i="6"/>
  <c r="G5764" i="6"/>
  <c r="G5763" i="6"/>
  <c r="G5762" i="6"/>
  <c r="G5761" i="6"/>
  <c r="G5760" i="6"/>
  <c r="G5759" i="6"/>
  <c r="G5758" i="6"/>
  <c r="G5756" i="6"/>
  <c r="G5754" i="6"/>
  <c r="G5753" i="6"/>
  <c r="G5752" i="6"/>
  <c r="G5751" i="6"/>
  <c r="G5750" i="6"/>
  <c r="G5749" i="6"/>
  <c r="G5748" i="6"/>
  <c r="G5747" i="6"/>
  <c r="G5746" i="6"/>
  <c r="G5745" i="6"/>
  <c r="G5744" i="6"/>
  <c r="G5743" i="6"/>
  <c r="G5742" i="6"/>
  <c r="G5741" i="6"/>
  <c r="G5740" i="6"/>
  <c r="G5739" i="6"/>
  <c r="G5738" i="6"/>
  <c r="G5737" i="6"/>
  <c r="G5736" i="6"/>
  <c r="G5735" i="6"/>
  <c r="G5734" i="6"/>
  <c r="G5733" i="6"/>
  <c r="G5732" i="6"/>
  <c r="G5731" i="6"/>
  <c r="G5730" i="6"/>
  <c r="G5729" i="6"/>
  <c r="G5728" i="6"/>
  <c r="G5727" i="6"/>
  <c r="G5726" i="6"/>
  <c r="G5725" i="6"/>
  <c r="G5724" i="6"/>
  <c r="G5723" i="6"/>
  <c r="G5722" i="6"/>
  <c r="G5721" i="6"/>
  <c r="G5720" i="6"/>
  <c r="G5719" i="6"/>
  <c r="G5718" i="6"/>
  <c r="G5717" i="6"/>
  <c r="G5716" i="6"/>
  <c r="G5715" i="6"/>
  <c r="G5714" i="6"/>
  <c r="G5712" i="6"/>
  <c r="G5711" i="6"/>
  <c r="G5710" i="6"/>
  <c r="G5708" i="6"/>
  <c r="G5707" i="6"/>
  <c r="G5706" i="6"/>
  <c r="G5705" i="6"/>
  <c r="G5704" i="6"/>
  <c r="G5703" i="6"/>
  <c r="G5702" i="6"/>
  <c r="G5701" i="6"/>
  <c r="G5700" i="6"/>
  <c r="G5699" i="6"/>
  <c r="G5698" i="6"/>
  <c r="G5696" i="6"/>
  <c r="G5695" i="6"/>
  <c r="G5694" i="6"/>
  <c r="G5692" i="6"/>
  <c r="G5691" i="6"/>
  <c r="G5690" i="6"/>
  <c r="G5689" i="6"/>
  <c r="G5688" i="6"/>
  <c r="G5687" i="6"/>
  <c r="G5686" i="6"/>
  <c r="G5685" i="6"/>
  <c r="G5684" i="6"/>
  <c r="G5683" i="6"/>
  <c r="G5682" i="6"/>
  <c r="G5680" i="6"/>
  <c r="G5679" i="6"/>
  <c r="G5678" i="6"/>
  <c r="G5676" i="6"/>
  <c r="G5675" i="6"/>
  <c r="G5674" i="6"/>
  <c r="G5673" i="6"/>
  <c r="G5672" i="6"/>
  <c r="G5671" i="6"/>
  <c r="G5670" i="6"/>
  <c r="G5669" i="6"/>
  <c r="G5668" i="6"/>
  <c r="G5667" i="6"/>
  <c r="G5666" i="6"/>
  <c r="G5664" i="6"/>
  <c r="G5663" i="6"/>
  <c r="G5662" i="6"/>
  <c r="G5660" i="6"/>
  <c r="G5659" i="6"/>
  <c r="G5658" i="6"/>
  <c r="G5657" i="6"/>
  <c r="G5656" i="6"/>
  <c r="G5655" i="6"/>
  <c r="G5654" i="6"/>
  <c r="G5653" i="6"/>
  <c r="G5652" i="6"/>
  <c r="G5651" i="6"/>
  <c r="G5650" i="6"/>
  <c r="G5648" i="6"/>
  <c r="G5647" i="6"/>
  <c r="G5646" i="6"/>
  <c r="G5644" i="6"/>
  <c r="G5643" i="6"/>
  <c r="G5642" i="6"/>
  <c r="G5641" i="6"/>
  <c r="G5640" i="6"/>
  <c r="G5639" i="6"/>
  <c r="G5638" i="6"/>
  <c r="G5637" i="6"/>
  <c r="G5636" i="6"/>
  <c r="G5635" i="6"/>
  <c r="G5634" i="6"/>
  <c r="G5632" i="6"/>
  <c r="G5631" i="6"/>
  <c r="G5630" i="6"/>
  <c r="G5628" i="6"/>
  <c r="G5627" i="6"/>
  <c r="G5626" i="6"/>
  <c r="G5625" i="6"/>
  <c r="G5624" i="6"/>
  <c r="G5623" i="6"/>
  <c r="G5622" i="6"/>
  <c r="G5621" i="6"/>
  <c r="G5620" i="6"/>
  <c r="G5619" i="6"/>
  <c r="G5618" i="6"/>
  <c r="G5616" i="6"/>
  <c r="G5615" i="6"/>
  <c r="G5614" i="6"/>
  <c r="G5613" i="6"/>
  <c r="G5612" i="6"/>
  <c r="G5610" i="6"/>
  <c r="G5609" i="6"/>
  <c r="G5608" i="6"/>
  <c r="G5607" i="6"/>
  <c r="G5606" i="6"/>
  <c r="G5604" i="6"/>
  <c r="G5603" i="6"/>
  <c r="G5602" i="6"/>
  <c r="G5601" i="6"/>
  <c r="G5600" i="6"/>
  <c r="G5598" i="6"/>
  <c r="G5597" i="6"/>
  <c r="G5596" i="6"/>
  <c r="G5595" i="6"/>
  <c r="G5594" i="6"/>
  <c r="G5592" i="6"/>
  <c r="G5591" i="6"/>
  <c r="G5590" i="6"/>
  <c r="G5589" i="6"/>
  <c r="G5588" i="6"/>
  <c r="G5586" i="6"/>
  <c r="G5585" i="6"/>
  <c r="G5584" i="6"/>
  <c r="G5583" i="6"/>
  <c r="G5582" i="6"/>
  <c r="G5580" i="6"/>
  <c r="G5579" i="6"/>
  <c r="G5578" i="6"/>
  <c r="G5577" i="6"/>
  <c r="G5576" i="6"/>
  <c r="G5574" i="6"/>
  <c r="G5573" i="6"/>
  <c r="G5572" i="6"/>
  <c r="G5571" i="6"/>
  <c r="G5570" i="6"/>
  <c r="G5568" i="6"/>
  <c r="G5567" i="6"/>
  <c r="G5566" i="6"/>
  <c r="G5565" i="6"/>
  <c r="G5564" i="6"/>
  <c r="E5563" i="6"/>
  <c r="G5562" i="6"/>
  <c r="G5561" i="6"/>
  <c r="G5560" i="6"/>
  <c r="G5559" i="6"/>
  <c r="G5558" i="6"/>
  <c r="G5556" i="6"/>
  <c r="G5555" i="6"/>
  <c r="G5554" i="6"/>
  <c r="G5553" i="6"/>
  <c r="G5552" i="6"/>
  <c r="G5550" i="6"/>
  <c r="G5549" i="6"/>
  <c r="G5548" i="6"/>
  <c r="G5547" i="6"/>
  <c r="G5546" i="6"/>
  <c r="G5544" i="6"/>
  <c r="G5543" i="6"/>
  <c r="G5542" i="6"/>
  <c r="G5541" i="6"/>
  <c r="G5540" i="6"/>
  <c r="G5538" i="6"/>
  <c r="G5537" i="6"/>
  <c r="G5536" i="6"/>
  <c r="G5535" i="6"/>
  <c r="G5534" i="6"/>
  <c r="G5532" i="6"/>
  <c r="G5531" i="6"/>
  <c r="G5530" i="6"/>
  <c r="G5529" i="6"/>
  <c r="G5528" i="6"/>
  <c r="G5526" i="6"/>
  <c r="G5525" i="6"/>
  <c r="G5524" i="6"/>
  <c r="G5523" i="6"/>
  <c r="G5522" i="6"/>
  <c r="G5520" i="6"/>
  <c r="G5519" i="6"/>
  <c r="G5518" i="6"/>
  <c r="G5517" i="6"/>
  <c r="G5516" i="6"/>
  <c r="G5514" i="6"/>
  <c r="G5513" i="6"/>
  <c r="G5512" i="6"/>
  <c r="G5511" i="6"/>
  <c r="G5510" i="6"/>
  <c r="G5508" i="6"/>
  <c r="G5507" i="6"/>
  <c r="G5506" i="6"/>
  <c r="G5505" i="6"/>
  <c r="G5504" i="6"/>
  <c r="G5502" i="6"/>
  <c r="G5501" i="6"/>
  <c r="G5500" i="6"/>
  <c r="G5499" i="6"/>
  <c r="G5498" i="6"/>
  <c r="G5496" i="6"/>
  <c r="G5495" i="6"/>
  <c r="G5494" i="6"/>
  <c r="G5492" i="6"/>
  <c r="G5491" i="6"/>
  <c r="G5490" i="6"/>
  <c r="G5487" i="6"/>
  <c r="G5485" i="6"/>
  <c r="G5484" i="6"/>
  <c r="G5483" i="6"/>
  <c r="G5481" i="6"/>
  <c r="G5480" i="6"/>
  <c r="G5479" i="6"/>
  <c r="G5478" i="6"/>
  <c r="G5475" i="6"/>
  <c r="G5474" i="6"/>
  <c r="G5473" i="6"/>
  <c r="G5470" i="6"/>
  <c r="G5469" i="6"/>
  <c r="G5468" i="6"/>
  <c r="G5467" i="6"/>
  <c r="G5464" i="6"/>
  <c r="G5463" i="6"/>
  <c r="G5461" i="6"/>
  <c r="G5460" i="6"/>
  <c r="G5459" i="6"/>
  <c r="G5456" i="6"/>
  <c r="G5455" i="6"/>
  <c r="G5454" i="6"/>
  <c r="G5451" i="6"/>
  <c r="G5450" i="6"/>
  <c r="G5449" i="6"/>
  <c r="G5448" i="6"/>
  <c r="G5445" i="6"/>
  <c r="G5444" i="6"/>
  <c r="G5443" i="6"/>
  <c r="G5442" i="6"/>
  <c r="E5439" i="6"/>
  <c r="E5438" i="6"/>
  <c r="E5437" i="6"/>
  <c r="E5436" i="6"/>
  <c r="E5435" i="6"/>
  <c r="E5434" i="6"/>
  <c r="E5433" i="6"/>
  <c r="G5432" i="6"/>
  <c r="G5430" i="6"/>
  <c r="E5429" i="6"/>
  <c r="E5428" i="6"/>
  <c r="E5427" i="6"/>
  <c r="E5426" i="6"/>
  <c r="E5425" i="6"/>
  <c r="E5424" i="6"/>
  <c r="E5423" i="6"/>
  <c r="G5422" i="6"/>
  <c r="G5421" i="6"/>
  <c r="G5420" i="6"/>
  <c r="E5419" i="6"/>
  <c r="E5418" i="6"/>
  <c r="G5415" i="6"/>
  <c r="G5414" i="6"/>
  <c r="G5413" i="6"/>
  <c r="G5410" i="6"/>
  <c r="G5407" i="6"/>
  <c r="G5406" i="6"/>
  <c r="G5405" i="6"/>
  <c r="G5399" i="6"/>
  <c r="G5397" i="6"/>
  <c r="G5394" i="6"/>
  <c r="G5393" i="6"/>
  <c r="G5392" i="6"/>
  <c r="G5391" i="6"/>
  <c r="G5390" i="6"/>
  <c r="G5389" i="6"/>
  <c r="G5388" i="6"/>
  <c r="G5385" i="6"/>
  <c r="G5384" i="6"/>
  <c r="G5383" i="6"/>
  <c r="G5382" i="6"/>
  <c r="G5379" i="6"/>
  <c r="G5378" i="6"/>
  <c r="G5377" i="6"/>
  <c r="G5376" i="6"/>
  <c r="G5375" i="6"/>
  <c r="E5374" i="6"/>
  <c r="E5373" i="6"/>
  <c r="G5372" i="6"/>
  <c r="G5371" i="6"/>
  <c r="G5370" i="6"/>
  <c r="G5366" i="6"/>
  <c r="G5365" i="6"/>
  <c r="G5364" i="6"/>
  <c r="G5361" i="6"/>
  <c r="G5360" i="6"/>
  <c r="G5359" i="6"/>
  <c r="G5358" i="6"/>
  <c r="G5357" i="6"/>
  <c r="G5356" i="6"/>
  <c r="G5353" i="6"/>
  <c r="G5352" i="6"/>
  <c r="G5351" i="6"/>
  <c r="G5350" i="6"/>
  <c r="G5349" i="6"/>
  <c r="G5346" i="6"/>
  <c r="G5345" i="6"/>
  <c r="G5344" i="6"/>
  <c r="G5343" i="6"/>
  <c r="G5339" i="6"/>
  <c r="G5338" i="6"/>
  <c r="G5337" i="6"/>
  <c r="G5334" i="6"/>
  <c r="G5333" i="6"/>
  <c r="G5332" i="6"/>
  <c r="G5331" i="6"/>
  <c r="G5328" i="6"/>
  <c r="G5327" i="6"/>
  <c r="G5326" i="6"/>
  <c r="G5325" i="6"/>
  <c r="G5322" i="6"/>
  <c r="G5321" i="6"/>
  <c r="G5319" i="6"/>
  <c r="G5316" i="6"/>
  <c r="G5315" i="6"/>
  <c r="G5314" i="6"/>
  <c r="G5313" i="6"/>
  <c r="G5310" i="6"/>
  <c r="G5309" i="6"/>
  <c r="G5308" i="6"/>
  <c r="G5307" i="6"/>
  <c r="G5303" i="6"/>
  <c r="G5302" i="6"/>
  <c r="G5301" i="6"/>
  <c r="G5298" i="6"/>
  <c r="G5297" i="6"/>
  <c r="G5295" i="6"/>
  <c r="G5290" i="6"/>
  <c r="G5289" i="6"/>
  <c r="G5288" i="6"/>
  <c r="G5284" i="6"/>
  <c r="G5283" i="6"/>
  <c r="G5282" i="6"/>
  <c r="G5281" i="6"/>
  <c r="G5276" i="6"/>
  <c r="G5275" i="6"/>
  <c r="G5274" i="6"/>
  <c r="E5273" i="6"/>
  <c r="E5272" i="6"/>
  <c r="E5271" i="6"/>
  <c r="E5270" i="6"/>
  <c r="E5269" i="6"/>
  <c r="E5268" i="6"/>
  <c r="E5267" i="6"/>
  <c r="E5266" i="6"/>
  <c r="E5265" i="6"/>
  <c r="G5264" i="6"/>
  <c r="G5263" i="6"/>
  <c r="G5262" i="6"/>
  <c r="G5258" i="6"/>
  <c r="G5257" i="6"/>
  <c r="G5256" i="6"/>
  <c r="G5255" i="6"/>
  <c r="G5252" i="6"/>
  <c r="G5251" i="6"/>
  <c r="G5250" i="6"/>
  <c r="G5249" i="6"/>
  <c r="G5246" i="6"/>
  <c r="G5245" i="6"/>
  <c r="G5244" i="6"/>
  <c r="G5243" i="6"/>
  <c r="G5240" i="6"/>
  <c r="G5238" i="6"/>
  <c r="G5237" i="6"/>
  <c r="G5236" i="6"/>
  <c r="G5231" i="6"/>
  <c r="G5229" i="6"/>
  <c r="G5228" i="6"/>
  <c r="E5226" i="6"/>
  <c r="E5225" i="6"/>
  <c r="E5224" i="6"/>
  <c r="G5223" i="6"/>
  <c r="E5222" i="6"/>
  <c r="E5221" i="6"/>
  <c r="E5220" i="6"/>
  <c r="G5219" i="6"/>
  <c r="E5219" i="6"/>
  <c r="E5218" i="6"/>
  <c r="E5217" i="6"/>
  <c r="G5216" i="6"/>
  <c r="G5214" i="6"/>
  <c r="G5213" i="6"/>
  <c r="G5212" i="6"/>
  <c r="E5211" i="6"/>
  <c r="E5210" i="6"/>
  <c r="E5209" i="6"/>
  <c r="G5208" i="6"/>
  <c r="E5207" i="6"/>
  <c r="E5206" i="6"/>
  <c r="E5205" i="6"/>
  <c r="E5204" i="6"/>
  <c r="E5203" i="6"/>
  <c r="E5202" i="6"/>
  <c r="G5201" i="6"/>
  <c r="G5200" i="6"/>
  <c r="G5199" i="6"/>
  <c r="E5198" i="6"/>
  <c r="E5197" i="6"/>
  <c r="E5196" i="6"/>
  <c r="G5195" i="6"/>
  <c r="E5194" i="6"/>
  <c r="G5193" i="6"/>
  <c r="G5192" i="6"/>
  <c r="G5191" i="6"/>
  <c r="E5190" i="6"/>
  <c r="E5189" i="6"/>
  <c r="E5188" i="6"/>
  <c r="G5187" i="6"/>
  <c r="E5186" i="6"/>
  <c r="G5185" i="6"/>
  <c r="G5184" i="6"/>
  <c r="G5183" i="6"/>
  <c r="G5179" i="6"/>
  <c r="G5177" i="6"/>
  <c r="G5175" i="6"/>
  <c r="E5174" i="6"/>
  <c r="E5173" i="6"/>
  <c r="G5172" i="6"/>
  <c r="G5171" i="6"/>
  <c r="G5170" i="6"/>
  <c r="G5169" i="6"/>
  <c r="E5168" i="6"/>
  <c r="E5167" i="6"/>
  <c r="E5166" i="6"/>
  <c r="G5165" i="6"/>
  <c r="E5164" i="6"/>
  <c r="G5163" i="6"/>
  <c r="G5162" i="6"/>
  <c r="G5161" i="6"/>
  <c r="G5158" i="6"/>
  <c r="G5157" i="6"/>
  <c r="G5156" i="6"/>
  <c r="G5155" i="6"/>
  <c r="E5154" i="6"/>
  <c r="E5153" i="6"/>
  <c r="E5152" i="6"/>
  <c r="G5151" i="6"/>
  <c r="E5150" i="6"/>
  <c r="G5149" i="6"/>
  <c r="G5148" i="6"/>
  <c r="G5147" i="6"/>
  <c r="E5146" i="6"/>
  <c r="E5145" i="6"/>
  <c r="E5144" i="6"/>
  <c r="G5143" i="6"/>
  <c r="E5142" i="6"/>
  <c r="G5141" i="6"/>
  <c r="G5140" i="6"/>
  <c r="G5139" i="6"/>
  <c r="E5138" i="6"/>
  <c r="E5137" i="6"/>
  <c r="E5136" i="6"/>
  <c r="G5135" i="6"/>
  <c r="E5134" i="6"/>
  <c r="G5134" i="6" s="1"/>
  <c r="G5133" i="6"/>
  <c r="G5132" i="6"/>
  <c r="G5131" i="6"/>
  <c r="E5130" i="6"/>
  <c r="E5129" i="6"/>
  <c r="E5128" i="6"/>
  <c r="G5127" i="6"/>
  <c r="G5126" i="6"/>
  <c r="E5126" i="6"/>
  <c r="G5125" i="6"/>
  <c r="G5124" i="6"/>
  <c r="G5123" i="6"/>
  <c r="G5122" i="6"/>
  <c r="G5119" i="6"/>
  <c r="G5117" i="6"/>
  <c r="G5113" i="6"/>
  <c r="E5112" i="6"/>
  <c r="E5111" i="6"/>
  <c r="E5110" i="6"/>
  <c r="E5109" i="6"/>
  <c r="G5108" i="6"/>
  <c r="G5107" i="6"/>
  <c r="G5106" i="6"/>
  <c r="E5105" i="6"/>
  <c r="E5104" i="6"/>
  <c r="G5103" i="6"/>
  <c r="E5103" i="6"/>
  <c r="E5102" i="6"/>
  <c r="G5101" i="6"/>
  <c r="G5100" i="6"/>
  <c r="G5099" i="6"/>
  <c r="G5094" i="6"/>
  <c r="G5093" i="6"/>
  <c r="G5092" i="6"/>
  <c r="G5088" i="6"/>
  <c r="G5087" i="6"/>
  <c r="G5086" i="6"/>
  <c r="G5083" i="6"/>
  <c r="G5082" i="6"/>
  <c r="G5081" i="6"/>
  <c r="G5080" i="6"/>
  <c r="G5077" i="6"/>
  <c r="G5076" i="6"/>
  <c r="G5075" i="6"/>
  <c r="G5074" i="6"/>
  <c r="G5071" i="6"/>
  <c r="G5070" i="6"/>
  <c r="G5068" i="6"/>
  <c r="E5067" i="6"/>
  <c r="G5062" i="6"/>
  <c r="G5061" i="6"/>
  <c r="G5060" i="6"/>
  <c r="G5056" i="6"/>
  <c r="G5055" i="6"/>
  <c r="G5054" i="6"/>
  <c r="G5053" i="6"/>
  <c r="G5052" i="6"/>
  <c r="E5051" i="6"/>
  <c r="G5048" i="6"/>
  <c r="G5047" i="6"/>
  <c r="G5046" i="6"/>
  <c r="G5040" i="6"/>
  <c r="G5038" i="6"/>
  <c r="G5034" i="6"/>
  <c r="G5033" i="6"/>
  <c r="G5032" i="6"/>
  <c r="G5028" i="6"/>
  <c r="G5027" i="6"/>
  <c r="G5026" i="6"/>
  <c r="G5024" i="6"/>
  <c r="G5023" i="6"/>
  <c r="G5022" i="6"/>
  <c r="G5018" i="6"/>
  <c r="G5017" i="6"/>
  <c r="G5016" i="6"/>
  <c r="G5011" i="6"/>
  <c r="G5010" i="6"/>
  <c r="G5009" i="6"/>
  <c r="G5008" i="6"/>
  <c r="G5005" i="6"/>
  <c r="G5004" i="6"/>
  <c r="G5003" i="6"/>
  <c r="E5002" i="6"/>
  <c r="E5001" i="6"/>
  <c r="E5000" i="6"/>
  <c r="E4999" i="6"/>
  <c r="G4998" i="6"/>
  <c r="G4997" i="6"/>
  <c r="G4996" i="6"/>
  <c r="E4995" i="6"/>
  <c r="E4994" i="6"/>
  <c r="G4992" i="6"/>
  <c r="G4990" i="6"/>
  <c r="E4989" i="6"/>
  <c r="E4988" i="6"/>
  <c r="G4986" i="6"/>
  <c r="G4985" i="6"/>
  <c r="G4984" i="6"/>
  <c r="E4983" i="6"/>
  <c r="E4982" i="6"/>
  <c r="G4980" i="6"/>
  <c r="G4979" i="6"/>
  <c r="G4978" i="6"/>
  <c r="E4977" i="6"/>
  <c r="E4976" i="6"/>
  <c r="G4974" i="6"/>
  <c r="G4973" i="6"/>
  <c r="G4972" i="6"/>
  <c r="G4970" i="6"/>
  <c r="G4969" i="6"/>
  <c r="G4968" i="6"/>
  <c r="G4967" i="6"/>
  <c r="E4966" i="6"/>
  <c r="E4965" i="6"/>
  <c r="G4964" i="6"/>
  <c r="G4962" i="6"/>
  <c r="G4961" i="6"/>
  <c r="G4960" i="6"/>
  <c r="E4959" i="6"/>
  <c r="E4958" i="6"/>
  <c r="G4957" i="6"/>
  <c r="G4956" i="6"/>
  <c r="G4955" i="6"/>
  <c r="G4954" i="6"/>
  <c r="G4953" i="6"/>
  <c r="G4948" i="6"/>
  <c r="G4947" i="6"/>
  <c r="G4946" i="6"/>
  <c r="G4943" i="6"/>
  <c r="G4942" i="6"/>
  <c r="G4941" i="6"/>
  <c r="G4940" i="6"/>
  <c r="G4939" i="6"/>
  <c r="G4938" i="6"/>
  <c r="G4936" i="6"/>
  <c r="G4935" i="6"/>
  <c r="G4934" i="6"/>
  <c r="G4931" i="6"/>
  <c r="G4929" i="6"/>
  <c r="G4928" i="6"/>
  <c r="G4927" i="6"/>
  <c r="G4924" i="6"/>
  <c r="G4922" i="6"/>
  <c r="G4921" i="6"/>
  <c r="G4920" i="6"/>
  <c r="G4917" i="6"/>
  <c r="G4915" i="6"/>
  <c r="G4914" i="6"/>
  <c r="G4913" i="6"/>
  <c r="G4910" i="6"/>
  <c r="G4908" i="6"/>
  <c r="G4907" i="6"/>
  <c r="G4906" i="6"/>
  <c r="G4902" i="6"/>
  <c r="G4901" i="6"/>
  <c r="G4900" i="6"/>
  <c r="G4899" i="6"/>
  <c r="G4893" i="6"/>
  <c r="G4892" i="6"/>
  <c r="G4891" i="6"/>
  <c r="G4890" i="6"/>
  <c r="G4886" i="6"/>
  <c r="G4884" i="6"/>
  <c r="G4883" i="6"/>
  <c r="G4882" i="6"/>
  <c r="G4881" i="6"/>
  <c r="G4880" i="6"/>
  <c r="G4874" i="6"/>
  <c r="G4873" i="6"/>
  <c r="G4872" i="6"/>
  <c r="G4866" i="6"/>
  <c r="G4865" i="6"/>
  <c r="G4864" i="6"/>
  <c r="G4858" i="6"/>
  <c r="G4857" i="6"/>
  <c r="G4856" i="6"/>
  <c r="G4850" i="6"/>
  <c r="G4849" i="6"/>
  <c r="G4848" i="6"/>
  <c r="G4842" i="6"/>
  <c r="G4841" i="6"/>
  <c r="G4840" i="6"/>
  <c r="G4834" i="6"/>
  <c r="G4833" i="6"/>
  <c r="G4832" i="6"/>
  <c r="G4826" i="6"/>
  <c r="G4825" i="6"/>
  <c r="G4823" i="6"/>
  <c r="G4818" i="6"/>
  <c r="G4817" i="6"/>
  <c r="G4816" i="6"/>
  <c r="G4815" i="6"/>
  <c r="G4813" i="6"/>
  <c r="G4812" i="6"/>
  <c r="G4811" i="6"/>
  <c r="G4810" i="6"/>
  <c r="G4808" i="6"/>
  <c r="G4807" i="6"/>
  <c r="G4806" i="6"/>
  <c r="G4805" i="6"/>
  <c r="G4803" i="6"/>
  <c r="G4802" i="6"/>
  <c r="G4801" i="6"/>
  <c r="E4797" i="6"/>
  <c r="E4796" i="6"/>
  <c r="E4794" i="6"/>
  <c r="G4793" i="6"/>
  <c r="G4792" i="6"/>
  <c r="G4791" i="6"/>
  <c r="G4788" i="6"/>
  <c r="E4787" i="6"/>
  <c r="E4786" i="6"/>
  <c r="G4784" i="6"/>
  <c r="E4784" i="6"/>
  <c r="G4783" i="6"/>
  <c r="G4782" i="6"/>
  <c r="G4781" i="6"/>
  <c r="G4778" i="6"/>
  <c r="G4777" i="6"/>
  <c r="G4776" i="6"/>
  <c r="E4775" i="6"/>
  <c r="G4775" i="6" s="1"/>
  <c r="G4771" i="6"/>
  <c r="G4770" i="6"/>
  <c r="G4767" i="6"/>
  <c r="G4766" i="6"/>
  <c r="G4765" i="6"/>
  <c r="G4763" i="6"/>
  <c r="G4762" i="6"/>
  <c r="G4761" i="6"/>
  <c r="G4759" i="6"/>
  <c r="G4758" i="6"/>
  <c r="G4757" i="6"/>
  <c r="G4755" i="6"/>
  <c r="G4754" i="6"/>
  <c r="G4753" i="6"/>
  <c r="G4752" i="6"/>
  <c r="G4751" i="6"/>
  <c r="G4750" i="6"/>
  <c r="G4749" i="6"/>
  <c r="G4747" i="6"/>
  <c r="G4746" i="6"/>
  <c r="G4745" i="6"/>
  <c r="G4743" i="6"/>
  <c r="G4742" i="6"/>
  <c r="G4741" i="6"/>
  <c r="G4739" i="6"/>
  <c r="G4738" i="6"/>
  <c r="G4737" i="6"/>
  <c r="G4735" i="6"/>
  <c r="G4734" i="6"/>
  <c r="G4733" i="6"/>
  <c r="E4732" i="6"/>
  <c r="G4731" i="6"/>
  <c r="G4730" i="6"/>
  <c r="G4729" i="6"/>
  <c r="G4728" i="6"/>
  <c r="G4727" i="6"/>
  <c r="E4726" i="6"/>
  <c r="E4725" i="6"/>
  <c r="G4723" i="6"/>
  <c r="G4722" i="6"/>
  <c r="G4721" i="6"/>
  <c r="G4720" i="6"/>
  <c r="G4719" i="6"/>
  <c r="G4717" i="6"/>
  <c r="G4716" i="6"/>
  <c r="G4715" i="6"/>
  <c r="G4714" i="6"/>
  <c r="G4713" i="6"/>
  <c r="G4712" i="6"/>
  <c r="G4711" i="6"/>
  <c r="G4710" i="6"/>
  <c r="G4709" i="6"/>
  <c r="G4708" i="6"/>
  <c r="E4706" i="6"/>
  <c r="G4705" i="6"/>
  <c r="G4701" i="6"/>
  <c r="G4700" i="6"/>
  <c r="G4699" i="6"/>
  <c r="G4696" i="6"/>
  <c r="G4692" i="6"/>
  <c r="G4691" i="6"/>
  <c r="G4690" i="6"/>
  <c r="G4689" i="6"/>
  <c r="G4688" i="6"/>
  <c r="G4687" i="6"/>
  <c r="G4685" i="6"/>
  <c r="G4684" i="6"/>
  <c r="G4683" i="6"/>
  <c r="G4682" i="6"/>
  <c r="G4678" i="6"/>
  <c r="G4677" i="6"/>
  <c r="G4676" i="6"/>
  <c r="G4673" i="6"/>
  <c r="G4672" i="6"/>
  <c r="G4667" i="6"/>
  <c r="G4666" i="6"/>
  <c r="G4665" i="6"/>
  <c r="G4662" i="6"/>
  <c r="G4659" i="6"/>
  <c r="G4658" i="6"/>
  <c r="G4657" i="6"/>
  <c r="G4651" i="6"/>
  <c r="G4650" i="6"/>
  <c r="G4649" i="6"/>
  <c r="G4645" i="6"/>
  <c r="G4644" i="6"/>
  <c r="G4643" i="6"/>
  <c r="G4642" i="6"/>
  <c r="G4641" i="6"/>
  <c r="G4640" i="6"/>
  <c r="G4638" i="6"/>
  <c r="G4637" i="6"/>
  <c r="G4636" i="6"/>
  <c r="G4635" i="6"/>
  <c r="G4634" i="6"/>
  <c r="G4633" i="6"/>
  <c r="E4632" i="6"/>
  <c r="E4631" i="6"/>
  <c r="G4628" i="6"/>
  <c r="G4625" i="6"/>
  <c r="G4624" i="6"/>
  <c r="G4623" i="6"/>
  <c r="G4619" i="6"/>
  <c r="G4618" i="6"/>
  <c r="G4617" i="6"/>
  <c r="G4616" i="6"/>
  <c r="G4615" i="6"/>
  <c r="G4614" i="6"/>
  <c r="E4614" i="6"/>
  <c r="G4611" i="6"/>
  <c r="G4610" i="6"/>
  <c r="G4609" i="6"/>
  <c r="G4604" i="6"/>
  <c r="G4603" i="6"/>
  <c r="G4602" i="6"/>
  <c r="G4601" i="6"/>
  <c r="G4600" i="6"/>
  <c r="E4599" i="6"/>
  <c r="E4598" i="6"/>
  <c r="E4597" i="6"/>
  <c r="E4596" i="6"/>
  <c r="E4595" i="6"/>
  <c r="G4594" i="6"/>
  <c r="G4593" i="6"/>
  <c r="G4592" i="6"/>
  <c r="G4591" i="6"/>
  <c r="G4590" i="6"/>
  <c r="E4589" i="6"/>
  <c r="E4588" i="6"/>
  <c r="G4583" i="6"/>
  <c r="G4577" i="6"/>
  <c r="G4576" i="6"/>
  <c r="G4575" i="6"/>
  <c r="G4574" i="6"/>
  <c r="G4573" i="6"/>
  <c r="E4572" i="6"/>
  <c r="E4571" i="6"/>
  <c r="E4570" i="6"/>
  <c r="E4569" i="6"/>
  <c r="E4568" i="6"/>
  <c r="E4567" i="6"/>
  <c r="E4566" i="6"/>
  <c r="E4565" i="6"/>
  <c r="E4564" i="6"/>
  <c r="G4563" i="6"/>
  <c r="G4562" i="6"/>
  <c r="G4561" i="6"/>
  <c r="G4554" i="6"/>
  <c r="G4552" i="6"/>
  <c r="G4551" i="6"/>
  <c r="G4550" i="6"/>
  <c r="G4549" i="6"/>
  <c r="G4547" i="6"/>
  <c r="E4546" i="6"/>
  <c r="G4545" i="6"/>
  <c r="G4544" i="6"/>
  <c r="G4543" i="6"/>
  <c r="G4541" i="6"/>
  <c r="G4540" i="6"/>
  <c r="G4539" i="6"/>
  <c r="G4538" i="6"/>
  <c r="E4537" i="6"/>
  <c r="G4532" i="6"/>
  <c r="G4531" i="6"/>
  <c r="G4530" i="6"/>
  <c r="G4529" i="6"/>
  <c r="G4526" i="6"/>
  <c r="G4522" i="6"/>
  <c r="G4521" i="6"/>
  <c r="G4520" i="6"/>
  <c r="G4517" i="6"/>
  <c r="G4516" i="6"/>
  <c r="G4515" i="6"/>
  <c r="G4512" i="6"/>
  <c r="G4511" i="6"/>
  <c r="G4510" i="6"/>
  <c r="G4506" i="6"/>
  <c r="G4505" i="6"/>
  <c r="G4504" i="6"/>
  <c r="G4498" i="6"/>
  <c r="G4497" i="6"/>
  <c r="G4496" i="6"/>
  <c r="E4492" i="6"/>
  <c r="G4490" i="6"/>
  <c r="G4489" i="6"/>
  <c r="G4488" i="6"/>
  <c r="E4483" i="6"/>
  <c r="E4478" i="6"/>
  <c r="G4477" i="6"/>
  <c r="G4473" i="6"/>
  <c r="G4471" i="6"/>
  <c r="G4470" i="6"/>
  <c r="G4469" i="6"/>
  <c r="G4468" i="6"/>
  <c r="G4466" i="6"/>
  <c r="G4464" i="6"/>
  <c r="G4463" i="6"/>
  <c r="G4462" i="6"/>
  <c r="E4458" i="6"/>
  <c r="G4456" i="6"/>
  <c r="G4455" i="6"/>
  <c r="G4454" i="6"/>
  <c r="G4453" i="6"/>
  <c r="E4443" i="6"/>
  <c r="G4440" i="6"/>
  <c r="G4439" i="6"/>
  <c r="G4438" i="6"/>
  <c r="G4435" i="6"/>
  <c r="G4432" i="6"/>
  <c r="G4431" i="6"/>
  <c r="G4430" i="6"/>
  <c r="G4424" i="6"/>
  <c r="G4423" i="6"/>
  <c r="G4422" i="6"/>
  <c r="G4421" i="6"/>
  <c r="G4420" i="6"/>
  <c r="G4415" i="6"/>
  <c r="G4413" i="6"/>
  <c r="G4412" i="6"/>
  <c r="G4411" i="6"/>
  <c r="G4410" i="6"/>
  <c r="G4402" i="6"/>
  <c r="G4401" i="6"/>
  <c r="G4400" i="6"/>
  <c r="E4399" i="6"/>
  <c r="G4398" i="6"/>
  <c r="E4397" i="6"/>
  <c r="G4397" i="6" s="1"/>
  <c r="E4396" i="6"/>
  <c r="E4395" i="6"/>
  <c r="G4394" i="6"/>
  <c r="G4393" i="6"/>
  <c r="G4392" i="6"/>
  <c r="E4391" i="6"/>
  <c r="G4391" i="6" s="1"/>
  <c r="G4389" i="6"/>
  <c r="E4389" i="6"/>
  <c r="E4388" i="6"/>
  <c r="E4387" i="6"/>
  <c r="G4386" i="6"/>
  <c r="G4385" i="6"/>
  <c r="G4384" i="6"/>
  <c r="G4383" i="6"/>
  <c r="G4382" i="6"/>
  <c r="G4379" i="6"/>
  <c r="G4376" i="6"/>
  <c r="G4375" i="6"/>
  <c r="G4374" i="6"/>
  <c r="G4369" i="6"/>
  <c r="G4368" i="6"/>
  <c r="G4367" i="6"/>
  <c r="G4366" i="6"/>
  <c r="G4365" i="6"/>
  <c r="G4359" i="6"/>
  <c r="G4358" i="6"/>
  <c r="G4357" i="6"/>
  <c r="G4356" i="6"/>
  <c r="G4351" i="6"/>
  <c r="G4350" i="6"/>
  <c r="G4349" i="6"/>
  <c r="G4348" i="6"/>
  <c r="G4347" i="6"/>
  <c r="G4341" i="6"/>
  <c r="G4340" i="6"/>
  <c r="G4339" i="6"/>
  <c r="G4338" i="6"/>
  <c r="G4329" i="6"/>
  <c r="G4328" i="6"/>
  <c r="G4327" i="6"/>
  <c r="G4326" i="6"/>
  <c r="E4325" i="6"/>
  <c r="G4325" i="6" s="1"/>
  <c r="E4324" i="6"/>
  <c r="E4323" i="6"/>
  <c r="G4322" i="6"/>
  <c r="G4321" i="6"/>
  <c r="G4320" i="6"/>
  <c r="G4319" i="6"/>
  <c r="G4318" i="6"/>
  <c r="E4317" i="6"/>
  <c r="E4316" i="6"/>
  <c r="G4310" i="6"/>
  <c r="G4308" i="6"/>
  <c r="G4295" i="6"/>
  <c r="G4294" i="6"/>
  <c r="G4293" i="6"/>
  <c r="G4292" i="6"/>
  <c r="G4291" i="6"/>
  <c r="E4290" i="6"/>
  <c r="E4289" i="6"/>
  <c r="G4281" i="6"/>
  <c r="G4280" i="6"/>
  <c r="G4279" i="6"/>
  <c r="G4278" i="6"/>
  <c r="G4277" i="6"/>
  <c r="G4276" i="6"/>
  <c r="G4274" i="6"/>
  <c r="E4273" i="6"/>
  <c r="G4273" i="6" s="1"/>
  <c r="E4272" i="6"/>
  <c r="E4271" i="6"/>
  <c r="G4270" i="6"/>
  <c r="G4269" i="6"/>
  <c r="G4268" i="6"/>
  <c r="G4264" i="6"/>
  <c r="G4263" i="6"/>
  <c r="G4262" i="6"/>
  <c r="G4261" i="6"/>
  <c r="G4260" i="6"/>
  <c r="G4258" i="6"/>
  <c r="G4257" i="6"/>
  <c r="G4256" i="6"/>
  <c r="G4255" i="6"/>
  <c r="G4252" i="6"/>
  <c r="G4251" i="6"/>
  <c r="G4250" i="6"/>
  <c r="G4249" i="6"/>
  <c r="G4248" i="6"/>
  <c r="G4243" i="6"/>
  <c r="G4242" i="6"/>
  <c r="G4241" i="6"/>
  <c r="G4240" i="6"/>
  <c r="G4239" i="6"/>
  <c r="G4234" i="6"/>
  <c r="G4233" i="6"/>
  <c r="G4232" i="6"/>
  <c r="G4231" i="6"/>
  <c r="G4230" i="6"/>
  <c r="G4229" i="6"/>
  <c r="E4226" i="6"/>
  <c r="G4225" i="6"/>
  <c r="G4224" i="6"/>
  <c r="G4223" i="6"/>
  <c r="G4219" i="6"/>
  <c r="G4218" i="6"/>
  <c r="G4217" i="6"/>
  <c r="G4214" i="6"/>
  <c r="G4210" i="6"/>
  <c r="G4209" i="6"/>
  <c r="G4208" i="6"/>
  <c r="G4207" i="6"/>
  <c r="G4204" i="6"/>
  <c r="G4203" i="6"/>
  <c r="G4202" i="6"/>
  <c r="G4201" i="6"/>
  <c r="G4198" i="6"/>
  <c r="G4197" i="6"/>
  <c r="G4196" i="6"/>
  <c r="G4195" i="6"/>
  <c r="E4194" i="6"/>
  <c r="G4192" i="6"/>
  <c r="G4191" i="6"/>
  <c r="G4190" i="6"/>
  <c r="G4189" i="6"/>
  <c r="G4185" i="6"/>
  <c r="G4184" i="6"/>
  <c r="G4183" i="6"/>
  <c r="G4182" i="6"/>
  <c r="G4178" i="6"/>
  <c r="G4177" i="6"/>
  <c r="G4176" i="6"/>
  <c r="G4175" i="6"/>
  <c r="G4174" i="6"/>
  <c r="G4173" i="6"/>
  <c r="G4172" i="6"/>
  <c r="G4171" i="6"/>
  <c r="G4170" i="6"/>
  <c r="G4169" i="6"/>
  <c r="G4167" i="6"/>
  <c r="G4166" i="6"/>
  <c r="G4165" i="6"/>
  <c r="E4164" i="6"/>
  <c r="G4162" i="6"/>
  <c r="G4161" i="6"/>
  <c r="G4160" i="6"/>
  <c r="E4156" i="6"/>
  <c r="G4154" i="6"/>
  <c r="G4151" i="6"/>
  <c r="G4150" i="6"/>
  <c r="G4149" i="6"/>
  <c r="E4147" i="6"/>
  <c r="G4145" i="6"/>
  <c r="G4144" i="6"/>
  <c r="G4143" i="6"/>
  <c r="G4142" i="6"/>
  <c r="G4141" i="6"/>
  <c r="G4139" i="6"/>
  <c r="G4138" i="6"/>
  <c r="G4137" i="6"/>
  <c r="G4134" i="6"/>
  <c r="G4132" i="6"/>
  <c r="G4131" i="6"/>
  <c r="G4130" i="6"/>
  <c r="G4129" i="6"/>
  <c r="G4128" i="6"/>
  <c r="G4127" i="6"/>
  <c r="G4123" i="6"/>
  <c r="G4122" i="6"/>
  <c r="G4121" i="6"/>
  <c r="G4120" i="6"/>
  <c r="G4116" i="6"/>
  <c r="G4115" i="6"/>
  <c r="G4114" i="6"/>
  <c r="G4113" i="6"/>
  <c r="G4112" i="6"/>
  <c r="G4108" i="6"/>
  <c r="G4107" i="6"/>
  <c r="G4106" i="6"/>
  <c r="E4105" i="6"/>
  <c r="G4104" i="6"/>
  <c r="G4103" i="6"/>
  <c r="G4102" i="6"/>
  <c r="G4101" i="6"/>
  <c r="G4100" i="6"/>
  <c r="G4098" i="6"/>
  <c r="G4097" i="6"/>
  <c r="G4096" i="6"/>
  <c r="G4092" i="6"/>
  <c r="G4091" i="6"/>
  <c r="G4090" i="6"/>
  <c r="G4089" i="6"/>
  <c r="G4085" i="6"/>
  <c r="G4084" i="6"/>
  <c r="G4083" i="6"/>
  <c r="G4080" i="6"/>
  <c r="G4079" i="6"/>
  <c r="G4078" i="6"/>
  <c r="G4077" i="6"/>
  <c r="G4073" i="6"/>
  <c r="G4071" i="6"/>
  <c r="G4070" i="6"/>
  <c r="G4069" i="6"/>
  <c r="G4068" i="6"/>
  <c r="G4064" i="6"/>
  <c r="G4062" i="6"/>
  <c r="G4061" i="6"/>
  <c r="G4060" i="6"/>
  <c r="G4059" i="6"/>
  <c r="G4055" i="6"/>
  <c r="G4053" i="6"/>
  <c r="G4052" i="6"/>
  <c r="G4051" i="6"/>
  <c r="G4050" i="6"/>
  <c r="G4046" i="6"/>
  <c r="G4044" i="6"/>
  <c r="G4043" i="6"/>
  <c r="G4042" i="6"/>
  <c r="G4041" i="6"/>
  <c r="G4037" i="6"/>
  <c r="G4035" i="6"/>
  <c r="G4034" i="6"/>
  <c r="G4033" i="6"/>
  <c r="G4032" i="6"/>
  <c r="G4028" i="6"/>
  <c r="G4026" i="6"/>
  <c r="G4025" i="6"/>
  <c r="G4024" i="6"/>
  <c r="G4023" i="6"/>
  <c r="G4021" i="6"/>
  <c r="G4020" i="6"/>
  <c r="G4019" i="6"/>
  <c r="G4018" i="6"/>
  <c r="G4017" i="6"/>
  <c r="G4016" i="6"/>
  <c r="G4015" i="6"/>
  <c r="G4014" i="6"/>
  <c r="E4013" i="6"/>
  <c r="G4012" i="6"/>
  <c r="G4011" i="6"/>
  <c r="G4010" i="6"/>
  <c r="G4005" i="6"/>
  <c r="G4001" i="6"/>
  <c r="G4000" i="6"/>
  <c r="G3999" i="6"/>
  <c r="G3998" i="6"/>
  <c r="G3997" i="6"/>
  <c r="G3996" i="6"/>
  <c r="G3995" i="6"/>
  <c r="E3994" i="6"/>
  <c r="E3993" i="6"/>
  <c r="G3986" i="6"/>
  <c r="G3985" i="6"/>
  <c r="G3984" i="6"/>
  <c r="G3981" i="6"/>
  <c r="G3979" i="6"/>
  <c r="G3978" i="6"/>
  <c r="G3977" i="6"/>
  <c r="G3976" i="6"/>
  <c r="G3972" i="6"/>
  <c r="G3971" i="6"/>
  <c r="G3970" i="6"/>
  <c r="G3969" i="6"/>
  <c r="G3963" i="6"/>
  <c r="G3961" i="6"/>
  <c r="G3960" i="6"/>
  <c r="G3959" i="6"/>
  <c r="G3953" i="6"/>
  <c r="G3952" i="6"/>
  <c r="G3951" i="6"/>
  <c r="G3948" i="6"/>
  <c r="G3947" i="6"/>
  <c r="G3945" i="6"/>
  <c r="G3944" i="6"/>
  <c r="G3943" i="6"/>
  <c r="G3942" i="6"/>
  <c r="E3941" i="6"/>
  <c r="E3940" i="6"/>
  <c r="E3939" i="6"/>
  <c r="G3938" i="6"/>
  <c r="E3938" i="6"/>
  <c r="G3937" i="6"/>
  <c r="G3936" i="6"/>
  <c r="G3935" i="6"/>
  <c r="G3932" i="6"/>
  <c r="G3931" i="6"/>
  <c r="G3930" i="6"/>
  <c r="G3929" i="6"/>
  <c r="G3926" i="6"/>
  <c r="G3925" i="6"/>
  <c r="G3924" i="6"/>
  <c r="G3923" i="6"/>
  <c r="G3919" i="6"/>
  <c r="G3918" i="6"/>
  <c r="G3917" i="6"/>
  <c r="G3906" i="6"/>
  <c r="G3903" i="6"/>
  <c r="G3902" i="6"/>
  <c r="G3901" i="6"/>
  <c r="G3900" i="6"/>
  <c r="G3899" i="6"/>
  <c r="G3896" i="6"/>
  <c r="G3894" i="6"/>
  <c r="G3893" i="6"/>
  <c r="G3892" i="6"/>
  <c r="G3891" i="6"/>
  <c r="G3888" i="6"/>
  <c r="G3885" i="6"/>
  <c r="G3884" i="6"/>
  <c r="G3881" i="6"/>
  <c r="G3880" i="6"/>
  <c r="G3879" i="6"/>
  <c r="G3878" i="6"/>
  <c r="G3877" i="6"/>
  <c r="G3876" i="6"/>
  <c r="G3875" i="6"/>
  <c r="E3874" i="6"/>
  <c r="E3873" i="6"/>
  <c r="G3868" i="6"/>
  <c r="G3867" i="6"/>
  <c r="G3866" i="6"/>
  <c r="G3865" i="6"/>
  <c r="G3861" i="6"/>
  <c r="G3860" i="6"/>
  <c r="G3859" i="6"/>
  <c r="G3858" i="6"/>
  <c r="G3857" i="6"/>
  <c r="G3852" i="6"/>
  <c r="G3851" i="6"/>
  <c r="G3850" i="6"/>
  <c r="G3849" i="6"/>
  <c r="G3848" i="6"/>
  <c r="E3847" i="6"/>
  <c r="E3846" i="6"/>
  <c r="E3845" i="6"/>
  <c r="E3844" i="6"/>
  <c r="G3843" i="6"/>
  <c r="E3843" i="6"/>
  <c r="E3842" i="6"/>
  <c r="E3841" i="6"/>
  <c r="G3841" i="6" s="1"/>
  <c r="G3840" i="6"/>
  <c r="G3839" i="6"/>
  <c r="G3838" i="6"/>
  <c r="G3837" i="6"/>
  <c r="G3836" i="6"/>
  <c r="G3832" i="6"/>
  <c r="G3828" i="6"/>
  <c r="G3827" i="6"/>
  <c r="G3826" i="6"/>
  <c r="G3825" i="6"/>
  <c r="E3825" i="6"/>
  <c r="E3824" i="6"/>
  <c r="G3823" i="6"/>
  <c r="G3822" i="6"/>
  <c r="G3821" i="6"/>
  <c r="G3820" i="6"/>
  <c r="G3819" i="6"/>
  <c r="G3817" i="6"/>
  <c r="G3816" i="6"/>
  <c r="G3815" i="6"/>
  <c r="G3814" i="6"/>
  <c r="G3813" i="6"/>
  <c r="G3811" i="6"/>
  <c r="G3810" i="6"/>
  <c r="G3809" i="6"/>
  <c r="G3808" i="6"/>
  <c r="G3807" i="6"/>
  <c r="G3805" i="6"/>
  <c r="G3804" i="6"/>
  <c r="G3803" i="6"/>
  <c r="G3802" i="6"/>
  <c r="G3801" i="6"/>
  <c r="G3799" i="6"/>
  <c r="G3798" i="6"/>
  <c r="G3797" i="6"/>
  <c r="G3796" i="6"/>
  <c r="G3795" i="6"/>
  <c r="G3793" i="6"/>
  <c r="G3792" i="6"/>
  <c r="G3791" i="6"/>
  <c r="G3790" i="6"/>
  <c r="G3789" i="6"/>
  <c r="G3787" i="6"/>
  <c r="G3786" i="6"/>
  <c r="G3785" i="6"/>
  <c r="G3784" i="6"/>
  <c r="G3783" i="6"/>
  <c r="G3781" i="6"/>
  <c r="G3780" i="6"/>
  <c r="G3779" i="6"/>
  <c r="G3778" i="6"/>
  <c r="G3777" i="6"/>
  <c r="G3775" i="6"/>
  <c r="G3774" i="6"/>
  <c r="G3773" i="6"/>
  <c r="G3772" i="6"/>
  <c r="G3771" i="6"/>
  <c r="G3769" i="6"/>
  <c r="G3768" i="6"/>
  <c r="G3767" i="6"/>
  <c r="G3766" i="6"/>
  <c r="G3765" i="6"/>
  <c r="G3763" i="6"/>
  <c r="G3762" i="6"/>
  <c r="G3761" i="6"/>
  <c r="G3760" i="6"/>
  <c r="G3759" i="6"/>
  <c r="G3758" i="6"/>
  <c r="G3757" i="6"/>
  <c r="G3755" i="6"/>
  <c r="G3753" i="6"/>
  <c r="G3751" i="6"/>
  <c r="G3750" i="6"/>
  <c r="G3749" i="6"/>
  <c r="G3746" i="6"/>
  <c r="G3745" i="6"/>
  <c r="G3744" i="6"/>
  <c r="G3743" i="6"/>
  <c r="G3742" i="6"/>
  <c r="G3741" i="6"/>
  <c r="G3740" i="6"/>
  <c r="G3739" i="6"/>
  <c r="E3738" i="6"/>
  <c r="E3737" i="6"/>
  <c r="G3736" i="6"/>
  <c r="E3736" i="6"/>
  <c r="G3735" i="6"/>
  <c r="G3734" i="6"/>
  <c r="G3733" i="6"/>
  <c r="E3732" i="6"/>
  <c r="G3730" i="6"/>
  <c r="G3729" i="6"/>
  <c r="G3728" i="6"/>
  <c r="G3720" i="6"/>
  <c r="G3719" i="6"/>
  <c r="G3718" i="6"/>
  <c r="G3717" i="6"/>
  <c r="G3716" i="6"/>
  <c r="G3715" i="6"/>
  <c r="G3714" i="6"/>
  <c r="G3713" i="6"/>
  <c r="G3712" i="6"/>
  <c r="E3711" i="6"/>
  <c r="G3710" i="6"/>
  <c r="E3709" i="6"/>
  <c r="G3709" i="6" s="1"/>
  <c r="G3708" i="6"/>
  <c r="E3708" i="6"/>
  <c r="E3707" i="6"/>
  <c r="E3706" i="6"/>
  <c r="G3705" i="6"/>
  <c r="G3704" i="6"/>
  <c r="G3703" i="6"/>
  <c r="G3702" i="6"/>
  <c r="G3701" i="6"/>
  <c r="E3700" i="6"/>
  <c r="E3699" i="6"/>
  <c r="G3692" i="6"/>
  <c r="G3691" i="6"/>
  <c r="G3690" i="6"/>
  <c r="G3689" i="6"/>
  <c r="G3688" i="6"/>
  <c r="E3687" i="6"/>
  <c r="E3686" i="6"/>
  <c r="G3680" i="6"/>
  <c r="G3679" i="6"/>
  <c r="G3678" i="6"/>
  <c r="G3677" i="6"/>
  <c r="G3676" i="6"/>
  <c r="E3675" i="6"/>
  <c r="E3674" i="6"/>
  <c r="E3673" i="6"/>
  <c r="G3672" i="6"/>
  <c r="G3671" i="6"/>
  <c r="G3670" i="6"/>
  <c r="G3669" i="6"/>
  <c r="G3668" i="6"/>
  <c r="E3665" i="6"/>
  <c r="E3664" i="6"/>
  <c r="E3663" i="6"/>
  <c r="E3662" i="6"/>
  <c r="E3661" i="6"/>
  <c r="G3657" i="6"/>
  <c r="G3656" i="6"/>
  <c r="G3655" i="6"/>
  <c r="G3651" i="6"/>
  <c r="G3650" i="6"/>
  <c r="G3649" i="6"/>
  <c r="G3647" i="6"/>
  <c r="G3646" i="6"/>
  <c r="G3645" i="6"/>
  <c r="E3642" i="6"/>
  <c r="G3639" i="6"/>
  <c r="G3638" i="6"/>
  <c r="G3637" i="6"/>
  <c r="G3634" i="6"/>
  <c r="G3632" i="6"/>
  <c r="G3629" i="6"/>
  <c r="G3628" i="6"/>
  <c r="G3627" i="6"/>
  <c r="G3625" i="6"/>
  <c r="G3621" i="6"/>
  <c r="G3620" i="6"/>
  <c r="G3619" i="6"/>
  <c r="G3618" i="6"/>
  <c r="G3617" i="6"/>
  <c r="G3613" i="6"/>
  <c r="G3612" i="6"/>
  <c r="G3611" i="6"/>
  <c r="G3606" i="6"/>
  <c r="G3604" i="6"/>
  <c r="G3601" i="6"/>
  <c r="G3600" i="6"/>
  <c r="G3597" i="6"/>
  <c r="G3591" i="6"/>
  <c r="G3590" i="6"/>
  <c r="G3589" i="6"/>
  <c r="G3588" i="6"/>
  <c r="G3586" i="6"/>
  <c r="G3585" i="6"/>
  <c r="G3584" i="6"/>
  <c r="G3583" i="6"/>
  <c r="G3582" i="6"/>
  <c r="E3581" i="6"/>
  <c r="G3579" i="6"/>
  <c r="G3578" i="6"/>
  <c r="G3577" i="6"/>
  <c r="E3576" i="6"/>
  <c r="G3576" i="6" s="1"/>
  <c r="E3575" i="6"/>
  <c r="E3574" i="6"/>
  <c r="E3573" i="6"/>
  <c r="G3573" i="6" s="1"/>
  <c r="G3572" i="6"/>
  <c r="G3571" i="6"/>
  <c r="G3570" i="6"/>
  <c r="G3569" i="6"/>
  <c r="G3568" i="6"/>
  <c r="G3565" i="6"/>
  <c r="G3564" i="6"/>
  <c r="G3563" i="6"/>
  <c r="G3562" i="6"/>
  <c r="G3559" i="6"/>
  <c r="G3558" i="6"/>
  <c r="G3557" i="6"/>
  <c r="G3556" i="6"/>
  <c r="G3555" i="6"/>
  <c r="G3554" i="6"/>
  <c r="G3552" i="6"/>
  <c r="E3552" i="6"/>
  <c r="E3551" i="6"/>
  <c r="E3550" i="6"/>
  <c r="E3549" i="6"/>
  <c r="G3548" i="6"/>
  <c r="G3547" i="6"/>
  <c r="E3546" i="6"/>
  <c r="E3544" i="6"/>
  <c r="G3543" i="6"/>
  <c r="G3542" i="6"/>
  <c r="G3541" i="6"/>
  <c r="G3540" i="6"/>
  <c r="G3536" i="6"/>
  <c r="G3535" i="6"/>
  <c r="G3534" i="6"/>
  <c r="G3533" i="6"/>
  <c r="G3532" i="6"/>
  <c r="E3531" i="6"/>
  <c r="G3531" i="6" s="1"/>
  <c r="E3530" i="6"/>
  <c r="G3530" i="6" s="1"/>
  <c r="G3527" i="6"/>
  <c r="G3526" i="6"/>
  <c r="G3525" i="6"/>
  <c r="G3524" i="6"/>
  <c r="G3523" i="6"/>
  <c r="E3522" i="6"/>
  <c r="E3521" i="6"/>
  <c r="G3518" i="6"/>
  <c r="G3517" i="6"/>
  <c r="G3516" i="6"/>
  <c r="G3515" i="6"/>
  <c r="G3514" i="6"/>
  <c r="G3513" i="6"/>
  <c r="G3512" i="6"/>
  <c r="G3510" i="6"/>
  <c r="E3510" i="6"/>
  <c r="G3509" i="6"/>
  <c r="E3509" i="6"/>
  <c r="E3508" i="6"/>
  <c r="E3507" i="6"/>
  <c r="E3504" i="6"/>
  <c r="E3502" i="6"/>
  <c r="G3501" i="6"/>
  <c r="G3500" i="6"/>
  <c r="G3499" i="6"/>
  <c r="G3498" i="6"/>
  <c r="G3493" i="6"/>
  <c r="G3492" i="6"/>
  <c r="G3491" i="6"/>
  <c r="G3490" i="6"/>
  <c r="G3489" i="6"/>
  <c r="G3488" i="6"/>
  <c r="G3487" i="6"/>
  <c r="G3485" i="6"/>
  <c r="E3485" i="6"/>
  <c r="E3484" i="6"/>
  <c r="E3483" i="6"/>
  <c r="E3482" i="6"/>
  <c r="E3479" i="6"/>
  <c r="E3477" i="6"/>
  <c r="G3476" i="6"/>
  <c r="G3475" i="6"/>
  <c r="G3474" i="6"/>
  <c r="G3473" i="6"/>
  <c r="G3468" i="6"/>
  <c r="G3467" i="6"/>
  <c r="G3466" i="6"/>
  <c r="G3465" i="6"/>
  <c r="G3464" i="6"/>
  <c r="G3463" i="6"/>
  <c r="E3462" i="6"/>
  <c r="G3461" i="6"/>
  <c r="E3460" i="6"/>
  <c r="E3459" i="6"/>
  <c r="E3458" i="6"/>
  <c r="E3457" i="6"/>
  <c r="G3456" i="6"/>
  <c r="G3455" i="6"/>
  <c r="G3454" i="6"/>
  <c r="G3453" i="6"/>
  <c r="G3452" i="6"/>
  <c r="E3451" i="6"/>
  <c r="G3450" i="6"/>
  <c r="E3449" i="6"/>
  <c r="G3448" i="6"/>
  <c r="E3448" i="6"/>
  <c r="E3447" i="6"/>
  <c r="E3446" i="6"/>
  <c r="G3445" i="6"/>
  <c r="G3444" i="6"/>
  <c r="G3443" i="6"/>
  <c r="G3442" i="6"/>
  <c r="G3441" i="6"/>
  <c r="E3440" i="6"/>
  <c r="E3439" i="6"/>
  <c r="G3438" i="6"/>
  <c r="E3438" i="6"/>
  <c r="E3437" i="6"/>
  <c r="E3436" i="6"/>
  <c r="G3435" i="6"/>
  <c r="G3434" i="6"/>
  <c r="G3433" i="6"/>
  <c r="G3431" i="6"/>
  <c r="G3430" i="6"/>
  <c r="G3429" i="6"/>
  <c r="G3427" i="6"/>
  <c r="G3426" i="6"/>
  <c r="G3425" i="6"/>
  <c r="G3422" i="6"/>
  <c r="G3421" i="6"/>
  <c r="G3420" i="6"/>
  <c r="G3417" i="6"/>
  <c r="G3416" i="6"/>
  <c r="G3415" i="6"/>
  <c r="G3412" i="6"/>
  <c r="G3411" i="6"/>
  <c r="G3410" i="6"/>
  <c r="G3406" i="6"/>
  <c r="G3405" i="6"/>
  <c r="G3403" i="6"/>
  <c r="G3398" i="6"/>
  <c r="G3397" i="6"/>
  <c r="G3396" i="6"/>
  <c r="G3392" i="6"/>
  <c r="G3391" i="6"/>
  <c r="G3389" i="6"/>
  <c r="G3387" i="6"/>
  <c r="G3386" i="6"/>
  <c r="G3385" i="6"/>
  <c r="G3383" i="6"/>
  <c r="G3382" i="6"/>
  <c r="G3381" i="6"/>
  <c r="G3378" i="6"/>
  <c r="G3377" i="6"/>
  <c r="G3376" i="6"/>
  <c r="G3375" i="6"/>
  <c r="G3374" i="6"/>
  <c r="G3373" i="6"/>
  <c r="G3372" i="6"/>
  <c r="G3370" i="6"/>
  <c r="G3368" i="6"/>
  <c r="G3363" i="6"/>
  <c r="G3362" i="6"/>
  <c r="G3361" i="6"/>
  <c r="G3358" i="6"/>
  <c r="G3356" i="6"/>
  <c r="G3355" i="6"/>
  <c r="G3354" i="6"/>
  <c r="G3350" i="6"/>
  <c r="G3349" i="6"/>
  <c r="G3348" i="6"/>
  <c r="G3347" i="6"/>
  <c r="G3344" i="6"/>
  <c r="G3343" i="6"/>
  <c r="G3342" i="6"/>
  <c r="G3341" i="6"/>
  <c r="G3340" i="6"/>
  <c r="E3337" i="6"/>
  <c r="G3336" i="6"/>
  <c r="G3335" i="6"/>
  <c r="G3334" i="6"/>
  <c r="G3333" i="6"/>
  <c r="G3329" i="6"/>
  <c r="G3328" i="6"/>
  <c r="G3327" i="6"/>
  <c r="G3323" i="6"/>
  <c r="G3322" i="6"/>
  <c r="G3321" i="6"/>
  <c r="G3317" i="6"/>
  <c r="G3316" i="6"/>
  <c r="G3315" i="6"/>
  <c r="G3314" i="6"/>
  <c r="G3310" i="6"/>
  <c r="G3309" i="6"/>
  <c r="G3308" i="6"/>
  <c r="G3307" i="6"/>
  <c r="G3303" i="6"/>
  <c r="G3302" i="6"/>
  <c r="G3301" i="6"/>
  <c r="G3300" i="6"/>
  <c r="G3296" i="6"/>
  <c r="G3295" i="6"/>
  <c r="G3294" i="6"/>
  <c r="G3293" i="6"/>
  <c r="G3289" i="6"/>
  <c r="G3288" i="6"/>
  <c r="G3287" i="6"/>
  <c r="G3286" i="6"/>
  <c r="G3282" i="6"/>
  <c r="G3281" i="6"/>
  <c r="G3280" i="6"/>
  <c r="G3279" i="6"/>
  <c r="G3275" i="6"/>
  <c r="G3274" i="6"/>
  <c r="G3273" i="6"/>
  <c r="G3272" i="6"/>
  <c r="G3268" i="6"/>
  <c r="G3267" i="6"/>
  <c r="G3266" i="6"/>
  <c r="G3265" i="6"/>
  <c r="G3261" i="6"/>
  <c r="G3260" i="6"/>
  <c r="G3259" i="6"/>
  <c r="G3258" i="6"/>
  <c r="G3254" i="6"/>
  <c r="G3253" i="6"/>
  <c r="G3252" i="6"/>
  <c r="G3251" i="6"/>
  <c r="G3249" i="6"/>
  <c r="G3248" i="6"/>
  <c r="G3247" i="6"/>
  <c r="G3246" i="6"/>
  <c r="G3245" i="6"/>
  <c r="G3238" i="6"/>
  <c r="G3237" i="6"/>
  <c r="G3236" i="6"/>
  <c r="G3233" i="6"/>
  <c r="G3232" i="6"/>
  <c r="G3231" i="6"/>
  <c r="G3230" i="6"/>
  <c r="G3227" i="6"/>
  <c r="G3226" i="6"/>
  <c r="G3225" i="6"/>
  <c r="G3224" i="6"/>
  <c r="G3221" i="6"/>
  <c r="G3220" i="6"/>
  <c r="G3218" i="6"/>
  <c r="G3217" i="6"/>
  <c r="G3216" i="6"/>
  <c r="E3215" i="6"/>
  <c r="E3214" i="6"/>
  <c r="G3207" i="6"/>
  <c r="G3206" i="6"/>
  <c r="G3205" i="6"/>
  <c r="G3200" i="6"/>
  <c r="G3198" i="6"/>
  <c r="G3196" i="6"/>
  <c r="G3195" i="6"/>
  <c r="G3194" i="6"/>
  <c r="E3193" i="6"/>
  <c r="G3191" i="6"/>
  <c r="G3190" i="6"/>
  <c r="G3189" i="6"/>
  <c r="G3184" i="6"/>
  <c r="G3183" i="6"/>
  <c r="G3181" i="6"/>
  <c r="G3175" i="6"/>
  <c r="G3174" i="6"/>
  <c r="G3173" i="6"/>
  <c r="G3166" i="6"/>
  <c r="G3164" i="6"/>
  <c r="G3161" i="6"/>
  <c r="G3160" i="6"/>
  <c r="G3159" i="6"/>
  <c r="G3156" i="6"/>
  <c r="G3155" i="6"/>
  <c r="G3154" i="6"/>
  <c r="G3153" i="6"/>
  <c r="G3150" i="6"/>
  <c r="G3149" i="6"/>
  <c r="G3148" i="6"/>
  <c r="G3144" i="6"/>
  <c r="G3143" i="6"/>
  <c r="G3142" i="6"/>
  <c r="G3138" i="6"/>
  <c r="G3137" i="6"/>
  <c r="G3136" i="6"/>
  <c r="G3132" i="6"/>
  <c r="G3131" i="6"/>
  <c r="G3130" i="6"/>
  <c r="G3129" i="6"/>
  <c r="G3128" i="6"/>
  <c r="G3126" i="6"/>
  <c r="G3125" i="6"/>
  <c r="G3124" i="6"/>
  <c r="G3123" i="6"/>
  <c r="G3121" i="6"/>
  <c r="G3120" i="6"/>
  <c r="G3119" i="6"/>
  <c r="G3118" i="6"/>
  <c r="G3116" i="6"/>
  <c r="G3115" i="6"/>
  <c r="G3114" i="6"/>
  <c r="G3113" i="6"/>
  <c r="G3111" i="6"/>
  <c r="G3110" i="6"/>
  <c r="G3109" i="6"/>
  <c r="G3108" i="6"/>
  <c r="G3106" i="6"/>
  <c r="G3105" i="6"/>
  <c r="G3104" i="6"/>
  <c r="G3103" i="6"/>
  <c r="G3101" i="6"/>
  <c r="G3100" i="6"/>
  <c r="G3099" i="6"/>
  <c r="G3098" i="6"/>
  <c r="G3096" i="6"/>
  <c r="G3095" i="6"/>
  <c r="G3094" i="6"/>
  <c r="G3093" i="6"/>
  <c r="G3091" i="6"/>
  <c r="G3090" i="6"/>
  <c r="G3089" i="6"/>
  <c r="G3088" i="6"/>
  <c r="G3086" i="6"/>
  <c r="G3085" i="6"/>
  <c r="G3084" i="6"/>
  <c r="G3083" i="6"/>
  <c r="G3081" i="6"/>
  <c r="G3080" i="6"/>
  <c r="G3079" i="6"/>
  <c r="G3073" i="6"/>
  <c r="G3072" i="6"/>
  <c r="G3071" i="6"/>
  <c r="G3070" i="6"/>
  <c r="G3068" i="6"/>
  <c r="G3067" i="6"/>
  <c r="G3066" i="6"/>
  <c r="G3065" i="6"/>
  <c r="G3060" i="6"/>
  <c r="G3058" i="6"/>
  <c r="G3056" i="6"/>
  <c r="G3055" i="6"/>
  <c r="G3054" i="6"/>
  <c r="G3053" i="6"/>
  <c r="G3052" i="6"/>
  <c r="G3051" i="6"/>
  <c r="G3048" i="6"/>
  <c r="G3047" i="6"/>
  <c r="G3046" i="6"/>
  <c r="G3045" i="6"/>
  <c r="G3043" i="6"/>
  <c r="G3042" i="6"/>
  <c r="G3041" i="6"/>
  <c r="G3040" i="6"/>
  <c r="G3039" i="6"/>
  <c r="G3038" i="6"/>
  <c r="G3037" i="6"/>
  <c r="G3035" i="6"/>
  <c r="G3034" i="6"/>
  <c r="G3033" i="6"/>
  <c r="G3032" i="6"/>
  <c r="G3030" i="6"/>
  <c r="G3029" i="6"/>
  <c r="G3028" i="6"/>
  <c r="G3027" i="6"/>
  <c r="G3025" i="6"/>
  <c r="G3024" i="6"/>
  <c r="G3023" i="6"/>
  <c r="G3022" i="6"/>
  <c r="G3020" i="6"/>
  <c r="G3019" i="6"/>
  <c r="G3018" i="6"/>
  <c r="G3017" i="6"/>
  <c r="G3015" i="6"/>
  <c r="G3014" i="6"/>
  <c r="G3013" i="6"/>
  <c r="G3012" i="6"/>
  <c r="G3010" i="6"/>
  <c r="G3009" i="6"/>
  <c r="G3008" i="6"/>
  <c r="G3007" i="6"/>
  <c r="G3005" i="6"/>
  <c r="G3004" i="6"/>
  <c r="G3003" i="6"/>
  <c r="G3002" i="6"/>
  <c r="G3000" i="6"/>
  <c r="G2999" i="6"/>
  <c r="G2998" i="6"/>
  <c r="G2997" i="6"/>
  <c r="G2995" i="6"/>
  <c r="G2994" i="6"/>
  <c r="G2993" i="6"/>
  <c r="G2992" i="6"/>
  <c r="G2990" i="6"/>
  <c r="G2989" i="6"/>
  <c r="G2988" i="6"/>
  <c r="G2984" i="6"/>
  <c r="G2980" i="6"/>
  <c r="G2979" i="6"/>
  <c r="G2978" i="6"/>
  <c r="G2975" i="6"/>
  <c r="G2974" i="6"/>
  <c r="G2973" i="6"/>
  <c r="G2972" i="6"/>
  <c r="G2970" i="6"/>
  <c r="G2969" i="6"/>
  <c r="G2968" i="6"/>
  <c r="G2965" i="6"/>
  <c r="G2964" i="6"/>
  <c r="G2963" i="6"/>
  <c r="G2962" i="6"/>
  <c r="G2960" i="6"/>
  <c r="G2959" i="6"/>
  <c r="G2958" i="6"/>
  <c r="G2955" i="6"/>
  <c r="G2954" i="6"/>
  <c r="G2953" i="6"/>
  <c r="G2952" i="6"/>
  <c r="G2950" i="6"/>
  <c r="G2949" i="6"/>
  <c r="G2948" i="6"/>
  <c r="G2947" i="6"/>
  <c r="G2945" i="6"/>
  <c r="G2944" i="6"/>
  <c r="G2943" i="6"/>
  <c r="G2942" i="6"/>
  <c r="G2940" i="6"/>
  <c r="G2939" i="6"/>
  <c r="G2938" i="6"/>
  <c r="G2937" i="6"/>
  <c r="G2935" i="6"/>
  <c r="G2934" i="6"/>
  <c r="G2933" i="6"/>
  <c r="G2932" i="6"/>
  <c r="G2930" i="6"/>
  <c r="G2929" i="6"/>
  <c r="G2928" i="6"/>
  <c r="G2927" i="6"/>
  <c r="G2926" i="6"/>
  <c r="G2925" i="6"/>
  <c r="G2922" i="6"/>
  <c r="G2921" i="6"/>
  <c r="G2920" i="6"/>
  <c r="G2919" i="6"/>
  <c r="G2918" i="6"/>
  <c r="G2917" i="6"/>
  <c r="G2914" i="6"/>
  <c r="G2913" i="6"/>
  <c r="G2912" i="6"/>
  <c r="G2911" i="6"/>
  <c r="G2910" i="6"/>
  <c r="G2909" i="6"/>
  <c r="G2906" i="6"/>
  <c r="G2905" i="6"/>
  <c r="G2904" i="6"/>
  <c r="G2903" i="6"/>
  <c r="G2902" i="6"/>
  <c r="G2901" i="6"/>
  <c r="G2898" i="6"/>
  <c r="G2897" i="6"/>
  <c r="G2896" i="6"/>
  <c r="G2895" i="6"/>
  <c r="G2894" i="6"/>
  <c r="G2893" i="6"/>
  <c r="G2890" i="6"/>
  <c r="G2889" i="6"/>
  <c r="G2888" i="6"/>
  <c r="G2885" i="6"/>
  <c r="G2884" i="6"/>
  <c r="G2883" i="6"/>
  <c r="G2882" i="6"/>
  <c r="G2880" i="6"/>
  <c r="G2879" i="6"/>
  <c r="G2878" i="6"/>
  <c r="G2877" i="6"/>
  <c r="G2875" i="6"/>
  <c r="G2874" i="6"/>
  <c r="G2873" i="6"/>
  <c r="G2872" i="6"/>
  <c r="G2871" i="6"/>
  <c r="G2868" i="6"/>
  <c r="G2867" i="6"/>
  <c r="G2866" i="6"/>
  <c r="G2863" i="6"/>
  <c r="G2862" i="6"/>
  <c r="G2861" i="6"/>
  <c r="G2860" i="6"/>
  <c r="G2858" i="6"/>
  <c r="G2857" i="6"/>
  <c r="G2856" i="6"/>
  <c r="G2855" i="6"/>
  <c r="G2853" i="6"/>
  <c r="G2852" i="6"/>
  <c r="G2851" i="6"/>
  <c r="G2850" i="6"/>
  <c r="G2848" i="6"/>
  <c r="G2847" i="6"/>
  <c r="G2846" i="6"/>
  <c r="G2845" i="6"/>
  <c r="G2843" i="6"/>
  <c r="G2842" i="6"/>
  <c r="G2841" i="6"/>
  <c r="G2840" i="6"/>
  <c r="G2838" i="6"/>
  <c r="G2837" i="6"/>
  <c r="G2836" i="6"/>
  <c r="G2835" i="6"/>
  <c r="G2833" i="6"/>
  <c r="G2832" i="6"/>
  <c r="G2831" i="6"/>
  <c r="G2830" i="6"/>
  <c r="G2828" i="6"/>
  <c r="G2827" i="6"/>
  <c r="G2826" i="6"/>
  <c r="G2825" i="6"/>
  <c r="G2824" i="6"/>
  <c r="G2821" i="6"/>
  <c r="G2820" i="6"/>
  <c r="G2819" i="6"/>
  <c r="G2818" i="6"/>
  <c r="G2816" i="6"/>
  <c r="G2815" i="6"/>
  <c r="G2814" i="6"/>
  <c r="G2811" i="6"/>
  <c r="G2810" i="6"/>
  <c r="G2809" i="6"/>
  <c r="G2806" i="6"/>
  <c r="G2805" i="6"/>
  <c r="G2804" i="6"/>
  <c r="G2797" i="6"/>
  <c r="G2796" i="6"/>
  <c r="G2795" i="6"/>
  <c r="G2794" i="6"/>
  <c r="G2791" i="6"/>
  <c r="G2790" i="6"/>
  <c r="G2789" i="6"/>
  <c r="G2786" i="6"/>
  <c r="G2785" i="6"/>
  <c r="G2784" i="6"/>
  <c r="G2780" i="6"/>
  <c r="G2779" i="6"/>
  <c r="G2778" i="6"/>
  <c r="G2771" i="6"/>
  <c r="G2770" i="6"/>
  <c r="G2769" i="6"/>
  <c r="G2768" i="6"/>
  <c r="G2765" i="6"/>
  <c r="G2764" i="6"/>
  <c r="G2763" i="6"/>
  <c r="G2761" i="6"/>
  <c r="G2760" i="6"/>
  <c r="G2759" i="6"/>
  <c r="G2758" i="6"/>
  <c r="H2758" i="6" s="1"/>
  <c r="G2757" i="6"/>
  <c r="G2756" i="6"/>
  <c r="G2755" i="6"/>
  <c r="G2754" i="6"/>
  <c r="G2753" i="6"/>
  <c r="G2751" i="6"/>
  <c r="G2749" i="6"/>
  <c r="G2748" i="6"/>
  <c r="G2747" i="6"/>
  <c r="G2745" i="6"/>
  <c r="G2744" i="6"/>
  <c r="G2743" i="6"/>
  <c r="G2741" i="6"/>
  <c r="G2740" i="6"/>
  <c r="G2739" i="6"/>
  <c r="G2737" i="6"/>
  <c r="G2736" i="6"/>
  <c r="G2735" i="6"/>
  <c r="G2733" i="6"/>
  <c r="G2732" i="6"/>
  <c r="G2731" i="6"/>
  <c r="G2729" i="6"/>
  <c r="G2727" i="6"/>
  <c r="G2725" i="6"/>
  <c r="G2724" i="6"/>
  <c r="G2723" i="6"/>
  <c r="G2721" i="6"/>
  <c r="G2720" i="6"/>
  <c r="G2719" i="6"/>
  <c r="G2717" i="6"/>
  <c r="G2716" i="6"/>
  <c r="G2715" i="6"/>
  <c r="G2713" i="6"/>
  <c r="G2711" i="6"/>
  <c r="G2709" i="6"/>
  <c r="G2708" i="6"/>
  <c r="G2707" i="6"/>
  <c r="G2706" i="6"/>
  <c r="G2705" i="6"/>
  <c r="G2703" i="6"/>
  <c r="G2702" i="6"/>
  <c r="G2701" i="6"/>
  <c r="G2700" i="6"/>
  <c r="G2699" i="6"/>
  <c r="G2697" i="6"/>
  <c r="G2696" i="6"/>
  <c r="G2695" i="6"/>
  <c r="G2694" i="6"/>
  <c r="G2693" i="6"/>
  <c r="G2691" i="6"/>
  <c r="G2690" i="6"/>
  <c r="G2689" i="6"/>
  <c r="G2688" i="6"/>
  <c r="G2687" i="6"/>
  <c r="G2685" i="6"/>
  <c r="G2684" i="6"/>
  <c r="G2683" i="6"/>
  <c r="G2682" i="6"/>
  <c r="G2681" i="6"/>
  <c r="G2679" i="6"/>
  <c r="G2678" i="6"/>
  <c r="G2677" i="6"/>
  <c r="G2676" i="6"/>
  <c r="G2675" i="6"/>
  <c r="G2673" i="6"/>
  <c r="G2672" i="6"/>
  <c r="G2671" i="6"/>
  <c r="G2670" i="6"/>
  <c r="G2669" i="6"/>
  <c r="G2667" i="6"/>
  <c r="G2666" i="6"/>
  <c r="G2665" i="6"/>
  <c r="G2664" i="6"/>
  <c r="G2663" i="6"/>
  <c r="G2661" i="6"/>
  <c r="G2660" i="6"/>
  <c r="G2659" i="6"/>
  <c r="G2658" i="6"/>
  <c r="G2657" i="6"/>
  <c r="G2655" i="6"/>
  <c r="G2654" i="6"/>
  <c r="G2653" i="6"/>
  <c r="G2652" i="6"/>
  <c r="G2651" i="6"/>
  <c r="G2649" i="6"/>
  <c r="G2648" i="6"/>
  <c r="G2647" i="6"/>
  <c r="G2646" i="6"/>
  <c r="G2645" i="6"/>
  <c r="G2644" i="6"/>
  <c r="G2643" i="6"/>
  <c r="G2641" i="6"/>
  <c r="G2640" i="6"/>
  <c r="G2639" i="6"/>
  <c r="G2638" i="6"/>
  <c r="G2637" i="6"/>
  <c r="G2636" i="6"/>
  <c r="G2635" i="6"/>
  <c r="G2633" i="6"/>
  <c r="G2632" i="6"/>
  <c r="G2631" i="6"/>
  <c r="G2629" i="6"/>
  <c r="G2628" i="6"/>
  <c r="G2627" i="6"/>
  <c r="G2626" i="6"/>
  <c r="H2626" i="6" s="1"/>
  <c r="G2625" i="6"/>
  <c r="G2624" i="6"/>
  <c r="G2623" i="6"/>
  <c r="G2622" i="6"/>
  <c r="G2621" i="6"/>
  <c r="G2619" i="6"/>
  <c r="G2617" i="6"/>
  <c r="G2616" i="6"/>
  <c r="G2615" i="6"/>
  <c r="G2613" i="6"/>
  <c r="G2612" i="6"/>
  <c r="G2611" i="6"/>
  <c r="G2610" i="6"/>
  <c r="H2610" i="6" s="1"/>
  <c r="G2609" i="6"/>
  <c r="G2608" i="6"/>
  <c r="G2607" i="6"/>
  <c r="G2606" i="6"/>
  <c r="G2605" i="6"/>
  <c r="G2604" i="6"/>
  <c r="G2603" i="6"/>
  <c r="G2601" i="6"/>
  <c r="G2600" i="6"/>
  <c r="G2599" i="6"/>
  <c r="G2598" i="6"/>
  <c r="G2597" i="6"/>
  <c r="G2596" i="6"/>
  <c r="G2595" i="6"/>
  <c r="G2593" i="6"/>
  <c r="G2592" i="6"/>
  <c r="G2591" i="6"/>
  <c r="G2589" i="6"/>
  <c r="G2588" i="6"/>
  <c r="G2587" i="6"/>
  <c r="G2586" i="6"/>
  <c r="H2586" i="6" s="1"/>
  <c r="G2585" i="6"/>
  <c r="G2584" i="6"/>
  <c r="G2583" i="6"/>
  <c r="G2582" i="6"/>
  <c r="G2581" i="6"/>
  <c r="E2580" i="6"/>
  <c r="E2579" i="6"/>
  <c r="G2577" i="6"/>
  <c r="G2576" i="6"/>
  <c r="G2575" i="6"/>
  <c r="G2574" i="6"/>
  <c r="G2573" i="6"/>
  <c r="E2572" i="6"/>
  <c r="E2571" i="6"/>
  <c r="G2569" i="6"/>
  <c r="G2568" i="6"/>
  <c r="G2567" i="6"/>
  <c r="G2566" i="6"/>
  <c r="G2565" i="6"/>
  <c r="E2564" i="6"/>
  <c r="E2563" i="6"/>
  <c r="G2562" i="6"/>
  <c r="G2561" i="6"/>
  <c r="G2560" i="6"/>
  <c r="G2559" i="6"/>
  <c r="G2557" i="6"/>
  <c r="G2556" i="6"/>
  <c r="G2555" i="6"/>
  <c r="G2553" i="6"/>
  <c r="G2552" i="6"/>
  <c r="G2551" i="6"/>
  <c r="G2550" i="6"/>
  <c r="H2550" i="6" s="1"/>
  <c r="G2549" i="6"/>
  <c r="G2548" i="6"/>
  <c r="G2547" i="6"/>
  <c r="G2546" i="6"/>
  <c r="G2545" i="6"/>
  <c r="G2544" i="6"/>
  <c r="G2543" i="6"/>
  <c r="G2541" i="6"/>
  <c r="G2540" i="6"/>
  <c r="G2539" i="6"/>
  <c r="G2537" i="6"/>
  <c r="G2536" i="6"/>
  <c r="G2535" i="6"/>
  <c r="G2534" i="6"/>
  <c r="H2534" i="6" s="1"/>
  <c r="G2533" i="6"/>
  <c r="G2532" i="6"/>
  <c r="G2531" i="6"/>
  <c r="G2530" i="6"/>
  <c r="G2529" i="6"/>
  <c r="G2527" i="6"/>
  <c r="G2525" i="6"/>
  <c r="G2524" i="6"/>
  <c r="G2523" i="6"/>
  <c r="G2521" i="6"/>
  <c r="G2520" i="6"/>
  <c r="G2519" i="6"/>
  <c r="G2518" i="6"/>
  <c r="H2518" i="6" s="1"/>
  <c r="G2517" i="6"/>
  <c r="G2516" i="6"/>
  <c r="G2515" i="6"/>
  <c r="G2514" i="6"/>
  <c r="G2513" i="6"/>
  <c r="G2512" i="6"/>
  <c r="G2511" i="6"/>
  <c r="G2509" i="6"/>
  <c r="G2508" i="6"/>
  <c r="G2507" i="6"/>
  <c r="G2505" i="6"/>
  <c r="G2504" i="6"/>
  <c r="G2503" i="6"/>
  <c r="G2502" i="6"/>
  <c r="H2502" i="6" s="1"/>
  <c r="G2501" i="6"/>
  <c r="G2500" i="6"/>
  <c r="G2499" i="6"/>
  <c r="G2498" i="6"/>
  <c r="G2497" i="6"/>
  <c r="G2496" i="6"/>
  <c r="G2495" i="6"/>
  <c r="G2493" i="6"/>
  <c r="G2492" i="6"/>
  <c r="G2491" i="6"/>
  <c r="G2489" i="6"/>
  <c r="G2488" i="6"/>
  <c r="G2487" i="6"/>
  <c r="G2486" i="6"/>
  <c r="H2486" i="6" s="1"/>
  <c r="G2485" i="6"/>
  <c r="G2484" i="6"/>
  <c r="G2483" i="6"/>
  <c r="G2482" i="6"/>
  <c r="G2481" i="6"/>
  <c r="G2480" i="6"/>
  <c r="G2479" i="6"/>
  <c r="G2477" i="6"/>
  <c r="G2476" i="6"/>
  <c r="G2475" i="6"/>
  <c r="G2473" i="6"/>
  <c r="G2472" i="6"/>
  <c r="G2471" i="6"/>
  <c r="G2470" i="6"/>
  <c r="H2470" i="6" s="1"/>
  <c r="G2469" i="6"/>
  <c r="G2468" i="6"/>
  <c r="G2467" i="6"/>
  <c r="G2466" i="6"/>
  <c r="G2465" i="6"/>
  <c r="G2464" i="6"/>
  <c r="G2463" i="6"/>
  <c r="G2461" i="6"/>
  <c r="G2460" i="6"/>
  <c r="G2459" i="6"/>
  <c r="G2457" i="6"/>
  <c r="G2456" i="6"/>
  <c r="G2455" i="6"/>
  <c r="G2454" i="6"/>
  <c r="H2454" i="6" s="1"/>
  <c r="G2453" i="6"/>
  <c r="G2452" i="6"/>
  <c r="G2451" i="6"/>
  <c r="G2450" i="6"/>
  <c r="G2449" i="6"/>
  <c r="G2448" i="6"/>
  <c r="G2447" i="6"/>
  <c r="G2445" i="6"/>
  <c r="G2444" i="6"/>
  <c r="G2443" i="6"/>
  <c r="E2442" i="6"/>
  <c r="G2442" i="6" s="1"/>
  <c r="H2442" i="6" s="1"/>
  <c r="G2441" i="6"/>
  <c r="G2440" i="6"/>
  <c r="G2439" i="6"/>
  <c r="G2438" i="6"/>
  <c r="G2437" i="6"/>
  <c r="G2435" i="6"/>
  <c r="G2433" i="6"/>
  <c r="G2432" i="6"/>
  <c r="G2431" i="6"/>
  <c r="G2429" i="6"/>
  <c r="G2428" i="6"/>
  <c r="G2427" i="6"/>
  <c r="G2426" i="6"/>
  <c r="H2426" i="6" s="1"/>
  <c r="G2425" i="6"/>
  <c r="G2424" i="6"/>
  <c r="G2423" i="6"/>
  <c r="G2422" i="6"/>
  <c r="G2421" i="6"/>
  <c r="G2420" i="6"/>
  <c r="G2419" i="6"/>
  <c r="G2417" i="6"/>
  <c r="G2416" i="6"/>
  <c r="G2415" i="6"/>
  <c r="G2413" i="6"/>
  <c r="G2412" i="6"/>
  <c r="G2411" i="6"/>
  <c r="G2410" i="6"/>
  <c r="H2410" i="6" s="1"/>
  <c r="G2409" i="6"/>
  <c r="G2408" i="6"/>
  <c r="G2407" i="6"/>
  <c r="G2406" i="6"/>
  <c r="G2405" i="6"/>
  <c r="G2403" i="6"/>
  <c r="G2401" i="6"/>
  <c r="G2400" i="6"/>
  <c r="G2399" i="6"/>
  <c r="G2397" i="6"/>
  <c r="G2396" i="6"/>
  <c r="G2395" i="6"/>
  <c r="G2394" i="6"/>
  <c r="G2393" i="6"/>
  <c r="G2392" i="6"/>
  <c r="G2391" i="6"/>
  <c r="G2390" i="6"/>
  <c r="G2389" i="6"/>
  <c r="G2388" i="6"/>
  <c r="G2387" i="6"/>
  <c r="G2385" i="6"/>
  <c r="G2384" i="6"/>
  <c r="G2383" i="6"/>
  <c r="G2382" i="6"/>
  <c r="G2379" i="6"/>
  <c r="G2378" i="6"/>
  <c r="G2377" i="6"/>
  <c r="G2373" i="6"/>
  <c r="G2372" i="6"/>
  <c r="G2371" i="6"/>
  <c r="G2370" i="6"/>
  <c r="G2366" i="6"/>
  <c r="G2365" i="6"/>
  <c r="G2364" i="6"/>
  <c r="G2363" i="6"/>
  <c r="G2362" i="6"/>
  <c r="E2361" i="6"/>
  <c r="E2360" i="6"/>
  <c r="G2359" i="6"/>
  <c r="G2358" i="6"/>
  <c r="G2357" i="6"/>
  <c r="E2356" i="6"/>
  <c r="E2355" i="6"/>
  <c r="G2354" i="6"/>
  <c r="G2353" i="6"/>
  <c r="G2352" i="6"/>
  <c r="G2351" i="6"/>
  <c r="G2350" i="6"/>
  <c r="G2349" i="6"/>
  <c r="G2348" i="6"/>
  <c r="G2345" i="6"/>
  <c r="G2344" i="6"/>
  <c r="G2343" i="6"/>
  <c r="G2342" i="6"/>
  <c r="E2341" i="6"/>
  <c r="G2340" i="6"/>
  <c r="G2339" i="6"/>
  <c r="G2338" i="6"/>
  <c r="G2337" i="6"/>
  <c r="G2335" i="6"/>
  <c r="G2334" i="6"/>
  <c r="G2333" i="6"/>
  <c r="G2330" i="6"/>
  <c r="G2328" i="6"/>
  <c r="G2324" i="6"/>
  <c r="G2323" i="6"/>
  <c r="G2322" i="6"/>
  <c r="G2319" i="6"/>
  <c r="G2318" i="6"/>
  <c r="G2317" i="6"/>
  <c r="G2316" i="6"/>
  <c r="G2313" i="6"/>
  <c r="G2312" i="6"/>
  <c r="G2311" i="6"/>
  <c r="G2310" i="6"/>
  <c r="G2306" i="6"/>
  <c r="G2305" i="6"/>
  <c r="G2304" i="6"/>
  <c r="G2299" i="6"/>
  <c r="G2297" i="6"/>
  <c r="G2294" i="6"/>
  <c r="G2292" i="6"/>
  <c r="G2291" i="6"/>
  <c r="G2290" i="6"/>
  <c r="E2287" i="6"/>
  <c r="E2286" i="6"/>
  <c r="G2286" i="6" s="1"/>
  <c r="E2285" i="6"/>
  <c r="E2284" i="6"/>
  <c r="G2282" i="6"/>
  <c r="G2281" i="6"/>
  <c r="G2280" i="6"/>
  <c r="E2277" i="6"/>
  <c r="E2276" i="6"/>
  <c r="G2276" i="6" s="1"/>
  <c r="E2275" i="6"/>
  <c r="E2274" i="6"/>
  <c r="G2272" i="6"/>
  <c r="G2270" i="6"/>
  <c r="E2267" i="6"/>
  <c r="G2266" i="6"/>
  <c r="E2266" i="6"/>
  <c r="E2265" i="6"/>
  <c r="E2264" i="6"/>
  <c r="G2263" i="6"/>
  <c r="G2262" i="6"/>
  <c r="G2261" i="6"/>
  <c r="G2260" i="6"/>
  <c r="E2257" i="6"/>
  <c r="E2256" i="6"/>
  <c r="E2255" i="6"/>
  <c r="E2254" i="6"/>
  <c r="G2252" i="6"/>
  <c r="G2251" i="6"/>
  <c r="G2250" i="6"/>
  <c r="E2247" i="6"/>
  <c r="G2246" i="6"/>
  <c r="E2246" i="6"/>
  <c r="E2245" i="6"/>
  <c r="E2244" i="6"/>
  <c r="G2242" i="6"/>
  <c r="G2241" i="6"/>
  <c r="G2240" i="6"/>
  <c r="G2239" i="6"/>
  <c r="G2236" i="6"/>
  <c r="G2235" i="6"/>
  <c r="G2234" i="6"/>
  <c r="E2231" i="6"/>
  <c r="E2230" i="6"/>
  <c r="G2230" i="6" s="1"/>
  <c r="E2229" i="6"/>
  <c r="E2227" i="6"/>
  <c r="E2226" i="6"/>
  <c r="G2222" i="6"/>
  <c r="G2221" i="6"/>
  <c r="G2220" i="6"/>
  <c r="G2219" i="6"/>
  <c r="G2216" i="6"/>
  <c r="G2215" i="6"/>
  <c r="G2214" i="6"/>
  <c r="G2210" i="6"/>
  <c r="G2209" i="6"/>
  <c r="G2208" i="6"/>
  <c r="G2207" i="6"/>
  <c r="G2203" i="6"/>
  <c r="G2202" i="6"/>
  <c r="G2201" i="6"/>
  <c r="E2198" i="6"/>
  <c r="G2196" i="6"/>
  <c r="G2195" i="6"/>
  <c r="G2194" i="6"/>
  <c r="G2191" i="6"/>
  <c r="G2190" i="6"/>
  <c r="G2189" i="6"/>
  <c r="G2188" i="6"/>
  <c r="G2187" i="6"/>
  <c r="E2186" i="6"/>
  <c r="E2185" i="6"/>
  <c r="G2183" i="6"/>
  <c r="G2182" i="6"/>
  <c r="G2181" i="6"/>
  <c r="G2180" i="6"/>
  <c r="G2179" i="6"/>
  <c r="E2178" i="6"/>
  <c r="E2177" i="6"/>
  <c r="G2176" i="6"/>
  <c r="G2175" i="6"/>
  <c r="G2174" i="6"/>
  <c r="G2173" i="6"/>
  <c r="G2172" i="6"/>
  <c r="G2171" i="6"/>
  <c r="E2170" i="6"/>
  <c r="E2169" i="6"/>
  <c r="G2167" i="6"/>
  <c r="G2165" i="6"/>
  <c r="G2164" i="6"/>
  <c r="G2163" i="6"/>
  <c r="E2162" i="6"/>
  <c r="E2161" i="6"/>
  <c r="G2160" i="6"/>
  <c r="G2159" i="6"/>
  <c r="G2158" i="6"/>
  <c r="G2157" i="6"/>
  <c r="G2156" i="6"/>
  <c r="G2155" i="6"/>
  <c r="E2154" i="6"/>
  <c r="E2153" i="6"/>
  <c r="G2151" i="6"/>
  <c r="G2150" i="6"/>
  <c r="G2149" i="6"/>
  <c r="G2148" i="6"/>
  <c r="G2147" i="6"/>
  <c r="E2146" i="6"/>
  <c r="E2145" i="6"/>
  <c r="G2143" i="6"/>
  <c r="G2142" i="6"/>
  <c r="G2141" i="6"/>
  <c r="G2140" i="6"/>
  <c r="G2139" i="6"/>
  <c r="E2138" i="6"/>
  <c r="E2137" i="6"/>
  <c r="G2135" i="6"/>
  <c r="G2133" i="6"/>
  <c r="G2132" i="6"/>
  <c r="G2131" i="6"/>
  <c r="E2130" i="6"/>
  <c r="E2129" i="6"/>
  <c r="G2128" i="6"/>
  <c r="G2127" i="6"/>
  <c r="G2126" i="6"/>
  <c r="G2125" i="6"/>
  <c r="G2121" i="6"/>
  <c r="G2120" i="6"/>
  <c r="G2119" i="6"/>
  <c r="G2115" i="6"/>
  <c r="G2114" i="6"/>
  <c r="G2113" i="6"/>
  <c r="G2109" i="6"/>
  <c r="G2107" i="6"/>
  <c r="G2103" i="6"/>
  <c r="G2102" i="6"/>
  <c r="G2101" i="6"/>
  <c r="G2100" i="6"/>
  <c r="G2097" i="6"/>
  <c r="G2096" i="6"/>
  <c r="G2095" i="6"/>
  <c r="G2094" i="6"/>
  <c r="G2093" i="6"/>
  <c r="E2092" i="6"/>
  <c r="E2091" i="6"/>
  <c r="G2090" i="6"/>
  <c r="G2089" i="6"/>
  <c r="G2088" i="6"/>
  <c r="G2087" i="6"/>
  <c r="G2086" i="6"/>
  <c r="G2085" i="6"/>
  <c r="E2084" i="6"/>
  <c r="E2083" i="6"/>
  <c r="G2082" i="6"/>
  <c r="G2081" i="6"/>
  <c r="G2080" i="6"/>
  <c r="G2079" i="6"/>
  <c r="G2078" i="6"/>
  <c r="G2077" i="6"/>
  <c r="E2076" i="6"/>
  <c r="E2075" i="6"/>
  <c r="G2074" i="6"/>
  <c r="G2073" i="6"/>
  <c r="G2072" i="6"/>
  <c r="G2071" i="6"/>
  <c r="G2070" i="6"/>
  <c r="G2069" i="6"/>
  <c r="E2068" i="6"/>
  <c r="E2067" i="6"/>
  <c r="G2066" i="6"/>
  <c r="G2065" i="6"/>
  <c r="G2064" i="6"/>
  <c r="G2063" i="6"/>
  <c r="G2062" i="6"/>
  <c r="G2061" i="6"/>
  <c r="E2060" i="6"/>
  <c r="E2059" i="6"/>
  <c r="G2058" i="6"/>
  <c r="G2057" i="6"/>
  <c r="G2056" i="6"/>
  <c r="G2055" i="6"/>
  <c r="G2054" i="6"/>
  <c r="G2053" i="6"/>
  <c r="E2052" i="6"/>
  <c r="E2051" i="6"/>
  <c r="G2050" i="6"/>
  <c r="G2049" i="6"/>
  <c r="G2048" i="6"/>
  <c r="G2047" i="6"/>
  <c r="G2046" i="6"/>
  <c r="G2045" i="6"/>
  <c r="E2044" i="6"/>
  <c r="E2043" i="6"/>
  <c r="G2042" i="6"/>
  <c r="G2041" i="6"/>
  <c r="G2040" i="6"/>
  <c r="G2039" i="6"/>
  <c r="G2038" i="6"/>
  <c r="G2037" i="6"/>
  <c r="E2036" i="6"/>
  <c r="E2035" i="6"/>
  <c r="G2034" i="6"/>
  <c r="G2033" i="6"/>
  <c r="G2032" i="6"/>
  <c r="G2031" i="6"/>
  <c r="G2030" i="6"/>
  <c r="G2029" i="6"/>
  <c r="E2028" i="6"/>
  <c r="E2027" i="6"/>
  <c r="G2026" i="6"/>
  <c r="G2025" i="6"/>
  <c r="G2024" i="6"/>
  <c r="G2023" i="6"/>
  <c r="G2022" i="6"/>
  <c r="G2021" i="6"/>
  <c r="E2020" i="6"/>
  <c r="E2019" i="6"/>
  <c r="G2018" i="6"/>
  <c r="G2017" i="6"/>
  <c r="G2016" i="6"/>
  <c r="G2015" i="6"/>
  <c r="G2014" i="6"/>
  <c r="G2013" i="6"/>
  <c r="E2012" i="6"/>
  <c r="E2011" i="6"/>
  <c r="G2010" i="6"/>
  <c r="G2009" i="6"/>
  <c r="G2008" i="6"/>
  <c r="G2007" i="6"/>
  <c r="G2006" i="6"/>
  <c r="G2003" i="6"/>
  <c r="G2002" i="6"/>
  <c r="G2001" i="6"/>
  <c r="G1997" i="6"/>
  <c r="G1996" i="6"/>
  <c r="G1995" i="6"/>
  <c r="G1994" i="6"/>
  <c r="G1989" i="6"/>
  <c r="G1988" i="6"/>
  <c r="G1987" i="6"/>
  <c r="G1983" i="6"/>
  <c r="G1982" i="6"/>
  <c r="G1981" i="6"/>
  <c r="G1980" i="6"/>
  <c r="G1975" i="6"/>
  <c r="G1974" i="6"/>
  <c r="G1973" i="6"/>
  <c r="G1972" i="6"/>
  <c r="G1971" i="6"/>
  <c r="G1967" i="6"/>
  <c r="G1966" i="6"/>
  <c r="G1965" i="6"/>
  <c r="G1964" i="6"/>
  <c r="G1963" i="6"/>
  <c r="G1959" i="6"/>
  <c r="G1958" i="6"/>
  <c r="G1957" i="6"/>
  <c r="G1955" i="6"/>
  <c r="G1952" i="6"/>
  <c r="G1951" i="6"/>
  <c r="G1950" i="6"/>
  <c r="G1948" i="6"/>
  <c r="G1945" i="6"/>
  <c r="G1944" i="6"/>
  <c r="G1943" i="6"/>
  <c r="G1942" i="6"/>
  <c r="G1939" i="6"/>
  <c r="G1938" i="6"/>
  <c r="G1937" i="6"/>
  <c r="G1936" i="6"/>
  <c r="G1933" i="6"/>
  <c r="G1932" i="6"/>
  <c r="G1931" i="6"/>
  <c r="G1930" i="6"/>
  <c r="G1929" i="6"/>
  <c r="G1928" i="6"/>
  <c r="G1926" i="6"/>
  <c r="G1925" i="6"/>
  <c r="G1924" i="6"/>
  <c r="G1923" i="6"/>
  <c r="G1921" i="6"/>
  <c r="G1920" i="6"/>
  <c r="G1919" i="6"/>
  <c r="G1918" i="6"/>
  <c r="G1916" i="6"/>
  <c r="G1915" i="6"/>
  <c r="G1914" i="6"/>
  <c r="G1913" i="6"/>
  <c r="G1910" i="6"/>
  <c r="G1909" i="6"/>
  <c r="G1908" i="6"/>
  <c r="G1905" i="6"/>
  <c r="G1904" i="6"/>
  <c r="G1903" i="6"/>
  <c r="G1900" i="6"/>
  <c r="G1899" i="6"/>
  <c r="G1898" i="6"/>
  <c r="E1897" i="6"/>
  <c r="E1896" i="6"/>
  <c r="G1895" i="6"/>
  <c r="G1894" i="6"/>
  <c r="G1893" i="6"/>
  <c r="G1889" i="6"/>
  <c r="G1888" i="6"/>
  <c r="G1887" i="6"/>
  <c r="G1886" i="6"/>
  <c r="G1883" i="6"/>
  <c r="G1882" i="6"/>
  <c r="G1881" i="6"/>
  <c r="G1880" i="6"/>
  <c r="G1877" i="6"/>
  <c r="G1876" i="6"/>
  <c r="G1875" i="6"/>
  <c r="G1874" i="6"/>
  <c r="G1871" i="6"/>
  <c r="G1870" i="6"/>
  <c r="G1869" i="6"/>
  <c r="G1868" i="6"/>
  <c r="G1865" i="6"/>
  <c r="G1864" i="6"/>
  <c r="G1863" i="6"/>
  <c r="G1862" i="6"/>
  <c r="G1859" i="6"/>
  <c r="G1858" i="6"/>
  <c r="G1857" i="6"/>
  <c r="G1856" i="6"/>
  <c r="G1853" i="6"/>
  <c r="G1852" i="6"/>
  <c r="G1851" i="6"/>
  <c r="G1850" i="6"/>
  <c r="G1847" i="6"/>
  <c r="G1846" i="6"/>
  <c r="G1845" i="6"/>
  <c r="G1844" i="6"/>
  <c r="G1841" i="6"/>
  <c r="G1840" i="6"/>
  <c r="G1839" i="6"/>
  <c r="G1838" i="6"/>
  <c r="G1835" i="6"/>
  <c r="G1834" i="6"/>
  <c r="G1833" i="6"/>
  <c r="G1832" i="6"/>
  <c r="G1829" i="6"/>
  <c r="G1828" i="6"/>
  <c r="G1827" i="6"/>
  <c r="G1826" i="6"/>
  <c r="G1823" i="6"/>
  <c r="G1822" i="6"/>
  <c r="G1821" i="6"/>
  <c r="G1817" i="6"/>
  <c r="G1816" i="6"/>
  <c r="G1815" i="6"/>
  <c r="G1814" i="6"/>
  <c r="G1813" i="6"/>
  <c r="G1810" i="6"/>
  <c r="G1809" i="6"/>
  <c r="G1808" i="6"/>
  <c r="G1807" i="6"/>
  <c r="G1804" i="6"/>
  <c r="G1803" i="6"/>
  <c r="G1802" i="6"/>
  <c r="G1799" i="6"/>
  <c r="G1798" i="6"/>
  <c r="G1797" i="6"/>
  <c r="G1794" i="6"/>
  <c r="G1793" i="6"/>
  <c r="G1792" i="6"/>
  <c r="G1788" i="6"/>
  <c r="G1787" i="6"/>
  <c r="G1786" i="6"/>
  <c r="G1785" i="6"/>
  <c r="G1783" i="6"/>
  <c r="G1780" i="6"/>
  <c r="G1779" i="6"/>
  <c r="G1778" i="6"/>
  <c r="G1776" i="6"/>
  <c r="G1773" i="6"/>
  <c r="G1772" i="6"/>
  <c r="G1771" i="6"/>
  <c r="G1769" i="6"/>
  <c r="G1766" i="6"/>
  <c r="G1765" i="6"/>
  <c r="G1764" i="6"/>
  <c r="G1762" i="6"/>
  <c r="G1759" i="6"/>
  <c r="G1758" i="6"/>
  <c r="G1757" i="6"/>
  <c r="G1755" i="6"/>
  <c r="G1752" i="6"/>
  <c r="G1751" i="6"/>
  <c r="G1750" i="6"/>
  <c r="G1748" i="6"/>
  <c r="G1745" i="6"/>
  <c r="G1744" i="6"/>
  <c r="G1743" i="6"/>
  <c r="G1741" i="6"/>
  <c r="G1738" i="6"/>
  <c r="G1737" i="6"/>
  <c r="G1736" i="6"/>
  <c r="G1733" i="6"/>
  <c r="G1732" i="6"/>
  <c r="G1731" i="6"/>
  <c r="G1730" i="6"/>
  <c r="G1729" i="6"/>
  <c r="G1728" i="6"/>
  <c r="G1727" i="6"/>
  <c r="G1726" i="6"/>
  <c r="G1723" i="6"/>
  <c r="G1722" i="6"/>
  <c r="G1721" i="6"/>
  <c r="G1720" i="6"/>
  <c r="G1719" i="6"/>
  <c r="G1718" i="6"/>
  <c r="G1717" i="6"/>
  <c r="G1716" i="6"/>
  <c r="G1713" i="6"/>
  <c r="G1712" i="6"/>
  <c r="G1711" i="6"/>
  <c r="G1710" i="6"/>
  <c r="G1709" i="6"/>
  <c r="G1708" i="6"/>
  <c r="G1707" i="6"/>
  <c r="G1706" i="6"/>
  <c r="G1703" i="6"/>
  <c r="G1702" i="6"/>
  <c r="G1701" i="6"/>
  <c r="G1700" i="6"/>
  <c r="G1699" i="6"/>
  <c r="G1698" i="6"/>
  <c r="G1697" i="6"/>
  <c r="G1696" i="6"/>
  <c r="G1695" i="6"/>
  <c r="G1694" i="6"/>
  <c r="G1693" i="6"/>
  <c r="G1690" i="6"/>
  <c r="G1689" i="6"/>
  <c r="G1688" i="6"/>
  <c r="G1685" i="6"/>
  <c r="G1684" i="6"/>
  <c r="G1683" i="6"/>
  <c r="G1682" i="6"/>
  <c r="G1680" i="6"/>
  <c r="G1677" i="6"/>
  <c r="G1676" i="6"/>
  <c r="G1675" i="6"/>
  <c r="G1674" i="6"/>
  <c r="G1673" i="6"/>
  <c r="G1670" i="6"/>
  <c r="G1669" i="6"/>
  <c r="G1668" i="6"/>
  <c r="G1667" i="6"/>
  <c r="G1664" i="6"/>
  <c r="G1663" i="6"/>
  <c r="G1662" i="6"/>
  <c r="G1661" i="6"/>
  <c r="G1659" i="6"/>
  <c r="G1658" i="6"/>
  <c r="G1657" i="6"/>
  <c r="G1656" i="6"/>
  <c r="G1654" i="6"/>
  <c r="G1653" i="6"/>
  <c r="G1652" i="6"/>
  <c r="G1651" i="6"/>
  <c r="G1649" i="6"/>
  <c r="G1648" i="6"/>
  <c r="G1647" i="6"/>
  <c r="G1646" i="6"/>
  <c r="E1645" i="6"/>
  <c r="E1644" i="6"/>
  <c r="G1643" i="6"/>
  <c r="G1642" i="6"/>
  <c r="G1641" i="6"/>
  <c r="G1638" i="6"/>
  <c r="G1637" i="6"/>
  <c r="G1636" i="6"/>
  <c r="G1635" i="6"/>
  <c r="G1631" i="6"/>
  <c r="G1630" i="6"/>
  <c r="G1629" i="6"/>
  <c r="G1628" i="6"/>
  <c r="G1625" i="6"/>
  <c r="G1624" i="6"/>
  <c r="G1623" i="6"/>
  <c r="G1622" i="6"/>
  <c r="G1620" i="6"/>
  <c r="G1619" i="6"/>
  <c r="G1618" i="6"/>
  <c r="G1615" i="6"/>
  <c r="G1614" i="6"/>
  <c r="G1613" i="6"/>
  <c r="G1612" i="6"/>
  <c r="G1609" i="6"/>
  <c r="G1608" i="6"/>
  <c r="G1607" i="6"/>
  <c r="G1606" i="6"/>
  <c r="G1605" i="6"/>
  <c r="G1603" i="6"/>
  <c r="G1602" i="6"/>
  <c r="G1601" i="6"/>
  <c r="G1600" i="6"/>
  <c r="G1599" i="6"/>
  <c r="E1598" i="6"/>
  <c r="E1597" i="6"/>
  <c r="G1596" i="6"/>
  <c r="G1595" i="6"/>
  <c r="G1594" i="6"/>
  <c r="G1590" i="6"/>
  <c r="G1589" i="6"/>
  <c r="G1588" i="6"/>
  <c r="G1587" i="6"/>
  <c r="G1583" i="6"/>
  <c r="G1582" i="6"/>
  <c r="G1581" i="6"/>
  <c r="G1580" i="6"/>
  <c r="G1575" i="6"/>
  <c r="G1574" i="6"/>
  <c r="G1573" i="6"/>
  <c r="G1572" i="6"/>
  <c r="G1570" i="6"/>
  <c r="G1568" i="6"/>
  <c r="G1566" i="6"/>
  <c r="G1564" i="6"/>
  <c r="G1561" i="6"/>
  <c r="G1560" i="6"/>
  <c r="G1559" i="6"/>
  <c r="G1558" i="6"/>
  <c r="G1554" i="6"/>
  <c r="G1553" i="6"/>
  <c r="G1552" i="6"/>
  <c r="G1551" i="6"/>
  <c r="G1546" i="6"/>
  <c r="G1545" i="6"/>
  <c r="G1544" i="6"/>
  <c r="G1539" i="6"/>
  <c r="G1538" i="6"/>
  <c r="G1537" i="6"/>
  <c r="G1532" i="6"/>
  <c r="G1531" i="6"/>
  <c r="G1530" i="6"/>
  <c r="G1527" i="6"/>
  <c r="G1526" i="6"/>
  <c r="G1525" i="6"/>
  <c r="G1524" i="6"/>
  <c r="G1521" i="6"/>
  <c r="G1520" i="6"/>
  <c r="G1519" i="6"/>
  <c r="G1518" i="6"/>
  <c r="G1515" i="6"/>
  <c r="G1514" i="6"/>
  <c r="G1513" i="6"/>
  <c r="G1512" i="6"/>
  <c r="G1509" i="6"/>
  <c r="G1508" i="6"/>
  <c r="G1507" i="6"/>
  <c r="G1506" i="6"/>
  <c r="G1503" i="6"/>
  <c r="G1502" i="6"/>
  <c r="G1501" i="6"/>
  <c r="G1500" i="6"/>
  <c r="G1499" i="6"/>
  <c r="G1498" i="6"/>
  <c r="G1496" i="6"/>
  <c r="G1494" i="6"/>
  <c r="G1492" i="6"/>
  <c r="G1491" i="6"/>
  <c r="G1490" i="6"/>
  <c r="G1487" i="6"/>
  <c r="G1486" i="6"/>
  <c r="G1485" i="6"/>
  <c r="G1484" i="6"/>
  <c r="G1483" i="6"/>
  <c r="G1481" i="6"/>
  <c r="G1479" i="6"/>
  <c r="G1477" i="6"/>
  <c r="G1476" i="6"/>
  <c r="G1475" i="6"/>
  <c r="G1472" i="6"/>
  <c r="G1471" i="6"/>
  <c r="G1470" i="6"/>
  <c r="G1469" i="6"/>
  <c r="G1468" i="6"/>
  <c r="G1466" i="6"/>
  <c r="G1464" i="6"/>
  <c r="G1462" i="6"/>
  <c r="G1461" i="6"/>
  <c r="G1460" i="6"/>
  <c r="G1457" i="6"/>
  <c r="G1456" i="6"/>
  <c r="G1455" i="6"/>
  <c r="G1454" i="6"/>
  <c r="G1453" i="6"/>
  <c r="G1451" i="6"/>
  <c r="G1449" i="6"/>
  <c r="G1447" i="6"/>
  <c r="G1446" i="6"/>
  <c r="G1445" i="6"/>
  <c r="G1442" i="6"/>
  <c r="G1441" i="6"/>
  <c r="G1440" i="6"/>
  <c r="G1439" i="6"/>
  <c r="G1438" i="6"/>
  <c r="G1436" i="6"/>
  <c r="G1434" i="6"/>
  <c r="G1432" i="6"/>
  <c r="G1431" i="6"/>
  <c r="G1430" i="6"/>
  <c r="G1427" i="6"/>
  <c r="G1426" i="6"/>
  <c r="G1425" i="6"/>
  <c r="G1424" i="6"/>
  <c r="G1423" i="6"/>
  <c r="G1421" i="6"/>
  <c r="G1419" i="6"/>
  <c r="G1417" i="6"/>
  <c r="G1416" i="6"/>
  <c r="G1415" i="6"/>
  <c r="G1412" i="6"/>
  <c r="G1411" i="6"/>
  <c r="G1410" i="6"/>
  <c r="G1409" i="6"/>
  <c r="G1408" i="6"/>
  <c r="G1406" i="6"/>
  <c r="G1404" i="6"/>
  <c r="G1402" i="6"/>
  <c r="G1401" i="6"/>
  <c r="G1400" i="6"/>
  <c r="G1397" i="6"/>
  <c r="G1396" i="6"/>
  <c r="G1395" i="6"/>
  <c r="G1390" i="6"/>
  <c r="G1389" i="6"/>
  <c r="G1388" i="6"/>
  <c r="G1385" i="6"/>
  <c r="G1384" i="6"/>
  <c r="G1383" i="6"/>
  <c r="G1382" i="6"/>
  <c r="G1381" i="6"/>
  <c r="G1378" i="6"/>
  <c r="G1377" i="6"/>
  <c r="G1376" i="6"/>
  <c r="G1372" i="6"/>
  <c r="G1371" i="6"/>
  <c r="G1370" i="6"/>
  <c r="G1369" i="6"/>
  <c r="G1368" i="6"/>
  <c r="G1365" i="6"/>
  <c r="G1364" i="6"/>
  <c r="G1363" i="6"/>
  <c r="G1362" i="6"/>
  <c r="G1359" i="6"/>
  <c r="G1358" i="6"/>
  <c r="G1357" i="6"/>
  <c r="G1356" i="6"/>
  <c r="G1353" i="6"/>
  <c r="G1352" i="6"/>
  <c r="G1351" i="6"/>
  <c r="G1346" i="6"/>
  <c r="G1345" i="6"/>
  <c r="G1344" i="6"/>
  <c r="G1343" i="6"/>
  <c r="G1340" i="6"/>
  <c r="G1339" i="6"/>
  <c r="G1338" i="6"/>
  <c r="G1333" i="6"/>
  <c r="G1332" i="6"/>
  <c r="G1331" i="6"/>
  <c r="G1328" i="6"/>
  <c r="G1327" i="6"/>
  <c r="G1326" i="6"/>
  <c r="G1325" i="6"/>
  <c r="G1322" i="6"/>
  <c r="G1321" i="6"/>
  <c r="G1320" i="6"/>
  <c r="G1319" i="6"/>
  <c r="G1316" i="6"/>
  <c r="G1315" i="6"/>
  <c r="G1314" i="6"/>
  <c r="G1313" i="6"/>
  <c r="G1310" i="6"/>
  <c r="G1309" i="6"/>
  <c r="G1308" i="6"/>
  <c r="G1307" i="6"/>
  <c r="G1306" i="6"/>
  <c r="G1303" i="6"/>
  <c r="G1300" i="6"/>
  <c r="G1299" i="6"/>
  <c r="G1298" i="6"/>
  <c r="G1293" i="6"/>
  <c r="G1292" i="6"/>
  <c r="G1291" i="6"/>
  <c r="G1290" i="6"/>
  <c r="G1288" i="6"/>
  <c r="G1285" i="6"/>
  <c r="G1284" i="6"/>
  <c r="G1283" i="6"/>
  <c r="G1279" i="6"/>
  <c r="G1278" i="6"/>
  <c r="G1277" i="6"/>
  <c r="G1276" i="6"/>
  <c r="G1272" i="6"/>
  <c r="G1271" i="6"/>
  <c r="G1270" i="6"/>
  <c r="G1269" i="6"/>
  <c r="G1265" i="6"/>
  <c r="G1264" i="6"/>
  <c r="G1263" i="6"/>
  <c r="G1262" i="6"/>
  <c r="G1261" i="6"/>
  <c r="G1258" i="6"/>
  <c r="G1257" i="6"/>
  <c r="G1256" i="6"/>
  <c r="G1252" i="6"/>
  <c r="G1251" i="6"/>
  <c r="G1250" i="6"/>
  <c r="G1249" i="6"/>
  <c r="G1244" i="6"/>
  <c r="G1243" i="6"/>
  <c r="G1242" i="6"/>
  <c r="G1238" i="6"/>
  <c r="G1237" i="6"/>
  <c r="G1236" i="6"/>
  <c r="G1235" i="6"/>
  <c r="G1232" i="6"/>
  <c r="G1231" i="6"/>
  <c r="G1230" i="6"/>
  <c r="G1229" i="6"/>
  <c r="G1226" i="6"/>
  <c r="G1225" i="6"/>
  <c r="G1224" i="6"/>
  <c r="G1223" i="6"/>
  <c r="G1220" i="6"/>
  <c r="G1219" i="6"/>
  <c r="G1218" i="6"/>
  <c r="G1217" i="6"/>
  <c r="G1214" i="6"/>
  <c r="G1213" i="6"/>
  <c r="G1212" i="6"/>
  <c r="G1211" i="6"/>
  <c r="G1206" i="6"/>
  <c r="G1205" i="6"/>
  <c r="G1204" i="6"/>
  <c r="G1200" i="6"/>
  <c r="G1199" i="6"/>
  <c r="G1198" i="6"/>
  <c r="G1197" i="6"/>
  <c r="G1193" i="6"/>
  <c r="G1192" i="6"/>
  <c r="G1191" i="6"/>
  <c r="G1190" i="6"/>
  <c r="G1186" i="6"/>
  <c r="G1185" i="6"/>
  <c r="G1184" i="6"/>
  <c r="G1183" i="6"/>
  <c r="G1179" i="6"/>
  <c r="G1178" i="6"/>
  <c r="G1177" i="6"/>
  <c r="G1176" i="6"/>
  <c r="G1172" i="6"/>
  <c r="G1171" i="6"/>
  <c r="G1170" i="6"/>
  <c r="G1169" i="6"/>
  <c r="G1165" i="6"/>
  <c r="G1164" i="6"/>
  <c r="G1163" i="6"/>
  <c r="G1162" i="6"/>
  <c r="G1158" i="6"/>
  <c r="G1157" i="6"/>
  <c r="G1156" i="6"/>
  <c r="G1155" i="6"/>
  <c r="G1150" i="6"/>
  <c r="G1149" i="6"/>
  <c r="G1148" i="6"/>
  <c r="G1144" i="6"/>
  <c r="G1143" i="6"/>
  <c r="G1142" i="6"/>
  <c r="G1141" i="6"/>
  <c r="G1137" i="6"/>
  <c r="G1136" i="6"/>
  <c r="G1135" i="6"/>
  <c r="G1134" i="6"/>
  <c r="G1129" i="6"/>
  <c r="G1128" i="6"/>
  <c r="G1127" i="6"/>
  <c r="G1124" i="6"/>
  <c r="G1123" i="6"/>
  <c r="G1122" i="6"/>
  <c r="G1119" i="6"/>
  <c r="G1118" i="6"/>
  <c r="G1117" i="6"/>
  <c r="G1116" i="6"/>
  <c r="G1114" i="6"/>
  <c r="G1113" i="6"/>
  <c r="G1112" i="6"/>
  <c r="G1111" i="6"/>
  <c r="G1109" i="6"/>
  <c r="G1108" i="6"/>
  <c r="G1107" i="6"/>
  <c r="G1106" i="6"/>
  <c r="G1101" i="6"/>
  <c r="G1100" i="6"/>
  <c r="G1099" i="6"/>
  <c r="G1098" i="6"/>
  <c r="G1097" i="6"/>
  <c r="G1096" i="6"/>
  <c r="E1095" i="6"/>
  <c r="E1094" i="6"/>
  <c r="G1091" i="6"/>
  <c r="G1090" i="6"/>
  <c r="G1089" i="6"/>
  <c r="G1088" i="6"/>
  <c r="G1083" i="6"/>
  <c r="G1082" i="6"/>
  <c r="G1081" i="6"/>
  <c r="G1080" i="6"/>
  <c r="G1074" i="6"/>
  <c r="G1073" i="6"/>
  <c r="G1072" i="6"/>
  <c r="G1071" i="6"/>
  <c r="G1070" i="6"/>
  <c r="E1069" i="6"/>
  <c r="E1068" i="6"/>
  <c r="G1066" i="6"/>
  <c r="G1065" i="6"/>
  <c r="G1064" i="6"/>
  <c r="G1063" i="6"/>
  <c r="G1058" i="6"/>
  <c r="G1057" i="6"/>
  <c r="G1056" i="6"/>
  <c r="G1052" i="6"/>
  <c r="G1051" i="6"/>
  <c r="G1050" i="6"/>
  <c r="G1049" i="6"/>
  <c r="G1045" i="6"/>
  <c r="G1044" i="6"/>
  <c r="G1043" i="6"/>
  <c r="G1042" i="6"/>
  <c r="G1038" i="6"/>
  <c r="G1037" i="6"/>
  <c r="G1036" i="6"/>
  <c r="G1035" i="6"/>
  <c r="G1029" i="6"/>
  <c r="G1028" i="6"/>
  <c r="G1027" i="6"/>
  <c r="G1026" i="6"/>
  <c r="G1020" i="6"/>
  <c r="G1019" i="6"/>
  <c r="G1018" i="6"/>
  <c r="G1017" i="6"/>
  <c r="G1016" i="6"/>
  <c r="G1014" i="6"/>
  <c r="G1013" i="6"/>
  <c r="G1012" i="6"/>
  <c r="G1011" i="6"/>
  <c r="G1004" i="6"/>
  <c r="G1003" i="6"/>
  <c r="G1002" i="6"/>
  <c r="G1000" i="6"/>
  <c r="G999" i="6"/>
  <c r="G998" i="6"/>
  <c r="G997" i="6"/>
  <c r="G995" i="6"/>
  <c r="G994" i="6"/>
  <c r="G993" i="6"/>
  <c r="G992" i="6"/>
  <c r="G985" i="6"/>
  <c r="G984" i="6"/>
  <c r="G983" i="6"/>
  <c r="G976" i="6"/>
  <c r="G975" i="6"/>
  <c r="G974" i="6"/>
  <c r="G970" i="6"/>
  <c r="G969" i="6"/>
  <c r="G968" i="6"/>
  <c r="G967" i="6"/>
  <c r="G963" i="6"/>
  <c r="G962" i="6"/>
  <c r="G961" i="6"/>
  <c r="G960" i="6"/>
  <c r="G955" i="6"/>
  <c r="G954" i="6"/>
  <c r="G953" i="6"/>
  <c r="G949" i="6"/>
  <c r="G948" i="6"/>
  <c r="G947" i="6"/>
  <c r="G942" i="6"/>
  <c r="G940" i="6"/>
  <c r="G935" i="6"/>
  <c r="G934" i="6"/>
  <c r="G933" i="6"/>
  <c r="G930" i="6"/>
  <c r="G928" i="6"/>
  <c r="G926" i="6"/>
  <c r="G921" i="6"/>
  <c r="G920" i="6"/>
  <c r="G919" i="6"/>
  <c r="G914" i="6"/>
  <c r="G912" i="6"/>
  <c r="G911" i="6"/>
  <c r="G908" i="6"/>
  <c r="G907" i="6"/>
  <c r="G906" i="6"/>
  <c r="E905" i="6"/>
  <c r="G904" i="6"/>
  <c r="G903" i="6"/>
  <c r="G902" i="6"/>
  <c r="G901" i="6"/>
  <c r="G900" i="6"/>
  <c r="G897" i="6"/>
  <c r="G896" i="6"/>
  <c r="G895" i="6"/>
  <c r="E894" i="6"/>
  <c r="E893" i="6"/>
  <c r="G892" i="6"/>
  <c r="G891" i="6"/>
  <c r="G890" i="6"/>
  <c r="G884" i="6"/>
  <c r="G882" i="6"/>
  <c r="G877" i="6"/>
  <c r="G876" i="6"/>
  <c r="G875" i="6"/>
  <c r="G874" i="6"/>
  <c r="G873" i="6"/>
  <c r="G872" i="6"/>
  <c r="E871" i="6"/>
  <c r="G868" i="6"/>
  <c r="G867" i="6"/>
  <c r="G866" i="6"/>
  <c r="G863" i="6"/>
  <c r="G862" i="6"/>
  <c r="G861" i="6"/>
  <c r="G858" i="6"/>
  <c r="G857" i="6"/>
  <c r="G856" i="6"/>
  <c r="G855" i="6"/>
  <c r="G854" i="6"/>
  <c r="E853" i="6"/>
  <c r="G851" i="6"/>
  <c r="G850" i="6"/>
  <c r="G849" i="6"/>
  <c r="G848" i="6"/>
  <c r="G846" i="6"/>
  <c r="G845" i="6"/>
  <c r="G844" i="6"/>
  <c r="G840" i="6"/>
  <c r="G839" i="6"/>
  <c r="G838" i="6"/>
  <c r="G833" i="6"/>
  <c r="G832" i="6"/>
  <c r="G831" i="6"/>
  <c r="G828" i="6"/>
  <c r="G827" i="6"/>
  <c r="G826" i="6"/>
  <c r="E825" i="6"/>
  <c r="G824" i="6"/>
  <c r="G823" i="6"/>
  <c r="G822" i="6"/>
  <c r="E820" i="6"/>
  <c r="G819" i="6"/>
  <c r="G818" i="6"/>
  <c r="G817" i="6"/>
  <c r="G815" i="6"/>
  <c r="G814" i="6"/>
  <c r="G813" i="6"/>
  <c r="G809" i="6"/>
  <c r="G805" i="6"/>
  <c r="G804" i="6"/>
  <c r="G803" i="6"/>
  <c r="G792" i="6"/>
  <c r="G791" i="6"/>
  <c r="G790" i="6"/>
  <c r="G789" i="6"/>
  <c r="G788" i="6"/>
  <c r="G787" i="6"/>
  <c r="G784" i="6"/>
  <c r="G783" i="6"/>
  <c r="G782" i="6"/>
  <c r="G775" i="6"/>
  <c r="G773" i="6"/>
  <c r="G772" i="6"/>
  <c r="G771" i="6"/>
  <c r="E770" i="6"/>
  <c r="G768" i="6"/>
  <c r="G767" i="6"/>
  <c r="G766" i="6"/>
  <c r="G765" i="6"/>
  <c r="G757" i="6"/>
  <c r="G756" i="6"/>
  <c r="G755" i="6"/>
  <c r="G754" i="6"/>
  <c r="E751" i="6"/>
  <c r="G751" i="6" s="1"/>
  <c r="E750" i="6"/>
  <c r="G750" i="6" s="1"/>
  <c r="G749" i="6"/>
  <c r="G748" i="6"/>
  <c r="G747" i="6"/>
  <c r="G746" i="6"/>
  <c r="G745" i="6"/>
  <c r="G744" i="6"/>
  <c r="G743" i="6"/>
  <c r="E742" i="6"/>
  <c r="G742" i="6" s="1"/>
  <c r="E741" i="6"/>
  <c r="G741" i="6"/>
  <c r="E740" i="6"/>
  <c r="G740" i="6" s="1"/>
  <c r="E739" i="6"/>
  <c r="G739" i="6" s="1"/>
  <c r="G738" i="6"/>
  <c r="E738" i="6"/>
  <c r="G737" i="6"/>
  <c r="G736" i="6"/>
  <c r="G735" i="6"/>
  <c r="G731" i="6"/>
  <c r="G730" i="6"/>
  <c r="G729" i="6"/>
  <c r="E728" i="6"/>
  <c r="E727" i="6"/>
  <c r="E726" i="6"/>
  <c r="E725" i="6"/>
  <c r="G725" i="6" s="1"/>
  <c r="G724" i="6"/>
  <c r="G723" i="6"/>
  <c r="G722" i="6"/>
  <c r="E721" i="6"/>
  <c r="E720" i="6"/>
  <c r="E719" i="6"/>
  <c r="E718" i="6"/>
  <c r="E717" i="6"/>
  <c r="E716" i="6"/>
  <c r="G716" i="6" s="1"/>
  <c r="G715" i="6"/>
  <c r="G714" i="6"/>
  <c r="G713" i="6"/>
  <c r="E712" i="6"/>
  <c r="E711" i="6"/>
  <c r="E710" i="6"/>
  <c r="E709" i="6"/>
  <c r="E708" i="6"/>
  <c r="E707" i="6"/>
  <c r="G706" i="6"/>
  <c r="E706" i="6"/>
  <c r="G705" i="6"/>
  <c r="G704" i="6"/>
  <c r="G703" i="6"/>
  <c r="E702" i="6"/>
  <c r="E701" i="6"/>
  <c r="E700" i="6"/>
  <c r="E699" i="6"/>
  <c r="E698" i="6"/>
  <c r="G698" i="6" s="1"/>
  <c r="G697" i="6"/>
  <c r="G696" i="6"/>
  <c r="G695" i="6"/>
  <c r="G689" i="6"/>
  <c r="G687" i="6"/>
  <c r="G686" i="6"/>
  <c r="G685" i="6"/>
  <c r="E684" i="6"/>
  <c r="G684" i="6"/>
  <c r="E683" i="6"/>
  <c r="G683" i="6" s="1"/>
  <c r="E682" i="6"/>
  <c r="G682" i="6"/>
  <c r="E681" i="6"/>
  <c r="G681" i="6" s="1"/>
  <c r="E680" i="6"/>
  <c r="G680" i="6" s="1"/>
  <c r="G679" i="6"/>
  <c r="E679" i="6"/>
  <c r="E678" i="6"/>
  <c r="G677" i="6"/>
  <c r="G676" i="6"/>
  <c r="G675" i="6"/>
  <c r="E674" i="6"/>
  <c r="G674" i="6"/>
  <c r="E673" i="6"/>
  <c r="G673" i="6" s="1"/>
  <c r="E672" i="6"/>
  <c r="G672" i="6"/>
  <c r="E671" i="6"/>
  <c r="G671" i="6" s="1"/>
  <c r="E670" i="6"/>
  <c r="G670" i="6" s="1"/>
  <c r="G669" i="6"/>
  <c r="G668" i="6"/>
  <c r="G667" i="6"/>
  <c r="G666" i="6"/>
  <c r="G665" i="6"/>
  <c r="G664" i="6"/>
  <c r="G663" i="6"/>
  <c r="G662" i="6"/>
  <c r="G661" i="6"/>
  <c r="G660" i="6"/>
  <c r="G659" i="6"/>
  <c r="G657" i="6"/>
  <c r="G656" i="6"/>
  <c r="G655" i="6"/>
  <c r="G653" i="6"/>
  <c r="G652" i="6"/>
  <c r="G651" i="6"/>
  <c r="G649" i="6"/>
  <c r="G648" i="6"/>
  <c r="G647" i="6"/>
  <c r="G645" i="6"/>
  <c r="G644" i="6"/>
  <c r="G643" i="6"/>
  <c r="G639" i="6"/>
  <c r="G638" i="6"/>
  <c r="G637" i="6"/>
  <c r="G636" i="6"/>
  <c r="G635" i="6"/>
  <c r="G630" i="6"/>
  <c r="G629" i="6"/>
  <c r="G628" i="6"/>
  <c r="G627" i="6"/>
  <c r="G626" i="6"/>
  <c r="G622" i="6"/>
  <c r="G621" i="6"/>
  <c r="G620" i="6"/>
  <c r="G616" i="6"/>
  <c r="G614" i="6"/>
  <c r="G613" i="6"/>
  <c r="G612" i="6"/>
  <c r="G611" i="6"/>
  <c r="E611" i="6"/>
  <c r="E610" i="6"/>
  <c r="G610" i="6" s="1"/>
  <c r="G609" i="6"/>
  <c r="E609" i="6"/>
  <c r="E608" i="6"/>
  <c r="G608" i="6" s="1"/>
  <c r="G607" i="6"/>
  <c r="G606" i="6"/>
  <c r="G605" i="6"/>
  <c r="G604" i="6"/>
  <c r="G603" i="6"/>
  <c r="E602" i="6"/>
  <c r="E601" i="6"/>
  <c r="E600" i="6"/>
  <c r="E599" i="6"/>
  <c r="E598" i="6"/>
  <c r="G598" i="6" s="1"/>
  <c r="G597" i="6"/>
  <c r="G595" i="6"/>
  <c r="G594" i="6"/>
  <c r="G590" i="6"/>
  <c r="G589" i="6"/>
  <c r="G588" i="6"/>
  <c r="G587" i="6"/>
  <c r="G586" i="6"/>
  <c r="G585" i="6"/>
  <c r="E584" i="6"/>
  <c r="E583" i="6"/>
  <c r="E582" i="6"/>
  <c r="E581" i="6"/>
  <c r="G581" i="6" s="1"/>
  <c r="G580" i="6"/>
  <c r="G579" i="6"/>
  <c r="G578" i="6"/>
  <c r="G577" i="6"/>
  <c r="G576" i="6"/>
  <c r="E575" i="6"/>
  <c r="E574" i="6"/>
  <c r="E573" i="6"/>
  <c r="E572" i="6"/>
  <c r="E571" i="6"/>
  <c r="G571" i="6" s="1"/>
  <c r="G570" i="6"/>
  <c r="G569" i="6"/>
  <c r="G568" i="6"/>
  <c r="G567" i="6"/>
  <c r="G562" i="6"/>
  <c r="G561" i="6"/>
  <c r="G560" i="6"/>
  <c r="G556" i="6"/>
  <c r="G555" i="6"/>
  <c r="G554" i="6"/>
  <c r="G553" i="6"/>
  <c r="G552" i="6"/>
  <c r="G551" i="6"/>
  <c r="G546" i="6"/>
  <c r="G544" i="6"/>
  <c r="G542" i="6"/>
  <c r="G538" i="6"/>
  <c r="G537" i="6"/>
  <c r="G536" i="6"/>
  <c r="G532" i="6"/>
  <c r="G530" i="6"/>
  <c r="E527" i="6"/>
  <c r="G527" i="6" s="1"/>
  <c r="G525" i="6"/>
  <c r="G524" i="6"/>
  <c r="G523" i="6"/>
  <c r="G520" i="6"/>
  <c r="E519" i="6"/>
  <c r="G519" i="6" s="1"/>
  <c r="G518" i="6"/>
  <c r="G517" i="6"/>
  <c r="G516" i="6"/>
  <c r="G512" i="6"/>
  <c r="G511" i="6"/>
  <c r="G510" i="6"/>
  <c r="G507" i="6"/>
  <c r="G506" i="6"/>
  <c r="G505" i="6"/>
  <c r="G504" i="6"/>
  <c r="G503" i="6"/>
  <c r="G498" i="6"/>
  <c r="G497" i="6"/>
  <c r="G496" i="6"/>
  <c r="G495" i="6"/>
  <c r="G494" i="6"/>
  <c r="G493" i="6"/>
  <c r="E492" i="6"/>
  <c r="G492" i="6" s="1"/>
  <c r="E491" i="6"/>
  <c r="G490" i="6"/>
  <c r="G488" i="6"/>
  <c r="G487" i="6"/>
  <c r="G484" i="6"/>
  <c r="G483" i="6"/>
  <c r="G482" i="6"/>
  <c r="G481" i="6"/>
  <c r="G480" i="6"/>
  <c r="G479" i="6"/>
  <c r="G478" i="6"/>
  <c r="G477" i="6"/>
  <c r="G476" i="6"/>
  <c r="E476" i="6"/>
  <c r="G475" i="6"/>
  <c r="G474" i="6"/>
  <c r="G473" i="6"/>
  <c r="G472" i="6"/>
  <c r="G471" i="6"/>
  <c r="G470" i="6"/>
  <c r="E469" i="6"/>
  <c r="E468" i="6"/>
  <c r="E467" i="6"/>
  <c r="E466" i="6"/>
  <c r="G465" i="6"/>
  <c r="G464" i="6"/>
  <c r="G463" i="6"/>
  <c r="G462" i="6"/>
  <c r="G461" i="6"/>
  <c r="G460" i="6"/>
  <c r="E459" i="6"/>
  <c r="E457" i="6"/>
  <c r="E456" i="6"/>
  <c r="G455" i="6"/>
  <c r="G454" i="6"/>
  <c r="G453" i="6"/>
  <c r="G452" i="6"/>
  <c r="G451" i="6"/>
  <c r="G450" i="6"/>
  <c r="E450" i="6"/>
  <c r="G447" i="6"/>
  <c r="G446" i="6"/>
  <c r="G445" i="6"/>
  <c r="G441" i="6"/>
  <c r="G439" i="6"/>
  <c r="G435" i="6"/>
  <c r="G434" i="6"/>
  <c r="G433" i="6"/>
  <c r="G432" i="6"/>
  <c r="G428" i="6"/>
  <c r="G423" i="6"/>
  <c r="G421" i="6"/>
  <c r="E420" i="6"/>
  <c r="E419" i="6"/>
  <c r="G417" i="6"/>
  <c r="G416" i="6"/>
  <c r="G414" i="6"/>
  <c r="G403" i="6"/>
  <c r="G402" i="6"/>
  <c r="G401" i="6"/>
  <c r="G400" i="6"/>
  <c r="G395" i="6"/>
  <c r="G394" i="6"/>
  <c r="G393" i="6"/>
  <c r="G382" i="6"/>
  <c r="G381" i="6"/>
  <c r="G379" i="6"/>
  <c r="G373" i="6"/>
  <c r="G372" i="6"/>
  <c r="G370" i="6"/>
  <c r="G367" i="6"/>
  <c r="G366" i="6"/>
  <c r="G365" i="6"/>
  <c r="G364" i="6"/>
  <c r="G363" i="6"/>
  <c r="G362" i="6"/>
  <c r="E361" i="6"/>
  <c r="E360" i="6"/>
  <c r="G358" i="6"/>
  <c r="G352" i="6"/>
  <c r="G351" i="6"/>
  <c r="G350" i="6"/>
  <c r="G342" i="6"/>
  <c r="G341" i="6"/>
  <c r="G340" i="6"/>
  <c r="G336" i="6"/>
  <c r="E334" i="6"/>
  <c r="G333" i="6"/>
  <c r="G328" i="6"/>
  <c r="G327" i="6"/>
  <c r="G326" i="6"/>
  <c r="G325" i="6"/>
  <c r="G322" i="6"/>
  <c r="G321" i="6"/>
  <c r="G320" i="6"/>
  <c r="G319" i="6"/>
  <c r="G318" i="6"/>
  <c r="G317" i="6"/>
  <c r="E316" i="6"/>
  <c r="E315" i="6"/>
  <c r="G306" i="6"/>
  <c r="G305" i="6"/>
  <c r="G304" i="6"/>
  <c r="G303" i="6"/>
  <c r="G302" i="6"/>
  <c r="E301" i="6"/>
  <c r="E300" i="6"/>
  <c r="G291" i="6"/>
  <c r="G290" i="6"/>
  <c r="G289" i="6"/>
  <c r="G284" i="6"/>
  <c r="G283" i="6"/>
  <c r="G282" i="6"/>
  <c r="G277" i="6"/>
  <c r="G276" i="6"/>
  <c r="G275" i="6"/>
  <c r="G269" i="6"/>
  <c r="G267" i="6"/>
  <c r="G264" i="6"/>
  <c r="G262" i="6"/>
  <c r="G261" i="6"/>
  <c r="G259" i="6"/>
  <c r="G249" i="6"/>
  <c r="G248" i="6"/>
  <c r="G247" i="6"/>
  <c r="G241" i="6"/>
  <c r="G240" i="6"/>
  <c r="G239" i="6"/>
  <c r="G237" i="6"/>
  <c r="G236" i="6"/>
  <c r="G235" i="6"/>
  <c r="G234" i="6"/>
  <c r="G233" i="6"/>
  <c r="G232" i="6"/>
  <c r="G231" i="6"/>
  <c r="G230" i="6"/>
  <c r="G229" i="6"/>
  <c r="G228" i="6"/>
  <c r="G227" i="6"/>
  <c r="G225" i="6"/>
  <c r="G224" i="6"/>
  <c r="G223" i="6"/>
  <c r="G220" i="6"/>
  <c r="G219" i="6"/>
  <c r="G218" i="6"/>
  <c r="G215" i="6"/>
  <c r="G214" i="6"/>
  <c r="G213" i="6"/>
  <c r="G211" i="6"/>
  <c r="G210" i="6"/>
  <c r="G209" i="6"/>
  <c r="G206" i="6"/>
  <c r="G205" i="6"/>
  <c r="G204" i="6"/>
  <c r="E203" i="6"/>
  <c r="G202" i="6"/>
  <c r="G201" i="6"/>
  <c r="G200" i="6"/>
  <c r="G198" i="6"/>
  <c r="G197" i="6"/>
  <c r="G196" i="6"/>
  <c r="G191" i="6"/>
  <c r="G190" i="6"/>
  <c r="G189" i="6"/>
  <c r="G188" i="6"/>
  <c r="G187" i="6"/>
  <c r="E186" i="6"/>
  <c r="E185" i="6"/>
  <c r="G184" i="6"/>
  <c r="G182" i="6"/>
  <c r="G180" i="6"/>
  <c r="G179" i="6"/>
  <c r="G178" i="6"/>
  <c r="E177" i="6"/>
  <c r="G176" i="6"/>
  <c r="G175" i="6"/>
  <c r="G174" i="6"/>
  <c r="G172" i="6"/>
  <c r="G171" i="6"/>
  <c r="G170" i="6"/>
  <c r="G167" i="6"/>
  <c r="G165" i="6"/>
  <c r="G162" i="6"/>
  <c r="G160" i="6"/>
  <c r="G159" i="6"/>
  <c r="G158" i="6"/>
  <c r="E157" i="6"/>
  <c r="E156" i="6"/>
  <c r="G155" i="6"/>
  <c r="G153" i="6"/>
  <c r="G150" i="6"/>
  <c r="G148" i="6"/>
  <c r="G145" i="6"/>
  <c r="G144" i="6"/>
  <c r="G143" i="6"/>
  <c r="G140" i="6"/>
  <c r="G138" i="6"/>
  <c r="E137" i="6"/>
  <c r="G136" i="6"/>
  <c r="G135" i="6"/>
  <c r="G134" i="6"/>
  <c r="G132" i="6"/>
  <c r="G131" i="6"/>
  <c r="G130" i="6"/>
  <c r="G127" i="6"/>
  <c r="G126" i="6"/>
  <c r="G125" i="6"/>
  <c r="G122" i="6"/>
  <c r="G121" i="6"/>
  <c r="G120" i="6"/>
  <c r="G117" i="6"/>
  <c r="G116" i="6"/>
  <c r="G115" i="6"/>
  <c r="G112" i="6"/>
  <c r="G111" i="6"/>
  <c r="G110" i="6"/>
  <c r="G107" i="6"/>
  <c r="G106" i="6"/>
  <c r="G105" i="6"/>
  <c r="E104" i="6"/>
  <c r="G103" i="6"/>
  <c r="G102" i="6"/>
  <c r="G101" i="6"/>
  <c r="G98" i="6"/>
  <c r="G97" i="6"/>
  <c r="G96" i="6"/>
  <c r="E95" i="6"/>
  <c r="E94" i="6"/>
  <c r="G93" i="6"/>
  <c r="G92" i="6"/>
  <c r="G91" i="6"/>
  <c r="E90" i="6"/>
  <c r="E89" i="6"/>
  <c r="G88" i="6"/>
  <c r="G87" i="6"/>
  <c r="G86" i="6"/>
  <c r="G83" i="6"/>
  <c r="G82" i="6"/>
  <c r="G81" i="6"/>
  <c r="G78" i="6"/>
  <c r="G77" i="6"/>
  <c r="G76" i="6"/>
  <c r="G70" i="6"/>
  <c r="G69" i="6"/>
  <c r="G68" i="6"/>
  <c r="G65" i="6"/>
  <c r="G64" i="6"/>
  <c r="G63" i="6"/>
  <c r="G60" i="6"/>
  <c r="G59" i="6"/>
  <c r="G58" i="6"/>
  <c r="G53" i="6"/>
  <c r="G51" i="6"/>
  <c r="E50" i="6"/>
  <c r="E49" i="6"/>
  <c r="G48" i="6"/>
  <c r="G47" i="6"/>
  <c r="G46" i="6"/>
  <c r="G43" i="6"/>
  <c r="G42" i="6"/>
  <c r="G41" i="6"/>
  <c r="G38" i="6"/>
  <c r="G37" i="6"/>
  <c r="G36" i="6"/>
  <c r="G34" i="6"/>
  <c r="G33" i="6"/>
  <c r="G32" i="6"/>
  <c r="G29" i="6"/>
  <c r="G28" i="6"/>
  <c r="G27" i="6"/>
  <c r="G24" i="6"/>
  <c r="G23" i="6"/>
  <c r="G22" i="6"/>
  <c r="G21" i="6"/>
  <c r="G19" i="6"/>
  <c r="G18" i="6"/>
  <c r="G17" i="6"/>
  <c r="G15" i="6"/>
  <c r="G14" i="6"/>
  <c r="G13" i="6"/>
  <c r="G11" i="6"/>
  <c r="G10" i="6"/>
  <c r="G9" i="6"/>
  <c r="G7" i="6"/>
  <c r="G925" i="6"/>
  <c r="H519" i="6" l="1"/>
  <c r="I147" i="13" s="1"/>
  <c r="H670" i="6"/>
  <c r="I80" i="13" s="1"/>
  <c r="H738" i="6"/>
  <c r="G16" i="6"/>
  <c r="G20" i="6"/>
  <c r="G44" i="6"/>
  <c r="G55" i="6"/>
  <c r="G66" i="6"/>
  <c r="G74" i="6"/>
  <c r="G80" i="6"/>
  <c r="G95" i="6"/>
  <c r="G147" i="6"/>
  <c r="G152" i="6"/>
  <c r="G193" i="6"/>
  <c r="G199" i="6"/>
  <c r="G216" i="6"/>
  <c r="G251" i="6"/>
  <c r="G253" i="6"/>
  <c r="G260" i="6"/>
  <c r="G281" i="6"/>
  <c r="G298" i="6"/>
  <c r="G309" i="6"/>
  <c r="G329" i="6"/>
  <c r="G331" i="6"/>
  <c r="G347" i="6"/>
  <c r="G353" i="6"/>
  <c r="G374" i="6"/>
  <c r="G384" i="6"/>
  <c r="G391" i="6"/>
  <c r="G405" i="6"/>
  <c r="G583" i="6"/>
  <c r="G49" i="6"/>
  <c r="G71" i="6"/>
  <c r="G84" i="6"/>
  <c r="G99" i="6"/>
  <c r="G164" i="6"/>
  <c r="G169" i="6"/>
  <c r="G181" i="6"/>
  <c r="G221" i="6"/>
  <c r="G238" i="6"/>
  <c r="G242" i="6"/>
  <c r="G257" i="6"/>
  <c r="G272" i="6"/>
  <c r="G286" i="6"/>
  <c r="G295" i="6"/>
  <c r="G313" i="6"/>
  <c r="G324" i="6"/>
  <c r="G344" i="6"/>
  <c r="G357" i="6"/>
  <c r="G378" i="6"/>
  <c r="G388" i="6"/>
  <c r="G396" i="6"/>
  <c r="G409" i="6"/>
  <c r="G466" i="6"/>
  <c r="G617" i="6"/>
  <c r="H666" i="6"/>
  <c r="G56" i="6"/>
  <c r="G75" i="6"/>
  <c r="G79" i="6"/>
  <c r="G137" i="6"/>
  <c r="H137" i="6" s="1"/>
  <c r="G142" i="6"/>
  <c r="G194" i="6"/>
  <c r="H234" i="6"/>
  <c r="G246" i="6"/>
  <c r="G254" i="6"/>
  <c r="G280" i="6"/>
  <c r="G299" i="6"/>
  <c r="G310" i="6"/>
  <c r="G332" i="6"/>
  <c r="G335" i="6"/>
  <c r="G359" i="6"/>
  <c r="G375" i="6"/>
  <c r="G383" i="6"/>
  <c r="G392" i="6"/>
  <c r="G406" i="6"/>
  <c r="G413" i="6"/>
  <c r="G467" i="6"/>
  <c r="G468" i="6"/>
  <c r="G469" i="6"/>
  <c r="G533" i="6"/>
  <c r="H746" i="6"/>
  <c r="G39" i="6"/>
  <c r="G50" i="6"/>
  <c r="G61" i="6"/>
  <c r="G85" i="6"/>
  <c r="G100" i="6"/>
  <c r="G226" i="6"/>
  <c r="H230" i="6"/>
  <c r="G243" i="6"/>
  <c r="G258" i="6"/>
  <c r="G266" i="6"/>
  <c r="G271" i="6"/>
  <c r="G285" i="6"/>
  <c r="G294" i="6"/>
  <c r="G314" i="6"/>
  <c r="G334" i="6"/>
  <c r="G343" i="6"/>
  <c r="G356" i="6"/>
  <c r="G369" i="6"/>
  <c r="G387" i="6"/>
  <c r="G410" i="6"/>
  <c r="H473" i="6"/>
  <c r="I64" i="13" s="1"/>
  <c r="H608" i="6"/>
  <c r="I89" i="13" s="1"/>
  <c r="G6" i="6"/>
  <c r="G12" i="6"/>
  <c r="G25" i="6"/>
  <c r="G26" i="6"/>
  <c r="G30" i="6"/>
  <c r="G31" i="6"/>
  <c r="G35" i="6"/>
  <c r="G52" i="6"/>
  <c r="G73" i="6"/>
  <c r="G90" i="6"/>
  <c r="G108" i="6"/>
  <c r="G109" i="6"/>
  <c r="G113" i="6"/>
  <c r="G114" i="6"/>
  <c r="G118" i="6"/>
  <c r="G119" i="6"/>
  <c r="G123" i="6"/>
  <c r="G124" i="6"/>
  <c r="G128" i="6"/>
  <c r="G129" i="6"/>
  <c r="G133" i="6"/>
  <c r="G139" i="6"/>
  <c r="G149" i="6"/>
  <c r="G154" i="6"/>
  <c r="G156" i="6"/>
  <c r="G161" i="6"/>
  <c r="G166" i="6"/>
  <c r="G183" i="6"/>
  <c r="G185" i="6"/>
  <c r="G207" i="6"/>
  <c r="G208" i="6"/>
  <c r="G212" i="6"/>
  <c r="G245" i="6"/>
  <c r="G252" i="6"/>
  <c r="G256" i="6"/>
  <c r="G263" i="6"/>
  <c r="G268" i="6"/>
  <c r="G288" i="6"/>
  <c r="G293" i="6"/>
  <c r="G297" i="6"/>
  <c r="G308" i="6"/>
  <c r="G312" i="6"/>
  <c r="G323" i="6"/>
  <c r="G330" i="6"/>
  <c r="G337" i="6"/>
  <c r="G346" i="6"/>
  <c r="G355" i="6"/>
  <c r="G368" i="6"/>
  <c r="G371" i="6"/>
  <c r="G377" i="6"/>
  <c r="G380" i="6"/>
  <c r="G386" i="6"/>
  <c r="G390" i="6"/>
  <c r="G399" i="6"/>
  <c r="G404" i="6"/>
  <c r="G408" i="6"/>
  <c r="G412" i="6"/>
  <c r="G415" i="6"/>
  <c r="G489" i="6"/>
  <c r="G502" i="6"/>
  <c r="G545" i="6"/>
  <c r="G564" i="6"/>
  <c r="G615" i="6"/>
  <c r="G632" i="6"/>
  <c r="G642" i="6"/>
  <c r="H662" i="6"/>
  <c r="G732" i="6"/>
  <c r="G769" i="6"/>
  <c r="G777" i="6"/>
  <c r="G781" i="6"/>
  <c r="G834" i="6"/>
  <c r="G835" i="6"/>
  <c r="G871" i="6"/>
  <c r="G881" i="6"/>
  <c r="G889" i="6"/>
  <c r="G893" i="6"/>
  <c r="G909" i="6"/>
  <c r="G927" i="6"/>
  <c r="G929" i="6"/>
  <c r="G939" i="6"/>
  <c r="G956" i="6"/>
  <c r="G957" i="6"/>
  <c r="G986" i="6"/>
  <c r="G987" i="6"/>
  <c r="G990" i="6"/>
  <c r="G1039" i="6"/>
  <c r="G1053" i="6"/>
  <c r="G1060" i="6"/>
  <c r="G1067" i="6"/>
  <c r="G1076" i="6"/>
  <c r="G1085" i="6"/>
  <c r="G1092" i="6"/>
  <c r="G1105" i="6"/>
  <c r="G1115" i="6"/>
  <c r="H1114" i="6" s="1"/>
  <c r="G1151" i="6"/>
  <c r="G1195" i="6"/>
  <c r="G1245" i="6"/>
  <c r="G1254" i="6"/>
  <c r="G1259" i="6"/>
  <c r="G1266" i="6"/>
  <c r="G1280" i="6"/>
  <c r="G1287" i="6"/>
  <c r="G1296" i="6"/>
  <c r="G1334" i="6"/>
  <c r="G1348" i="6"/>
  <c r="G1350" i="6"/>
  <c r="G1373" i="6"/>
  <c r="G1393" i="6"/>
  <c r="G1398" i="6"/>
  <c r="G1458" i="6"/>
  <c r="G1541" i="6"/>
  <c r="G1548" i="6"/>
  <c r="G1555" i="6"/>
  <c r="G1593" i="6"/>
  <c r="G1627" i="6"/>
  <c r="G1632" i="6"/>
  <c r="G1639" i="6"/>
  <c r="G1650" i="6"/>
  <c r="G1678" i="6"/>
  <c r="G1687" i="6"/>
  <c r="G1739" i="6"/>
  <c r="G1753" i="6"/>
  <c r="G1767" i="6"/>
  <c r="G1781" i="6"/>
  <c r="G1790" i="6"/>
  <c r="G1795" i="6"/>
  <c r="G1800" i="6"/>
  <c r="G1805" i="6"/>
  <c r="G1811" i="6"/>
  <c r="G1836" i="6"/>
  <c r="G1842" i="6"/>
  <c r="G1855" i="6"/>
  <c r="G1891" i="6"/>
  <c r="G1935" i="6"/>
  <c r="G1940" i="6"/>
  <c r="G1968" i="6"/>
  <c r="G1977" i="6"/>
  <c r="G1984" i="6"/>
  <c r="G1991" i="6"/>
  <c r="G1998" i="6"/>
  <c r="G2005" i="6"/>
  <c r="G2012" i="6"/>
  <c r="G2020" i="6"/>
  <c r="G2043" i="6"/>
  <c r="G2083" i="6"/>
  <c r="G2099" i="6"/>
  <c r="G2106" i="6"/>
  <c r="G2129" i="6"/>
  <c r="G2170" i="6"/>
  <c r="G2211" i="6"/>
  <c r="G2224" i="6"/>
  <c r="G2226" i="6"/>
  <c r="G2227" i="6"/>
  <c r="G2237" i="6"/>
  <c r="G2293" i="6"/>
  <c r="G2309" i="6"/>
  <c r="G2360" i="6"/>
  <c r="H2422" i="6"/>
  <c r="H2438" i="6"/>
  <c r="H2646" i="6"/>
  <c r="G177" i="6"/>
  <c r="H177" i="6" s="1"/>
  <c r="G186" i="6"/>
  <c r="G338" i="6"/>
  <c r="G491" i="6"/>
  <c r="H491" i="6" s="1"/>
  <c r="I145" i="13" s="1"/>
  <c r="G500" i="6"/>
  <c r="G531" i="6"/>
  <c r="G549" i="6"/>
  <c r="G596" i="6"/>
  <c r="G619" i="6"/>
  <c r="G624" i="6"/>
  <c r="G690" i="6"/>
  <c r="G708" i="6"/>
  <c r="G753" i="6"/>
  <c r="G758" i="6"/>
  <c r="G762" i="6"/>
  <c r="G778" i="6"/>
  <c r="G795" i="6"/>
  <c r="G799" i="6"/>
  <c r="G816" i="6"/>
  <c r="G825" i="6"/>
  <c r="G829" i="6"/>
  <c r="G830" i="6"/>
  <c r="G836" i="6"/>
  <c r="G869" i="6"/>
  <c r="G870" i="6"/>
  <c r="G886" i="6"/>
  <c r="G905" i="6"/>
  <c r="G916" i="6"/>
  <c r="G924" i="6"/>
  <c r="G944" i="6"/>
  <c r="G952" i="6"/>
  <c r="G958" i="6"/>
  <c r="G977" i="6"/>
  <c r="G978" i="6"/>
  <c r="G982" i="6"/>
  <c r="G988" i="6"/>
  <c r="G1005" i="6"/>
  <c r="G1021" i="6"/>
  <c r="G1030" i="6"/>
  <c r="G1041" i="6"/>
  <c r="G1055" i="6"/>
  <c r="G1062" i="6"/>
  <c r="G1078" i="6"/>
  <c r="G1087" i="6"/>
  <c r="G1094" i="6"/>
  <c r="G1130" i="6"/>
  <c r="G1146" i="6"/>
  <c r="G1153" i="6"/>
  <c r="G1160" i="6"/>
  <c r="G1167" i="6"/>
  <c r="G1174" i="6"/>
  <c r="G1181" i="6"/>
  <c r="G1188" i="6"/>
  <c r="G1207" i="6"/>
  <c r="G1228" i="6"/>
  <c r="G1240" i="6"/>
  <c r="G1247" i="6"/>
  <c r="G1268" i="6"/>
  <c r="G1282" i="6"/>
  <c r="G1329" i="6"/>
  <c r="G1354" i="6"/>
  <c r="G1379" i="6"/>
  <c r="G1386" i="6"/>
  <c r="G1443" i="6"/>
  <c r="G1522" i="6"/>
  <c r="G1534" i="6"/>
  <c r="G1550" i="6"/>
  <c r="G1557" i="6"/>
  <c r="G1577" i="6"/>
  <c r="G1584" i="6"/>
  <c r="G1597" i="6"/>
  <c r="G1617" i="6"/>
  <c r="G1634" i="6"/>
  <c r="G1666" i="6"/>
  <c r="G1671" i="6"/>
  <c r="G1691" i="6"/>
  <c r="G1734" i="6"/>
  <c r="G1824" i="6"/>
  <c r="G1860" i="6"/>
  <c r="G1866" i="6"/>
  <c r="G1879" i="6"/>
  <c r="G1927" i="6"/>
  <c r="G1947" i="6"/>
  <c r="G1954" i="6"/>
  <c r="G1961" i="6"/>
  <c r="G1970" i="6"/>
  <c r="G1979" i="6"/>
  <c r="G1986" i="6"/>
  <c r="G1993" i="6"/>
  <c r="G2000" i="6"/>
  <c r="G2044" i="6"/>
  <c r="G2052" i="6"/>
  <c r="G2075" i="6"/>
  <c r="G2136" i="6"/>
  <c r="G2154" i="6"/>
  <c r="G2231" i="6"/>
  <c r="G2247" i="6"/>
  <c r="G2273" i="6"/>
  <c r="G2287" i="6"/>
  <c r="G2300" i="6"/>
  <c r="G2325" i="6"/>
  <c r="G2347" i="6"/>
  <c r="H2406" i="6"/>
  <c r="H2622" i="6"/>
  <c r="G94" i="6"/>
  <c r="G157" i="6"/>
  <c r="G339" i="6"/>
  <c r="G422" i="6"/>
  <c r="G431" i="6"/>
  <c r="G440" i="6"/>
  <c r="G515" i="6"/>
  <c r="G541" i="6"/>
  <c r="G559" i="6"/>
  <c r="G646" i="6"/>
  <c r="G692" i="6"/>
  <c r="G733" i="6"/>
  <c r="G760" i="6"/>
  <c r="G764" i="6"/>
  <c r="G774" i="6"/>
  <c r="G796" i="6"/>
  <c r="G800" i="6"/>
  <c r="G808" i="6"/>
  <c r="G812" i="6"/>
  <c r="G841" i="6"/>
  <c r="G852" i="6"/>
  <c r="G864" i="6"/>
  <c r="G865" i="6"/>
  <c r="G883" i="6"/>
  <c r="G885" i="6"/>
  <c r="G898" i="6"/>
  <c r="G913" i="6"/>
  <c r="G915" i="6"/>
  <c r="G941" i="6"/>
  <c r="G943" i="6"/>
  <c r="G973" i="6"/>
  <c r="G979" i="6"/>
  <c r="G1007" i="6"/>
  <c r="G1023" i="6"/>
  <c r="G1032" i="6"/>
  <c r="G1046" i="6"/>
  <c r="G1059" i="6"/>
  <c r="G1075" i="6"/>
  <c r="G1125" i="6"/>
  <c r="G1132" i="6"/>
  <c r="G1139" i="6"/>
  <c r="G1202" i="6"/>
  <c r="G1209" i="6"/>
  <c r="G1221" i="6"/>
  <c r="G1233" i="6"/>
  <c r="G1273" i="6"/>
  <c r="G1286" i="6"/>
  <c r="G1289" i="6"/>
  <c r="G1312" i="6"/>
  <c r="G1360" i="6"/>
  <c r="G1374" i="6"/>
  <c r="G1428" i="6"/>
  <c r="G1488" i="6"/>
  <c r="G1505" i="6"/>
  <c r="G1517" i="6"/>
  <c r="G1529" i="6"/>
  <c r="G1547" i="6"/>
  <c r="G1562" i="6"/>
  <c r="G1579" i="6"/>
  <c r="G1586" i="6"/>
  <c r="G1610" i="6"/>
  <c r="G1621" i="6"/>
  <c r="G1660" i="6"/>
  <c r="G1705" i="6"/>
  <c r="G1746" i="6"/>
  <c r="G1760" i="6"/>
  <c r="G1774" i="6"/>
  <c r="G1812" i="6"/>
  <c r="G1819" i="6"/>
  <c r="G1843" i="6"/>
  <c r="G1848" i="6"/>
  <c r="G1884" i="6"/>
  <c r="G1890" i="6"/>
  <c r="G1934" i="6"/>
  <c r="G1976" i="6"/>
  <c r="G1990" i="6"/>
  <c r="G2004" i="6"/>
  <c r="G2019" i="6"/>
  <c r="G2076" i="6"/>
  <c r="H2074" i="6" s="1"/>
  <c r="G2084" i="6"/>
  <c r="G2098" i="6"/>
  <c r="G2110" i="6"/>
  <c r="G2123" i="6"/>
  <c r="G2152" i="6"/>
  <c r="G2185" i="6"/>
  <c r="G2186" i="6"/>
  <c r="G2205" i="6"/>
  <c r="G2277" i="6"/>
  <c r="G2331" i="6"/>
  <c r="G2346" i="6"/>
  <c r="G2381" i="6"/>
  <c r="H2530" i="6"/>
  <c r="H2546" i="6"/>
  <c r="H2606" i="6"/>
  <c r="H2638" i="6"/>
  <c r="E8350" i="6"/>
  <c r="E8260" i="6"/>
  <c r="E7197" i="6"/>
  <c r="E7191" i="6"/>
  <c r="E7185" i="6"/>
  <c r="E7179" i="6"/>
  <c r="E7173" i="6"/>
  <c r="E7167" i="6"/>
  <c r="E7161" i="6"/>
  <c r="E7155" i="6"/>
  <c r="E7149" i="6"/>
  <c r="G8368" i="6"/>
  <c r="E8362" i="6"/>
  <c r="G8210" i="6"/>
  <c r="G8241" i="6"/>
  <c r="G8236" i="6"/>
  <c r="G7523" i="6"/>
  <c r="G7454" i="6"/>
  <c r="G7453" i="6"/>
  <c r="G7372" i="6"/>
  <c r="G7368" i="6"/>
  <c r="E7143" i="6"/>
  <c r="G7387" i="6"/>
  <c r="G7386" i="6"/>
  <c r="G7382" i="6"/>
  <c r="G7233" i="6"/>
  <c r="G6412" i="6"/>
  <c r="G6407" i="6"/>
  <c r="G6340" i="6"/>
  <c r="G6221" i="6"/>
  <c r="G5433" i="6"/>
  <c r="G6182" i="6"/>
  <c r="G6161" i="6"/>
  <c r="G5599" i="6"/>
  <c r="H5599" i="6" s="1"/>
  <c r="G5575" i="6"/>
  <c r="H5575" i="6" s="1"/>
  <c r="G5563" i="6"/>
  <c r="G5557" i="6"/>
  <c r="H5557" i="6" s="1"/>
  <c r="G5533" i="6"/>
  <c r="H5533" i="6" s="1"/>
  <c r="G5509" i="6"/>
  <c r="H5509" i="6" s="1"/>
  <c r="E5611" i="6"/>
  <c r="G5611" i="6" s="1"/>
  <c r="H5611" i="6" s="1"/>
  <c r="E5605" i="6"/>
  <c r="E5599" i="6"/>
  <c r="E5593" i="6"/>
  <c r="E5587" i="6"/>
  <c r="G5587" i="6" s="1"/>
  <c r="H5587" i="6" s="1"/>
  <c r="E5581" i="6"/>
  <c r="E5575" i="6"/>
  <c r="E5569" i="6"/>
  <c r="E5557" i="6"/>
  <c r="E5551" i="6"/>
  <c r="G5551" i="6" s="1"/>
  <c r="H5551" i="6" s="1"/>
  <c r="E5545" i="6"/>
  <c r="E5539" i="6"/>
  <c r="E5533" i="6"/>
  <c r="E5527" i="6"/>
  <c r="G5527" i="6" s="1"/>
  <c r="H5527" i="6" s="1"/>
  <c r="E5521" i="6"/>
  <c r="E5515" i="6"/>
  <c r="E5509" i="6"/>
  <c r="E5503" i="6"/>
  <c r="E5497" i="6"/>
  <c r="G5477" i="6"/>
  <c r="G5386" i="6"/>
  <c r="G5299" i="6"/>
  <c r="G5259" i="6"/>
  <c r="G5222" i="6"/>
  <c r="G5221" i="6"/>
  <c r="G5220" i="6"/>
  <c r="G5218" i="6"/>
  <c r="G5105" i="6"/>
  <c r="G5104" i="6"/>
  <c r="G4999" i="6"/>
  <c r="G4387" i="6"/>
  <c r="E4099" i="6"/>
  <c r="G4099" i="6" s="1"/>
  <c r="H4099" i="6" s="1"/>
  <c r="G4013" i="6"/>
  <c r="H4013" i="6" s="1"/>
  <c r="G5472" i="6"/>
  <c r="G5387" i="6"/>
  <c r="G5374" i="6"/>
  <c r="G5368" i="6"/>
  <c r="G5318" i="6"/>
  <c r="G5317" i="6"/>
  <c r="G5293" i="6"/>
  <c r="G5160" i="6"/>
  <c r="G5097" i="6"/>
  <c r="G5073" i="6"/>
  <c r="G5031" i="6"/>
  <c r="G5021" i="6"/>
  <c r="G4977" i="6"/>
  <c r="G4976" i="6"/>
  <c r="G4951" i="6"/>
  <c r="G4911" i="6"/>
  <c r="G4904" i="6"/>
  <c r="G4897" i="6"/>
  <c r="G4814" i="6"/>
  <c r="G4804" i="6"/>
  <c r="G4800" i="6"/>
  <c r="G4780" i="6"/>
  <c r="G4779" i="6"/>
  <c r="G4772" i="6"/>
  <c r="G4655" i="6"/>
  <c r="G4639" i="6"/>
  <c r="H4638" i="6" s="1"/>
  <c r="I187" i="13" s="1"/>
  <c r="G4621" i="6"/>
  <c r="G4620" i="6"/>
  <c r="G4613" i="6"/>
  <c r="G4612" i="6"/>
  <c r="G4587" i="6"/>
  <c r="G4558" i="6"/>
  <c r="G4546" i="6"/>
  <c r="G4502" i="6"/>
  <c r="G4482" i="6"/>
  <c r="G4459" i="6"/>
  <c r="G4449" i="6"/>
  <c r="G4445" i="6"/>
  <c r="G4406" i="6"/>
  <c r="G4395" i="6"/>
  <c r="G4361" i="6"/>
  <c r="G4343" i="6"/>
  <c r="G4334" i="6"/>
  <c r="G4259" i="6"/>
  <c r="G4247" i="6"/>
  <c r="G5277" i="6"/>
  <c r="G3958" i="6"/>
  <c r="G3934" i="6"/>
  <c r="G3933" i="6"/>
  <c r="G3927" i="6"/>
  <c r="E3800" i="6"/>
  <c r="E3776" i="6"/>
  <c r="G3683" i="6"/>
  <c r="G3654" i="6"/>
  <c r="G3610" i="6"/>
  <c r="G3529" i="6"/>
  <c r="G3371" i="6"/>
  <c r="G3201" i="6"/>
  <c r="G3167" i="6"/>
  <c r="G3162" i="6"/>
  <c r="G3139" i="6"/>
  <c r="G3122" i="6"/>
  <c r="G3102" i="6"/>
  <c r="G3082" i="6"/>
  <c r="E3806" i="6"/>
  <c r="E3782" i="6"/>
  <c r="G3889" i="6"/>
  <c r="G3870" i="6"/>
  <c r="G3856" i="6"/>
  <c r="E3812" i="6"/>
  <c r="E3788" i="6"/>
  <c r="E3764" i="6"/>
  <c r="G3950" i="6"/>
  <c r="G3907" i="6"/>
  <c r="G3898" i="6"/>
  <c r="G3897" i="6"/>
  <c r="G3833" i="6"/>
  <c r="G3830" i="6"/>
  <c r="E3818" i="6"/>
  <c r="E3794" i="6"/>
  <c r="E3770" i="6"/>
  <c r="G3575" i="6"/>
  <c r="G3574" i="6"/>
  <c r="G3446" i="6"/>
  <c r="G3436" i="6"/>
  <c r="G3044" i="6"/>
  <c r="G3016" i="6"/>
  <c r="G2956" i="6"/>
  <c r="G2936" i="6"/>
  <c r="G2876" i="6"/>
  <c r="G2854" i="6"/>
  <c r="G2834" i="6"/>
  <c r="E2698" i="6"/>
  <c r="E2686" i="6"/>
  <c r="E2674" i="6"/>
  <c r="E2662" i="6"/>
  <c r="G2662" i="6" s="1"/>
  <c r="H2662" i="6" s="1"/>
  <c r="E2650" i="6"/>
  <c r="G2295" i="6"/>
  <c r="G2265" i="6"/>
  <c r="G2264" i="6"/>
  <c r="G2218" i="6"/>
  <c r="G2217" i="6"/>
  <c r="G2162" i="6"/>
  <c r="G2161" i="6"/>
  <c r="G2092" i="6"/>
  <c r="G2091" i="6"/>
  <c r="G2060" i="6"/>
  <c r="G2059" i="6"/>
  <c r="G2028" i="6"/>
  <c r="G2027" i="6"/>
  <c r="G1960" i="6"/>
  <c r="G1953" i="6"/>
  <c r="G1946" i="6"/>
  <c r="G1922" i="6"/>
  <c r="G1896" i="6"/>
  <c r="G1878" i="6"/>
  <c r="G1854" i="6"/>
  <c r="G1830" i="6"/>
  <c r="G1665" i="6"/>
  <c r="G1655" i="6"/>
  <c r="G1644" i="6"/>
  <c r="G1626" i="6"/>
  <c r="G1598" i="6"/>
  <c r="G1540" i="6"/>
  <c r="G1366" i="6"/>
  <c r="G1347" i="6"/>
  <c r="G1069" i="6"/>
  <c r="G1068" i="6"/>
  <c r="G3069" i="6"/>
  <c r="G3036" i="6"/>
  <c r="G2966" i="6"/>
  <c r="E2704" i="6"/>
  <c r="E2692" i="6"/>
  <c r="E2680" i="6"/>
  <c r="E2668" i="6"/>
  <c r="G2668" i="6" s="1"/>
  <c r="H2668" i="6" s="1"/>
  <c r="E2656" i="6"/>
  <c r="G8" i="6"/>
  <c r="G54" i="6"/>
  <c r="G89" i="6"/>
  <c r="G104" i="6"/>
  <c r="G141" i="6"/>
  <c r="G146" i="6"/>
  <c r="G151" i="6"/>
  <c r="G163" i="6"/>
  <c r="G168" i="6"/>
  <c r="G173" i="6"/>
  <c r="G192" i="6"/>
  <c r="G203" i="6"/>
  <c r="G250" i="6"/>
  <c r="G265" i="6"/>
  <c r="G270" i="6"/>
  <c r="G426" i="6"/>
  <c r="G437" i="6"/>
  <c r="G444" i="6"/>
  <c r="G449" i="6"/>
  <c r="G526" i="6"/>
  <c r="G565" i="6"/>
  <c r="G591" i="6"/>
  <c r="G593" i="6"/>
  <c r="G633" i="6"/>
  <c r="G640" i="6"/>
  <c r="G650" i="6"/>
  <c r="G658" i="6"/>
  <c r="G699" i="6"/>
  <c r="G701" i="6"/>
  <c r="G709" i="6"/>
  <c r="G711" i="6"/>
  <c r="G726" i="6"/>
  <c r="G728" i="6"/>
  <c r="G785" i="6"/>
  <c r="G786" i="6"/>
  <c r="G853" i="6"/>
  <c r="G860" i="6"/>
  <c r="G880" i="6"/>
  <c r="G938" i="6"/>
  <c r="G966" i="6"/>
  <c r="G1009" i="6"/>
  <c r="G1025" i="6"/>
  <c r="G1034" i="6"/>
  <c r="G1048" i="6"/>
  <c r="G1095" i="6"/>
  <c r="G1103" i="6"/>
  <c r="G1110" i="6"/>
  <c r="G1120" i="6"/>
  <c r="G1216" i="6"/>
  <c r="G1275" i="6"/>
  <c r="G1294" i="6"/>
  <c r="G1301" i="6"/>
  <c r="G1305" i="6"/>
  <c r="G1317" i="6"/>
  <c r="G1324" i="6"/>
  <c r="G1341" i="6"/>
  <c r="G1355" i="6"/>
  <c r="G1367" i="6"/>
  <c r="G1391" i="6"/>
  <c r="G1413" i="6"/>
  <c r="G1473" i="6"/>
  <c r="G1510" i="6"/>
  <c r="G1533" i="6"/>
  <c r="G1576" i="6"/>
  <c r="G1591" i="6"/>
  <c r="G1604" i="6"/>
  <c r="G1692" i="6"/>
  <c r="G1714" i="6"/>
  <c r="G1725" i="6"/>
  <c r="G1831" i="6"/>
  <c r="G1867" i="6"/>
  <c r="G1872" i="6"/>
  <c r="G1901" i="6"/>
  <c r="G1906" i="6"/>
  <c r="G1911" i="6"/>
  <c r="G1917" i="6"/>
  <c r="G1949" i="6"/>
  <c r="G1956" i="6"/>
  <c r="G2011" i="6"/>
  <c r="H2010" i="6" s="1"/>
  <c r="G2051" i="6"/>
  <c r="G2104" i="6"/>
  <c r="G2130" i="6"/>
  <c r="H2128" i="6" s="1"/>
  <c r="G2153" i="6"/>
  <c r="G2169" i="6"/>
  <c r="G2238" i="6"/>
  <c r="G2257" i="6"/>
  <c r="G2303" i="6"/>
  <c r="G2315" i="6"/>
  <c r="G2336" i="6"/>
  <c r="G2361" i="6"/>
  <c r="H2390" i="6"/>
  <c r="H2450" i="6"/>
  <c r="H2466" i="6"/>
  <c r="H2482" i="6"/>
  <c r="H2498" i="6"/>
  <c r="H2514" i="6"/>
  <c r="H2754" i="6"/>
  <c r="G2112" i="6"/>
  <c r="G2117" i="6"/>
  <c r="G2193" i="6"/>
  <c r="G2199" i="6"/>
  <c r="G2213" i="6"/>
  <c r="G2256" i="6"/>
  <c r="G2326" i="6"/>
  <c r="G2368" i="6"/>
  <c r="G2375" i="6"/>
  <c r="G2746" i="6"/>
  <c r="G2772" i="6"/>
  <c r="G2774" i="6"/>
  <c r="G2792" i="6"/>
  <c r="G2793" i="6"/>
  <c r="G2799" i="6"/>
  <c r="G2801" i="6"/>
  <c r="G2891" i="6"/>
  <c r="G2892" i="6"/>
  <c r="G2923" i="6"/>
  <c r="G2924" i="6"/>
  <c r="G3031" i="6"/>
  <c r="G3057" i="6"/>
  <c r="G3077" i="6"/>
  <c r="G3087" i="6"/>
  <c r="G3127" i="6"/>
  <c r="G3176" i="6"/>
  <c r="G3186" i="6"/>
  <c r="G3208" i="6"/>
  <c r="G3222" i="6"/>
  <c r="G3235" i="6"/>
  <c r="G3243" i="6"/>
  <c r="G3262" i="6"/>
  <c r="G3277" i="6"/>
  <c r="G3290" i="6"/>
  <c r="G3305" i="6"/>
  <c r="G3318" i="6"/>
  <c r="G3351" i="6"/>
  <c r="G3359" i="6"/>
  <c r="G3367" i="6"/>
  <c r="G3379" i="6"/>
  <c r="G3408" i="6"/>
  <c r="G3418" i="6"/>
  <c r="G3428" i="6"/>
  <c r="G3432" i="6"/>
  <c r="G3458" i="6"/>
  <c r="G3469" i="6"/>
  <c r="G3478" i="6"/>
  <c r="G3479" i="6"/>
  <c r="G3502" i="6"/>
  <c r="G3506" i="6"/>
  <c r="G3592" i="6"/>
  <c r="G3630" i="6"/>
  <c r="G3648" i="6"/>
  <c r="G3695" i="6"/>
  <c r="H3717" i="6"/>
  <c r="G3842" i="6"/>
  <c r="G3922" i="6"/>
  <c r="G3965" i="6"/>
  <c r="G3974" i="6"/>
  <c r="G3990" i="6"/>
  <c r="G4009" i="6"/>
  <c r="G779" i="6"/>
  <c r="G793" i="6"/>
  <c r="G797" i="6"/>
  <c r="G801" i="6"/>
  <c r="G810" i="6"/>
  <c r="G821" i="6"/>
  <c r="G837" i="6"/>
  <c r="G842" i="6"/>
  <c r="G878" i="6"/>
  <c r="G887" i="6"/>
  <c r="G899" i="6"/>
  <c r="G910" i="6"/>
  <c r="G917" i="6"/>
  <c r="G931" i="6"/>
  <c r="G945" i="6"/>
  <c r="G959" i="6"/>
  <c r="G964" i="6"/>
  <c r="G971" i="6"/>
  <c r="G980" i="6"/>
  <c r="G989" i="6"/>
  <c r="G996" i="6"/>
  <c r="G1008" i="6"/>
  <c r="G1015" i="6"/>
  <c r="G1022" i="6"/>
  <c r="G1033" i="6"/>
  <c r="G1040" i="6"/>
  <c r="G1047" i="6"/>
  <c r="G1054" i="6"/>
  <c r="G1079" i="6"/>
  <c r="G1084" i="6"/>
  <c r="G1093" i="6"/>
  <c r="G1102" i="6"/>
  <c r="G1133" i="6"/>
  <c r="G1140" i="6"/>
  <c r="G1145" i="6"/>
  <c r="G1154" i="6"/>
  <c r="G1161" i="6"/>
  <c r="G1168" i="6"/>
  <c r="G1175" i="6"/>
  <c r="G1182" i="6"/>
  <c r="G1189" i="6"/>
  <c r="G1194" i="6"/>
  <c r="G1201" i="6"/>
  <c r="G1210" i="6"/>
  <c r="G1227" i="6"/>
  <c r="H1226" i="6" s="1"/>
  <c r="G1234" i="6"/>
  <c r="G1239" i="6"/>
  <c r="G1248" i="6"/>
  <c r="G1253" i="6"/>
  <c r="G1267" i="6"/>
  <c r="G1274" i="6"/>
  <c r="G1281" i="6"/>
  <c r="G1295" i="6"/>
  <c r="G1311" i="6"/>
  <c r="G1318" i="6"/>
  <c r="G1337" i="6"/>
  <c r="G1342" i="6"/>
  <c r="G1361" i="6"/>
  <c r="G1387" i="6"/>
  <c r="G1392" i="6"/>
  <c r="G1403" i="6"/>
  <c r="G1407" i="6"/>
  <c r="G1418" i="6"/>
  <c r="G1422" i="6"/>
  <c r="G1433" i="6"/>
  <c r="G1437" i="6"/>
  <c r="G1448" i="6"/>
  <c r="G1452" i="6"/>
  <c r="G1463" i="6"/>
  <c r="G1467" i="6"/>
  <c r="G1478" i="6"/>
  <c r="G1482" i="6"/>
  <c r="G1493" i="6"/>
  <c r="G1497" i="6"/>
  <c r="G1504" i="6"/>
  <c r="G1511" i="6"/>
  <c r="G1528" i="6"/>
  <c r="G1542" i="6"/>
  <c r="G1556" i="6"/>
  <c r="G1563" i="6"/>
  <c r="G1569" i="6"/>
  <c r="G1585" i="6"/>
  <c r="G1592" i="6"/>
  <c r="G1611" i="6"/>
  <c r="G1616" i="6"/>
  <c r="G1640" i="6"/>
  <c r="G1679" i="6"/>
  <c r="G1686" i="6"/>
  <c r="G1704" i="6"/>
  <c r="G1715" i="6"/>
  <c r="G1820" i="6"/>
  <c r="G1825" i="6"/>
  <c r="G1849" i="6"/>
  <c r="G1873" i="6"/>
  <c r="G1892" i="6"/>
  <c r="G1941" i="6"/>
  <c r="G1962" i="6"/>
  <c r="G1985" i="6"/>
  <c r="G1999" i="6"/>
  <c r="G2105" i="6"/>
  <c r="G2124" i="6"/>
  <c r="G2166" i="6"/>
  <c r="G2206" i="6"/>
  <c r="G2212" i="6"/>
  <c r="G2225" i="6"/>
  <c r="G2298" i="6"/>
  <c r="H2394" i="6"/>
  <c r="G2436" i="6"/>
  <c r="G2528" i="6"/>
  <c r="G2620" i="6"/>
  <c r="G2650" i="6"/>
  <c r="H2650" i="6" s="1"/>
  <c r="G2674" i="6"/>
  <c r="H2674" i="6" s="1"/>
  <c r="G2686" i="6"/>
  <c r="H2686" i="6" s="1"/>
  <c r="G2698" i="6"/>
  <c r="H2698" i="6" s="1"/>
  <c r="G2712" i="6"/>
  <c r="G2730" i="6"/>
  <c r="G2752" i="6"/>
  <c r="G2775" i="6"/>
  <c r="G2802" i="6"/>
  <c r="G2812" i="6"/>
  <c r="G2822" i="6"/>
  <c r="G2844" i="6"/>
  <c r="G2864" i="6"/>
  <c r="G2886" i="6"/>
  <c r="G2899" i="6"/>
  <c r="G2900" i="6"/>
  <c r="G2946" i="6"/>
  <c r="G2976" i="6"/>
  <c r="G2985" i="6"/>
  <c r="G2987" i="6"/>
  <c r="G3062" i="6"/>
  <c r="G3112" i="6"/>
  <c r="G3140" i="6"/>
  <c r="G3146" i="6"/>
  <c r="G3157" i="6"/>
  <c r="G3169" i="6"/>
  <c r="G3197" i="6"/>
  <c r="G3202" i="6"/>
  <c r="G3212" i="6"/>
  <c r="G3229" i="6"/>
  <c r="G3240" i="6"/>
  <c r="G3255" i="6"/>
  <c r="G3270" i="6"/>
  <c r="G3283" i="6"/>
  <c r="G3298" i="6"/>
  <c r="G3311" i="6"/>
  <c r="G3364" i="6"/>
  <c r="G3394" i="6"/>
  <c r="G3402" i="6"/>
  <c r="G3477" i="6"/>
  <c r="G3497" i="6"/>
  <c r="G3640" i="6"/>
  <c r="G3673" i="6"/>
  <c r="G3693" i="6"/>
  <c r="G3855" i="6"/>
  <c r="G3864" i="6"/>
  <c r="G3895" i="6"/>
  <c r="G4082" i="6"/>
  <c r="G4087" i="6"/>
  <c r="G2302" i="6"/>
  <c r="G2314" i="6"/>
  <c r="G2321" i="6"/>
  <c r="G2722" i="6"/>
  <c r="G2798" i="6"/>
  <c r="G2807" i="6"/>
  <c r="G2813" i="6"/>
  <c r="G2907" i="6"/>
  <c r="G2908" i="6"/>
  <c r="G2983" i="6"/>
  <c r="G2991" i="6"/>
  <c r="G2996" i="6"/>
  <c r="G3001" i="6"/>
  <c r="G3061" i="6"/>
  <c r="G3107" i="6"/>
  <c r="G3177" i="6"/>
  <c r="G3185" i="6"/>
  <c r="G3223" i="6"/>
  <c r="G3234" i="6"/>
  <c r="G3244" i="6"/>
  <c r="G3263" i="6"/>
  <c r="G3276" i="6"/>
  <c r="G3291" i="6"/>
  <c r="G3304" i="6"/>
  <c r="G3319" i="6"/>
  <c r="G3339" i="6"/>
  <c r="G3352" i="6"/>
  <c r="H3375" i="6"/>
  <c r="G3384" i="6"/>
  <c r="G3388" i="6"/>
  <c r="G3399" i="6"/>
  <c r="G3413" i="6"/>
  <c r="G3423" i="6"/>
  <c r="G3470" i="6"/>
  <c r="G3494" i="6"/>
  <c r="G3507" i="6"/>
  <c r="G3528" i="6"/>
  <c r="G3561" i="6"/>
  <c r="G3566" i="6"/>
  <c r="G3580" i="6"/>
  <c r="G3674" i="6"/>
  <c r="G3675" i="6"/>
  <c r="G3684" i="6"/>
  <c r="H3760" i="6"/>
  <c r="G3869" i="6"/>
  <c r="H4174" i="6"/>
  <c r="I98" i="13" s="1"/>
  <c r="G4187" i="6"/>
  <c r="G4205" i="6"/>
  <c r="G4238" i="6"/>
  <c r="G991" i="6"/>
  <c r="G1001" i="6"/>
  <c r="G1006" i="6"/>
  <c r="G1010" i="6"/>
  <c r="G1024" i="6"/>
  <c r="G1031" i="6"/>
  <c r="G1061" i="6"/>
  <c r="G1077" i="6"/>
  <c r="G1086" i="6"/>
  <c r="G1104" i="6"/>
  <c r="G1121" i="6"/>
  <c r="G1126" i="6"/>
  <c r="G1131" i="6"/>
  <c r="G1138" i="6"/>
  <c r="G1147" i="6"/>
  <c r="G1152" i="6"/>
  <c r="G1159" i="6"/>
  <c r="G1166" i="6"/>
  <c r="G1173" i="6"/>
  <c r="G1180" i="6"/>
  <c r="G1187" i="6"/>
  <c r="G1196" i="6"/>
  <c r="G1203" i="6"/>
  <c r="G1208" i="6"/>
  <c r="G1215" i="6"/>
  <c r="G1222" i="6"/>
  <c r="G1241" i="6"/>
  <c r="G1246" i="6"/>
  <c r="G1255" i="6"/>
  <c r="G1260" i="6"/>
  <c r="G1297" i="6"/>
  <c r="G1302" i="6"/>
  <c r="G1304" i="6"/>
  <c r="G1323" i="6"/>
  <c r="G1330" i="6"/>
  <c r="G1335" i="6"/>
  <c r="G1375" i="6"/>
  <c r="G1380" i="6"/>
  <c r="G1394" i="6"/>
  <c r="G1399" i="6"/>
  <c r="G1405" i="6"/>
  <c r="G1414" i="6"/>
  <c r="G1420" i="6"/>
  <c r="G1429" i="6"/>
  <c r="G1435" i="6"/>
  <c r="G1444" i="6"/>
  <c r="G1450" i="6"/>
  <c r="G1459" i="6"/>
  <c r="G1465" i="6"/>
  <c r="G1474" i="6"/>
  <c r="G1480" i="6"/>
  <c r="G1489" i="6"/>
  <c r="G1495" i="6"/>
  <c r="G1516" i="6"/>
  <c r="G1523" i="6"/>
  <c r="G1535" i="6"/>
  <c r="G1549" i="6"/>
  <c r="G1565" i="6"/>
  <c r="G1567" i="6"/>
  <c r="G1571" i="6"/>
  <c r="G1578" i="6"/>
  <c r="G1633" i="6"/>
  <c r="G1645" i="6"/>
  <c r="G1672" i="6"/>
  <c r="G1681" i="6"/>
  <c r="G1724" i="6"/>
  <c r="G1735" i="6"/>
  <c r="G1740" i="6"/>
  <c r="G1742" i="6"/>
  <c r="G1747" i="6"/>
  <c r="G1749" i="6"/>
  <c r="G1754" i="6"/>
  <c r="G1756" i="6"/>
  <c r="G1761" i="6"/>
  <c r="G1763" i="6"/>
  <c r="G1768" i="6"/>
  <c r="G1770" i="6"/>
  <c r="G1775" i="6"/>
  <c r="G1777" i="6"/>
  <c r="G1782" i="6"/>
  <c r="G1784" i="6"/>
  <c r="G1791" i="6"/>
  <c r="G1796" i="6"/>
  <c r="G1801" i="6"/>
  <c r="G1806" i="6"/>
  <c r="G1818" i="6"/>
  <c r="G1837" i="6"/>
  <c r="G1861" i="6"/>
  <c r="G1885" i="6"/>
  <c r="G1897" i="6"/>
  <c r="G1902" i="6"/>
  <c r="G1907" i="6"/>
  <c r="G1912" i="6"/>
  <c r="G1969" i="6"/>
  <c r="G1978" i="6"/>
  <c r="G1992" i="6"/>
  <c r="G2035" i="6"/>
  <c r="G2036" i="6"/>
  <c r="G2067" i="6"/>
  <c r="G2068" i="6"/>
  <c r="G2108" i="6"/>
  <c r="G2134" i="6"/>
  <c r="G2168" i="6"/>
  <c r="G2184" i="6"/>
  <c r="G2271" i="6"/>
  <c r="G2329" i="6"/>
  <c r="G2404" i="6"/>
  <c r="H2598" i="6"/>
  <c r="G2656" i="6"/>
  <c r="H2656" i="6" s="1"/>
  <c r="G2680" i="6"/>
  <c r="H2680" i="6" s="1"/>
  <c r="G2692" i="6"/>
  <c r="H2692" i="6" s="1"/>
  <c r="G2704" i="6"/>
  <c r="H2704" i="6" s="1"/>
  <c r="G2714" i="6"/>
  <c r="G2728" i="6"/>
  <c r="G2776" i="6"/>
  <c r="G2783" i="6"/>
  <c r="G2803" i="6"/>
  <c r="G2915" i="6"/>
  <c r="G2916" i="6"/>
  <c r="G3011" i="6"/>
  <c r="G3021" i="6"/>
  <c r="G3049" i="6"/>
  <c r="G3050" i="6"/>
  <c r="G3059" i="6"/>
  <c r="G3063" i="6"/>
  <c r="G3092" i="6"/>
  <c r="G3135" i="6"/>
  <c r="G3141" i="6"/>
  <c r="G3145" i="6"/>
  <c r="G3151" i="6"/>
  <c r="G3158" i="6"/>
  <c r="G3163" i="6"/>
  <c r="G3168" i="6"/>
  <c r="G3203" i="6"/>
  <c r="G3211" i="6"/>
  <c r="G3228" i="6"/>
  <c r="G3239" i="6"/>
  <c r="G3256" i="6"/>
  <c r="G3269" i="6"/>
  <c r="G3284" i="6"/>
  <c r="G3297" i="6"/>
  <c r="G3312" i="6"/>
  <c r="G3324" i="6"/>
  <c r="G3330" i="6"/>
  <c r="G3345" i="6"/>
  <c r="G3357" i="6"/>
  <c r="G3393" i="6"/>
  <c r="G3546" i="6"/>
  <c r="G3560" i="6"/>
  <c r="G3587" i="6"/>
  <c r="G3593" i="6"/>
  <c r="G3635" i="6"/>
  <c r="G3661" i="6"/>
  <c r="G3662" i="6"/>
  <c r="G3663" i="6"/>
  <c r="G3664" i="6"/>
  <c r="G3665" i="6"/>
  <c r="G3756" i="6"/>
  <c r="G3872" i="6"/>
  <c r="G3910" i="6"/>
  <c r="G3946" i="6"/>
  <c r="H4018" i="6"/>
  <c r="G3076" i="6"/>
  <c r="G3097" i="6"/>
  <c r="G3117" i="6"/>
  <c r="G3133" i="6"/>
  <c r="G3134" i="6"/>
  <c r="G3165" i="6"/>
  <c r="G3179" i="6"/>
  <c r="G3182" i="6"/>
  <c r="G3192" i="6"/>
  <c r="G3199" i="6"/>
  <c r="G3210" i="6"/>
  <c r="G3219" i="6"/>
  <c r="G3242" i="6"/>
  <c r="G3338" i="6"/>
  <c r="G3366" i="6"/>
  <c r="G3369" i="6"/>
  <c r="G3390" i="6"/>
  <c r="G3401" i="6"/>
  <c r="G3404" i="6"/>
  <c r="G3459" i="6"/>
  <c r="G3472" i="6"/>
  <c r="G3481" i="6"/>
  <c r="G3482" i="6"/>
  <c r="G3484" i="6"/>
  <c r="G3496" i="6"/>
  <c r="G3505" i="6"/>
  <c r="G3520" i="6"/>
  <c r="G3522" i="6"/>
  <c r="G3539" i="6"/>
  <c r="G3633" i="6"/>
  <c r="G3660" i="6"/>
  <c r="E3666" i="6"/>
  <c r="E3667" i="6"/>
  <c r="G3723" i="6"/>
  <c r="G3725" i="6"/>
  <c r="G3726" i="6"/>
  <c r="G3835" i="6"/>
  <c r="G3883" i="6"/>
  <c r="H3932" i="6"/>
  <c r="G3949" i="6"/>
  <c r="G3980" i="6"/>
  <c r="G3989" i="6"/>
  <c r="G4054" i="6"/>
  <c r="G4058" i="6"/>
  <c r="G4163" i="6"/>
  <c r="G4181" i="6"/>
  <c r="G4194" i="6"/>
  <c r="G4237" i="6"/>
  <c r="G4271" i="6"/>
  <c r="G4283" i="6"/>
  <c r="G4312" i="6"/>
  <c r="G4345" i="6"/>
  <c r="G4352" i="6"/>
  <c r="G4404" i="6"/>
  <c r="G4465" i="6"/>
  <c r="G4478" i="6"/>
  <c r="G4480" i="6"/>
  <c r="G4507" i="6"/>
  <c r="G4514" i="6"/>
  <c r="G4519" i="6"/>
  <c r="G4535" i="6"/>
  <c r="G4579" i="6"/>
  <c r="G4585" i="6"/>
  <c r="G4595" i="6"/>
  <c r="G4597" i="6"/>
  <c r="G4599" i="6"/>
  <c r="G4630" i="6"/>
  <c r="G4693" i="6"/>
  <c r="G4736" i="6"/>
  <c r="G4828" i="6"/>
  <c r="G4836" i="6"/>
  <c r="G4844" i="6"/>
  <c r="G4852" i="6"/>
  <c r="G4860" i="6"/>
  <c r="G4868" i="6"/>
  <c r="G4876" i="6"/>
  <c r="G4909" i="6"/>
  <c r="G4958" i="6"/>
  <c r="G4959" i="6"/>
  <c r="G5029" i="6"/>
  <c r="G5041" i="6"/>
  <c r="G5065" i="6"/>
  <c r="G5136" i="6"/>
  <c r="G5137" i="6"/>
  <c r="G5154" i="6"/>
  <c r="G5178" i="6"/>
  <c r="G5196" i="6"/>
  <c r="G5197" i="6"/>
  <c r="G5198" i="6"/>
  <c r="G5324" i="6"/>
  <c r="G5367" i="6"/>
  <c r="G2734" i="6"/>
  <c r="G2742" i="6"/>
  <c r="G2808" i="6"/>
  <c r="G2865" i="6"/>
  <c r="G2887" i="6"/>
  <c r="G2957" i="6"/>
  <c r="G2967" i="6"/>
  <c r="G2977" i="6"/>
  <c r="G3193" i="6"/>
  <c r="G3337" i="6"/>
  <c r="G3437" i="6"/>
  <c r="G3439" i="6"/>
  <c r="G3447" i="6"/>
  <c r="G3449" i="6"/>
  <c r="G3457" i="6"/>
  <c r="G3504" i="6"/>
  <c r="G3508" i="6"/>
  <c r="G3545" i="6"/>
  <c r="G3551" i="6"/>
  <c r="G3581" i="6"/>
  <c r="G3643" i="6"/>
  <c r="G3697" i="6"/>
  <c r="G3706" i="6"/>
  <c r="G3731" i="6"/>
  <c r="G3754" i="6"/>
  <c r="G3962" i="6"/>
  <c r="G4004" i="6"/>
  <c r="G4008" i="6"/>
  <c r="G4027" i="6"/>
  <c r="G4031" i="6"/>
  <c r="G4063" i="6"/>
  <c r="G4067" i="6"/>
  <c r="G4109" i="6"/>
  <c r="G4152" i="6"/>
  <c r="G4186" i="6"/>
  <c r="G4193" i="6"/>
  <c r="G4226" i="6"/>
  <c r="G4228" i="6"/>
  <c r="G4245" i="6"/>
  <c r="H4258" i="6"/>
  <c r="I152" i="13" s="1"/>
  <c r="G4287" i="6"/>
  <c r="G4296" i="6"/>
  <c r="G4298" i="6"/>
  <c r="G4302" i="6"/>
  <c r="G4306" i="6"/>
  <c r="G4442" i="6"/>
  <c r="G4451" i="6"/>
  <c r="G4483" i="6"/>
  <c r="G4485" i="6"/>
  <c r="G4491" i="6"/>
  <c r="G4499" i="6"/>
  <c r="G4523" i="6"/>
  <c r="G4565" i="6"/>
  <c r="G4567" i="6"/>
  <c r="G4569" i="6"/>
  <c r="G4571" i="6"/>
  <c r="G4606" i="6"/>
  <c r="G4653" i="6"/>
  <c r="G4664" i="6"/>
  <c r="G4669" i="6"/>
  <c r="G4680" i="6"/>
  <c r="G4703" i="6"/>
  <c r="G4718" i="6"/>
  <c r="H4752" i="6"/>
  <c r="G4768" i="6"/>
  <c r="G4798" i="6"/>
  <c r="G4819" i="6"/>
  <c r="G4895" i="6"/>
  <c r="G4981" i="6"/>
  <c r="G4993" i="6"/>
  <c r="G5019" i="6"/>
  <c r="G5063" i="6"/>
  <c r="G5138" i="6"/>
  <c r="G5166" i="6"/>
  <c r="G5167" i="6"/>
  <c r="G5168" i="6"/>
  <c r="G5188" i="6"/>
  <c r="G5425" i="6"/>
  <c r="G2823" i="6"/>
  <c r="G3460" i="6"/>
  <c r="G3483" i="6"/>
  <c r="G3521" i="6"/>
  <c r="G3550" i="6"/>
  <c r="G3567" i="6"/>
  <c r="G3596" i="6"/>
  <c r="G3605" i="6"/>
  <c r="G3624" i="6"/>
  <c r="G3694" i="6"/>
  <c r="G3707" i="6"/>
  <c r="G3732" i="6"/>
  <c r="G3737" i="6"/>
  <c r="G3738" i="6"/>
  <c r="G3957" i="6"/>
  <c r="G4022" i="6"/>
  <c r="G4036" i="6"/>
  <c r="G4040" i="6"/>
  <c r="G4072" i="6"/>
  <c r="G4076" i="6"/>
  <c r="G4086" i="6"/>
  <c r="G4105" i="6"/>
  <c r="H4105" i="6" s="1"/>
  <c r="I31" i="13" s="1"/>
  <c r="G4148" i="6"/>
  <c r="G4153" i="6"/>
  <c r="G4323" i="6"/>
  <c r="G4336" i="6"/>
  <c r="G4363" i="6"/>
  <c r="G4370" i="6"/>
  <c r="G4377" i="6"/>
  <c r="G4403" i="6"/>
  <c r="G4417" i="6"/>
  <c r="G4447" i="6"/>
  <c r="G4475" i="6"/>
  <c r="G4493" i="6"/>
  <c r="G4513" i="6"/>
  <c r="G4518" i="6"/>
  <c r="G4560" i="6"/>
  <c r="G4596" i="6"/>
  <c r="G4598" i="6"/>
  <c r="G4646" i="6"/>
  <c r="G4648" i="6"/>
  <c r="G4694" i="6"/>
  <c r="G4698" i="6"/>
  <c r="H4714" i="6"/>
  <c r="I309" i="13" s="1"/>
  <c r="G4744" i="6"/>
  <c r="G4774" i="6"/>
  <c r="G4790" i="6"/>
  <c r="G4797" i="6"/>
  <c r="G4809" i="6"/>
  <c r="G4827" i="6"/>
  <c r="G4835" i="6"/>
  <c r="G4843" i="6"/>
  <c r="G4851" i="6"/>
  <c r="G4859" i="6"/>
  <c r="G4867" i="6"/>
  <c r="G4875" i="6"/>
  <c r="G4965" i="6"/>
  <c r="G4966" i="6"/>
  <c r="G4983" i="6"/>
  <c r="G5000" i="6"/>
  <c r="G5036" i="6"/>
  <c r="G5095" i="6"/>
  <c r="G5152" i="6"/>
  <c r="G5189" i="6"/>
  <c r="G5253" i="6"/>
  <c r="G5280" i="6"/>
  <c r="G5355" i="6"/>
  <c r="G3609" i="6"/>
  <c r="G3653" i="6"/>
  <c r="G3682" i="6"/>
  <c r="G3964" i="6"/>
  <c r="G3968" i="6"/>
  <c r="G4045" i="6"/>
  <c r="G4049" i="6"/>
  <c r="G4081" i="6"/>
  <c r="G4095" i="6"/>
  <c r="G4119" i="6"/>
  <c r="G4126" i="6"/>
  <c r="G4133" i="6"/>
  <c r="G4155" i="6"/>
  <c r="G4156" i="6"/>
  <c r="G4213" i="6"/>
  <c r="G4222" i="6"/>
  <c r="G4254" i="6"/>
  <c r="G4266" i="6"/>
  <c r="G4330" i="6"/>
  <c r="G4332" i="6"/>
  <c r="G4408" i="6"/>
  <c r="G4426" i="6"/>
  <c r="G4433" i="6"/>
  <c r="G4441" i="6"/>
  <c r="G4492" i="6"/>
  <c r="G4500" i="6"/>
  <c r="G4524" i="6"/>
  <c r="G4556" i="6"/>
  <c r="G4564" i="6"/>
  <c r="G4566" i="6"/>
  <c r="G4568" i="6"/>
  <c r="G4570" i="6"/>
  <c r="G4572" i="6"/>
  <c r="G4652" i="6"/>
  <c r="G4660" i="6"/>
  <c r="G4668" i="6"/>
  <c r="G4679" i="6"/>
  <c r="G4702" i="6"/>
  <c r="G4724" i="6"/>
  <c r="G4732" i="6"/>
  <c r="H4732" i="6" s="1"/>
  <c r="G4794" i="6"/>
  <c r="G4796" i="6"/>
  <c r="G4820" i="6"/>
  <c r="G4888" i="6"/>
  <c r="G5001" i="6"/>
  <c r="G5002" i="6"/>
  <c r="G5051" i="6"/>
  <c r="G5153" i="6"/>
  <c r="G5190" i="6"/>
  <c r="G5232" i="6"/>
  <c r="G5278" i="6"/>
  <c r="G5311" i="6"/>
  <c r="G5342" i="6"/>
  <c r="G5348" i="6"/>
  <c r="G5363" i="6"/>
  <c r="G4147" i="6"/>
  <c r="G4164" i="6"/>
  <c r="G4168" i="6"/>
  <c r="G4381" i="6"/>
  <c r="G4388" i="6"/>
  <c r="G4399" i="6"/>
  <c r="G4437" i="6"/>
  <c r="G4443" i="6"/>
  <c r="G4581" i="6"/>
  <c r="G4671" i="6"/>
  <c r="G4675" i="6"/>
  <c r="G4706" i="6"/>
  <c r="G5025" i="6"/>
  <c r="G5035" i="6"/>
  <c r="G5118" i="6"/>
  <c r="G5144" i="6"/>
  <c r="G5145" i="6"/>
  <c r="G5146" i="6"/>
  <c r="G5234" i="6"/>
  <c r="G5287" i="6"/>
  <c r="G5292" i="6"/>
  <c r="G5335" i="6"/>
  <c r="G5380" i="6"/>
  <c r="G5395" i="6"/>
  <c r="G5401" i="6"/>
  <c r="G5476" i="6"/>
  <c r="G5497" i="6"/>
  <c r="H5497" i="6" s="1"/>
  <c r="G5503" i="6"/>
  <c r="H5503" i="6" s="1"/>
  <c r="H5625" i="6"/>
  <c r="H5657" i="6"/>
  <c r="H5689" i="6"/>
  <c r="H5721" i="6"/>
  <c r="G5781" i="6"/>
  <c r="G5805" i="6"/>
  <c r="G5837" i="6"/>
  <c r="G5877" i="6"/>
  <c r="G5909" i="6"/>
  <c r="G5933" i="6"/>
  <c r="G5965" i="6"/>
  <c r="G6037" i="6"/>
  <c r="G6109" i="6"/>
  <c r="G6168" i="6"/>
  <c r="G4756" i="6"/>
  <c r="G4952" i="6"/>
  <c r="G4975" i="6"/>
  <c r="G5012" i="6"/>
  <c r="G5015" i="6"/>
  <c r="G5049" i="6"/>
  <c r="G5050" i="6"/>
  <c r="G5064" i="6"/>
  <c r="G5079" i="6"/>
  <c r="G5091" i="6"/>
  <c r="G5180" i="6"/>
  <c r="G5215" i="6"/>
  <c r="G5242" i="6"/>
  <c r="G5296" i="6"/>
  <c r="H5316" i="6"/>
  <c r="G5320" i="6"/>
  <c r="G5396" i="6"/>
  <c r="G5400" i="6"/>
  <c r="G5409" i="6"/>
  <c r="G5426" i="6"/>
  <c r="G5431" i="6"/>
  <c r="G5447" i="6"/>
  <c r="G5465" i="6"/>
  <c r="G5471" i="6"/>
  <c r="G5617" i="6"/>
  <c r="H5621" i="6"/>
  <c r="G5645" i="6"/>
  <c r="G5649" i="6"/>
  <c r="H5653" i="6"/>
  <c r="G5677" i="6"/>
  <c r="G5681" i="6"/>
  <c r="H5685" i="6"/>
  <c r="G5709" i="6"/>
  <c r="G5713" i="6"/>
  <c r="H5717" i="6"/>
  <c r="H5745" i="6"/>
  <c r="H5753" i="6"/>
  <c r="H5825" i="6"/>
  <c r="H5873" i="6"/>
  <c r="H5953" i="6"/>
  <c r="H6001" i="6"/>
  <c r="H6009" i="6"/>
  <c r="H6025" i="6"/>
  <c r="H6073" i="6"/>
  <c r="H6105" i="6"/>
  <c r="G4945" i="6"/>
  <c r="G4950" i="6"/>
  <c r="G5159" i="6"/>
  <c r="G5306" i="6"/>
  <c r="G5398" i="6"/>
  <c r="G5404" i="6"/>
  <c r="G5482" i="6"/>
  <c r="H5641" i="6"/>
  <c r="H5673" i="6"/>
  <c r="H5705" i="6"/>
  <c r="H5729" i="6"/>
  <c r="H5737" i="6"/>
  <c r="H5741" i="6"/>
  <c r="H5749" i="6"/>
  <c r="G5773" i="6"/>
  <c r="G5813" i="6"/>
  <c r="G5845" i="6"/>
  <c r="G5869" i="6"/>
  <c r="G5901" i="6"/>
  <c r="G5941" i="6"/>
  <c r="G5973" i="6"/>
  <c r="G5997" i="6"/>
  <c r="H6013" i="6"/>
  <c r="H6017" i="6"/>
  <c r="H6029" i="6"/>
  <c r="H6033" i="6"/>
  <c r="H6057" i="6"/>
  <c r="G6061" i="6"/>
  <c r="G6101" i="6"/>
  <c r="G6157" i="6"/>
  <c r="G6158" i="6"/>
  <c r="G6186" i="6"/>
  <c r="G6386" i="6"/>
  <c r="G4246" i="6"/>
  <c r="G4267" i="6"/>
  <c r="G4272" i="6"/>
  <c r="G4275" i="6"/>
  <c r="G4284" i="6"/>
  <c r="G4307" i="6"/>
  <c r="G4324" i="6"/>
  <c r="G4333" i="6"/>
  <c r="G4342" i="6"/>
  <c r="G4353" i="6"/>
  <c r="G4360" i="6"/>
  <c r="G4371" i="6"/>
  <c r="G4380" i="6"/>
  <c r="G4390" i="6"/>
  <c r="G4396" i="6"/>
  <c r="G4405" i="6"/>
  <c r="G4414" i="6"/>
  <c r="G4427" i="6"/>
  <c r="G4436" i="6"/>
  <c r="G4444" i="6"/>
  <c r="G4448" i="6"/>
  <c r="G4452" i="6"/>
  <c r="G4457" i="6"/>
  <c r="G4458" i="6"/>
  <c r="G4467" i="6"/>
  <c r="G4472" i="6"/>
  <c r="G4476" i="6"/>
  <c r="G4481" i="6"/>
  <c r="G4525" i="6"/>
  <c r="G4527" i="6"/>
  <c r="G4536" i="6"/>
  <c r="G4537" i="6"/>
  <c r="G4548" i="6"/>
  <c r="G4553" i="6"/>
  <c r="G4557" i="6"/>
  <c r="G4580" i="6"/>
  <c r="G4586" i="6"/>
  <c r="G4622" i="6"/>
  <c r="G4626" i="6"/>
  <c r="G4627" i="6"/>
  <c r="G4654" i="6"/>
  <c r="G4661" i="6"/>
  <c r="G4670" i="6"/>
  <c r="G4674" i="6"/>
  <c r="G4681" i="6"/>
  <c r="G4695" i="6"/>
  <c r="G4704" i="6"/>
  <c r="G4707" i="6"/>
  <c r="G4748" i="6"/>
  <c r="G4785" i="6"/>
  <c r="G4786" i="6"/>
  <c r="G4787" i="6"/>
  <c r="G4799" i="6"/>
  <c r="G4885" i="6"/>
  <c r="G4889" i="6"/>
  <c r="G4896" i="6"/>
  <c r="G4903" i="6"/>
  <c r="G4919" i="6"/>
  <c r="G4933" i="6"/>
  <c r="G4971" i="6"/>
  <c r="G4991" i="6"/>
  <c r="G5007" i="6"/>
  <c r="G5039" i="6"/>
  <c r="G5045" i="6"/>
  <c r="G5058" i="6"/>
  <c r="G5069" i="6"/>
  <c r="G5176" i="6"/>
  <c r="G5230" i="6"/>
  <c r="G5347" i="6"/>
  <c r="G5354" i="6"/>
  <c r="G5462" i="6"/>
  <c r="G5629" i="6"/>
  <c r="G5633" i="6"/>
  <c r="H5637" i="6"/>
  <c r="G5661" i="6"/>
  <c r="G5665" i="6"/>
  <c r="H5669" i="6"/>
  <c r="G5693" i="6"/>
  <c r="G5697" i="6"/>
  <c r="H5701" i="6"/>
  <c r="H5725" i="6"/>
  <c r="H5733" i="6"/>
  <c r="H5761" i="6"/>
  <c r="H5809" i="6"/>
  <c r="H5889" i="6"/>
  <c r="H5937" i="6"/>
  <c r="H6049" i="6"/>
  <c r="H6121" i="6"/>
  <c r="G6133" i="6"/>
  <c r="H6133" i="6" s="1"/>
  <c r="G5418" i="6"/>
  <c r="G5419" i="6"/>
  <c r="G5435" i="6"/>
  <c r="G5437" i="6"/>
  <c r="G5438" i="6"/>
  <c r="G5755" i="6"/>
  <c r="G5777" i="6"/>
  <c r="G5819" i="6"/>
  <c r="G5841" i="6"/>
  <c r="G5883" i="6"/>
  <c r="G5905" i="6"/>
  <c r="G5947" i="6"/>
  <c r="G5969" i="6"/>
  <c r="G6043" i="6"/>
  <c r="G6075" i="6"/>
  <c r="G6115" i="6"/>
  <c r="G6125" i="6"/>
  <c r="G6192" i="6"/>
  <c r="G6207" i="6"/>
  <c r="G6228" i="6"/>
  <c r="G6234" i="6"/>
  <c r="G6235" i="6"/>
  <c r="G6309" i="6"/>
  <c r="G6313" i="6"/>
  <c r="G6317" i="6"/>
  <c r="G6350" i="6"/>
  <c r="G6375" i="6"/>
  <c r="G6385" i="6"/>
  <c r="G6416" i="6"/>
  <c r="G6438" i="6"/>
  <c r="G6447" i="6"/>
  <c r="G6448" i="6"/>
  <c r="G6466" i="6"/>
  <c r="G7155" i="6"/>
  <c r="H7155" i="6" s="1"/>
  <c r="G7179" i="6"/>
  <c r="H7179" i="6" s="1"/>
  <c r="G7231" i="6"/>
  <c r="G7315" i="6"/>
  <c r="G7328" i="6"/>
  <c r="G7329" i="6"/>
  <c r="G7337" i="6"/>
  <c r="G7344" i="6"/>
  <c r="G7359" i="6"/>
  <c r="G7376" i="6"/>
  <c r="G7406" i="6"/>
  <c r="G7407" i="6"/>
  <c r="G7432" i="6"/>
  <c r="G7433" i="6"/>
  <c r="H7458" i="6"/>
  <c r="G7499" i="6"/>
  <c r="G7535" i="6"/>
  <c r="G7550" i="6"/>
  <c r="G5771" i="6"/>
  <c r="G5793" i="6"/>
  <c r="G5835" i="6"/>
  <c r="G5857" i="6"/>
  <c r="G5899" i="6"/>
  <c r="G5921" i="6"/>
  <c r="G5963" i="6"/>
  <c r="G5985" i="6"/>
  <c r="G6005" i="6"/>
  <c r="G6021" i="6"/>
  <c r="G6089" i="6"/>
  <c r="G6149" i="6"/>
  <c r="G6162" i="6"/>
  <c r="G6169" i="6"/>
  <c r="G6204" i="6"/>
  <c r="G6205" i="6"/>
  <c r="G6255" i="6"/>
  <c r="G6299" i="6"/>
  <c r="G6334" i="6"/>
  <c r="G6377" i="6"/>
  <c r="G6392" i="6"/>
  <c r="G6459" i="6"/>
  <c r="G6473" i="6"/>
  <c r="G6480" i="6"/>
  <c r="G6487" i="6"/>
  <c r="G7281" i="6"/>
  <c r="G7348" i="6"/>
  <c r="G7354" i="6"/>
  <c r="G7413" i="6"/>
  <c r="G7464" i="6"/>
  <c r="G7473" i="6"/>
  <c r="G7493" i="6"/>
  <c r="G7520" i="6"/>
  <c r="G7537" i="6"/>
  <c r="G6139" i="6"/>
  <c r="G6215" i="6"/>
  <c r="G6223" i="6"/>
  <c r="G6229" i="6"/>
  <c r="G6249" i="6"/>
  <c r="G6297" i="6"/>
  <c r="G6301" i="6"/>
  <c r="G6336" i="6"/>
  <c r="G6349" i="6"/>
  <c r="G6358" i="6"/>
  <c r="G6399" i="6"/>
  <c r="G6442" i="6"/>
  <c r="G6443" i="6"/>
  <c r="G6457" i="6"/>
  <c r="G6493" i="6"/>
  <c r="G6509" i="6"/>
  <c r="G6525" i="6"/>
  <c r="G6541" i="6"/>
  <c r="G6557" i="6"/>
  <c r="G6573" i="6"/>
  <c r="G6589" i="6"/>
  <c r="G6605" i="6"/>
  <c r="G6621" i="6"/>
  <c r="G6637" i="6"/>
  <c r="G6653" i="6"/>
  <c r="G6669" i="6"/>
  <c r="G6685" i="6"/>
  <c r="G6701" i="6"/>
  <c r="G6717" i="6"/>
  <c r="G6733" i="6"/>
  <c r="G6749" i="6"/>
  <c r="H7248" i="6"/>
  <c r="G7285" i="6"/>
  <c r="G7322" i="6"/>
  <c r="G7327" i="6"/>
  <c r="G7343" i="6"/>
  <c r="H7342" i="6" s="1"/>
  <c r="G7353" i="6"/>
  <c r="G5803" i="6"/>
  <c r="G5867" i="6"/>
  <c r="G5931" i="6"/>
  <c r="G5995" i="6"/>
  <c r="H6081" i="6"/>
  <c r="G6099" i="6"/>
  <c r="G6172" i="6"/>
  <c r="G6173" i="6"/>
  <c r="G6180" i="6"/>
  <c r="G6181" i="6"/>
  <c r="G6213" i="6"/>
  <c r="G6263" i="6"/>
  <c r="G6275" i="6"/>
  <c r="G6283" i="6"/>
  <c r="G6291" i="6"/>
  <c r="G6307" i="6"/>
  <c r="G6315" i="6"/>
  <c r="G6344" i="6"/>
  <c r="G6356" i="6"/>
  <c r="G6360" i="6"/>
  <c r="G6370" i="6"/>
  <c r="G6373" i="6"/>
  <c r="G6396" i="6"/>
  <c r="G6397" i="6"/>
  <c r="G6421" i="6"/>
  <c r="G6426" i="6"/>
  <c r="G6431" i="6"/>
  <c r="G6436" i="6"/>
  <c r="G6450" i="6"/>
  <c r="G7143" i="6"/>
  <c r="H7143" i="6" s="1"/>
  <c r="G7167" i="6"/>
  <c r="H7167" i="6" s="1"/>
  <c r="G7191" i="6"/>
  <c r="H7191" i="6" s="1"/>
  <c r="G7227" i="6"/>
  <c r="H7238" i="6"/>
  <c r="G7334" i="6"/>
  <c r="G7400" i="6"/>
  <c r="G7418" i="6"/>
  <c r="G7426" i="6"/>
  <c r="G7465" i="6"/>
  <c r="G7466" i="6"/>
  <c r="G6811" i="6"/>
  <c r="G6843" i="6"/>
  <c r="G6875" i="6"/>
  <c r="G6891" i="6"/>
  <c r="G6907" i="6"/>
  <c r="G6923" i="6"/>
  <c r="G7220" i="6"/>
  <c r="G7381" i="6"/>
  <c r="G7395" i="6"/>
  <c r="G7440" i="6"/>
  <c r="G7508" i="6"/>
  <c r="G8202" i="6"/>
  <c r="G8218" i="6"/>
  <c r="G8222" i="6"/>
  <c r="G8294" i="6"/>
  <c r="G8295" i="6"/>
  <c r="G8302" i="6"/>
  <c r="G8308" i="6"/>
  <c r="G8309" i="6"/>
  <c r="G8324" i="6"/>
  <c r="G8325" i="6"/>
  <c r="G8345" i="6"/>
  <c r="G8374" i="6"/>
  <c r="F628" i="7"/>
  <c r="G6765" i="6"/>
  <c r="G6781" i="6"/>
  <c r="G6813" i="6"/>
  <c r="G6829" i="6"/>
  <c r="G6845" i="6"/>
  <c r="G6861" i="6"/>
  <c r="G6877" i="6"/>
  <c r="G6893" i="6"/>
  <c r="G6909" i="6"/>
  <c r="G6925" i="6"/>
  <c r="G6941" i="6"/>
  <c r="G6965" i="6"/>
  <c r="G6981" i="6"/>
  <c r="G6997" i="6"/>
  <c r="G7013" i="6"/>
  <c r="G7029" i="6"/>
  <c r="G7045" i="6"/>
  <c r="G7061" i="6"/>
  <c r="G7077" i="6"/>
  <c r="G7093" i="6"/>
  <c r="G7109" i="6"/>
  <c r="G7133" i="6"/>
  <c r="G7232" i="6"/>
  <c r="H7243" i="6"/>
  <c r="G7251" i="6"/>
  <c r="G7279" i="6"/>
  <c r="H7297" i="6"/>
  <c r="G7332" i="6"/>
  <c r="G7338" i="6"/>
  <c r="G7349" i="6"/>
  <c r="G7358" i="6"/>
  <c r="G7417" i="6"/>
  <c r="G7515" i="6"/>
  <c r="G7926" i="6"/>
  <c r="G8018" i="6"/>
  <c r="G8146" i="6"/>
  <c r="G8186" i="6"/>
  <c r="G8193" i="6"/>
  <c r="G8206" i="6"/>
  <c r="G8215" i="6"/>
  <c r="G8216" i="6"/>
  <c r="H8227" i="6"/>
  <c r="G8237" i="6"/>
  <c r="G8255" i="6"/>
  <c r="G8256" i="6"/>
  <c r="G8269" i="6"/>
  <c r="G8270" i="6"/>
  <c r="G8280" i="6"/>
  <c r="G8281" i="6"/>
  <c r="G8288" i="6"/>
  <c r="G8298" i="6"/>
  <c r="G8315" i="6"/>
  <c r="G8335" i="6"/>
  <c r="H8330" i="6" s="1"/>
  <c r="G8336" i="6"/>
  <c r="G8350" i="6"/>
  <c r="H8350" i="6" s="1"/>
  <c r="G8356" i="6"/>
  <c r="G8357" i="6"/>
  <c r="G8383" i="6"/>
  <c r="G6763" i="6"/>
  <c r="G6779" i="6"/>
  <c r="G6795" i="6"/>
  <c r="G6803" i="6"/>
  <c r="G6963" i="6"/>
  <c r="G6979" i="6"/>
  <c r="G6995" i="6"/>
  <c r="G7011" i="6"/>
  <c r="G7027" i="6"/>
  <c r="G7059" i="6"/>
  <c r="G7075" i="6"/>
  <c r="G7091" i="6"/>
  <c r="G7107" i="6"/>
  <c r="G7123" i="6"/>
  <c r="G7131" i="6"/>
  <c r="G7336" i="6"/>
  <c r="G7367" i="6"/>
  <c r="G7452" i="6"/>
  <c r="G7482" i="6"/>
  <c r="G7570" i="6"/>
  <c r="G7602" i="6"/>
  <c r="G7626" i="6"/>
  <c r="G7642" i="6"/>
  <c r="G7658" i="6"/>
  <c r="G7674" i="6"/>
  <c r="G7690" i="6"/>
  <c r="G7706" i="6"/>
  <c r="G7722" i="6"/>
  <c r="G7738" i="6"/>
  <c r="G7754" i="6"/>
  <c r="G7770" i="6"/>
  <c r="G7786" i="6"/>
  <c r="G7802" i="6"/>
  <c r="G7878" i="6"/>
  <c r="G8190" i="6"/>
  <c r="G8191" i="6"/>
  <c r="G8203" i="6"/>
  <c r="G8204" i="6"/>
  <c r="G8219" i="6"/>
  <c r="G8220" i="6"/>
  <c r="G8232" i="6"/>
  <c r="H8275" i="6"/>
  <c r="G8285" i="6"/>
  <c r="G8286" i="6"/>
  <c r="G8303" i="6"/>
  <c r="G8304" i="6"/>
  <c r="G8323" i="6"/>
  <c r="G8346" i="6"/>
  <c r="H8340" i="6" s="1"/>
  <c r="G8388" i="6"/>
  <c r="G7265" i="6"/>
  <c r="G7289" i="6"/>
  <c r="G7399" i="6"/>
  <c r="G7492" i="6"/>
  <c r="G7562" i="6"/>
  <c r="G7854" i="6"/>
  <c r="G7874" i="6"/>
  <c r="G7902" i="6"/>
  <c r="G7918" i="6"/>
  <c r="G7934" i="6"/>
  <c r="G8194" i="6"/>
  <c r="G8195" i="6"/>
  <c r="G8242" i="6"/>
  <c r="G8260" i="6"/>
  <c r="H8260" i="6" s="1"/>
  <c r="G8268" i="6"/>
  <c r="G8279" i="6"/>
  <c r="G8289" i="6"/>
  <c r="G8290" i="6"/>
  <c r="G8297" i="6"/>
  <c r="G8314" i="6"/>
  <c r="G8362" i="6"/>
  <c r="H8362" i="6" s="1"/>
  <c r="F391" i="7"/>
  <c r="F407" i="7"/>
  <c r="F413" i="7"/>
  <c r="F420" i="7"/>
  <c r="F427" i="7"/>
  <c r="F460" i="7"/>
  <c r="F503" i="7"/>
  <c r="F507" i="7"/>
  <c r="F514" i="7"/>
  <c r="F572" i="7"/>
  <c r="F576" i="7"/>
  <c r="F597" i="7"/>
  <c r="F614" i="7"/>
  <c r="F624" i="7"/>
  <c r="F668" i="7"/>
  <c r="F688" i="7"/>
  <c r="F709" i="7"/>
  <c r="F17" i="8"/>
  <c r="F61" i="8"/>
  <c r="F70" i="8"/>
  <c r="F72" i="8"/>
  <c r="F83" i="8"/>
  <c r="F131" i="8"/>
  <c r="G131" i="8" s="1"/>
  <c r="G7962" i="6"/>
  <c r="G8002" i="6"/>
  <c r="G8034" i="6"/>
  <c r="G8066" i="6"/>
  <c r="G8098" i="6"/>
  <c r="G8130" i="6"/>
  <c r="G8162" i="6"/>
  <c r="G8192" i="6"/>
  <c r="G8196" i="6"/>
  <c r="G8201" i="6"/>
  <c r="G8205" i="6"/>
  <c r="G8217" i="6"/>
  <c r="G8243" i="6"/>
  <c r="G8247" i="6"/>
  <c r="G8248" i="6"/>
  <c r="G8267" i="6"/>
  <c r="G8287" i="6"/>
  <c r="G8296" i="6"/>
  <c r="G8317" i="6"/>
  <c r="G8322" i="6"/>
  <c r="G8326" i="6"/>
  <c r="G8358" i="6"/>
  <c r="G8373" i="6"/>
  <c r="G8376" i="6"/>
  <c r="G8382" i="6"/>
  <c r="G8385" i="6"/>
  <c r="G8389" i="6"/>
  <c r="F17" i="7"/>
  <c r="F18" i="7"/>
  <c r="F20" i="7"/>
  <c r="F27" i="7"/>
  <c r="F79" i="7"/>
  <c r="F87" i="7"/>
  <c r="F88" i="7"/>
  <c r="F94" i="7"/>
  <c r="F97" i="7"/>
  <c r="F98" i="7"/>
  <c r="F104" i="7"/>
  <c r="F137" i="7"/>
  <c r="F138" i="7"/>
  <c r="F141" i="7"/>
  <c r="F142" i="7"/>
  <c r="F153" i="7"/>
  <c r="F155" i="7"/>
  <c r="F156" i="7"/>
  <c r="F165" i="7"/>
  <c r="F167" i="7"/>
  <c r="F273" i="7"/>
  <c r="F274" i="7"/>
  <c r="F282" i="7"/>
  <c r="F284" i="7"/>
  <c r="F285" i="7"/>
  <c r="F303" i="7"/>
  <c r="F392" i="7"/>
  <c r="F424" i="7"/>
  <c r="F442" i="7"/>
  <c r="F444" i="7"/>
  <c r="F525" i="7"/>
  <c r="F577" i="7"/>
  <c r="F620" i="7"/>
  <c r="F646" i="7"/>
  <c r="F687" i="7"/>
  <c r="F11" i="8"/>
  <c r="F14" i="8"/>
  <c r="G13" i="8" s="1"/>
  <c r="F15" i="8"/>
  <c r="F37" i="8"/>
  <c r="F56" i="8"/>
  <c r="F58" i="8"/>
  <c r="F69" i="8"/>
  <c r="F75" i="8"/>
  <c r="G7305" i="6"/>
  <c r="G7582" i="6"/>
  <c r="G7622" i="6"/>
  <c r="G7630" i="6"/>
  <c r="G7638" i="6"/>
  <c r="G7646" i="6"/>
  <c r="G7654" i="6"/>
  <c r="G7662" i="6"/>
  <c r="G7670" i="6"/>
  <c r="G7678" i="6"/>
  <c r="G7686" i="6"/>
  <c r="G7694" i="6"/>
  <c r="G7702" i="6"/>
  <c r="G7710" i="6"/>
  <c r="G7718" i="6"/>
  <c r="G7726" i="6"/>
  <c r="G7734" i="6"/>
  <c r="G7742" i="6"/>
  <c r="G7750" i="6"/>
  <c r="G7758" i="6"/>
  <c r="G7766" i="6"/>
  <c r="G7774" i="6"/>
  <c r="G7782" i="6"/>
  <c r="G7790" i="6"/>
  <c r="G7798" i="6"/>
  <c r="G7806" i="6"/>
  <c r="G8211" i="6"/>
  <c r="F6" i="7"/>
  <c r="F13" i="7"/>
  <c r="F15" i="7"/>
  <c r="F21" i="7"/>
  <c r="F39" i="7"/>
  <c r="F40" i="7"/>
  <c r="F47" i="7"/>
  <c r="F48" i="7"/>
  <c r="F58" i="7"/>
  <c r="F60" i="7"/>
  <c r="F61" i="7"/>
  <c r="F70" i="7"/>
  <c r="F71" i="7"/>
  <c r="F77" i="7"/>
  <c r="F107" i="7"/>
  <c r="F108" i="7"/>
  <c r="F111" i="7"/>
  <c r="F168" i="7"/>
  <c r="F175" i="7"/>
  <c r="F176" i="7"/>
  <c r="F179" i="7"/>
  <c r="F180" i="7"/>
  <c r="F187" i="7"/>
  <c r="F188" i="7"/>
  <c r="F190" i="7"/>
  <c r="F191" i="7"/>
  <c r="F196" i="7"/>
  <c r="F202" i="7"/>
  <c r="F203" i="7"/>
  <c r="F209" i="7"/>
  <c r="F212" i="7"/>
  <c r="F213" i="7"/>
  <c r="F224" i="7"/>
  <c r="F226" i="7"/>
  <c r="F227" i="7"/>
  <c r="F238" i="7"/>
  <c r="F240" i="7"/>
  <c r="F241" i="7"/>
  <c r="F253" i="7"/>
  <c r="F255" i="7"/>
  <c r="F256" i="7"/>
  <c r="F267" i="7"/>
  <c r="F294" i="7"/>
  <c r="F302" i="7"/>
  <c r="F317" i="7"/>
  <c r="F415" i="7"/>
  <c r="F456" i="7"/>
  <c r="F526" i="7"/>
  <c r="F537" i="7"/>
  <c r="F554" i="7"/>
  <c r="F583" i="7"/>
  <c r="F593" i="7"/>
  <c r="F599" i="7"/>
  <c r="F645" i="7"/>
  <c r="F9" i="8"/>
  <c r="G8" i="8" s="1"/>
  <c r="F18" i="8"/>
  <c r="F55" i="8"/>
  <c r="F71" i="8"/>
  <c r="F97" i="8"/>
  <c r="G7818" i="6"/>
  <c r="G7826" i="6"/>
  <c r="G7834" i="6"/>
  <c r="G7842" i="6"/>
  <c r="G7870" i="6"/>
  <c r="G7882" i="6"/>
  <c r="G7890" i="6"/>
  <c r="G7950" i="6"/>
  <c r="G7958" i="6"/>
  <c r="G7966" i="6"/>
  <c r="G7974" i="6"/>
  <c r="G7982" i="6"/>
  <c r="G7990" i="6"/>
  <c r="G7998" i="6"/>
  <c r="G8006" i="6"/>
  <c r="G8014" i="6"/>
  <c r="G8022" i="6"/>
  <c r="G8030" i="6"/>
  <c r="G8038" i="6"/>
  <c r="G8046" i="6"/>
  <c r="G8054" i="6"/>
  <c r="G8062" i="6"/>
  <c r="G8070" i="6"/>
  <c r="G8078" i="6"/>
  <c r="G8086" i="6"/>
  <c r="G8094" i="6"/>
  <c r="G8102" i="6"/>
  <c r="G8110" i="6"/>
  <c r="G8118" i="6"/>
  <c r="G8126" i="6"/>
  <c r="G8134" i="6"/>
  <c r="G8142" i="6"/>
  <c r="G8150" i="6"/>
  <c r="G8158" i="6"/>
  <c r="G8166" i="6"/>
  <c r="G8174" i="6"/>
  <c r="G8182" i="6"/>
  <c r="G8310" i="6"/>
  <c r="F278" i="7"/>
  <c r="F298" i="7"/>
  <c r="F299" i="7"/>
  <c r="F316" i="7"/>
  <c r="F416" i="7"/>
  <c r="F426" i="7"/>
  <c r="F459" i="7"/>
  <c r="F500" i="7"/>
  <c r="F502" i="7"/>
  <c r="F511" i="7"/>
  <c r="F513" i="7"/>
  <c r="F538" i="7"/>
  <c r="F571" i="7"/>
  <c r="F584" i="7"/>
  <c r="F596" i="7"/>
  <c r="F600" i="7"/>
  <c r="F613" i="7"/>
  <c r="F623" i="7"/>
  <c r="F655" i="7"/>
  <c r="F25" i="8"/>
  <c r="F48" i="8"/>
  <c r="F57" i="8"/>
  <c r="F137" i="8"/>
  <c r="G137" i="8" s="1"/>
  <c r="F642" i="7"/>
  <c r="F658" i="7"/>
  <c r="F663" i="7"/>
  <c r="F664" i="7"/>
  <c r="F684" i="7"/>
  <c r="F698" i="7"/>
  <c r="F699" i="7"/>
  <c r="H2082" i="6" l="1"/>
  <c r="H8378" i="6"/>
  <c r="H3945" i="6"/>
  <c r="H3221" i="6"/>
  <c r="H3572" i="6"/>
  <c r="H4192" i="6"/>
  <c r="I113" i="13" s="1"/>
  <c r="H2018" i="6"/>
  <c r="H1983" i="6"/>
  <c r="H1638" i="6"/>
  <c r="H3736" i="6"/>
  <c r="H3336" i="6"/>
  <c r="H2026" i="6"/>
  <c r="H2090" i="6"/>
  <c r="H94" i="6"/>
  <c r="H2042" i="6"/>
  <c r="H1066" i="6"/>
  <c r="H2058" i="6"/>
  <c r="H2160" i="6"/>
  <c r="H7966" i="6"/>
  <c r="H7950" i="6"/>
  <c r="H7890" i="6"/>
  <c r="H7870" i="6"/>
  <c r="G8178" i="6"/>
  <c r="G8170" i="6"/>
  <c r="H8162" i="6"/>
  <c r="G8154" i="6"/>
  <c r="G8138" i="6"/>
  <c r="H8130" i="6"/>
  <c r="G8122" i="6"/>
  <c r="G8114" i="6"/>
  <c r="G8106" i="6"/>
  <c r="H8098" i="6"/>
  <c r="G8090" i="6"/>
  <c r="G8082" i="6"/>
  <c r="G8074" i="6"/>
  <c r="H8066" i="6"/>
  <c r="G8058" i="6"/>
  <c r="G8050" i="6"/>
  <c r="G8042" i="6"/>
  <c r="H8034" i="6"/>
  <c r="G8026" i="6"/>
  <c r="G8010" i="6"/>
  <c r="H8002" i="6"/>
  <c r="G7994" i="6"/>
  <c r="G7986" i="6"/>
  <c r="G7978" i="6"/>
  <c r="G7970" i="6"/>
  <c r="H7962" i="6"/>
  <c r="G7954" i="6"/>
  <c r="H7562" i="6"/>
  <c r="H7602" i="6"/>
  <c r="H6923" i="6"/>
  <c r="H6875" i="6"/>
  <c r="H2742" i="6"/>
  <c r="H2734" i="6"/>
  <c r="H7834" i="6"/>
  <c r="H7818" i="6"/>
  <c r="G7606" i="6"/>
  <c r="H7582" i="6"/>
  <c r="G7574" i="6"/>
  <c r="H6891" i="6"/>
  <c r="H6843" i="6"/>
  <c r="H2722" i="6"/>
  <c r="G3326" i="6"/>
  <c r="H7974" i="6"/>
  <c r="H7958" i="6"/>
  <c r="H7882" i="6"/>
  <c r="G7846" i="6"/>
  <c r="G7838" i="6"/>
  <c r="G7830" i="6"/>
  <c r="G7822" i="6"/>
  <c r="G7814" i="6"/>
  <c r="H7265" i="6"/>
  <c r="H6907" i="6"/>
  <c r="H6811" i="6"/>
  <c r="H6125" i="6"/>
  <c r="H7842" i="6"/>
  <c r="H7826" i="6"/>
  <c r="G7894" i="6"/>
  <c r="G7886" i="6"/>
  <c r="G7866" i="6"/>
  <c r="H4748" i="6"/>
  <c r="F127" i="8"/>
  <c r="G126" i="8" s="1"/>
  <c r="F102" i="8"/>
  <c r="F98" i="8"/>
  <c r="F87" i="8"/>
  <c r="F78" i="8"/>
  <c r="F702" i="7"/>
  <c r="F51" i="8"/>
  <c r="F605" i="7"/>
  <c r="F603" i="7"/>
  <c r="F541" i="7"/>
  <c r="F476" i="7"/>
  <c r="F319" i="7"/>
  <c r="F288" i="7"/>
  <c r="F243" i="7"/>
  <c r="F193" i="7"/>
  <c r="G193" i="7" s="1"/>
  <c r="F23" i="7"/>
  <c r="G7438" i="6"/>
  <c r="F557" i="7"/>
  <c r="F555" i="7"/>
  <c r="H7790" i="6"/>
  <c r="H7758" i="6"/>
  <c r="H7726" i="6"/>
  <c r="H7694" i="6"/>
  <c r="H7662" i="6"/>
  <c r="H7630" i="6"/>
  <c r="H7305" i="6"/>
  <c r="F602" i="7"/>
  <c r="F580" i="7"/>
  <c r="F484" i="7"/>
  <c r="F447" i="7"/>
  <c r="F431" i="7"/>
  <c r="F365" i="7"/>
  <c r="F329" i="7"/>
  <c r="F268" i="7"/>
  <c r="F183" i="7"/>
  <c r="F64" i="7"/>
  <c r="F52" i="7"/>
  <c r="F24" i="7"/>
  <c r="F9" i="7"/>
  <c r="H8247" i="6"/>
  <c r="F632" i="7"/>
  <c r="F622" i="7"/>
  <c r="F587" i="7"/>
  <c r="F528" i="7"/>
  <c r="F497" i="7"/>
  <c r="F408" i="7"/>
  <c r="F406" i="7"/>
  <c r="F384" i="7"/>
  <c r="G8221" i="6"/>
  <c r="H7934" i="6"/>
  <c r="H7902" i="6"/>
  <c r="G7446" i="6"/>
  <c r="G7423" i="6"/>
  <c r="H8285" i="6"/>
  <c r="I95" i="13" s="1"/>
  <c r="H7786" i="6"/>
  <c r="H7754" i="6"/>
  <c r="H7722" i="6"/>
  <c r="H7690" i="6"/>
  <c r="H7658" i="6"/>
  <c r="H7626" i="6"/>
  <c r="G7394" i="6"/>
  <c r="G7273" i="6"/>
  <c r="G7219" i="6"/>
  <c r="G7185" i="6"/>
  <c r="H7185" i="6" s="1"/>
  <c r="H7131" i="6"/>
  <c r="H6803" i="6"/>
  <c r="F320" i="7"/>
  <c r="F149" i="7"/>
  <c r="F147" i="7"/>
  <c r="F145" i="7"/>
  <c r="H8146" i="6"/>
  <c r="H8018" i="6"/>
  <c r="H7926" i="6"/>
  <c r="G7463" i="6"/>
  <c r="G7447" i="6"/>
  <c r="G7375" i="6"/>
  <c r="H7372" i="6" s="1"/>
  <c r="G7301" i="6"/>
  <c r="F36" i="7"/>
  <c r="F34" i="7"/>
  <c r="F32" i="7"/>
  <c r="F30" i="7"/>
  <c r="H8302" i="6"/>
  <c r="I197" i="13" s="1"/>
  <c r="H8294" i="6"/>
  <c r="I96" i="13" s="1"/>
  <c r="G7313" i="6"/>
  <c r="G7277" i="6"/>
  <c r="G7197" i="6"/>
  <c r="H7197" i="6" s="1"/>
  <c r="G6449" i="6"/>
  <c r="G6359" i="6"/>
  <c r="G6355" i="6"/>
  <c r="G6311" i="6"/>
  <c r="G6041" i="6"/>
  <c r="G6398" i="6"/>
  <c r="H6396" i="6" s="1"/>
  <c r="H6349" i="6"/>
  <c r="G6300" i="6"/>
  <c r="G6248" i="6"/>
  <c r="G6222" i="6"/>
  <c r="G6097" i="6"/>
  <c r="G6045" i="6"/>
  <c r="G5949" i="6"/>
  <c r="G5893" i="6"/>
  <c r="G5821" i="6"/>
  <c r="G5765" i="6"/>
  <c r="H7281" i="6"/>
  <c r="G6458" i="6"/>
  <c r="G6258" i="6"/>
  <c r="H6149" i="6"/>
  <c r="G6129" i="6"/>
  <c r="H5985" i="6"/>
  <c r="G5913" i="6"/>
  <c r="G6403" i="6"/>
  <c r="G6335" i="6"/>
  <c r="G6308" i="6"/>
  <c r="G6289" i="6"/>
  <c r="G6273" i="6"/>
  <c r="G6264" i="6"/>
  <c r="G6206" i="6"/>
  <c r="G6153" i="6"/>
  <c r="G6145" i="6"/>
  <c r="H5693" i="6"/>
  <c r="H5661" i="6"/>
  <c r="H5629" i="6"/>
  <c r="G5493" i="6"/>
  <c r="G5181" i="6"/>
  <c r="G5089" i="6"/>
  <c r="H6101" i="6"/>
  <c r="H5973" i="6"/>
  <c r="H5901" i="6"/>
  <c r="G5453" i="6"/>
  <c r="G5412" i="6"/>
  <c r="G5239" i="6"/>
  <c r="G5233" i="6"/>
  <c r="G5207" i="6"/>
  <c r="G5194" i="6"/>
  <c r="G5066" i="6"/>
  <c r="G4994" i="6"/>
  <c r="G4582" i="6"/>
  <c r="G4364" i="6"/>
  <c r="G4346" i="6"/>
  <c r="H5709" i="6"/>
  <c r="H5677" i="6"/>
  <c r="H5645" i="6"/>
  <c r="G5373" i="6"/>
  <c r="G5329" i="6"/>
  <c r="G5266" i="6"/>
  <c r="G5260" i="6"/>
  <c r="G5254" i="6"/>
  <c r="G5110" i="6"/>
  <c r="G5090" i="6"/>
  <c r="H5049" i="6"/>
  <c r="G5044" i="6"/>
  <c r="G4988" i="6"/>
  <c r="G4926" i="6"/>
  <c r="G4923" i="6"/>
  <c r="G4354" i="6"/>
  <c r="G4300" i="6"/>
  <c r="H6037" i="6"/>
  <c r="H5933" i="6"/>
  <c r="H5476" i="6"/>
  <c r="G5403" i="6"/>
  <c r="G5269" i="6"/>
  <c r="G5164" i="6"/>
  <c r="G5142" i="6"/>
  <c r="G5114" i="6"/>
  <c r="G5043" i="6"/>
  <c r="H5025" i="6"/>
  <c r="G5020" i="6"/>
  <c r="H5019" i="6" s="1"/>
  <c r="G4894" i="6"/>
  <c r="G4663" i="6"/>
  <c r="G4629" i="6"/>
  <c r="G4584" i="6"/>
  <c r="G4508" i="6"/>
  <c r="G4503" i="6"/>
  <c r="G4484" i="6"/>
  <c r="G4425" i="6"/>
  <c r="G4355" i="6"/>
  <c r="G4331" i="6"/>
  <c r="G4309" i="6"/>
  <c r="G4301" i="6"/>
  <c r="G4286" i="6"/>
  <c r="G4211" i="6"/>
  <c r="G4110" i="6"/>
  <c r="H4109" i="6" s="1"/>
  <c r="I111" i="13" s="1"/>
  <c r="G4088" i="6"/>
  <c r="H4086" i="6" s="1"/>
  <c r="G4056" i="6"/>
  <c r="G4006" i="6"/>
  <c r="G3991" i="6"/>
  <c r="G3966" i="6"/>
  <c r="H4702" i="6"/>
  <c r="I214" i="13" s="1"/>
  <c r="H4679" i="6"/>
  <c r="I208" i="13" s="1"/>
  <c r="G4212" i="6"/>
  <c r="G4118" i="6"/>
  <c r="H4080" i="6"/>
  <c r="G3967" i="6"/>
  <c r="G3853" i="6"/>
  <c r="G3764" i="6"/>
  <c r="H3764" i="6" s="1"/>
  <c r="G3641" i="6"/>
  <c r="H4875" i="6"/>
  <c r="H4867" i="6"/>
  <c r="H4859" i="6"/>
  <c r="H4851" i="6"/>
  <c r="H4843" i="6"/>
  <c r="H4835" i="6"/>
  <c r="H4827" i="6"/>
  <c r="G4075" i="6"/>
  <c r="H4022" i="6"/>
  <c r="G3818" i="6"/>
  <c r="H3818" i="6" s="1"/>
  <c r="G3794" i="6"/>
  <c r="H3794" i="6" s="1"/>
  <c r="G3770" i="6"/>
  <c r="H3770" i="6" s="1"/>
  <c r="G3724" i="6"/>
  <c r="G3615" i="6"/>
  <c r="G3595" i="6"/>
  <c r="G3538" i="6"/>
  <c r="H4152" i="6"/>
  <c r="I204" i="13" s="1"/>
  <c r="G4111" i="6"/>
  <c r="G3955" i="6"/>
  <c r="G3940" i="6"/>
  <c r="G3913" i="6"/>
  <c r="G3887" i="6"/>
  <c r="G3863" i="6"/>
  <c r="G3721" i="6"/>
  <c r="G3681" i="6"/>
  <c r="G3658" i="6"/>
  <c r="G3614" i="6"/>
  <c r="G3603" i="6"/>
  <c r="G3537" i="6"/>
  <c r="H4465" i="6"/>
  <c r="I198" i="13" s="1"/>
  <c r="G4236" i="6"/>
  <c r="G4140" i="6"/>
  <c r="G3921" i="6"/>
  <c r="G3847" i="6"/>
  <c r="G3782" i="6"/>
  <c r="H3782" i="6" s="1"/>
  <c r="G3752" i="6"/>
  <c r="G3519" i="6"/>
  <c r="G3414" i="6"/>
  <c r="G3380" i="6"/>
  <c r="H3379" i="6" s="1"/>
  <c r="G3360" i="6"/>
  <c r="G3353" i="6"/>
  <c r="G3320" i="6"/>
  <c r="H3317" i="6" s="1"/>
  <c r="G3292" i="6"/>
  <c r="H3289" i="6" s="1"/>
  <c r="G3264" i="6"/>
  <c r="H3192" i="6"/>
  <c r="G3187" i="6"/>
  <c r="G3152" i="6"/>
  <c r="H3021" i="6"/>
  <c r="I291" i="13" s="1"/>
  <c r="H3011" i="6"/>
  <c r="I289" i="13" s="1"/>
  <c r="G2766" i="6"/>
  <c r="G2634" i="6"/>
  <c r="G2386" i="6"/>
  <c r="G2228" i="6"/>
  <c r="H3388" i="6"/>
  <c r="H3227" i="6"/>
  <c r="H3001" i="6"/>
  <c r="I287" i="13" s="1"/>
  <c r="G2981" i="6"/>
  <c r="G2881" i="6"/>
  <c r="G2590" i="6"/>
  <c r="G2506" i="6"/>
  <c r="G2356" i="6"/>
  <c r="G2332" i="6"/>
  <c r="G2284" i="6"/>
  <c r="G2275" i="6"/>
  <c r="G2267" i="6"/>
  <c r="G2229" i="6"/>
  <c r="G2138" i="6"/>
  <c r="H3233" i="6"/>
  <c r="H3112" i="6"/>
  <c r="I304" i="13" s="1"/>
  <c r="G3064" i="6"/>
  <c r="H2864" i="6"/>
  <c r="I262" i="13" s="1"/>
  <c r="G2782" i="6"/>
  <c r="G2777" i="6"/>
  <c r="G2762" i="6"/>
  <c r="G2718" i="6"/>
  <c r="G2200" i="6"/>
  <c r="G3075" i="6"/>
  <c r="H3031" i="6"/>
  <c r="I293" i="13" s="1"/>
  <c r="G2951" i="6"/>
  <c r="G2870" i="6"/>
  <c r="G2849" i="6"/>
  <c r="H2792" i="6"/>
  <c r="I241" i="13" s="1"/>
  <c r="G2526" i="6"/>
  <c r="G2510" i="6"/>
  <c r="G2494" i="6"/>
  <c r="G2478" i="6"/>
  <c r="G2462" i="6"/>
  <c r="G2320" i="6"/>
  <c r="G2253" i="6"/>
  <c r="H1997" i="6"/>
  <c r="H1917" i="6"/>
  <c r="H1604" i="6"/>
  <c r="H1473" i="6"/>
  <c r="H1391" i="6"/>
  <c r="H1179" i="6"/>
  <c r="G936" i="6"/>
  <c r="H168" i="6"/>
  <c r="I243" i="13" s="1"/>
  <c r="H146" i="6"/>
  <c r="I106" i="13" s="1"/>
  <c r="H89" i="6"/>
  <c r="H8" i="6"/>
  <c r="H1854" i="6"/>
  <c r="H1946" i="6"/>
  <c r="H2834" i="6"/>
  <c r="I256" i="13" s="1"/>
  <c r="H2956" i="6"/>
  <c r="I279" i="13" s="1"/>
  <c r="H3139" i="6"/>
  <c r="I235" i="13" s="1"/>
  <c r="H4546" i="6"/>
  <c r="I186" i="13" s="1"/>
  <c r="H4612" i="6"/>
  <c r="I195" i="13" s="1"/>
  <c r="H4999" i="6"/>
  <c r="H5386" i="6"/>
  <c r="H6412" i="6"/>
  <c r="H8236" i="6"/>
  <c r="H1934" i="6"/>
  <c r="H1890" i="6"/>
  <c r="H1488" i="6"/>
  <c r="H1125" i="6"/>
  <c r="H1045" i="6"/>
  <c r="G932" i="6"/>
  <c r="G807" i="6"/>
  <c r="H646" i="6"/>
  <c r="G535" i="6"/>
  <c r="G514" i="6"/>
  <c r="G486" i="6"/>
  <c r="H2066" i="6"/>
  <c r="H1860" i="6"/>
  <c r="H1671" i="6"/>
  <c r="H1609" i="6"/>
  <c r="G981" i="6"/>
  <c r="H905" i="6"/>
  <c r="H829" i="6"/>
  <c r="H816" i="6"/>
  <c r="I134" i="13" s="1"/>
  <c r="G794" i="6"/>
  <c r="G707" i="6"/>
  <c r="G693" i="6"/>
  <c r="G688" i="6"/>
  <c r="G654" i="6"/>
  <c r="G573" i="6"/>
  <c r="G448" i="6"/>
  <c r="G443" i="6"/>
  <c r="H2237" i="6"/>
  <c r="H2211" i="6"/>
  <c r="H1842" i="6"/>
  <c r="H1811" i="6"/>
  <c r="H1781" i="6"/>
  <c r="H1699" i="6"/>
  <c r="H1678" i="6"/>
  <c r="H1527" i="6"/>
  <c r="H1398" i="6"/>
  <c r="H1279" i="6"/>
  <c r="H1259" i="6"/>
  <c r="H1238" i="6"/>
  <c r="H1137" i="6"/>
  <c r="G888" i="6"/>
  <c r="G843" i="6"/>
  <c r="G641" i="6"/>
  <c r="H639" i="6" s="1"/>
  <c r="I99" i="13" s="1"/>
  <c r="G631" i="6"/>
  <c r="G600" i="6"/>
  <c r="G534" i="6"/>
  <c r="G419" i="6"/>
  <c r="G411" i="6"/>
  <c r="G385" i="6"/>
  <c r="G311" i="6"/>
  <c r="G287" i="6"/>
  <c r="G273" i="6"/>
  <c r="H212" i="6"/>
  <c r="G195" i="6"/>
  <c r="H156" i="6"/>
  <c r="H118" i="6"/>
  <c r="G40" i="6"/>
  <c r="H39" i="6" s="1"/>
  <c r="H25" i="6"/>
  <c r="H12" i="6"/>
  <c r="H16" i="6"/>
  <c r="F118" i="8"/>
  <c r="F117" i="8"/>
  <c r="F116" i="8"/>
  <c r="F115" i="8"/>
  <c r="F114" i="8"/>
  <c r="F113" i="8"/>
  <c r="F112" i="8"/>
  <c r="F103" i="8"/>
  <c r="F99" i="8"/>
  <c r="F88" i="8"/>
  <c r="F84" i="8"/>
  <c r="F667" i="7"/>
  <c r="F701" i="7"/>
  <c r="F636" i="7"/>
  <c r="F573" i="7"/>
  <c r="F258" i="7"/>
  <c r="F182" i="7"/>
  <c r="H8174" i="6"/>
  <c r="H8158" i="6"/>
  <c r="H8142" i="6"/>
  <c r="H8126" i="6"/>
  <c r="H8110" i="6"/>
  <c r="H8094" i="6"/>
  <c r="H8078" i="6"/>
  <c r="H8062" i="6"/>
  <c r="H8046" i="6"/>
  <c r="H8030" i="6"/>
  <c r="H8014" i="6"/>
  <c r="H7998" i="6"/>
  <c r="H7982" i="6"/>
  <c r="F66" i="8"/>
  <c r="F50" i="8"/>
  <c r="F704" i="7"/>
  <c r="F676" i="7"/>
  <c r="F585" i="7"/>
  <c r="F568" i="7"/>
  <c r="F529" i="7"/>
  <c r="F505" i="7"/>
  <c r="F480" i="7"/>
  <c r="F305" i="7"/>
  <c r="F289" i="7"/>
  <c r="H7782" i="6"/>
  <c r="H7750" i="6"/>
  <c r="H7718" i="6"/>
  <c r="H7686" i="6"/>
  <c r="H7654" i="6"/>
  <c r="H7622" i="6"/>
  <c r="G7598" i="6"/>
  <c r="G7566" i="6"/>
  <c r="F638" i="7"/>
  <c r="F548" i="7"/>
  <c r="F540" i="7"/>
  <c r="F474" i="7"/>
  <c r="F449" i="7"/>
  <c r="F433" i="7"/>
  <c r="F430" i="7"/>
  <c r="F390" i="7"/>
  <c r="F295" i="7"/>
  <c r="F279" i="7"/>
  <c r="F271" i="7"/>
  <c r="F260" i="7"/>
  <c r="F248" i="7"/>
  <c r="F246" i="7"/>
  <c r="F244" i="7"/>
  <c r="F232" i="7"/>
  <c r="F230" i="7"/>
  <c r="F218" i="7"/>
  <c r="F216" i="7"/>
  <c r="F172" i="7"/>
  <c r="F66" i="7"/>
  <c r="F669" i="7"/>
  <c r="F616" i="7"/>
  <c r="F508" i="7"/>
  <c r="F506" i="7"/>
  <c r="F494" i="7"/>
  <c r="F452" i="7"/>
  <c r="H8387" i="6"/>
  <c r="I216" i="13" s="1"/>
  <c r="H8279" i="6"/>
  <c r="I228" i="13" s="1"/>
  <c r="H8231" i="6"/>
  <c r="I77" i="13" s="1"/>
  <c r="H7854" i="6"/>
  <c r="G7594" i="6"/>
  <c r="H7492" i="6"/>
  <c r="F162" i="7"/>
  <c r="F160" i="7"/>
  <c r="F158" i="7"/>
  <c r="G7522" i="6"/>
  <c r="G7234" i="6"/>
  <c r="H7231" i="6" s="1"/>
  <c r="G7161" i="6"/>
  <c r="H7161" i="6" s="1"/>
  <c r="H7123" i="6"/>
  <c r="H7107" i="6"/>
  <c r="H7091" i="6"/>
  <c r="H7075" i="6"/>
  <c r="H7059" i="6"/>
  <c r="G7043" i="6"/>
  <c r="H7027" i="6"/>
  <c r="H7011" i="6"/>
  <c r="H6995" i="6"/>
  <c r="H6979" i="6"/>
  <c r="H6963" i="6"/>
  <c r="H6795" i="6"/>
  <c r="H6779" i="6"/>
  <c r="H6763" i="6"/>
  <c r="H8356" i="6"/>
  <c r="G7942" i="6"/>
  <c r="G7533" i="6"/>
  <c r="G7498" i="6"/>
  <c r="G7424" i="6"/>
  <c r="H7417" i="6"/>
  <c r="G7412" i="6"/>
  <c r="G7321" i="6"/>
  <c r="G7127" i="6"/>
  <c r="F589" i="7"/>
  <c r="F84" i="7"/>
  <c r="F82" i="7"/>
  <c r="H8308" i="6"/>
  <c r="I78" i="13" s="1"/>
  <c r="G7514" i="6"/>
  <c r="G7401" i="6"/>
  <c r="G7261" i="6"/>
  <c r="G7173" i="6"/>
  <c r="H7173" i="6" s="1"/>
  <c r="G6318" i="6"/>
  <c r="G6217" i="6"/>
  <c r="G5817" i="6"/>
  <c r="H7285" i="6"/>
  <c r="G6408" i="6"/>
  <c r="H6407" i="6" s="1"/>
  <c r="G6361" i="6"/>
  <c r="G6357" i="6"/>
  <c r="G6341" i="6"/>
  <c r="G6256" i="6"/>
  <c r="G6242" i="6"/>
  <c r="G6077" i="6"/>
  <c r="G5929" i="6"/>
  <c r="G5801" i="6"/>
  <c r="G6486" i="6"/>
  <c r="G6472" i="6"/>
  <c r="G6425" i="6"/>
  <c r="G6391" i="6"/>
  <c r="G6298" i="6"/>
  <c r="G6254" i="6"/>
  <c r="G6241" i="6"/>
  <c r="G6179" i="6"/>
  <c r="H6089" i="6"/>
  <c r="H6021" i="6"/>
  <c r="H5921" i="6"/>
  <c r="G5849" i="6"/>
  <c r="H7431" i="6"/>
  <c r="G6452" i="6"/>
  <c r="H6416" i="6"/>
  <c r="G6292" i="6"/>
  <c r="G6285" i="6"/>
  <c r="G6276" i="6"/>
  <c r="G6187" i="6"/>
  <c r="H6186" i="6" s="1"/>
  <c r="G5989" i="6"/>
  <c r="G5981" i="6"/>
  <c r="H5969" i="6"/>
  <c r="G5961" i="6"/>
  <c r="G5925" i="6"/>
  <c r="G5917" i="6"/>
  <c r="H5905" i="6"/>
  <c r="G5897" i="6"/>
  <c r="G5861" i="6"/>
  <c r="G5853" i="6"/>
  <c r="H5841" i="6"/>
  <c r="G5833" i="6"/>
  <c r="G5797" i="6"/>
  <c r="G5789" i="6"/>
  <c r="H5777" i="6"/>
  <c r="G5769" i="6"/>
  <c r="G5466" i="6"/>
  <c r="H5354" i="6"/>
  <c r="G5279" i="6"/>
  <c r="H5277" i="6" s="1"/>
  <c r="G5084" i="6"/>
  <c r="G4916" i="6"/>
  <c r="H5997" i="6"/>
  <c r="H5813" i="6"/>
  <c r="H5482" i="6"/>
  <c r="G5304" i="6"/>
  <c r="G5205" i="6"/>
  <c r="G5150" i="6"/>
  <c r="G4987" i="6"/>
  <c r="G4607" i="6"/>
  <c r="G4409" i="6"/>
  <c r="G4313" i="6"/>
  <c r="G4303" i="6"/>
  <c r="G4299" i="6"/>
  <c r="G5434" i="6"/>
  <c r="H5392" i="6"/>
  <c r="G5270" i="6"/>
  <c r="G5241" i="6"/>
  <c r="G5235" i="6"/>
  <c r="G5111" i="6"/>
  <c r="G5078" i="6"/>
  <c r="G5014" i="6"/>
  <c r="G4989" i="6"/>
  <c r="G4932" i="6"/>
  <c r="G4314" i="6"/>
  <c r="G4285" i="6"/>
  <c r="G3911" i="6"/>
  <c r="H6109" i="6"/>
  <c r="H5965" i="6"/>
  <c r="H5781" i="6"/>
  <c r="G5285" i="6"/>
  <c r="G5217" i="6"/>
  <c r="G5206" i="6"/>
  <c r="G5204" i="6"/>
  <c r="G5186" i="6"/>
  <c r="G5130" i="6"/>
  <c r="G5129" i="6"/>
  <c r="G5128" i="6"/>
  <c r="G4905" i="6"/>
  <c r="H4902" i="6" s="1"/>
  <c r="G4887" i="6"/>
  <c r="G4795" i="6"/>
  <c r="H4794" i="6" s="1"/>
  <c r="G4789" i="6"/>
  <c r="G4686" i="6"/>
  <c r="G4647" i="6"/>
  <c r="G4559" i="6"/>
  <c r="G4542" i="6"/>
  <c r="G4479" i="6"/>
  <c r="G4460" i="6"/>
  <c r="G4416" i="6"/>
  <c r="G4344" i="6"/>
  <c r="G4315" i="6"/>
  <c r="G4265" i="6"/>
  <c r="G4235" i="6"/>
  <c r="G4215" i="6"/>
  <c r="G4179" i="6"/>
  <c r="G4065" i="6"/>
  <c r="G4029" i="6"/>
  <c r="G3975" i="6"/>
  <c r="H4564" i="6"/>
  <c r="I179" i="13" s="1"/>
  <c r="G4220" i="6"/>
  <c r="G4146" i="6"/>
  <c r="G4124" i="6"/>
  <c r="G4048" i="6"/>
  <c r="G3862" i="6"/>
  <c r="G3812" i="6"/>
  <c r="H3812" i="6" s="1"/>
  <c r="G3626" i="6"/>
  <c r="H4956" i="6"/>
  <c r="H4809" i="6"/>
  <c r="H4744" i="6"/>
  <c r="H4518" i="6"/>
  <c r="I182" i="13" s="1"/>
  <c r="G4039" i="6"/>
  <c r="G3956" i="6"/>
  <c r="G3928" i="6"/>
  <c r="G3904" i="6"/>
  <c r="G3882" i="6"/>
  <c r="G3722" i="6"/>
  <c r="H4819" i="6"/>
  <c r="G4030" i="6"/>
  <c r="G4003" i="6"/>
  <c r="G3941" i="6"/>
  <c r="G3824" i="6"/>
  <c r="G3776" i="6"/>
  <c r="H3776" i="6" s="1"/>
  <c r="H4736" i="6"/>
  <c r="H4595" i="6"/>
  <c r="I193" i="13" s="1"/>
  <c r="G4180" i="6"/>
  <c r="G3992" i="6"/>
  <c r="G3987" i="6"/>
  <c r="G3846" i="6"/>
  <c r="G3607" i="6"/>
  <c r="G3409" i="6"/>
  <c r="G3395" i="6"/>
  <c r="G3346" i="6"/>
  <c r="H3345" i="6" s="1"/>
  <c r="G3331" i="6"/>
  <c r="G3313" i="6"/>
  <c r="H3310" i="6" s="1"/>
  <c r="G3285" i="6"/>
  <c r="G3257" i="6"/>
  <c r="G3147" i="6"/>
  <c r="H3756" i="6"/>
  <c r="G3026" i="6"/>
  <c r="H2915" i="6"/>
  <c r="I272" i="13" s="1"/>
  <c r="G2787" i="6"/>
  <c r="G2767" i="6"/>
  <c r="H2184" i="6"/>
  <c r="H3413" i="6"/>
  <c r="H2996" i="6"/>
  <c r="I286" i="13" s="1"/>
  <c r="G2971" i="6"/>
  <c r="G2941" i="6"/>
  <c r="G2839" i="6"/>
  <c r="G2614" i="6"/>
  <c r="G2490" i="6"/>
  <c r="G2430" i="6"/>
  <c r="G2374" i="6"/>
  <c r="G2367" i="6"/>
  <c r="G2274" i="6"/>
  <c r="G2223" i="6"/>
  <c r="G2137" i="6"/>
  <c r="H2136" i="6" s="1"/>
  <c r="G2122" i="6"/>
  <c r="G2116" i="6"/>
  <c r="G2111" i="6"/>
  <c r="H3673" i="6"/>
  <c r="I154" i="13" s="1"/>
  <c r="H2886" i="6"/>
  <c r="I268" i="13" s="1"/>
  <c r="H2822" i="6"/>
  <c r="I254" i="13" s="1"/>
  <c r="H2730" i="6"/>
  <c r="G2538" i="6"/>
  <c r="G2308" i="6"/>
  <c r="G2144" i="6"/>
  <c r="H3428" i="6"/>
  <c r="H3127" i="6"/>
  <c r="I219" i="13" s="1"/>
  <c r="H3057" i="6"/>
  <c r="I297" i="13" s="1"/>
  <c r="G2982" i="6"/>
  <c r="G2931" i="6"/>
  <c r="H2891" i="6"/>
  <c r="I269" i="13" s="1"/>
  <c r="G2829" i="6"/>
  <c r="H2746" i="6"/>
  <c r="G2355" i="6"/>
  <c r="G2341" i="6"/>
  <c r="G2307" i="6"/>
  <c r="G2301" i="6"/>
  <c r="H2300" i="6" s="1"/>
  <c r="H1590" i="6"/>
  <c r="H1576" i="6"/>
  <c r="H1413" i="6"/>
  <c r="H1328" i="6"/>
  <c r="H1316" i="6"/>
  <c r="H1252" i="6"/>
  <c r="H1193" i="6"/>
  <c r="H1172" i="6"/>
  <c r="H1083" i="6"/>
  <c r="H1029" i="6"/>
  <c r="H785" i="6"/>
  <c r="I132" i="13" s="1"/>
  <c r="H526" i="6"/>
  <c r="I146" i="13" s="1"/>
  <c r="G499" i="6"/>
  <c r="H163" i="6"/>
  <c r="H141" i="6"/>
  <c r="H2966" i="6"/>
  <c r="I281" i="13" s="1"/>
  <c r="H1644" i="6"/>
  <c r="H1878" i="6"/>
  <c r="H1953" i="6"/>
  <c r="H2217" i="6"/>
  <c r="H2854" i="6"/>
  <c r="I260" i="13" s="1"/>
  <c r="H3016" i="6"/>
  <c r="I290" i="13" s="1"/>
  <c r="H3082" i="6"/>
  <c r="I298" i="13" s="1"/>
  <c r="H3162" i="6"/>
  <c r="I239" i="13" s="1"/>
  <c r="H3371" i="6"/>
  <c r="H4395" i="6"/>
  <c r="I173" i="13" s="1"/>
  <c r="H4387" i="6"/>
  <c r="I172" i="13" s="1"/>
  <c r="G5581" i="6"/>
  <c r="H5581" i="6" s="1"/>
  <c r="G5605" i="6"/>
  <c r="H5605" i="6" s="1"/>
  <c r="H8241" i="6"/>
  <c r="I133" i="13" s="1"/>
  <c r="H2346" i="6"/>
  <c r="H1848" i="6"/>
  <c r="H1817" i="6"/>
  <c r="H1746" i="6"/>
  <c r="H1428" i="6"/>
  <c r="H1360" i="6"/>
  <c r="H864" i="6"/>
  <c r="G820" i="6"/>
  <c r="G763" i="6"/>
  <c r="G759" i="6"/>
  <c r="H757" i="6" s="1"/>
  <c r="I129" i="13" s="1"/>
  <c r="G691" i="6"/>
  <c r="G625" i="6"/>
  <c r="H2050" i="6"/>
  <c r="H1866" i="6"/>
  <c r="H1379" i="6"/>
  <c r="H1207" i="6"/>
  <c r="H1130" i="6"/>
  <c r="H1101" i="6"/>
  <c r="G951" i="6"/>
  <c r="G922" i="6"/>
  <c r="G847" i="6"/>
  <c r="G798" i="6"/>
  <c r="G761" i="6"/>
  <c r="G720" i="6"/>
  <c r="G718" i="6"/>
  <c r="G712" i="6"/>
  <c r="G592" i="6"/>
  <c r="H590" i="6" s="1"/>
  <c r="I87" i="13" s="1"/>
  <c r="G574" i="6"/>
  <c r="G566" i="6"/>
  <c r="H2313" i="6"/>
  <c r="H1940" i="6"/>
  <c r="H1739" i="6"/>
  <c r="H1265" i="6"/>
  <c r="H1220" i="6"/>
  <c r="H1151" i="6"/>
  <c r="H1052" i="6"/>
  <c r="G946" i="6"/>
  <c r="H943" i="6" s="1"/>
  <c r="G918" i="6"/>
  <c r="H909" i="6"/>
  <c r="G601" i="6"/>
  <c r="G539" i="6"/>
  <c r="G508" i="6"/>
  <c r="G458" i="6"/>
  <c r="G456" i="6"/>
  <c r="G429" i="6"/>
  <c r="G420" i="6"/>
  <c r="G407" i="6"/>
  <c r="G354" i="6"/>
  <c r="G244" i="6"/>
  <c r="G222" i="6"/>
  <c r="H221" i="6" s="1"/>
  <c r="I230" i="13" s="1"/>
  <c r="H207" i="6"/>
  <c r="H133" i="6"/>
  <c r="H113" i="6"/>
  <c r="G67" i="6"/>
  <c r="H66" i="6" s="1"/>
  <c r="G57" i="6"/>
  <c r="H367" i="6"/>
  <c r="I206" i="13" s="1"/>
  <c r="H238" i="6"/>
  <c r="I52" i="13" s="1"/>
  <c r="H181" i="6"/>
  <c r="I137" i="13" s="1"/>
  <c r="H49" i="6"/>
  <c r="F44" i="8"/>
  <c r="F43" i="8"/>
  <c r="F42" i="8"/>
  <c r="F41" i="8"/>
  <c r="F674" i="7"/>
  <c r="F678" i="7"/>
  <c r="F100" i="8"/>
  <c r="F89" i="8"/>
  <c r="F85" i="8"/>
  <c r="F76" i="8"/>
  <c r="F612" i="7"/>
  <c r="F604" i="7"/>
  <c r="F418" i="7"/>
  <c r="F377" i="7"/>
  <c r="F304" i="7"/>
  <c r="F277" i="7"/>
  <c r="F215" i="7"/>
  <c r="F170" i="7"/>
  <c r="F50" i="7"/>
  <c r="F695" i="7"/>
  <c r="F558" i="7"/>
  <c r="F556" i="7"/>
  <c r="F386" i="7"/>
  <c r="F356" i="7"/>
  <c r="F297" i="7"/>
  <c r="H7806" i="6"/>
  <c r="H7774" i="6"/>
  <c r="H7742" i="6"/>
  <c r="H7710" i="6"/>
  <c r="H7678" i="6"/>
  <c r="H7646" i="6"/>
  <c r="F65" i="8"/>
  <c r="F49" i="8"/>
  <c r="F666" i="7"/>
  <c r="F446" i="7"/>
  <c r="F432" i="7"/>
  <c r="F395" i="7"/>
  <c r="F380" i="7"/>
  <c r="F197" i="7"/>
  <c r="F184" i="7"/>
  <c r="F53" i="7"/>
  <c r="F51" i="7"/>
  <c r="F25" i="7"/>
  <c r="F10" i="7"/>
  <c r="F670" i="7"/>
  <c r="F680" i="7"/>
  <c r="F660" i="7"/>
  <c r="F649" i="7"/>
  <c r="F522" i="7"/>
  <c r="F517" i="7"/>
  <c r="F496" i="7"/>
  <c r="F493" i="7"/>
  <c r="F451" i="7"/>
  <c r="F429" i="7"/>
  <c r="F421" i="7"/>
  <c r="F419" i="7"/>
  <c r="F272" i="7"/>
  <c r="F566" i="7"/>
  <c r="F465" i="7"/>
  <c r="H7918" i="6"/>
  <c r="H7874" i="6"/>
  <c r="G7393" i="6"/>
  <c r="H7289" i="6"/>
  <c r="F553" i="7"/>
  <c r="H8372" i="6"/>
  <c r="H7802" i="6"/>
  <c r="H7770" i="6"/>
  <c r="H7738" i="6"/>
  <c r="H7706" i="6"/>
  <c r="H7674" i="6"/>
  <c r="H7642" i="6"/>
  <c r="H7570" i="6"/>
  <c r="G7507" i="6"/>
  <c r="G7439" i="6"/>
  <c r="F150" i="7"/>
  <c r="F148" i="7"/>
  <c r="F146" i="7"/>
  <c r="F144" i="7"/>
  <c r="G7534" i="6"/>
  <c r="G7326" i="6"/>
  <c r="G7211" i="6"/>
  <c r="F35" i="7"/>
  <c r="F33" i="7"/>
  <c r="F31" i="7"/>
  <c r="F29" i="7"/>
  <c r="G7474" i="6"/>
  <c r="G7451" i="6"/>
  <c r="G7330" i="6"/>
  <c r="G7149" i="6"/>
  <c r="H7149" i="6" s="1"/>
  <c r="G6369" i="6"/>
  <c r="G6343" i="6"/>
  <c r="G6314" i="6"/>
  <c r="G6310" i="6"/>
  <c r="G6266" i="6"/>
  <c r="G6197" i="6"/>
  <c r="G5881" i="6"/>
  <c r="H7353" i="6"/>
  <c r="G6371" i="6"/>
  <c r="G6345" i="6"/>
  <c r="G6230" i="6"/>
  <c r="G6191" i="6"/>
  <c r="G6053" i="6"/>
  <c r="G5957" i="6"/>
  <c r="G5885" i="6"/>
  <c r="G5829" i="6"/>
  <c r="G5757" i="6"/>
  <c r="H7348" i="6"/>
  <c r="G6376" i="6"/>
  <c r="G6138" i="6"/>
  <c r="G6065" i="6"/>
  <c r="H6005" i="6"/>
  <c r="H5857" i="6"/>
  <c r="G5785" i="6"/>
  <c r="H7405" i="6"/>
  <c r="G6437" i="6"/>
  <c r="G6374" i="6"/>
  <c r="G6312" i="6"/>
  <c r="G6281" i="6"/>
  <c r="G6265" i="6"/>
  <c r="G6093" i="6"/>
  <c r="G6085" i="6"/>
  <c r="G5452" i="6"/>
  <c r="G5402" i="6"/>
  <c r="G5381" i="6"/>
  <c r="H5380" i="6" s="1"/>
  <c r="H5697" i="6"/>
  <c r="H5665" i="6"/>
  <c r="H5633" i="6"/>
  <c r="H5470" i="6"/>
  <c r="G5457" i="6"/>
  <c r="G5416" i="6"/>
  <c r="H5347" i="6"/>
  <c r="G5340" i="6"/>
  <c r="G5121" i="6"/>
  <c r="G5013" i="6"/>
  <c r="G4930" i="6"/>
  <c r="H6061" i="6"/>
  <c r="H5845" i="6"/>
  <c r="H5773" i="6"/>
  <c r="G5336" i="6"/>
  <c r="G5267" i="6"/>
  <c r="G5203" i="6"/>
  <c r="G5120" i="6"/>
  <c r="G5037" i="6"/>
  <c r="H5035" i="6" s="1"/>
  <c r="G4982" i="6"/>
  <c r="G4337" i="6"/>
  <c r="G4288" i="6"/>
  <c r="H5713" i="6"/>
  <c r="H5681" i="6"/>
  <c r="H5649" i="6"/>
  <c r="H5617" i="6"/>
  <c r="G5489" i="6"/>
  <c r="G5300" i="6"/>
  <c r="G5174" i="6"/>
  <c r="G5173" i="6"/>
  <c r="G5112" i="6"/>
  <c r="G5085" i="6"/>
  <c r="G5067" i="6"/>
  <c r="G5057" i="6"/>
  <c r="G5006" i="6"/>
  <c r="H4975" i="6"/>
  <c r="G4963" i="6"/>
  <c r="G4937" i="6"/>
  <c r="H4756" i="6"/>
  <c r="G4608" i="6"/>
  <c r="G4304" i="6"/>
  <c r="H5877" i="6"/>
  <c r="H5805" i="6"/>
  <c r="G5486" i="6"/>
  <c r="G5369" i="6"/>
  <c r="G5291" i="6"/>
  <c r="G5102" i="6"/>
  <c r="G5098" i="6"/>
  <c r="G5059" i="6"/>
  <c r="G4949" i="6"/>
  <c r="G4944" i="6"/>
  <c r="G4898" i="6"/>
  <c r="G4769" i="6"/>
  <c r="G4697" i="6"/>
  <c r="G4656" i="6"/>
  <c r="H4652" i="6" s="1"/>
  <c r="I210" i="13" s="1"/>
  <c r="G4605" i="6"/>
  <c r="G4578" i="6"/>
  <c r="G4534" i="6"/>
  <c r="G4474" i="6"/>
  <c r="G4450" i="6"/>
  <c r="G4434" i="6"/>
  <c r="G4429" i="6"/>
  <c r="G4407" i="6"/>
  <c r="G4378" i="6"/>
  <c r="G4373" i="6"/>
  <c r="G4335" i="6"/>
  <c r="G4305" i="6"/>
  <c r="G4297" i="6"/>
  <c r="G4282" i="6"/>
  <c r="G4206" i="6"/>
  <c r="G4188" i="6"/>
  <c r="G4135" i="6"/>
  <c r="G4093" i="6"/>
  <c r="G4074" i="6"/>
  <c r="H4071" i="6" s="1"/>
  <c r="G4038" i="6"/>
  <c r="H4668" i="6"/>
  <c r="I212" i="13" s="1"/>
  <c r="H4433" i="6"/>
  <c r="I177" i="13" s="1"/>
  <c r="G4216" i="6"/>
  <c r="G3908" i="6"/>
  <c r="G3631" i="6"/>
  <c r="H3630" i="6" s="1"/>
  <c r="H4784" i="6"/>
  <c r="G3834" i="6"/>
  <c r="G3698" i="6"/>
  <c r="G3659" i="6"/>
  <c r="G3644" i="6"/>
  <c r="G3642" i="6"/>
  <c r="H5158" i="6"/>
  <c r="H4981" i="6"/>
  <c r="H4883" i="6"/>
  <c r="H4718" i="6"/>
  <c r="I310" i="13" s="1"/>
  <c r="H4491" i="6"/>
  <c r="I200" i="13" s="1"/>
  <c r="H4350" i="6"/>
  <c r="I168" i="13" s="1"/>
  <c r="G4227" i="6"/>
  <c r="H4226" i="6" s="1"/>
  <c r="I143" i="13" s="1"/>
  <c r="H4026" i="6"/>
  <c r="G3652" i="6"/>
  <c r="G3608" i="6"/>
  <c r="H4970" i="6"/>
  <c r="H4271" i="6"/>
  <c r="I160" i="13" s="1"/>
  <c r="H4163" i="6"/>
  <c r="I68" i="13" s="1"/>
  <c r="G4057" i="6"/>
  <c r="H4053" i="6" s="1"/>
  <c r="G3983" i="6"/>
  <c r="G3920" i="6"/>
  <c r="G3914" i="6"/>
  <c r="G3890" i="6"/>
  <c r="G3845" i="6"/>
  <c r="G3806" i="6"/>
  <c r="H3806" i="6" s="1"/>
  <c r="G3747" i="6"/>
  <c r="G3622" i="6"/>
  <c r="G3495" i="6"/>
  <c r="G3480" i="6"/>
  <c r="G3471" i="6"/>
  <c r="G3424" i="6"/>
  <c r="H3423" i="6" s="1"/>
  <c r="G3306" i="6"/>
  <c r="G3278" i="6"/>
  <c r="G3250" i="6"/>
  <c r="G3213" i="6"/>
  <c r="H3117" i="6"/>
  <c r="I305" i="13" s="1"/>
  <c r="H3560" i="6"/>
  <c r="H3151" i="6"/>
  <c r="I236" i="13" s="1"/>
  <c r="H3049" i="6"/>
  <c r="I296" i="13" s="1"/>
  <c r="G2986" i="6"/>
  <c r="G2781" i="6"/>
  <c r="G2570" i="6"/>
  <c r="G2414" i="6"/>
  <c r="G2283" i="6"/>
  <c r="G2245" i="6"/>
  <c r="G2244" i="6"/>
  <c r="H2168" i="6"/>
  <c r="H3580" i="6"/>
  <c r="H3528" i="6"/>
  <c r="H3384" i="6"/>
  <c r="G3074" i="6"/>
  <c r="H3061" i="6"/>
  <c r="I249" i="13" s="1"/>
  <c r="G3006" i="6"/>
  <c r="H2991" i="6"/>
  <c r="I285" i="13" s="1"/>
  <c r="G2869" i="6"/>
  <c r="H2807" i="6"/>
  <c r="I251" i="13" s="1"/>
  <c r="G2800" i="6"/>
  <c r="G2773" i="6"/>
  <c r="H2771" i="6" s="1"/>
  <c r="I245" i="13" s="1"/>
  <c r="G2474" i="6"/>
  <c r="G2380" i="6"/>
  <c r="G2285" i="6"/>
  <c r="G2254" i="6"/>
  <c r="G2961" i="6"/>
  <c r="H2844" i="6"/>
  <c r="I258" i="13" s="1"/>
  <c r="H2812" i="6"/>
  <c r="I252" i="13" s="1"/>
  <c r="G2630" i="6"/>
  <c r="G2578" i="6"/>
  <c r="G2369" i="6"/>
  <c r="H3648" i="6"/>
  <c r="H3087" i="6"/>
  <c r="I299" i="13" s="1"/>
  <c r="G2817" i="6"/>
  <c r="G2618" i="6"/>
  <c r="G2602" i="6"/>
  <c r="G2594" i="6"/>
  <c r="G2296" i="6"/>
  <c r="G2255" i="6"/>
  <c r="G2177" i="6"/>
  <c r="G2145" i="6"/>
  <c r="H2336" i="6"/>
  <c r="H1293" i="6"/>
  <c r="H1165" i="6"/>
  <c r="G965" i="6"/>
  <c r="H963" i="6" s="1"/>
  <c r="G937" i="6"/>
  <c r="G879" i="6"/>
  <c r="H877" i="6" s="1"/>
  <c r="I231" i="13" s="1"/>
  <c r="G734" i="6"/>
  <c r="H732" i="6" s="1"/>
  <c r="H658" i="6"/>
  <c r="H650" i="6"/>
  <c r="G623" i="6"/>
  <c r="G543" i="6"/>
  <c r="G459" i="6"/>
  <c r="H3036" i="6"/>
  <c r="I294" i="13" s="1"/>
  <c r="H1655" i="6"/>
  <c r="H1896" i="6"/>
  <c r="H1960" i="6"/>
  <c r="H2876" i="6"/>
  <c r="I264" i="13" s="1"/>
  <c r="H3044" i="6"/>
  <c r="I295" i="13" s="1"/>
  <c r="H3102" i="6"/>
  <c r="I302" i="13" s="1"/>
  <c r="H3167" i="6"/>
  <c r="H4620" i="6"/>
  <c r="I196" i="13" s="1"/>
  <c r="H4804" i="6"/>
  <c r="G5515" i="6"/>
  <c r="H5515" i="6" s="1"/>
  <c r="G5539" i="6"/>
  <c r="H5539" i="6" s="1"/>
  <c r="H5563" i="6"/>
  <c r="H8368" i="6"/>
  <c r="H2098" i="6"/>
  <c r="H1760" i="6"/>
  <c r="H1660" i="6"/>
  <c r="H1621" i="6"/>
  <c r="H1561" i="6"/>
  <c r="H1547" i="6"/>
  <c r="H1286" i="6"/>
  <c r="H1059" i="6"/>
  <c r="G972" i="6"/>
  <c r="H970" i="6" s="1"/>
  <c r="H915" i="6"/>
  <c r="H898" i="6"/>
  <c r="H885" i="6"/>
  <c r="I233" i="13" s="1"/>
  <c r="H852" i="6"/>
  <c r="G806" i="6"/>
  <c r="G558" i="6"/>
  <c r="G540" i="6"/>
  <c r="G509" i="6"/>
  <c r="H1824" i="6"/>
  <c r="H1385" i="6"/>
  <c r="H1322" i="6"/>
  <c r="H1109" i="6"/>
  <c r="H1005" i="6"/>
  <c r="H995" i="6"/>
  <c r="G894" i="6"/>
  <c r="G802" i="6"/>
  <c r="G770" i="6"/>
  <c r="G752" i="6"/>
  <c r="G727" i="6"/>
  <c r="G710" i="6"/>
  <c r="G702" i="6"/>
  <c r="G694" i="6"/>
  <c r="G584" i="6"/>
  <c r="G582" i="6"/>
  <c r="G575" i="6"/>
  <c r="G438" i="6"/>
  <c r="G425" i="6"/>
  <c r="G418" i="6"/>
  <c r="H2034" i="6"/>
  <c r="H1753" i="6"/>
  <c r="H1632" i="6"/>
  <c r="H1373" i="6"/>
  <c r="H1310" i="6"/>
  <c r="H1144" i="6"/>
  <c r="H1014" i="6"/>
  <c r="H986" i="6"/>
  <c r="H956" i="6"/>
  <c r="H929" i="6"/>
  <c r="G776" i="6"/>
  <c r="G602" i="6"/>
  <c r="G563" i="6"/>
  <c r="G513" i="6"/>
  <c r="G485" i="6"/>
  <c r="G398" i="6"/>
  <c r="G296" i="6"/>
  <c r="H185" i="6"/>
  <c r="I127" i="13" s="1"/>
  <c r="H128" i="6"/>
  <c r="H108" i="6"/>
  <c r="G45" i="6"/>
  <c r="H35" i="6"/>
  <c r="H328" i="6"/>
  <c r="H226" i="6"/>
  <c r="H466" i="6"/>
  <c r="H99" i="6"/>
  <c r="H322" i="6"/>
  <c r="H199" i="6"/>
  <c r="I108" i="13" s="1"/>
  <c r="H20" i="6"/>
  <c r="I32" i="13" s="1"/>
  <c r="F101" i="8"/>
  <c r="F86" i="8"/>
  <c r="F77" i="8"/>
  <c r="F63" i="8"/>
  <c r="F691" i="7"/>
  <c r="F598" i="7"/>
  <c r="F546" i="7"/>
  <c r="F536" i="7"/>
  <c r="F394" i="7"/>
  <c r="F388" i="7"/>
  <c r="F379" i="7"/>
  <c r="F229" i="7"/>
  <c r="F205" i="7"/>
  <c r="F63" i="7"/>
  <c r="F8" i="7"/>
  <c r="H8182" i="6"/>
  <c r="H8166" i="6"/>
  <c r="H8150" i="6"/>
  <c r="H8134" i="6"/>
  <c r="H8118" i="6"/>
  <c r="H8102" i="6"/>
  <c r="H8086" i="6"/>
  <c r="H8070" i="6"/>
  <c r="H8054" i="6"/>
  <c r="H8038" i="6"/>
  <c r="H8022" i="6"/>
  <c r="H8006" i="6"/>
  <c r="H7990" i="6"/>
  <c r="F703" i="7"/>
  <c r="F634" i="7"/>
  <c r="F626" i="7"/>
  <c r="F567" i="7"/>
  <c r="F516" i="7"/>
  <c r="H7798" i="6"/>
  <c r="H7766" i="6"/>
  <c r="H7734" i="6"/>
  <c r="H7702" i="6"/>
  <c r="H7670" i="6"/>
  <c r="H7638" i="6"/>
  <c r="F617" i="7"/>
  <c r="F534" i="7"/>
  <c r="F448" i="7"/>
  <c r="F445" i="7"/>
  <c r="F443" i="7"/>
  <c r="F397" i="7"/>
  <c r="F290" i="7"/>
  <c r="F259" i="7"/>
  <c r="F247" i="7"/>
  <c r="F245" i="7"/>
  <c r="F233" i="7"/>
  <c r="F231" i="7"/>
  <c r="F219" i="7"/>
  <c r="F217" i="7"/>
  <c r="F67" i="7"/>
  <c r="F705" i="7"/>
  <c r="F64" i="8"/>
  <c r="F52" i="8"/>
  <c r="F627" i="7"/>
  <c r="G597" i="7"/>
  <c r="F495" i="7"/>
  <c r="F478" i="7"/>
  <c r="F463" i="7"/>
  <c r="F371" i="7"/>
  <c r="F318" i="7"/>
  <c r="F307" i="7"/>
  <c r="G8271" i="6"/>
  <c r="H8314" i="6"/>
  <c r="I128" i="13" s="1"/>
  <c r="H8200" i="6"/>
  <c r="I247" i="13" s="1"/>
  <c r="F161" i="7"/>
  <c r="F159" i="7"/>
  <c r="H8190" i="6"/>
  <c r="I246" i="13" s="1"/>
  <c r="H7878" i="6"/>
  <c r="G7614" i="6"/>
  <c r="G7536" i="6"/>
  <c r="G7380" i="6"/>
  <c r="G6939" i="6"/>
  <c r="G6859" i="6"/>
  <c r="G6827" i="6"/>
  <c r="H8321" i="6"/>
  <c r="I37" i="13" s="1"/>
  <c r="H8186" i="6"/>
  <c r="G7910" i="6"/>
  <c r="G7549" i="6"/>
  <c r="G7486" i="6"/>
  <c r="G7471" i="6"/>
  <c r="H7358" i="6"/>
  <c r="G7316" i="6"/>
  <c r="G7314" i="6"/>
  <c r="G7226" i="6"/>
  <c r="F83" i="7"/>
  <c r="F81" i="7"/>
  <c r="G7521" i="6"/>
  <c r="G7513" i="6"/>
  <c r="G7481" i="6"/>
  <c r="G7427" i="6"/>
  <c r="G7335" i="6"/>
  <c r="G7320" i="6"/>
  <c r="G7257" i="6"/>
  <c r="G6290" i="6"/>
  <c r="G6282" i="6"/>
  <c r="G6274" i="6"/>
  <c r="G6224" i="6"/>
  <c r="H6221" i="6" s="1"/>
  <c r="G6216" i="6"/>
  <c r="G6163" i="6"/>
  <c r="H6157" i="6" s="1"/>
  <c r="I104" i="13" s="1"/>
  <c r="G6113" i="6"/>
  <c r="G5945" i="6"/>
  <c r="H6442" i="6"/>
  <c r="G6384" i="6"/>
  <c r="G6362" i="6"/>
  <c r="G6342" i="6"/>
  <c r="G6257" i="6"/>
  <c r="G6243" i="6"/>
  <c r="G6214" i="6"/>
  <c r="G6117" i="6"/>
  <c r="G5993" i="6"/>
  <c r="G5865" i="6"/>
  <c r="G6479" i="6"/>
  <c r="G6430" i="6"/>
  <c r="G6420" i="6"/>
  <c r="G5977" i="6"/>
  <c r="H5793" i="6"/>
  <c r="G6465" i="6"/>
  <c r="G6451" i="6"/>
  <c r="G6284" i="6"/>
  <c r="G6196" i="6"/>
  <c r="G6137" i="6"/>
  <c r="G6069" i="6"/>
  <c r="G5488" i="6"/>
  <c r="G5411" i="6"/>
  <c r="G5446" i="6"/>
  <c r="G5362" i="6"/>
  <c r="G5341" i="6"/>
  <c r="G5312" i="6"/>
  <c r="G5247" i="6"/>
  <c r="G4925" i="6"/>
  <c r="H6456" i="6"/>
  <c r="H5941" i="6"/>
  <c r="H5869" i="6"/>
  <c r="G5305" i="6"/>
  <c r="G5042" i="6"/>
  <c r="G4995" i="6"/>
  <c r="G4418" i="6"/>
  <c r="G5458" i="6"/>
  <c r="G5417" i="6"/>
  <c r="G5330" i="6"/>
  <c r="G5323" i="6"/>
  <c r="G5265" i="6"/>
  <c r="G5248" i="6"/>
  <c r="G5182" i="6"/>
  <c r="G5109" i="6"/>
  <c r="G4918" i="6"/>
  <c r="G4428" i="6"/>
  <c r="G4419" i="6"/>
  <c r="H4413" i="6" s="1"/>
  <c r="I175" i="13" s="1"/>
  <c r="G4372" i="6"/>
  <c r="H6168" i="6"/>
  <c r="I103" i="13" s="1"/>
  <c r="H5909" i="6"/>
  <c r="H5837" i="6"/>
  <c r="G5423" i="6"/>
  <c r="G5286" i="6"/>
  <c r="G5096" i="6"/>
  <c r="G5072" i="6"/>
  <c r="G5030" i="6"/>
  <c r="G4912" i="6"/>
  <c r="G4773" i="6"/>
  <c r="G4555" i="6"/>
  <c r="G4362" i="6"/>
  <c r="G4311" i="6"/>
  <c r="G4253" i="6"/>
  <c r="G4244" i="6"/>
  <c r="G4199" i="6"/>
  <c r="G4117" i="6"/>
  <c r="G4047" i="6"/>
  <c r="G4002" i="6"/>
  <c r="G3982" i="6"/>
  <c r="H4660" i="6"/>
  <c r="I211" i="13" s="1"/>
  <c r="H4341" i="6"/>
  <c r="I167" i="13" s="1"/>
  <c r="G4221" i="6"/>
  <c r="G4136" i="6"/>
  <c r="G4125" i="6"/>
  <c r="G4094" i="6"/>
  <c r="G3912" i="6"/>
  <c r="G3886" i="6"/>
  <c r="G3788" i="6"/>
  <c r="H3788" i="6" s="1"/>
  <c r="G3696" i="6"/>
  <c r="G3636" i="6"/>
  <c r="H5134" i="6"/>
  <c r="H4513" i="6"/>
  <c r="I181" i="13" s="1"/>
  <c r="H4323" i="6"/>
  <c r="I162" i="13" s="1"/>
  <c r="H4035" i="6"/>
  <c r="G3748" i="6"/>
  <c r="G3623" i="6"/>
  <c r="G3544" i="6"/>
  <c r="G4066" i="6"/>
  <c r="G4007" i="6"/>
  <c r="H3962" i="6"/>
  <c r="G3954" i="6"/>
  <c r="G3939" i="6"/>
  <c r="G3909" i="6"/>
  <c r="G3854" i="6"/>
  <c r="G3800" i="6"/>
  <c r="H3800" i="6" s="1"/>
  <c r="H3731" i="6"/>
  <c r="I76" i="13" s="1"/>
  <c r="H4693" i="6"/>
  <c r="I213" i="13" s="1"/>
  <c r="G4200" i="6"/>
  <c r="G3988" i="6"/>
  <c r="G3905" i="6"/>
  <c r="G3871" i="6"/>
  <c r="G3844" i="6"/>
  <c r="G3829" i="6"/>
  <c r="G3602" i="6"/>
  <c r="G3594" i="6"/>
  <c r="G3549" i="6"/>
  <c r="G3503" i="6"/>
  <c r="G3419" i="6"/>
  <c r="G3325" i="6"/>
  <c r="G3299" i="6"/>
  <c r="G3271" i="6"/>
  <c r="G3241" i="6"/>
  <c r="G3209" i="6"/>
  <c r="G3178" i="6"/>
  <c r="H3133" i="6"/>
  <c r="I234" i="13" s="1"/>
  <c r="H3097" i="6"/>
  <c r="I301" i="13" s="1"/>
  <c r="H3587" i="6"/>
  <c r="H3493" i="6"/>
  <c r="H3357" i="6"/>
  <c r="H3092" i="6"/>
  <c r="I300" i="13" s="1"/>
  <c r="H2714" i="6"/>
  <c r="G2642" i="6"/>
  <c r="G2558" i="6"/>
  <c r="G2542" i="6"/>
  <c r="H3566" i="6"/>
  <c r="H3392" i="6"/>
  <c r="I207" i="13" s="1"/>
  <c r="H3275" i="6"/>
  <c r="H3107" i="6"/>
  <c r="I303" i="13" s="1"/>
  <c r="H2907" i="6"/>
  <c r="I271" i="13" s="1"/>
  <c r="G2859" i="6"/>
  <c r="G2522" i="6"/>
  <c r="G2458" i="6"/>
  <c r="G2402" i="6"/>
  <c r="G2327" i="6"/>
  <c r="G2204" i="6"/>
  <c r="G2197" i="6"/>
  <c r="G2192" i="6"/>
  <c r="H3895" i="6"/>
  <c r="H3254" i="6"/>
  <c r="H3197" i="6"/>
  <c r="H3156" i="6"/>
  <c r="I238" i="13" s="1"/>
  <c r="H2976" i="6"/>
  <c r="I283" i="13" s="1"/>
  <c r="H2946" i="6"/>
  <c r="I277" i="13" s="1"/>
  <c r="H2899" i="6"/>
  <c r="I270" i="13" s="1"/>
  <c r="G2788" i="6"/>
  <c r="G2554" i="6"/>
  <c r="G2446" i="6"/>
  <c r="G2418" i="6"/>
  <c r="G2376" i="6"/>
  <c r="G2198" i="6"/>
  <c r="G2118" i="6"/>
  <c r="H3432" i="6"/>
  <c r="H3418" i="6"/>
  <c r="H3261" i="6"/>
  <c r="H2923" i="6"/>
  <c r="I273" i="13" s="1"/>
  <c r="G2738" i="6"/>
  <c r="G2434" i="6"/>
  <c r="G2398" i="6"/>
  <c r="G2243" i="6"/>
  <c r="G2178" i="6"/>
  <c r="G2146" i="6"/>
  <c r="H2104" i="6"/>
  <c r="H1911" i="6"/>
  <c r="H1906" i="6"/>
  <c r="H1901" i="6"/>
  <c r="H1872" i="6"/>
  <c r="H1729" i="6"/>
  <c r="H1709" i="6"/>
  <c r="H1554" i="6"/>
  <c r="H1521" i="6"/>
  <c r="H1509" i="6"/>
  <c r="H1341" i="6"/>
  <c r="H1301" i="6"/>
  <c r="H1186" i="6"/>
  <c r="H1158" i="6"/>
  <c r="H1091" i="6"/>
  <c r="H1019" i="6"/>
  <c r="G859" i="6"/>
  <c r="G678" i="6"/>
  <c r="G618" i="6"/>
  <c r="H617" i="6" s="1"/>
  <c r="G548" i="6"/>
  <c r="H265" i="6"/>
  <c r="H203" i="6"/>
  <c r="H173" i="6"/>
  <c r="I218" i="13" s="1"/>
  <c r="H151" i="6"/>
  <c r="H104" i="6"/>
  <c r="H3069" i="6"/>
  <c r="I267" i="13" s="1"/>
  <c r="H1366" i="6"/>
  <c r="H1626" i="6"/>
  <c r="H1665" i="6"/>
  <c r="H1830" i="6"/>
  <c r="H1922" i="6"/>
  <c r="H2936" i="6"/>
  <c r="I275" i="13" s="1"/>
  <c r="H3122" i="6"/>
  <c r="I265" i="13" s="1"/>
  <c r="H4779" i="6"/>
  <c r="H4814" i="6"/>
  <c r="G5521" i="6"/>
  <c r="H5521" i="6" s="1"/>
  <c r="G5545" i="6"/>
  <c r="H5545" i="6" s="1"/>
  <c r="G5569" i="6"/>
  <c r="H5569" i="6" s="1"/>
  <c r="G5593" i="6"/>
  <c r="H5593" i="6" s="1"/>
  <c r="H7386" i="6"/>
  <c r="H8210" i="6"/>
  <c r="I107" i="13" s="1"/>
  <c r="H2331" i="6"/>
  <c r="H2152" i="6"/>
  <c r="H2004" i="6"/>
  <c r="H1990" i="6"/>
  <c r="H1976" i="6"/>
  <c r="H1884" i="6"/>
  <c r="H1774" i="6"/>
  <c r="H1685" i="6"/>
  <c r="H1272" i="6"/>
  <c r="H1232" i="6"/>
  <c r="H1075" i="6"/>
  <c r="H841" i="6"/>
  <c r="I102" i="13" s="1"/>
  <c r="G811" i="6"/>
  <c r="G550" i="6"/>
  <c r="G501" i="6"/>
  <c r="H2273" i="6"/>
  <c r="H1927" i="6"/>
  <c r="H1719" i="6"/>
  <c r="H1691" i="6"/>
  <c r="H1597" i="6"/>
  <c r="H1443" i="6"/>
  <c r="H1354" i="6"/>
  <c r="H1214" i="6"/>
  <c r="H1119" i="6"/>
  <c r="H1000" i="6"/>
  <c r="H977" i="6"/>
  <c r="G950" i="6"/>
  <c r="G923" i="6"/>
  <c r="H869" i="6"/>
  <c r="I225" i="13" s="1"/>
  <c r="H825" i="6"/>
  <c r="G721" i="6"/>
  <c r="G719" i="6"/>
  <c r="G717" i="6"/>
  <c r="G700" i="6"/>
  <c r="G634" i="6"/>
  <c r="G572" i="6"/>
  <c r="H2360" i="6"/>
  <c r="H2293" i="6"/>
  <c r="H1968" i="6"/>
  <c r="H1836" i="6"/>
  <c r="H1805" i="6"/>
  <c r="H1800" i="6"/>
  <c r="H1795" i="6"/>
  <c r="H1767" i="6"/>
  <c r="H1650" i="6"/>
  <c r="H1615" i="6"/>
  <c r="H1583" i="6"/>
  <c r="H1515" i="6"/>
  <c r="H1503" i="6"/>
  <c r="H1458" i="6"/>
  <c r="H1245" i="6"/>
  <c r="H1200" i="6"/>
  <c r="H1038" i="6"/>
  <c r="H893" i="6"/>
  <c r="H834" i="6"/>
  <c r="I123" i="13" s="1"/>
  <c r="G780" i="6"/>
  <c r="H774" i="6" s="1"/>
  <c r="I131" i="13" s="1"/>
  <c r="G599" i="6"/>
  <c r="G457" i="6"/>
  <c r="G424" i="6"/>
  <c r="G389" i="6"/>
  <c r="G345" i="6"/>
  <c r="G255" i="6"/>
  <c r="G217" i="6"/>
  <c r="H123" i="6"/>
  <c r="G72" i="6"/>
  <c r="G62" i="6"/>
  <c r="H30" i="6"/>
  <c r="H403" i="6"/>
  <c r="I118" i="13" s="1"/>
  <c r="H79" i="6"/>
  <c r="H242" i="6"/>
  <c r="I58" i="13" s="1"/>
  <c r="H84" i="6"/>
  <c r="H3979" i="6" l="1"/>
  <c r="H533" i="6"/>
  <c r="I144" i="13" s="1"/>
  <c r="G626" i="7"/>
  <c r="G29" i="7"/>
  <c r="G81" i="7"/>
  <c r="H598" i="6"/>
  <c r="I88" i="13" s="1"/>
  <c r="H2554" i="6"/>
  <c r="H2642" i="6"/>
  <c r="H3602" i="6"/>
  <c r="I224" i="13" s="1"/>
  <c r="H4000" i="6"/>
  <c r="H4251" i="6"/>
  <c r="I151" i="13" s="1"/>
  <c r="H5071" i="6"/>
  <c r="H5109" i="6"/>
  <c r="H5361" i="6"/>
  <c r="H5445" i="6"/>
  <c r="H5865" i="6"/>
  <c r="H5993" i="6"/>
  <c r="H6113" i="6"/>
  <c r="H7478" i="6"/>
  <c r="I73" i="13" s="1"/>
  <c r="G6595" i="6"/>
  <c r="G6819" i="6"/>
  <c r="G6947" i="6"/>
  <c r="G6987" i="6"/>
  <c r="G7115" i="6"/>
  <c r="H6859" i="6"/>
  <c r="G7578" i="6"/>
  <c r="F330" i="7"/>
  <c r="F178" i="7"/>
  <c r="H61" i="6"/>
  <c r="H485" i="6"/>
  <c r="I138" i="13" s="1"/>
  <c r="H417" i="6"/>
  <c r="I119" i="13" s="1"/>
  <c r="H581" i="6"/>
  <c r="I86" i="13" s="1"/>
  <c r="H750" i="6"/>
  <c r="I124" i="13" s="1"/>
  <c r="H623" i="6"/>
  <c r="I91" i="13" s="1"/>
  <c r="H2602" i="6"/>
  <c r="H2817" i="6"/>
  <c r="I253" i="13" s="1"/>
  <c r="H2797" i="6"/>
  <c r="I244" i="13" s="1"/>
  <c r="H2781" i="6"/>
  <c r="I232" i="13" s="1"/>
  <c r="H4132" i="6"/>
  <c r="I74" i="13" s="1"/>
  <c r="H4937" i="6"/>
  <c r="H5056" i="6"/>
  <c r="H5172" i="6"/>
  <c r="H5298" i="6"/>
  <c r="H5457" i="6"/>
  <c r="H5785" i="6"/>
  <c r="H5957" i="6"/>
  <c r="G6619" i="6"/>
  <c r="H6368" i="6"/>
  <c r="H7326" i="6"/>
  <c r="H7393" i="6"/>
  <c r="G566" i="7"/>
  <c r="F43" i="7"/>
  <c r="F269" i="7"/>
  <c r="H922" i="6"/>
  <c r="H820" i="6"/>
  <c r="I135" i="13" s="1"/>
  <c r="H499" i="6"/>
  <c r="I141" i="13" s="1"/>
  <c r="H2352" i="6"/>
  <c r="H2829" i="6"/>
  <c r="I255" i="13" s="1"/>
  <c r="H2931" i="6"/>
  <c r="I274" i="13" s="1"/>
  <c r="H2538" i="6"/>
  <c r="H2941" i="6"/>
  <c r="I276" i="13" s="1"/>
  <c r="H2971" i="6"/>
  <c r="I282" i="13" s="1"/>
  <c r="H2787" i="6"/>
  <c r="I240" i="13" s="1"/>
  <c r="H3026" i="6"/>
  <c r="I292" i="13" s="1"/>
  <c r="H5178" i="6"/>
  <c r="H4144" i="6"/>
  <c r="I110" i="13" s="1"/>
  <c r="H4368" i="6"/>
  <c r="I170" i="13" s="1"/>
  <c r="H4263" i="6"/>
  <c r="I153" i="13" s="1"/>
  <c r="H5304" i="6"/>
  <c r="H5769" i="6"/>
  <c r="H5789" i="6"/>
  <c r="H5925" i="6"/>
  <c r="H7261" i="6"/>
  <c r="G6835" i="6"/>
  <c r="G6899" i="6"/>
  <c r="G6971" i="6"/>
  <c r="G7035" i="6"/>
  <c r="G7099" i="6"/>
  <c r="H7127" i="6"/>
  <c r="H7411" i="6"/>
  <c r="H7043" i="6"/>
  <c r="G7269" i="6"/>
  <c r="H7399" i="6"/>
  <c r="G7698" i="6"/>
  <c r="F518" i="7"/>
  <c r="G516" i="7" s="1"/>
  <c r="F376" i="7"/>
  <c r="G7558" i="6"/>
  <c r="F211" i="7"/>
  <c r="G182" i="7"/>
  <c r="F450" i="7"/>
  <c r="F637" i="7"/>
  <c r="F694" i="7"/>
  <c r="H688" i="6"/>
  <c r="I81" i="13" s="1"/>
  <c r="H2325" i="6"/>
  <c r="H936" i="6"/>
  <c r="H2253" i="6"/>
  <c r="H3282" i="6"/>
  <c r="H3350" i="6"/>
  <c r="H3518" i="6"/>
  <c r="H4044" i="6"/>
  <c r="H5164" i="6"/>
  <c r="H5328" i="6"/>
  <c r="H5239" i="6"/>
  <c r="H5493" i="6"/>
  <c r="H5949" i="6"/>
  <c r="G6651" i="6"/>
  <c r="H7462" i="6"/>
  <c r="I71" i="13" s="1"/>
  <c r="H7273" i="6"/>
  <c r="G7203" i="6"/>
  <c r="G7650" i="6"/>
  <c r="F348" i="7"/>
  <c r="G268" i="7"/>
  <c r="G7938" i="6"/>
  <c r="F42" i="7"/>
  <c r="F46" i="7"/>
  <c r="F201" i="7"/>
  <c r="H7437" i="6"/>
  <c r="F331" i="7"/>
  <c r="H2263" i="6"/>
  <c r="H7886" i="6"/>
  <c r="H725" i="6"/>
  <c r="H698" i="6"/>
  <c r="I83" i="13" s="1"/>
  <c r="H7954" i="6"/>
  <c r="H7970" i="6"/>
  <c r="H7986" i="6"/>
  <c r="H8026" i="6"/>
  <c r="H8042" i="6"/>
  <c r="H8058" i="6"/>
  <c r="H8074" i="6"/>
  <c r="H8090" i="6"/>
  <c r="H8106" i="6"/>
  <c r="H8122" i="6"/>
  <c r="H8138" i="6"/>
  <c r="H8178" i="6"/>
  <c r="G6268" i="6"/>
  <c r="H571" i="6"/>
  <c r="I85" i="13" s="1"/>
  <c r="H216" i="6"/>
  <c r="H2398" i="6"/>
  <c r="H2434" i="6"/>
  <c r="H2192" i="6"/>
  <c r="H2542" i="6"/>
  <c r="H3841" i="6"/>
  <c r="H3938" i="6"/>
  <c r="H3954" i="6"/>
  <c r="H5322" i="6"/>
  <c r="H5246" i="6"/>
  <c r="H6420" i="6"/>
  <c r="H7320" i="6"/>
  <c r="G6659" i="6"/>
  <c r="G6771" i="6"/>
  <c r="G6915" i="6"/>
  <c r="G6955" i="6"/>
  <c r="G7083" i="6"/>
  <c r="H6939" i="6"/>
  <c r="G7666" i="6"/>
  <c r="G7730" i="6"/>
  <c r="G7794" i="6"/>
  <c r="F140" i="7"/>
  <c r="F650" i="7"/>
  <c r="G7914" i="6"/>
  <c r="F189" i="7"/>
  <c r="G188" i="7" s="1"/>
  <c r="F105" i="8"/>
  <c r="F677" i="7"/>
  <c r="F696" i="7"/>
  <c r="F409" i="7"/>
  <c r="H71" i="6"/>
  <c r="H768" i="6"/>
  <c r="I130" i="13" s="1"/>
  <c r="H3592" i="6"/>
  <c r="I203" i="13" s="1"/>
  <c r="H2630" i="6"/>
  <c r="H2961" i="6"/>
  <c r="I280" i="13" s="1"/>
  <c r="H3006" i="6"/>
  <c r="I288" i="13" s="1"/>
  <c r="H3303" i="6"/>
  <c r="H3920" i="6"/>
  <c r="H5029" i="6"/>
  <c r="H4092" i="6"/>
  <c r="G4764" i="6"/>
  <c r="H5102" i="6"/>
  <c r="H5486" i="6"/>
  <c r="H5451" i="6"/>
  <c r="H6085" i="6"/>
  <c r="H6065" i="6"/>
  <c r="H5757" i="6"/>
  <c r="H6053" i="6"/>
  <c r="H6191" i="6"/>
  <c r="G6555" i="6"/>
  <c r="H5881" i="6"/>
  <c r="H7451" i="6"/>
  <c r="H7211" i="6"/>
  <c r="H7507" i="6"/>
  <c r="G7682" i="6"/>
  <c r="G7746" i="6"/>
  <c r="F206" i="7"/>
  <c r="G205" i="7" s="1"/>
  <c r="F91" i="8"/>
  <c r="G7858" i="6"/>
  <c r="F200" i="7"/>
  <c r="F355" i="7"/>
  <c r="F120" i="8"/>
  <c r="H456" i="6"/>
  <c r="I66" i="13" s="1"/>
  <c r="H506" i="6"/>
  <c r="I140" i="13" s="1"/>
  <c r="H539" i="6"/>
  <c r="H847" i="6"/>
  <c r="I227" i="13" s="1"/>
  <c r="H54" i="6"/>
  <c r="H2307" i="6"/>
  <c r="H2223" i="6"/>
  <c r="H2430" i="6"/>
  <c r="H2490" i="6"/>
  <c r="H3607" i="6"/>
  <c r="H4768" i="6"/>
  <c r="H5063" i="6"/>
  <c r="H3926" i="6"/>
  <c r="H4403" i="6"/>
  <c r="I174" i="13" s="1"/>
  <c r="H4062" i="6"/>
  <c r="H4234" i="6"/>
  <c r="I149" i="13" s="1"/>
  <c r="H5186" i="6"/>
  <c r="G5202" i="6"/>
  <c r="H5285" i="6"/>
  <c r="H5833" i="6"/>
  <c r="H5853" i="6"/>
  <c r="H5989" i="6"/>
  <c r="H6390" i="6"/>
  <c r="G6539" i="6"/>
  <c r="G6667" i="6"/>
  <c r="G6499" i="6"/>
  <c r="G6627" i="6"/>
  <c r="G6755" i="6"/>
  <c r="H7533" i="6"/>
  <c r="H7594" i="6"/>
  <c r="G7634" i="6"/>
  <c r="F485" i="7"/>
  <c r="G616" i="7"/>
  <c r="F659" i="7"/>
  <c r="H7566" i="6"/>
  <c r="G7810" i="6"/>
  <c r="G7862" i="6"/>
  <c r="F351" i="7"/>
  <c r="F410" i="7"/>
  <c r="F574" i="7"/>
  <c r="F398" i="7"/>
  <c r="F54" i="8"/>
  <c r="H285" i="6"/>
  <c r="G278" i="6"/>
  <c r="H631" i="6"/>
  <c r="I93" i="13" s="1"/>
  <c r="H654" i="6"/>
  <c r="H6340" i="6"/>
  <c r="H250" i="6"/>
  <c r="I59" i="13" s="1"/>
  <c r="H2462" i="6"/>
  <c r="H2494" i="6"/>
  <c r="H2526" i="6"/>
  <c r="H2951" i="6"/>
  <c r="I278" i="13" s="1"/>
  <c r="H2762" i="6"/>
  <c r="H2981" i="6"/>
  <c r="I248" i="13" s="1"/>
  <c r="H2386" i="6"/>
  <c r="H2766" i="6"/>
  <c r="I220" i="13" s="1"/>
  <c r="H3752" i="6"/>
  <c r="H4140" i="6"/>
  <c r="I94" i="13" s="1"/>
  <c r="H4552" i="6"/>
  <c r="I178" i="13" s="1"/>
  <c r="H5095" i="6"/>
  <c r="H5011" i="6"/>
  <c r="H4210" i="6"/>
  <c r="I125" i="13" s="1"/>
  <c r="H4423" i="6"/>
  <c r="I176" i="13" s="1"/>
  <c r="H4893" i="6"/>
  <c r="H5400" i="6"/>
  <c r="H6145" i="6"/>
  <c r="H6129" i="6"/>
  <c r="H5821" i="6"/>
  <c r="G6715" i="6"/>
  <c r="H7277" i="6"/>
  <c r="H7313" i="6"/>
  <c r="I75" i="13" s="1"/>
  <c r="G6611" i="6"/>
  <c r="G6739" i="6"/>
  <c r="H7301" i="6"/>
  <c r="G7293" i="6"/>
  <c r="F549" i="7"/>
  <c r="F635" i="7"/>
  <c r="F661" i="7"/>
  <c r="F296" i="7"/>
  <c r="F651" i="7"/>
  <c r="F679" i="7"/>
  <c r="F708" i="7"/>
  <c r="H7814" i="6"/>
  <c r="H7830" i="6"/>
  <c r="H7846" i="6"/>
  <c r="H7574" i="6"/>
  <c r="H7606" i="6"/>
  <c r="G6277" i="6"/>
  <c r="G3204" i="6"/>
  <c r="G3078" i="6"/>
  <c r="G6364" i="6"/>
  <c r="G6322" i="6"/>
  <c r="G3188" i="6"/>
  <c r="G6323" i="6"/>
  <c r="G6326" i="6"/>
  <c r="G5224" i="6"/>
  <c r="H716" i="6"/>
  <c r="H950" i="6"/>
  <c r="H2243" i="6"/>
  <c r="H2446" i="6"/>
  <c r="H2402" i="6"/>
  <c r="H2458" i="6"/>
  <c r="H2522" i="6"/>
  <c r="H2558" i="6"/>
  <c r="H3268" i="6"/>
  <c r="H3296" i="6"/>
  <c r="H4116" i="6"/>
  <c r="I90" i="13" s="1"/>
  <c r="H6069" i="6"/>
  <c r="H6137" i="6"/>
  <c r="H6463" i="6"/>
  <c r="H6117" i="6"/>
  <c r="G6507" i="6"/>
  <c r="G6571" i="6"/>
  <c r="G6635" i="6"/>
  <c r="G6699" i="6"/>
  <c r="H7513" i="6"/>
  <c r="G6723" i="6"/>
  <c r="G6883" i="6"/>
  <c r="G7051" i="6"/>
  <c r="H7380" i="6"/>
  <c r="G7586" i="6"/>
  <c r="H8266" i="6"/>
  <c r="I166" i="13" s="1"/>
  <c r="F171" i="7"/>
  <c r="F350" i="7"/>
  <c r="F464" i="7"/>
  <c r="F479" i="7"/>
  <c r="F523" i="7"/>
  <c r="F706" i="7"/>
  <c r="F73" i="7"/>
  <c r="F79" i="8"/>
  <c r="G75" i="8" s="1"/>
  <c r="H513" i="6"/>
  <c r="I142" i="13" s="1"/>
  <c r="H563" i="6"/>
  <c r="I84" i="13" s="1"/>
  <c r="H806" i="6"/>
  <c r="I122" i="13" s="1"/>
  <c r="H2594" i="6"/>
  <c r="H2618" i="6"/>
  <c r="H3468" i="6"/>
  <c r="H2474" i="6"/>
  <c r="H2414" i="6"/>
  <c r="H3620" i="6"/>
  <c r="I159" i="13" s="1"/>
  <c r="H3745" i="6"/>
  <c r="I109" i="13" s="1"/>
  <c r="H4471" i="6"/>
  <c r="I199" i="13" s="1"/>
  <c r="H4330" i="6"/>
  <c r="I155" i="13" s="1"/>
  <c r="H4185" i="6"/>
  <c r="I112" i="13" s="1"/>
  <c r="H4204" i="6"/>
  <c r="I116" i="13" s="1"/>
  <c r="H4603" i="6"/>
  <c r="I194" i="13" s="1"/>
  <c r="H4942" i="6"/>
  <c r="H4949" i="6"/>
  <c r="H4963" i="6"/>
  <c r="H5006" i="6"/>
  <c r="H5120" i="6"/>
  <c r="H5334" i="6"/>
  <c r="H5340" i="6"/>
  <c r="H6281" i="6"/>
  <c r="H6435" i="6"/>
  <c r="H5829" i="6"/>
  <c r="G6491" i="6"/>
  <c r="G6747" i="6"/>
  <c r="G6515" i="6"/>
  <c r="G6579" i="6"/>
  <c r="G6643" i="6"/>
  <c r="G6707" i="6"/>
  <c r="G7618" i="6"/>
  <c r="G7253" i="6"/>
  <c r="F100" i="7"/>
  <c r="G666" i="7"/>
  <c r="F45" i="7"/>
  <c r="F370" i="7"/>
  <c r="G170" i="7"/>
  <c r="F482" i="7"/>
  <c r="F542" i="7"/>
  <c r="G540" i="7" s="1"/>
  <c r="F32" i="8"/>
  <c r="H382" i="6"/>
  <c r="H2144" i="6"/>
  <c r="H3640" i="6"/>
  <c r="H2116" i="6"/>
  <c r="H2367" i="6"/>
  <c r="G2750" i="6"/>
  <c r="H3324" i="6"/>
  <c r="I27" i="13" s="1"/>
  <c r="H3635" i="6"/>
  <c r="I20" i="13" s="1"/>
  <c r="H3824" i="6"/>
  <c r="H3880" i="6"/>
  <c r="H4377" i="6"/>
  <c r="I171" i="13" s="1"/>
  <c r="H3860" i="6"/>
  <c r="H4124" i="6"/>
  <c r="I92" i="13" s="1"/>
  <c r="H4220" i="6"/>
  <c r="I139" i="13" s="1"/>
  <c r="H4541" i="6"/>
  <c r="I190" i="13" s="1"/>
  <c r="H5126" i="6"/>
  <c r="H5150" i="6"/>
  <c r="H4916" i="6"/>
  <c r="H5083" i="6"/>
  <c r="H5464" i="6"/>
  <c r="H5797" i="6"/>
  <c r="H5897" i="6"/>
  <c r="H5917" i="6"/>
  <c r="H6228" i="6"/>
  <c r="H5849" i="6"/>
  <c r="H6179" i="6"/>
  <c r="H6253" i="6"/>
  <c r="H6077" i="6"/>
  <c r="F343" i="7"/>
  <c r="G6787" i="6"/>
  <c r="G6867" i="6"/>
  <c r="G6931" i="6"/>
  <c r="G7003" i="6"/>
  <c r="G7067" i="6"/>
  <c r="G7139" i="6"/>
  <c r="H7498" i="6"/>
  <c r="H7942" i="6"/>
  <c r="F385" i="7"/>
  <c r="F692" i="7"/>
  <c r="G295" i="7"/>
  <c r="F357" i="7"/>
  <c r="F396" i="7"/>
  <c r="G7590" i="6"/>
  <c r="F477" i="7"/>
  <c r="F586" i="7"/>
  <c r="H448" i="6"/>
  <c r="I120" i="13" s="1"/>
  <c r="H2110" i="6"/>
  <c r="G2726" i="6"/>
  <c r="H2506" i="6"/>
  <c r="H2590" i="6"/>
  <c r="G2710" i="6"/>
  <c r="H5367" i="6"/>
  <c r="H4646" i="6"/>
  <c r="I209" i="13" s="1"/>
  <c r="G4740" i="6"/>
  <c r="H5142" i="6"/>
  <c r="H4923" i="6"/>
  <c r="H5252" i="6"/>
  <c r="H5089" i="6"/>
  <c r="G5408" i="6"/>
  <c r="H6273" i="6"/>
  <c r="H5913" i="6"/>
  <c r="H5893" i="6"/>
  <c r="H6045" i="6"/>
  <c r="G6523" i="6"/>
  <c r="H7334" i="6"/>
  <c r="H7219" i="6"/>
  <c r="G7554" i="6"/>
  <c r="G7778" i="6"/>
  <c r="F301" i="7"/>
  <c r="F358" i="7"/>
  <c r="F44" i="7"/>
  <c r="F364" i="7"/>
  <c r="H7866" i="6"/>
  <c r="H7894" i="6"/>
  <c r="F92" i="7"/>
  <c r="H7978" i="6"/>
  <c r="H7994" i="6"/>
  <c r="H8010" i="6"/>
  <c r="H8050" i="6"/>
  <c r="H8082" i="6"/>
  <c r="H8114" i="6"/>
  <c r="H8154" i="6"/>
  <c r="H8170" i="6"/>
  <c r="G348" i="6"/>
  <c r="G3666" i="6"/>
  <c r="H678" i="6"/>
  <c r="I79" i="13" s="1"/>
  <c r="H858" i="6"/>
  <c r="I237" i="13" s="1"/>
  <c r="H2738" i="6"/>
  <c r="H2418" i="6"/>
  <c r="H2197" i="6"/>
  <c r="H2204" i="6"/>
  <c r="H2859" i="6"/>
  <c r="I261" i="13" s="1"/>
  <c r="H4198" i="6"/>
  <c r="I115" i="13" s="1"/>
  <c r="H4242" i="6"/>
  <c r="I150" i="13" s="1"/>
  <c r="H5310" i="6"/>
  <c r="H6196" i="6"/>
  <c r="H5977" i="6"/>
  <c r="H6430" i="6"/>
  <c r="H6383" i="6"/>
  <c r="H5945" i="6"/>
  <c r="H7257" i="6"/>
  <c r="H7519" i="6"/>
  <c r="G6531" i="6"/>
  <c r="G6851" i="6"/>
  <c r="G7019" i="6"/>
  <c r="H7470" i="6"/>
  <c r="I72" i="13" s="1"/>
  <c r="H7910" i="6"/>
  <c r="H6827" i="6"/>
  <c r="H7614" i="6"/>
  <c r="F19" i="7"/>
  <c r="G18" i="7" s="1"/>
  <c r="F389" i="7"/>
  <c r="F483" i="7"/>
  <c r="F690" i="7"/>
  <c r="H2176" i="6"/>
  <c r="H2380" i="6"/>
  <c r="H2869" i="6"/>
  <c r="I263" i="13" s="1"/>
  <c r="H2283" i="6"/>
  <c r="H3239" i="6"/>
  <c r="H3249" i="6"/>
  <c r="H4909" i="6"/>
  <c r="H5041" i="6"/>
  <c r="H3652" i="6"/>
  <c r="H4993" i="6"/>
  <c r="H4930" i="6"/>
  <c r="H5416" i="6"/>
  <c r="H6093" i="6"/>
  <c r="H6447" i="6"/>
  <c r="H5885" i="6"/>
  <c r="G6683" i="6"/>
  <c r="G7922" i="6"/>
  <c r="F110" i="7"/>
  <c r="F675" i="7"/>
  <c r="H44" i="6"/>
  <c r="G279" i="6"/>
  <c r="H792" i="6"/>
  <c r="I121" i="13" s="1"/>
  <c r="H2341" i="6"/>
  <c r="H2122" i="6"/>
  <c r="H2373" i="6"/>
  <c r="H2614" i="6"/>
  <c r="H2839" i="6"/>
  <c r="I257" i="13" s="1"/>
  <c r="G3332" i="6"/>
  <c r="H4178" i="6"/>
  <c r="I100" i="13" s="1"/>
  <c r="H4685" i="6"/>
  <c r="I215" i="13" s="1"/>
  <c r="H5077" i="6"/>
  <c r="H4987" i="6"/>
  <c r="H5861" i="6"/>
  <c r="H5961" i="6"/>
  <c r="H5981" i="6"/>
  <c r="H6241" i="6"/>
  <c r="H6425" i="6"/>
  <c r="I165" i="13" s="1"/>
  <c r="H5801" i="6"/>
  <c r="H5929" i="6"/>
  <c r="G6603" i="6"/>
  <c r="G6731" i="6"/>
  <c r="H5817" i="6"/>
  <c r="G6563" i="6"/>
  <c r="G6691" i="6"/>
  <c r="G7309" i="6"/>
  <c r="G7610" i="6"/>
  <c r="G7762" i="6"/>
  <c r="F633" i="7"/>
  <c r="F387" i="7"/>
  <c r="F466" i="7"/>
  <c r="F697" i="7"/>
  <c r="H7598" i="6"/>
  <c r="G7930" i="6"/>
  <c r="F621" i="7"/>
  <c r="G621" i="7" s="1"/>
  <c r="F375" i="7"/>
  <c r="F588" i="7"/>
  <c r="F68" i="8"/>
  <c r="H706" i="6"/>
  <c r="I82" i="13" s="1"/>
  <c r="H192" i="6"/>
  <c r="H2319" i="6"/>
  <c r="H2478" i="6"/>
  <c r="H2510" i="6"/>
  <c r="H2849" i="6"/>
  <c r="I259" i="13" s="1"/>
  <c r="H2718" i="6"/>
  <c r="H2881" i="6"/>
  <c r="I266" i="13" s="1"/>
  <c r="H2634" i="6"/>
  <c r="H3145" i="6"/>
  <c r="I226" i="13" s="1"/>
  <c r="H3184" i="6"/>
  <c r="H4359" i="6"/>
  <c r="I169" i="13" s="1"/>
  <c r="H3537" i="6"/>
  <c r="H3851" i="6"/>
  <c r="H5232" i="6"/>
  <c r="G4760" i="6"/>
  <c r="H5373" i="6"/>
  <c r="H5194" i="6"/>
  <c r="H6153" i="6"/>
  <c r="H6289" i="6"/>
  <c r="H6403" i="6"/>
  <c r="H5765" i="6"/>
  <c r="H6097" i="6"/>
  <c r="H6247" i="6"/>
  <c r="G6587" i="6"/>
  <c r="H6041" i="6"/>
  <c r="G6547" i="6"/>
  <c r="G6675" i="6"/>
  <c r="H7423" i="6"/>
  <c r="G7714" i="6"/>
  <c r="F481" i="7"/>
  <c r="F535" i="7"/>
  <c r="G534" i="7" s="1"/>
  <c r="F611" i="7"/>
  <c r="G7906" i="6"/>
  <c r="F610" i="7"/>
  <c r="F62" i="8"/>
  <c r="G23" i="7"/>
  <c r="F547" i="7"/>
  <c r="G546" i="7" s="1"/>
  <c r="F662" i="7"/>
  <c r="F400" i="7"/>
  <c r="H7822" i="6"/>
  <c r="H7838" i="6"/>
  <c r="G384" i="7" l="1"/>
  <c r="H6587" i="6"/>
  <c r="F435" i="7"/>
  <c r="H7930" i="6"/>
  <c r="G7095" i="6"/>
  <c r="G6967" i="6"/>
  <c r="G6863" i="6"/>
  <c r="H7922" i="6"/>
  <c r="F221" i="7"/>
  <c r="G6551" i="6"/>
  <c r="G688" i="7"/>
  <c r="F309" i="7"/>
  <c r="G6767" i="6"/>
  <c r="G6759" i="6"/>
  <c r="F199" i="7"/>
  <c r="G6711" i="6"/>
  <c r="H5408" i="6"/>
  <c r="H4740" i="6"/>
  <c r="F560" i="7"/>
  <c r="H7590" i="6"/>
  <c r="F276" i="7"/>
  <c r="F234" i="7"/>
  <c r="H7139" i="6"/>
  <c r="H6867" i="6"/>
  <c r="G6727" i="6"/>
  <c r="F499" i="7"/>
  <c r="H7253" i="6"/>
  <c r="H6723" i="6"/>
  <c r="G6751" i="6"/>
  <c r="G6687" i="6"/>
  <c r="G6623" i="6"/>
  <c r="G6559" i="6"/>
  <c r="G6495" i="6"/>
  <c r="G3215" i="6"/>
  <c r="G4632" i="6"/>
  <c r="G301" i="6"/>
  <c r="G2564" i="6"/>
  <c r="G5210" i="6"/>
  <c r="H3201" i="6"/>
  <c r="F341" i="7"/>
  <c r="H6739" i="6"/>
  <c r="H6715" i="6"/>
  <c r="G659" i="7"/>
  <c r="H6755" i="6"/>
  <c r="G6655" i="6"/>
  <c r="G6527" i="6"/>
  <c r="F344" i="7"/>
  <c r="F423" i="7"/>
  <c r="H7746" i="6"/>
  <c r="H6555" i="6"/>
  <c r="H7914" i="6"/>
  <c r="H7730" i="6"/>
  <c r="H6659" i="6"/>
  <c r="F591" i="7"/>
  <c r="F220" i="7"/>
  <c r="H7558" i="6"/>
  <c r="F249" i="7"/>
  <c r="G7047" i="6"/>
  <c r="G6943" i="6"/>
  <c r="G6815" i="6"/>
  <c r="H7269" i="6"/>
  <c r="H7099" i="6"/>
  <c r="H6835" i="6"/>
  <c r="F139" i="7"/>
  <c r="G138" i="7" s="1"/>
  <c r="F38" i="8"/>
  <c r="G38" i="8" s="1"/>
  <c r="F342" i="7"/>
  <c r="F102" i="7"/>
  <c r="F210" i="7"/>
  <c r="G210" i="7" s="1"/>
  <c r="G6783" i="6"/>
  <c r="H7115" i="6"/>
  <c r="H6987" i="6"/>
  <c r="G5226" i="6"/>
  <c r="H7906" i="6"/>
  <c r="G7215" i="6"/>
  <c r="G7119" i="6"/>
  <c r="G6991" i="6"/>
  <c r="G6855" i="6"/>
  <c r="H6675" i="6"/>
  <c r="H7309" i="6"/>
  <c r="H6691" i="6"/>
  <c r="F475" i="7"/>
  <c r="G7103" i="6"/>
  <c r="G7039" i="6"/>
  <c r="G6975" i="6"/>
  <c r="G6903" i="6"/>
  <c r="G6839" i="6"/>
  <c r="G6743" i="6"/>
  <c r="H7019" i="6"/>
  <c r="G6503" i="6"/>
  <c r="H7778" i="6"/>
  <c r="H7554" i="6"/>
  <c r="G6583" i="6"/>
  <c r="H2710" i="6"/>
  <c r="G7015" i="6"/>
  <c r="G6847" i="6"/>
  <c r="H7067" i="6"/>
  <c r="H6787" i="6"/>
  <c r="G6599" i="6"/>
  <c r="F41" i="7"/>
  <c r="G40" i="7" s="1"/>
  <c r="H7618" i="6"/>
  <c r="H6707" i="6"/>
  <c r="H6579" i="6"/>
  <c r="G6735" i="6"/>
  <c r="H6699" i="6"/>
  <c r="H6635" i="6"/>
  <c r="H6571" i="6"/>
  <c r="H6507" i="6"/>
  <c r="G4317" i="6"/>
  <c r="G361" i="6"/>
  <c r="G4589" i="6"/>
  <c r="G4290" i="6"/>
  <c r="G2580" i="6"/>
  <c r="F462" i="7"/>
  <c r="F152" i="7"/>
  <c r="H7293" i="6"/>
  <c r="G7087" i="6"/>
  <c r="G6959" i="6"/>
  <c r="G6823" i="6"/>
  <c r="H6611" i="6"/>
  <c r="H278" i="6"/>
  <c r="H7810" i="6"/>
  <c r="G6999" i="6"/>
  <c r="G6831" i="6"/>
  <c r="H6627" i="6"/>
  <c r="H6667" i="6"/>
  <c r="H6539" i="6"/>
  <c r="H3330" i="6"/>
  <c r="I29" i="13" s="1"/>
  <c r="F412" i="7"/>
  <c r="F579" i="7"/>
  <c r="G579" i="7" s="1"/>
  <c r="H3074" i="6"/>
  <c r="F55" i="7"/>
  <c r="H7083" i="6"/>
  <c r="H6955" i="6"/>
  <c r="G1543" i="6"/>
  <c r="H7650" i="6"/>
  <c r="F177" i="7"/>
  <c r="G176" i="7" s="1"/>
  <c r="H7035" i="6"/>
  <c r="G6663" i="6"/>
  <c r="G6607" i="6"/>
  <c r="F26" i="8"/>
  <c r="F349" i="7"/>
  <c r="H7578" i="6"/>
  <c r="H6947" i="6"/>
  <c r="H6819" i="6"/>
  <c r="G6567" i="6"/>
  <c r="G5211" i="6"/>
  <c r="G610" i="7"/>
  <c r="H7714" i="6"/>
  <c r="H6547" i="6"/>
  <c r="G7031" i="6"/>
  <c r="G6927" i="6"/>
  <c r="H6563" i="6"/>
  <c r="G6719" i="6"/>
  <c r="G6591" i="6"/>
  <c r="F198" i="7"/>
  <c r="G197" i="7" s="1"/>
  <c r="G6679" i="6"/>
  <c r="G6671" i="6"/>
  <c r="F164" i="7"/>
  <c r="H6531" i="6"/>
  <c r="G7946" i="6"/>
  <c r="G6511" i="6"/>
  <c r="F72" i="7"/>
  <c r="F99" i="7"/>
  <c r="G7850" i="6"/>
  <c r="H7003" i="6"/>
  <c r="H2750" i="6"/>
  <c r="G6951" i="6"/>
  <c r="H6747" i="6"/>
  <c r="F287" i="7"/>
  <c r="H6883" i="6"/>
  <c r="G6807" i="6"/>
  <c r="G3874" i="6"/>
  <c r="G316" i="6"/>
  <c r="G4726" i="6"/>
  <c r="G3667" i="6"/>
  <c r="H7634" i="6"/>
  <c r="H6499" i="6"/>
  <c r="F682" i="7"/>
  <c r="H7858" i="6"/>
  <c r="H7682" i="6"/>
  <c r="H7794" i="6"/>
  <c r="H7666" i="6"/>
  <c r="G6236" i="6"/>
  <c r="G1536" i="6"/>
  <c r="F332" i="7"/>
  <c r="H7938" i="6"/>
  <c r="F468" i="7"/>
  <c r="G6647" i="6"/>
  <c r="G6639" i="6"/>
  <c r="F89" i="7"/>
  <c r="F640" i="7"/>
  <c r="H7698" i="6"/>
  <c r="G7111" i="6"/>
  <c r="G6983" i="6"/>
  <c r="G6879" i="6"/>
  <c r="H6971" i="6"/>
  <c r="G6535" i="6"/>
  <c r="F461" i="7"/>
  <c r="F90" i="7"/>
  <c r="F315" i="7"/>
  <c r="H6619" i="6"/>
  <c r="F19" i="8"/>
  <c r="H6595" i="6"/>
  <c r="F648" i="7"/>
  <c r="G7135" i="6"/>
  <c r="G7055" i="6"/>
  <c r="G6919" i="6"/>
  <c r="G6575" i="6"/>
  <c r="H4760" i="6"/>
  <c r="H7762" i="6"/>
  <c r="H7610" i="6"/>
  <c r="H6731" i="6"/>
  <c r="H6603" i="6"/>
  <c r="F333" i="7"/>
  <c r="G7071" i="6"/>
  <c r="G7007" i="6"/>
  <c r="G6935" i="6"/>
  <c r="G6871" i="6"/>
  <c r="G6791" i="6"/>
  <c r="G6615" i="6"/>
  <c r="H6683" i="6"/>
  <c r="F653" i="7"/>
  <c r="H6851" i="6"/>
  <c r="F575" i="7"/>
  <c r="G572" i="7" s="1"/>
  <c r="H6523" i="6"/>
  <c r="H2726" i="6"/>
  <c r="G7079" i="6"/>
  <c r="G6911" i="6"/>
  <c r="H6931" i="6"/>
  <c r="F321" i="7"/>
  <c r="H6643" i="6"/>
  <c r="H6515" i="6"/>
  <c r="H6491" i="6"/>
  <c r="F250" i="7"/>
  <c r="H7586" i="6"/>
  <c r="H7051" i="6"/>
  <c r="G6799" i="6"/>
  <c r="G6695" i="6"/>
  <c r="G3994" i="6"/>
  <c r="G3687" i="6"/>
  <c r="G3700" i="6"/>
  <c r="G5225" i="6"/>
  <c r="F306" i="7"/>
  <c r="F109" i="7"/>
  <c r="G108" i="7" s="1"/>
  <c r="G7023" i="6"/>
  <c r="G6887" i="6"/>
  <c r="G6775" i="6"/>
  <c r="G6703" i="6"/>
  <c r="H7862" i="6"/>
  <c r="F54" i="7"/>
  <c r="G7063" i="6"/>
  <c r="G6895" i="6"/>
  <c r="G6543" i="6"/>
  <c r="H4764" i="6"/>
  <c r="F441" i="7"/>
  <c r="H6915" i="6"/>
  <c r="H6771" i="6"/>
  <c r="G6631" i="6"/>
  <c r="G3180" i="6"/>
  <c r="G5261" i="6"/>
  <c r="G348" i="7"/>
  <c r="H7203" i="6"/>
  <c r="G6519" i="6"/>
  <c r="H6651" i="6"/>
  <c r="H6899" i="6"/>
  <c r="F75" i="7"/>
  <c r="G7898" i="6"/>
  <c r="G7207" i="6"/>
  <c r="F235" i="7"/>
  <c r="F707" i="7" l="1"/>
  <c r="G701" i="7" s="1"/>
  <c r="H6543" i="6"/>
  <c r="H6911" i="6"/>
  <c r="H7079" i="6"/>
  <c r="F281" i="7"/>
  <c r="F510" i="7"/>
  <c r="H6919" i="6"/>
  <c r="G19" i="8"/>
  <c r="F498" i="7"/>
  <c r="G493" i="7" s="1"/>
  <c r="F467" i="7"/>
  <c r="G460" i="7" s="1"/>
  <c r="H3658" i="6"/>
  <c r="H6951" i="6"/>
  <c r="H6511" i="6"/>
  <c r="H7946" i="6"/>
  <c r="H6671" i="6"/>
  <c r="H6591" i="6"/>
  <c r="H6607" i="6"/>
  <c r="F639" i="7"/>
  <c r="G632" i="7" s="1"/>
  <c r="F291" i="7"/>
  <c r="H6847" i="6"/>
  <c r="H7015" i="6"/>
  <c r="H6583" i="6"/>
  <c r="H5217" i="6"/>
  <c r="H6727" i="6"/>
  <c r="H7898" i="6"/>
  <c r="H6519" i="6"/>
  <c r="H5258" i="6"/>
  <c r="H6631" i="6"/>
  <c r="H6895" i="6"/>
  <c r="H7063" i="6"/>
  <c r="H6703" i="6"/>
  <c r="H6775" i="6"/>
  <c r="H7023" i="6"/>
  <c r="H6799" i="6"/>
  <c r="H6791" i="6"/>
  <c r="H6935" i="6"/>
  <c r="H7071" i="6"/>
  <c r="H6535" i="6"/>
  <c r="H6983" i="6"/>
  <c r="H6647" i="6"/>
  <c r="H7850" i="6"/>
  <c r="F57" i="7"/>
  <c r="F323" i="7"/>
  <c r="H6663" i="6"/>
  <c r="F163" i="7"/>
  <c r="G158" i="7" s="1"/>
  <c r="F434" i="7"/>
  <c r="G429" i="7" s="1"/>
  <c r="H1540" i="6"/>
  <c r="H6999" i="6"/>
  <c r="H6823" i="6"/>
  <c r="H7087" i="6"/>
  <c r="H6735" i="6"/>
  <c r="H6743" i="6"/>
  <c r="H6903" i="6"/>
  <c r="H7039" i="6"/>
  <c r="H6855" i="6"/>
  <c r="H7119" i="6"/>
  <c r="H6815" i="6"/>
  <c r="H7047" i="6"/>
  <c r="F12" i="7"/>
  <c r="F151" i="7"/>
  <c r="G144" i="7" s="1"/>
  <c r="H6527" i="6"/>
  <c r="F223" i="7"/>
  <c r="H6559" i="6"/>
  <c r="H6687" i="6"/>
  <c r="H6759" i="6"/>
  <c r="H6863" i="6"/>
  <c r="H7207" i="6"/>
  <c r="F590" i="7"/>
  <c r="G584" i="7" s="1"/>
  <c r="H3176" i="6"/>
  <c r="G2572" i="6"/>
  <c r="H6695" i="6"/>
  <c r="H6575" i="6"/>
  <c r="H7055" i="6"/>
  <c r="H7135" i="6"/>
  <c r="F252" i="7"/>
  <c r="H1533" i="6"/>
  <c r="F335" i="7"/>
  <c r="H6679" i="6"/>
  <c r="F262" i="7"/>
  <c r="H6719" i="6"/>
  <c r="F606" i="7"/>
  <c r="G602" i="7" s="1"/>
  <c r="H6599" i="6"/>
  <c r="H6503" i="6"/>
  <c r="F237" i="7"/>
  <c r="H7215" i="6"/>
  <c r="H6783" i="6"/>
  <c r="G292" i="6"/>
  <c r="H6887" i="6"/>
  <c r="G307" i="6"/>
  <c r="H6615" i="6"/>
  <c r="H6871" i="6"/>
  <c r="H7007" i="6"/>
  <c r="H6879" i="6"/>
  <c r="H7111" i="6"/>
  <c r="H6639" i="6"/>
  <c r="F681" i="7"/>
  <c r="G674" i="7" s="1"/>
  <c r="H6807" i="6"/>
  <c r="G287" i="7"/>
  <c r="H6927" i="6"/>
  <c r="H7031" i="6"/>
  <c r="H6567" i="6"/>
  <c r="F422" i="7"/>
  <c r="G418" i="7" s="1"/>
  <c r="H6831" i="6"/>
  <c r="H6959" i="6"/>
  <c r="H6839" i="6"/>
  <c r="H6975" i="6"/>
  <c r="H7103" i="6"/>
  <c r="H6991" i="6"/>
  <c r="H6943" i="6"/>
  <c r="F411" i="7"/>
  <c r="G406" i="7" s="1"/>
  <c r="F652" i="7"/>
  <c r="G646" i="7" s="1"/>
  <c r="F559" i="7"/>
  <c r="G553" i="7" s="1"/>
  <c r="H6655" i="6"/>
  <c r="G341" i="7"/>
  <c r="H6495" i="6"/>
  <c r="H6623" i="6"/>
  <c r="H6751" i="6"/>
  <c r="H6711" i="6"/>
  <c r="H6767" i="6"/>
  <c r="H6551" i="6"/>
  <c r="H6967" i="6"/>
  <c r="H7095" i="6"/>
  <c r="F91" i="7" l="1"/>
  <c r="G88" i="7" s="1"/>
  <c r="G4631" i="6"/>
  <c r="G6269" i="6"/>
  <c r="G360" i="6"/>
  <c r="G3699" i="6"/>
  <c r="G4289" i="6"/>
  <c r="F322" i="7"/>
  <c r="G315" i="7" s="1"/>
  <c r="F67" i="8"/>
  <c r="G61" i="8" s="1"/>
  <c r="F104" i="8"/>
  <c r="G97" i="8" s="1"/>
  <c r="F236" i="7"/>
  <c r="G229" i="7" s="1"/>
  <c r="G5209" i="6"/>
  <c r="G349" i="6"/>
  <c r="F251" i="7"/>
  <c r="G243" i="7" s="1"/>
  <c r="F74" i="7"/>
  <c r="G71" i="7" s="1"/>
  <c r="G3993" i="6"/>
  <c r="G300" i="6"/>
  <c r="F308" i="7"/>
  <c r="G301" i="7" s="1"/>
  <c r="F56" i="7"/>
  <c r="G50" i="7" s="1"/>
  <c r="F90" i="8"/>
  <c r="G83" i="8" s="1"/>
  <c r="F280" i="7"/>
  <c r="G276" i="7" s="1"/>
  <c r="F261" i="7"/>
  <c r="G258" i="7" s="1"/>
  <c r="G4588" i="6"/>
  <c r="G4316" i="6"/>
  <c r="G3686" i="6"/>
  <c r="G315" i="6"/>
  <c r="F101" i="7"/>
  <c r="G98" i="7" s="1"/>
  <c r="G6208" i="6"/>
  <c r="F119" i="8"/>
  <c r="G111" i="8" s="1"/>
  <c r="F399" i="7"/>
  <c r="G394" i="7" s="1"/>
  <c r="F509" i="7"/>
  <c r="G505" i="7" s="1"/>
  <c r="F487" i="7"/>
  <c r="F334" i="7"/>
  <c r="G329" i="7" s="1"/>
  <c r="G3214" i="6"/>
  <c r="F31" i="8"/>
  <c r="F11" i="7"/>
  <c r="F222" i="7"/>
  <c r="G215" i="7" s="1"/>
  <c r="G6302" i="6" l="1"/>
  <c r="G4725" i="6"/>
  <c r="H3693" i="6"/>
  <c r="G3916" i="6"/>
  <c r="F53" i="8"/>
  <c r="G48" i="8" s="1"/>
  <c r="G3873" i="6"/>
  <c r="H3208" i="6"/>
  <c r="H6204" i="6"/>
  <c r="H4296" i="6"/>
  <c r="I161" i="13" s="1"/>
  <c r="G2571" i="6"/>
  <c r="H343" i="6"/>
  <c r="I35" i="13" s="1"/>
  <c r="G5428" i="6"/>
  <c r="G6332" i="6"/>
  <c r="F359" i="7"/>
  <c r="G355" i="7" s="1"/>
  <c r="G6330" i="6"/>
  <c r="H3987" i="6"/>
  <c r="H5202" i="6"/>
  <c r="H4280" i="6"/>
  <c r="I157" i="13" s="1"/>
  <c r="H353" i="6"/>
  <c r="H4626" i="6"/>
  <c r="I188" i="13" s="1"/>
  <c r="F454" i="7"/>
  <c r="G3915" i="6"/>
  <c r="G8" i="7"/>
  <c r="G26" i="8"/>
  <c r="G2563" i="6"/>
  <c r="G2579" i="6"/>
  <c r="H4576" i="6"/>
  <c r="I192" i="13" s="1"/>
  <c r="H307" i="6"/>
  <c r="G436" i="6"/>
  <c r="H292" i="6"/>
  <c r="F453" i="7" l="1"/>
  <c r="G441" i="7" s="1"/>
  <c r="H436" i="6"/>
  <c r="H2578" i="6"/>
  <c r="G3616" i="6"/>
  <c r="G6363" i="6"/>
  <c r="F65" i="7"/>
  <c r="F486" i="7"/>
  <c r="G474" i="7" s="1"/>
  <c r="G397" i="6"/>
  <c r="H2570" i="6"/>
  <c r="G3553" i="6"/>
  <c r="H4724" i="6"/>
  <c r="H3902" i="6"/>
  <c r="G6331" i="6"/>
  <c r="G8223" i="6"/>
  <c r="H2562" i="6"/>
  <c r="G6319" i="6"/>
  <c r="G6333" i="6"/>
  <c r="G5429" i="6"/>
  <c r="G6267" i="6"/>
  <c r="G5441" i="6"/>
  <c r="G3486" i="6"/>
  <c r="G6324" i="6"/>
  <c r="G5271" i="6"/>
  <c r="G6316" i="6"/>
  <c r="G3727" i="6"/>
  <c r="F363" i="7"/>
  <c r="G363" i="7" s="1"/>
  <c r="G5273" i="6"/>
  <c r="H3868" i="6"/>
  <c r="G3511" i="6"/>
  <c r="H6296" i="6"/>
  <c r="G7487" i="6" l="1"/>
  <c r="G427" i="6"/>
  <c r="G7366" i="6"/>
  <c r="G6485" i="6"/>
  <c r="H3721" i="6"/>
  <c r="H3476" i="6"/>
  <c r="H6262" i="6"/>
  <c r="G442" i="6"/>
  <c r="G4528" i="6"/>
  <c r="G1789" i="6"/>
  <c r="G4446" i="6"/>
  <c r="G557" i="6"/>
  <c r="H396" i="6"/>
  <c r="H6354" i="6"/>
  <c r="G1349" i="6"/>
  <c r="G4533" i="6"/>
  <c r="G6212" i="6"/>
  <c r="H3501" i="6"/>
  <c r="G3462" i="6"/>
  <c r="G4461" i="6"/>
  <c r="G3365" i="6"/>
  <c r="G6478" i="6"/>
  <c r="G3685" i="6"/>
  <c r="G6237" i="6"/>
  <c r="G4509" i="6"/>
  <c r="H8215" i="6"/>
  <c r="I60" i="13" s="1"/>
  <c r="G5424" i="6"/>
  <c r="H3544" i="6"/>
  <c r="G430" i="6"/>
  <c r="G7225" i="6"/>
  <c r="G63" i="7"/>
  <c r="G5439" i="6"/>
  <c r="F530" i="7"/>
  <c r="G528" i="7" s="1"/>
  <c r="G3711" i="6"/>
  <c r="G3400" i="6"/>
  <c r="G547" i="6"/>
  <c r="G1336" i="6"/>
  <c r="F378" i="7"/>
  <c r="G375" i="7" s="1"/>
  <c r="G6471" i="6"/>
  <c r="G3831" i="6"/>
  <c r="F524" i="7"/>
  <c r="G522" i="7" s="1"/>
  <c r="F369" i="7"/>
  <c r="G369" i="7" s="1"/>
  <c r="G376" i="6"/>
  <c r="G8254" i="6"/>
  <c r="H6330" i="6"/>
  <c r="G274" i="6"/>
  <c r="G5436" i="6"/>
  <c r="G3451" i="6"/>
  <c r="G7445" i="6"/>
  <c r="G5294" i="6"/>
  <c r="G3407" i="6"/>
  <c r="G3440" i="6"/>
  <c r="G7548" i="6"/>
  <c r="G4501" i="6"/>
  <c r="G5268" i="6"/>
  <c r="G3973" i="6"/>
  <c r="H3614" i="6"/>
  <c r="I158" i="13" s="1"/>
  <c r="H373" i="6" l="1"/>
  <c r="H7225" i="6"/>
  <c r="H6234" i="6"/>
  <c r="H3457" i="6"/>
  <c r="H1347" i="6"/>
  <c r="H4441" i="6"/>
  <c r="I61" i="13" s="1"/>
  <c r="H442" i="6"/>
  <c r="I65" i="13" s="1"/>
  <c r="H7365" i="6"/>
  <c r="H4499" i="6"/>
  <c r="I201" i="13" s="1"/>
  <c r="H3406" i="6"/>
  <c r="H3399" i="6"/>
  <c r="I184" i="13" s="1"/>
  <c r="H1788" i="6"/>
  <c r="G6320" i="6"/>
  <c r="H3829" i="6"/>
  <c r="G6321" i="6"/>
  <c r="H5291" i="6"/>
  <c r="H3446" i="6"/>
  <c r="H8253" i="6"/>
  <c r="H6470" i="6"/>
  <c r="H547" i="6"/>
  <c r="H3706" i="6"/>
  <c r="H4507" i="6"/>
  <c r="I202" i="13" s="1"/>
  <c r="H4532" i="6"/>
  <c r="I185" i="13" s="1"/>
  <c r="H555" i="6"/>
  <c r="I67" i="13" s="1"/>
  <c r="H6484" i="6"/>
  <c r="H424" i="6"/>
  <c r="H7486" i="6"/>
  <c r="I69" i="13" s="1"/>
  <c r="H7444" i="6"/>
  <c r="H3436" i="6"/>
  <c r="H270" i="6"/>
  <c r="H3972" i="6"/>
  <c r="H7547" i="6"/>
  <c r="H1334" i="6"/>
  <c r="H3681" i="6"/>
  <c r="I163" i="13" s="1"/>
  <c r="H6477" i="6"/>
  <c r="H3364" i="6"/>
  <c r="H4456" i="6"/>
  <c r="I62" i="13" s="1"/>
  <c r="H6212" i="6"/>
  <c r="H4523" i="6"/>
  <c r="I183" i="13" s="1"/>
  <c r="G5427" i="6" l="1"/>
  <c r="G6325" i="6"/>
  <c r="H6306" i="6" s="1"/>
  <c r="G5272" i="6" l="1"/>
  <c r="H5423" i="6"/>
  <c r="G5440" i="6"/>
  <c r="H5433" i="6" l="1"/>
  <c r="H5265" i="6"/>
  <c r="N334" i="13" l="1"/>
  <c r="O334" i="13" s="1"/>
  <c r="J334" i="13"/>
  <c r="J218" i="13"/>
  <c r="N218" i="13"/>
  <c r="O218" i="13" s="1"/>
  <c r="L418" i="13"/>
  <c r="J16" i="13"/>
  <c r="N16" i="13"/>
  <c r="O16" i="13" s="1"/>
  <c r="J12" i="13"/>
  <c r="N12" i="13"/>
  <c r="O12" i="13" s="1"/>
  <c r="J114" i="13"/>
  <c r="N114" i="13"/>
  <c r="O114" i="13" s="1"/>
  <c r="N219" i="13"/>
  <c r="O219" i="13" s="1"/>
  <c r="J219" i="13"/>
  <c r="N22" i="13"/>
  <c r="O22" i="13" s="1"/>
  <c r="J22" i="13"/>
  <c r="N14" i="13" l="1"/>
  <c r="O14" i="13" s="1"/>
  <c r="J14" i="13"/>
  <c r="M418" i="13"/>
  <c r="L394" i="13"/>
  <c r="J43" i="13" l="1"/>
  <c r="N43" i="13"/>
  <c r="O43" i="13" s="1"/>
  <c r="L460" i="13"/>
  <c r="L358" i="13"/>
  <c r="L391" i="13"/>
  <c r="L464" i="13"/>
  <c r="N33" i="13"/>
  <c r="O33" i="13" s="1"/>
  <c r="J33" i="13"/>
  <c r="J47" i="13"/>
  <c r="N47" i="13"/>
  <c r="O47" i="13" s="1"/>
  <c r="L437" i="13"/>
  <c r="L431" i="13"/>
  <c r="J24" i="13"/>
  <c r="N24" i="13"/>
  <c r="O24" i="13" s="1"/>
  <c r="L420" i="13"/>
  <c r="L435" i="13"/>
  <c r="L376" i="13"/>
  <c r="N13" i="13"/>
  <c r="O13" i="13" s="1"/>
  <c r="J13" i="13"/>
  <c r="L461" i="13"/>
  <c r="L446" i="13"/>
  <c r="J137" i="13"/>
  <c r="N137" i="13"/>
  <c r="O137" i="13" s="1"/>
  <c r="L474" i="13"/>
  <c r="J56" i="13"/>
  <c r="N56" i="13"/>
  <c r="O56" i="13" s="1"/>
  <c r="L411" i="13"/>
  <c r="J44" i="13"/>
  <c r="N44" i="13"/>
  <c r="O44" i="13" s="1"/>
  <c r="L383" i="13"/>
  <c r="J51" i="13"/>
  <c r="N51" i="13"/>
  <c r="O51" i="13" s="1"/>
  <c r="N338" i="13"/>
  <c r="O338" i="13" s="1"/>
  <c r="J338" i="13"/>
  <c r="L439" i="13"/>
  <c r="L361" i="13"/>
  <c r="N313" i="13"/>
  <c r="O313" i="13" s="1"/>
  <c r="J313" i="13"/>
  <c r="N30" i="13"/>
  <c r="O30" i="13" s="1"/>
  <c r="J30" i="13"/>
  <c r="L385" i="13"/>
  <c r="L454" i="13"/>
  <c r="N329" i="13"/>
  <c r="O329" i="13" s="1"/>
  <c r="J329" i="13"/>
  <c r="L434" i="13"/>
  <c r="L372" i="13"/>
  <c r="M372" i="13" s="1"/>
  <c r="N148" i="13"/>
  <c r="O148" i="13" s="1"/>
  <c r="J148" i="13"/>
  <c r="N18" i="13"/>
  <c r="O18" i="13" s="1"/>
  <c r="J18" i="13"/>
  <c r="L457" i="13"/>
  <c r="L433" i="13"/>
  <c r="L357" i="13"/>
  <c r="N284" i="13"/>
  <c r="O284" i="13" s="1"/>
  <c r="J284" i="13"/>
  <c r="L432" i="13"/>
  <c r="N17" i="13"/>
  <c r="O17" i="13" s="1"/>
  <c r="J17" i="13"/>
  <c r="L406" i="13"/>
  <c r="N46" i="13"/>
  <c r="O46" i="13" s="1"/>
  <c r="J46" i="13"/>
  <c r="L440" i="13"/>
  <c r="L364" i="13"/>
  <c r="L365" i="13"/>
  <c r="N38" i="13"/>
  <c r="O38" i="13" s="1"/>
  <c r="J38" i="13"/>
  <c r="J11" i="13"/>
  <c r="N11" i="13"/>
  <c r="O11" i="13" s="1"/>
  <c r="L409" i="13"/>
  <c r="L359" i="13"/>
  <c r="N330" i="13"/>
  <c r="O330" i="13" s="1"/>
  <c r="J330" i="13"/>
  <c r="L467" i="13"/>
  <c r="L395" i="13"/>
  <c r="J221" i="13"/>
  <c r="N221" i="13"/>
  <c r="O221" i="13" s="1"/>
  <c r="L413" i="13"/>
  <c r="L407" i="13"/>
  <c r="L404" i="13"/>
  <c r="J19" i="13"/>
  <c r="N19" i="13"/>
  <c r="O19" i="13" s="1"/>
  <c r="L425" i="13"/>
  <c r="L387" i="13"/>
  <c r="N9" i="13"/>
  <c r="O9" i="13" s="1"/>
  <c r="J9" i="13"/>
  <c r="L444" i="13"/>
  <c r="L412" i="13"/>
  <c r="L449" i="13"/>
  <c r="L370" i="13"/>
  <c r="L362" i="13"/>
  <c r="L423" i="13"/>
  <c r="J345" i="13"/>
  <c r="N345" i="13"/>
  <c r="O345" i="13" s="1"/>
  <c r="N25" i="13"/>
  <c r="O25" i="13" s="1"/>
  <c r="J25" i="13"/>
  <c r="L408" i="13"/>
  <c r="J55" i="13"/>
  <c r="N55" i="13"/>
  <c r="O55" i="13" s="1"/>
  <c r="L405" i="13"/>
  <c r="L427" i="13"/>
  <c r="L443" i="13"/>
  <c r="L473" i="13"/>
  <c r="L402" i="13"/>
  <c r="L459" i="13"/>
  <c r="L367" i="13"/>
  <c r="N49" i="13"/>
  <c r="O49" i="13" s="1"/>
  <c r="J49" i="13"/>
  <c r="J222" i="13"/>
  <c r="N222" i="13"/>
  <c r="O222" i="13" s="1"/>
  <c r="L397" i="13"/>
  <c r="L448" i="13"/>
  <c r="N57" i="13"/>
  <c r="O57" i="13" s="1"/>
  <c r="J57" i="13"/>
  <c r="N342" i="13"/>
  <c r="O342" i="13" s="1"/>
  <c r="J342" i="13"/>
  <c r="N314" i="13"/>
  <c r="O314" i="13" s="1"/>
  <c r="J314" i="13"/>
  <c r="L353" i="13"/>
  <c r="L386" i="13"/>
  <c r="L374" i="13"/>
  <c r="L375" i="13"/>
  <c r="N191" i="13"/>
  <c r="O191" i="13" s="1"/>
  <c r="J191" i="13"/>
  <c r="J270" i="13"/>
  <c r="N270" i="13"/>
  <c r="O270" i="13" s="1"/>
  <c r="N21" i="13"/>
  <c r="O21" i="13" s="1"/>
  <c r="J21" i="13"/>
  <c r="L419" i="13"/>
  <c r="L388" i="13"/>
  <c r="L465" i="13"/>
  <c r="L363" i="13"/>
  <c r="J316" i="13"/>
  <c r="N316" i="13"/>
  <c r="O316" i="13" s="1"/>
  <c r="J48" i="13"/>
  <c r="N48" i="13"/>
  <c r="O48" i="13" s="1"/>
  <c r="L378" i="13"/>
  <c r="L399" i="13"/>
  <c r="L360" i="13"/>
  <c r="N50" i="13"/>
  <c r="O50" i="13" s="1"/>
  <c r="J50" i="13"/>
  <c r="L401" i="13"/>
  <c r="L392" i="13"/>
  <c r="N53" i="13"/>
  <c r="O53" i="13" s="1"/>
  <c r="J53" i="13"/>
  <c r="L452" i="13"/>
  <c r="L371" i="13"/>
  <c r="L380" i="13"/>
  <c r="L368" i="13"/>
  <c r="N350" i="13"/>
  <c r="O350" i="13" s="1"/>
  <c r="J350" i="13"/>
  <c r="N108" i="13"/>
  <c r="O108" i="13" s="1"/>
  <c r="J108" i="13"/>
  <c r="L381" i="13"/>
  <c r="L462" i="13"/>
  <c r="L428" i="13"/>
  <c r="J15" i="13"/>
  <c r="N15" i="13"/>
  <c r="O15" i="13" s="1"/>
  <c r="L356" i="13"/>
  <c r="N41" i="13"/>
  <c r="O41" i="13" s="1"/>
  <c r="J41" i="13"/>
  <c r="L468" i="13"/>
  <c r="L384" i="13"/>
  <c r="L442" i="13"/>
  <c r="M442" i="13" s="1"/>
  <c r="J40" i="13"/>
  <c r="N40" i="13"/>
  <c r="O40" i="13" s="1"/>
  <c r="L426" i="13"/>
  <c r="L393" i="13"/>
  <c r="L382" i="13"/>
  <c r="J146" i="13"/>
  <c r="N146" i="13"/>
  <c r="O146" i="13" s="1"/>
  <c r="M394" i="13"/>
  <c r="L453" i="13"/>
  <c r="N333" i="13"/>
  <c r="O333" i="13" s="1"/>
  <c r="J333" i="13"/>
  <c r="L471" i="13"/>
  <c r="N54" i="13"/>
  <c r="O54" i="13" s="1"/>
  <c r="J54" i="13"/>
  <c r="L441" i="13"/>
  <c r="L447" i="13"/>
  <c r="L390" i="13"/>
  <c r="L398" i="13"/>
  <c r="L424" i="13"/>
  <c r="L369" i="13"/>
  <c r="N347" i="13"/>
  <c r="O347" i="13" s="1"/>
  <c r="J347" i="13"/>
  <c r="L445" i="13"/>
  <c r="L450" i="13"/>
  <c r="L373" i="13"/>
  <c r="L472" i="13"/>
  <c r="L403" i="13"/>
  <c r="J39" i="13"/>
  <c r="N39" i="13"/>
  <c r="O39" i="13" s="1"/>
  <c r="L400" i="13"/>
  <c r="L451" i="13"/>
  <c r="N42" i="13"/>
  <c r="O42" i="13" s="1"/>
  <c r="J42" i="13"/>
  <c r="L410" i="13"/>
  <c r="J320" i="13"/>
  <c r="N320" i="13"/>
  <c r="O320" i="13" s="1"/>
  <c r="L366" i="13"/>
  <c r="L396" i="13"/>
  <c r="J8" i="13"/>
  <c r="N8" i="13"/>
  <c r="O8" i="13" s="1"/>
  <c r="L415" i="13"/>
  <c r="N34" i="13"/>
  <c r="O34" i="13" s="1"/>
  <c r="J34" i="13"/>
  <c r="L466" i="13"/>
  <c r="N45" i="13"/>
  <c r="O45" i="13" s="1"/>
  <c r="J45" i="13"/>
  <c r="L436" i="13"/>
  <c r="N297" i="13"/>
  <c r="O297" i="13" s="1"/>
  <c r="J297" i="13"/>
  <c r="M390" i="13" l="1"/>
  <c r="M395" i="13"/>
  <c r="M378" i="13"/>
  <c r="M427" i="13"/>
  <c r="M446" i="13"/>
  <c r="M380" i="13"/>
  <c r="M452" i="13"/>
  <c r="M473" i="13"/>
  <c r="M408" i="13"/>
  <c r="M461" i="13"/>
  <c r="M371" i="13"/>
  <c r="M419" i="13"/>
  <c r="M397" i="13"/>
  <c r="M404" i="13"/>
  <c r="M433" i="13"/>
  <c r="M431" i="13"/>
  <c r="M358" i="13"/>
  <c r="M403" i="13"/>
  <c r="M360" i="13"/>
  <c r="M465" i="13"/>
  <c r="M425" i="13"/>
  <c r="M391" i="13"/>
  <c r="M460" i="13"/>
  <c r="M445" i="13"/>
  <c r="M393" i="13"/>
  <c r="M386" i="13"/>
  <c r="M448" i="13"/>
  <c r="M443" i="13"/>
  <c r="M405" i="13"/>
  <c r="M467" i="13"/>
  <c r="M357" i="13"/>
  <c r="M434" i="13"/>
  <c r="M383" i="13"/>
  <c r="M411" i="13"/>
  <c r="M435" i="13"/>
  <c r="M415" i="13"/>
  <c r="M400" i="13"/>
  <c r="M471" i="13"/>
  <c r="M462" i="13"/>
  <c r="M363" i="13"/>
  <c r="M367" i="13"/>
  <c r="M449" i="13"/>
  <c r="M387" i="13"/>
  <c r="M396" i="13"/>
  <c r="M451" i="13"/>
  <c r="M369" i="13"/>
  <c r="M398" i="13"/>
  <c r="M447" i="13"/>
  <c r="M453" i="13"/>
  <c r="M356" i="13"/>
  <c r="M392" i="13"/>
  <c r="M375" i="13"/>
  <c r="M459" i="13"/>
  <c r="M362" i="13"/>
  <c r="M444" i="13"/>
  <c r="M413" i="13"/>
  <c r="M359" i="13"/>
  <c r="M364" i="13"/>
  <c r="M432" i="13"/>
  <c r="M457" i="13"/>
  <c r="M454" i="13"/>
  <c r="M439" i="13"/>
  <c r="J31" i="13"/>
  <c r="N31" i="13"/>
  <c r="O31" i="13" s="1"/>
  <c r="M436" i="13"/>
  <c r="M472" i="13"/>
  <c r="M450" i="13"/>
  <c r="M384" i="13"/>
  <c r="M428" i="13"/>
  <c r="M381" i="13"/>
  <c r="M368" i="13"/>
  <c r="M399" i="13"/>
  <c r="M437" i="13"/>
  <c r="M464" i="13"/>
  <c r="M466" i="13"/>
  <c r="M366" i="13"/>
  <c r="M410" i="13"/>
  <c r="M373" i="13"/>
  <c r="M424" i="13"/>
  <c r="M441" i="13"/>
  <c r="M382" i="13"/>
  <c r="M426" i="13"/>
  <c r="M468" i="13"/>
  <c r="M401" i="13"/>
  <c r="M388" i="13"/>
  <c r="M374" i="13"/>
  <c r="M353" i="13"/>
  <c r="M402" i="13"/>
  <c r="M423" i="13"/>
  <c r="M370" i="13"/>
  <c r="M412" i="13"/>
  <c r="M407" i="13"/>
  <c r="M409" i="13"/>
  <c r="M365" i="13"/>
  <c r="M440" i="13"/>
  <c r="M406" i="13"/>
  <c r="M385" i="13"/>
  <c r="M361" i="13"/>
  <c r="M474" i="13"/>
  <c r="M376" i="13"/>
  <c r="M420" i="13"/>
  <c r="M470" i="13" l="1"/>
  <c r="M469" i="13" s="1"/>
  <c r="N77" i="13"/>
  <c r="O77" i="13" s="1"/>
  <c r="J77" i="13"/>
  <c r="N259" i="13"/>
  <c r="O259" i="13" s="1"/>
  <c r="J259" i="13"/>
  <c r="N115" i="13"/>
  <c r="O115" i="13" s="1"/>
  <c r="J115" i="13"/>
  <c r="N276" i="13"/>
  <c r="O276" i="13" s="1"/>
  <c r="J276" i="13"/>
  <c r="N275" i="13"/>
  <c r="O275" i="13" s="1"/>
  <c r="J275" i="13"/>
  <c r="J106" i="13"/>
  <c r="N106" i="13"/>
  <c r="O106" i="13" s="1"/>
  <c r="N220" i="13"/>
  <c r="O220" i="13" s="1"/>
  <c r="J220" i="13"/>
  <c r="J217" i="13" s="1"/>
  <c r="N304" i="13"/>
  <c r="O304" i="13" s="1"/>
  <c r="J304" i="13"/>
  <c r="N271" i="13"/>
  <c r="O271" i="13" s="1"/>
  <c r="J271" i="13"/>
  <c r="J261" i="13"/>
  <c r="N261" i="13"/>
  <c r="O261" i="13" s="1"/>
  <c r="N152" i="13"/>
  <c r="O152" i="13" s="1"/>
  <c r="J152" i="13"/>
  <c r="J254" i="13"/>
  <c r="N254" i="13"/>
  <c r="O254" i="13" s="1"/>
  <c r="J238" i="13"/>
  <c r="N238" i="13"/>
  <c r="O238" i="13" s="1"/>
  <c r="J277" i="13"/>
  <c r="N277" i="13"/>
  <c r="O277" i="13" s="1"/>
  <c r="J302" i="13"/>
  <c r="N302" i="13"/>
  <c r="O302" i="13" s="1"/>
  <c r="N305" i="13"/>
  <c r="O305" i="13" s="1"/>
  <c r="J305" i="13"/>
  <c r="J76" i="13"/>
  <c r="N76" i="13"/>
  <c r="O76" i="13" s="1"/>
  <c r="N240" i="13"/>
  <c r="O240" i="13" s="1"/>
  <c r="J240" i="13"/>
  <c r="J298" i="13"/>
  <c r="N298" i="13"/>
  <c r="O298" i="13" s="1"/>
  <c r="N195" i="13"/>
  <c r="O195" i="13" s="1"/>
  <c r="J195" i="13"/>
  <c r="N104" i="13"/>
  <c r="O104" i="13" s="1"/>
  <c r="J104" i="13"/>
  <c r="J273" i="13"/>
  <c r="N273" i="13"/>
  <c r="O273" i="13" s="1"/>
  <c r="J186" i="13"/>
  <c r="N186" i="13"/>
  <c r="O186" i="13" s="1"/>
  <c r="J299" i="13"/>
  <c r="N299" i="13"/>
  <c r="O299" i="13" s="1"/>
  <c r="N280" i="13"/>
  <c r="O280" i="13" s="1"/>
  <c r="J280" i="13"/>
  <c r="N132" i="13"/>
  <c r="O132" i="13" s="1"/>
  <c r="J132" i="13"/>
  <c r="J173" i="13"/>
  <c r="N173" i="13"/>
  <c r="O173" i="13" s="1"/>
  <c r="M351" i="13"/>
  <c r="M352" i="13"/>
  <c r="J285" i="13"/>
  <c r="N285" i="13"/>
  <c r="O285" i="13" s="1"/>
  <c r="N260" i="13"/>
  <c r="O260" i="13" s="1"/>
  <c r="J260" i="13"/>
  <c r="J266" i="13"/>
  <c r="N266" i="13"/>
  <c r="O266" i="13" s="1"/>
  <c r="J241" i="13"/>
  <c r="N241" i="13"/>
  <c r="O241" i="13" s="1"/>
  <c r="J294" i="13"/>
  <c r="N294" i="13"/>
  <c r="O294" i="13" s="1"/>
  <c r="N107" i="13"/>
  <c r="O107" i="13" s="1"/>
  <c r="J107" i="13"/>
  <c r="N272" i="13"/>
  <c r="O272" i="13" s="1"/>
  <c r="J272" i="13"/>
  <c r="J258" i="13"/>
  <c r="N258" i="13"/>
  <c r="O258" i="13" s="1"/>
  <c r="J110" i="13"/>
  <c r="N110" i="13"/>
  <c r="O110" i="13" s="1"/>
  <c r="J303" i="13"/>
  <c r="N303" i="13"/>
  <c r="O303" i="13" s="1"/>
  <c r="N289" i="13"/>
  <c r="O289" i="13" s="1"/>
  <c r="J289" i="13"/>
  <c r="J291" i="13"/>
  <c r="N291" i="13"/>
  <c r="O291" i="13" s="1"/>
  <c r="N236" i="13"/>
  <c r="O236" i="13" s="1"/>
  <c r="J236" i="13"/>
  <c r="N215" i="13"/>
  <c r="O215" i="13" s="1"/>
  <c r="J215" i="13"/>
  <c r="N116" i="13"/>
  <c r="O116" i="13" s="1"/>
  <c r="J116" i="13"/>
  <c r="N264" i="13"/>
  <c r="O264" i="13" s="1"/>
  <c r="J264" i="13"/>
  <c r="M355" i="13"/>
  <c r="J269" i="13"/>
  <c r="N269" i="13"/>
  <c r="O269" i="13" s="1"/>
  <c r="N301" i="13"/>
  <c r="O301" i="13" s="1"/>
  <c r="J301" i="13"/>
  <c r="N288" i="13"/>
  <c r="O288" i="13" s="1"/>
  <c r="J288" i="13"/>
  <c r="J295" i="13"/>
  <c r="N295" i="13"/>
  <c r="O295" i="13" s="1"/>
  <c r="N300" i="13"/>
  <c r="O300" i="13" s="1"/>
  <c r="J300" i="13"/>
  <c r="N200" i="13"/>
  <c r="O200" i="13" s="1"/>
  <c r="J200" i="13"/>
  <c r="N224" i="13"/>
  <c r="O224" i="13" s="1"/>
  <c r="J224" i="13"/>
  <c r="N293" i="13"/>
  <c r="O293" i="13" s="1"/>
  <c r="J293" i="13"/>
  <c r="J226" i="13"/>
  <c r="N226" i="13"/>
  <c r="O226" i="13" s="1"/>
  <c r="N296" i="13"/>
  <c r="O296" i="13" s="1"/>
  <c r="J296" i="13"/>
  <c r="J287" i="13"/>
  <c r="N287" i="13"/>
  <c r="O287" i="13" s="1"/>
  <c r="N292" i="13"/>
  <c r="O292" i="13" s="1"/>
  <c r="J292" i="13"/>
  <c r="N256" i="13"/>
  <c r="O256" i="13" s="1"/>
  <c r="J256" i="13"/>
  <c r="O217" i="13" l="1"/>
  <c r="J170" i="13"/>
  <c r="N170" i="13"/>
  <c r="O170" i="13" s="1"/>
  <c r="N80" i="13"/>
  <c r="O80" i="13" s="1"/>
  <c r="J80" i="13"/>
  <c r="N143" i="13"/>
  <c r="O143" i="13" s="1"/>
  <c r="J143" i="13"/>
  <c r="J82" i="13"/>
  <c r="N82" i="13"/>
  <c r="O82" i="13" s="1"/>
  <c r="N119" i="13"/>
  <c r="O119" i="13" s="1"/>
  <c r="J119" i="13"/>
  <c r="N131" i="13"/>
  <c r="O131" i="13" s="1"/>
  <c r="J131" i="13"/>
  <c r="N263" i="13"/>
  <c r="O263" i="13" s="1"/>
  <c r="J263" i="13"/>
  <c r="J72" i="13"/>
  <c r="N72" i="13"/>
  <c r="O72" i="13" s="1"/>
  <c r="J121" i="13"/>
  <c r="N121" i="13"/>
  <c r="O121" i="13" s="1"/>
  <c r="J113" i="13"/>
  <c r="N113" i="13"/>
  <c r="O113" i="13" s="1"/>
  <c r="N213" i="13"/>
  <c r="O213" i="13" s="1"/>
  <c r="J213" i="13"/>
  <c r="J122" i="13"/>
  <c r="N122" i="13"/>
  <c r="O122" i="13" s="1"/>
  <c r="N96" i="13"/>
  <c r="O96" i="13" s="1"/>
  <c r="J96" i="13"/>
  <c r="N247" i="13"/>
  <c r="O247" i="13" s="1"/>
  <c r="J247" i="13"/>
  <c r="N83" i="13"/>
  <c r="O83" i="13" s="1"/>
  <c r="J83" i="13"/>
  <c r="J90" i="13"/>
  <c r="N90" i="13"/>
  <c r="O90" i="13" s="1"/>
  <c r="N168" i="13"/>
  <c r="O168" i="13" s="1"/>
  <c r="J168" i="13"/>
  <c r="N87" i="13"/>
  <c r="O87" i="13" s="1"/>
  <c r="J87" i="13"/>
  <c r="N91" i="13"/>
  <c r="O91" i="13" s="1"/>
  <c r="J91" i="13"/>
  <c r="J249" i="13"/>
  <c r="N249" i="13"/>
  <c r="O249" i="13" s="1"/>
  <c r="J214" i="13"/>
  <c r="N214" i="13"/>
  <c r="O214" i="13" s="1"/>
  <c r="J93" i="13"/>
  <c r="N93" i="13"/>
  <c r="O93" i="13" s="1"/>
  <c r="N147" i="13"/>
  <c r="O147" i="13" s="1"/>
  <c r="J147" i="13"/>
  <c r="J190" i="13"/>
  <c r="N190" i="13"/>
  <c r="O190" i="13" s="1"/>
  <c r="J138" i="13"/>
  <c r="N138" i="13"/>
  <c r="O138" i="13" s="1"/>
  <c r="J130" i="13"/>
  <c r="N130" i="13"/>
  <c r="O130" i="13" s="1"/>
  <c r="N144" i="13"/>
  <c r="O144" i="13" s="1"/>
  <c r="J144" i="13"/>
  <c r="N92" i="13"/>
  <c r="O92" i="13" s="1"/>
  <c r="J92" i="13"/>
  <c r="J169" i="13"/>
  <c r="N169" i="13"/>
  <c r="O169" i="13" s="1"/>
  <c r="N100" i="13" l="1"/>
  <c r="O100" i="13" s="1"/>
  <c r="J100" i="13"/>
  <c r="J246" i="13"/>
  <c r="N246" i="13"/>
  <c r="O246" i="13" s="1"/>
  <c r="N123" i="13"/>
  <c r="O123" i="13" s="1"/>
  <c r="J123" i="13"/>
  <c r="N211" i="13"/>
  <c r="O211" i="13" s="1"/>
  <c r="J211" i="13"/>
  <c r="J265" i="13"/>
  <c r="N265" i="13"/>
  <c r="O265" i="13" s="1"/>
  <c r="N175" i="13"/>
  <c r="O175" i="13" s="1"/>
  <c r="J175" i="13"/>
  <c r="N227" i="13"/>
  <c r="O227" i="13" s="1"/>
  <c r="J227" i="13"/>
  <c r="N103" i="13"/>
  <c r="O103" i="13" s="1"/>
  <c r="J103" i="13"/>
  <c r="J150" i="13"/>
  <c r="N150" i="13"/>
  <c r="O150" i="13" s="1"/>
  <c r="N231" i="13"/>
  <c r="O231" i="13" s="1"/>
  <c r="J231" i="13"/>
  <c r="J71" i="13"/>
  <c r="N71" i="13"/>
  <c r="O71" i="13" s="1"/>
  <c r="J86" i="13"/>
  <c r="N86" i="13"/>
  <c r="O86" i="13" s="1"/>
  <c r="J89" i="13"/>
  <c r="N89" i="13"/>
  <c r="O89" i="13" s="1"/>
  <c r="N127" i="13"/>
  <c r="O127" i="13" s="1"/>
  <c r="J127" i="13"/>
  <c r="J145" i="13"/>
  <c r="N145" i="13"/>
  <c r="O145" i="13" s="1"/>
  <c r="J230" i="13"/>
  <c r="N230" i="13"/>
  <c r="O230" i="13" s="1"/>
  <c r="N179" i="13"/>
  <c r="O179" i="13" s="1"/>
  <c r="J179" i="13"/>
  <c r="N99" i="13"/>
  <c r="O99" i="13" s="1"/>
  <c r="J99" i="13"/>
  <c r="N37" i="13"/>
  <c r="O37" i="13" s="1"/>
  <c r="J37" i="13"/>
  <c r="J178" i="13"/>
  <c r="N178" i="13"/>
  <c r="O178" i="13" s="1"/>
  <c r="J311" i="13"/>
  <c r="N311" i="13"/>
  <c r="O311" i="13" s="1"/>
  <c r="J349" i="13"/>
  <c r="N349" i="13"/>
  <c r="O349" i="13" s="1"/>
  <c r="J149" i="13"/>
  <c r="N149" i="13"/>
  <c r="O149" i="13" s="1"/>
  <c r="J174" i="13"/>
  <c r="N174" i="13"/>
  <c r="O174" i="13" s="1"/>
  <c r="J315" i="13"/>
  <c r="N315" i="13"/>
  <c r="O315" i="13" s="1"/>
  <c r="N244" i="13"/>
  <c r="O244" i="13" s="1"/>
  <c r="J244" i="13"/>
  <c r="N243" i="13"/>
  <c r="O243" i="13" s="1"/>
  <c r="J243" i="13"/>
  <c r="N139" i="13"/>
  <c r="O139" i="13" s="1"/>
  <c r="J139" i="13"/>
  <c r="J194" i="13"/>
  <c r="N194" i="13"/>
  <c r="O194" i="13" s="1"/>
  <c r="J286" i="13"/>
  <c r="N286" i="13"/>
  <c r="O286" i="13" s="1"/>
  <c r="N155" i="13"/>
  <c r="O155" i="13" s="1"/>
  <c r="J155" i="13"/>
  <c r="J142" i="13"/>
  <c r="N142" i="13"/>
  <c r="O142" i="13" s="1"/>
  <c r="N318" i="13"/>
  <c r="O318" i="13" s="1"/>
  <c r="J318" i="13"/>
  <c r="J344" i="13"/>
  <c r="N344" i="13"/>
  <c r="O344" i="13" s="1"/>
  <c r="J81" i="13"/>
  <c r="N81" i="13"/>
  <c r="O81" i="13" s="1"/>
  <c r="J153" i="13"/>
  <c r="N153" i="13"/>
  <c r="O153" i="13" s="1"/>
  <c r="J129" i="13"/>
  <c r="N129" i="13"/>
  <c r="O129" i="13" s="1"/>
  <c r="J125" i="13"/>
  <c r="N125" i="13"/>
  <c r="O125" i="13" s="1"/>
  <c r="J166" i="13"/>
  <c r="N166" i="13"/>
  <c r="O166" i="13" s="1"/>
  <c r="N88" i="13"/>
  <c r="O88" i="13" s="1"/>
  <c r="J88" i="13"/>
  <c r="N216" i="13"/>
  <c r="O216" i="13" s="1"/>
  <c r="J216" i="13"/>
  <c r="J245" i="13"/>
  <c r="N245" i="13"/>
  <c r="O245" i="13" s="1"/>
  <c r="N187" i="13"/>
  <c r="O187" i="13" s="1"/>
  <c r="J187" i="13"/>
  <c r="J319" i="13"/>
  <c r="N319" i="13"/>
  <c r="O319" i="13" s="1"/>
  <c r="J209" i="13"/>
  <c r="N209" i="13"/>
  <c r="O209" i="13" s="1"/>
  <c r="N267" i="13"/>
  <c r="O267" i="13" s="1"/>
  <c r="J267" i="13"/>
  <c r="N66" i="13"/>
  <c r="O66" i="13" s="1"/>
  <c r="J66" i="13"/>
  <c r="N176" i="13"/>
  <c r="O176" i="13" s="1"/>
  <c r="J176" i="13"/>
  <c r="N120" i="13"/>
  <c r="O120" i="13" s="1"/>
  <c r="J120" i="13"/>
  <c r="N95" i="13"/>
  <c r="O95" i="13" s="1"/>
  <c r="J95" i="13"/>
  <c r="N112" i="13"/>
  <c r="O112" i="13" s="1"/>
  <c r="J112" i="13"/>
  <c r="J257" i="13"/>
  <c r="N257" i="13"/>
  <c r="O257" i="13" s="1"/>
  <c r="J141" i="13"/>
  <c r="N141" i="13"/>
  <c r="O141" i="13" s="1"/>
  <c r="N74" i="13"/>
  <c r="O74" i="13" s="1"/>
  <c r="J74" i="13"/>
  <c r="N208" i="13"/>
  <c r="O208" i="13" s="1"/>
  <c r="J208" i="13"/>
  <c r="J109" i="13"/>
  <c r="N109" i="13"/>
  <c r="O109" i="13" s="1"/>
  <c r="J165" i="13"/>
  <c r="N165" i="13"/>
  <c r="O165" i="13" s="1"/>
  <c r="J85" i="13"/>
  <c r="N85" i="13"/>
  <c r="O85" i="13" s="1"/>
  <c r="J197" i="13"/>
  <c r="N197" i="13"/>
  <c r="O197" i="13" s="1"/>
  <c r="N322" i="13"/>
  <c r="O322" i="13" s="1"/>
  <c r="J322" i="13"/>
  <c r="L463" i="13"/>
  <c r="N199" i="13"/>
  <c r="O199" i="13" s="1"/>
  <c r="J199" i="13"/>
  <c r="J154" i="13"/>
  <c r="N154" i="13"/>
  <c r="O154" i="13" s="1"/>
  <c r="N84" i="13"/>
  <c r="O84" i="13" s="1"/>
  <c r="J84" i="13"/>
  <c r="J206" i="13"/>
  <c r="N206" i="13"/>
  <c r="O206" i="13" s="1"/>
  <c r="N140" i="13"/>
  <c r="O140" i="13" s="1"/>
  <c r="J140" i="13"/>
  <c r="N207" i="13"/>
  <c r="O207" i="13" s="1"/>
  <c r="J207" i="13"/>
  <c r="J290" i="13"/>
  <c r="N290" i="13"/>
  <c r="O290" i="13" s="1"/>
  <c r="N79" i="13"/>
  <c r="O79" i="13" s="1"/>
  <c r="J79" i="13"/>
  <c r="J193" i="13"/>
  <c r="N193" i="13"/>
  <c r="O193" i="13" s="1"/>
  <c r="N73" i="13"/>
  <c r="O73" i="13" s="1"/>
  <c r="J73" i="13"/>
  <c r="J118" i="13"/>
  <c r="N118" i="13"/>
  <c r="O118" i="13" s="1"/>
  <c r="J28" i="13" l="1"/>
  <c r="N28" i="13"/>
  <c r="O28" i="13" s="1"/>
  <c r="J59" i="13"/>
  <c r="N59" i="13"/>
  <c r="O59" i="13" s="1"/>
  <c r="L379" i="13"/>
  <c r="J64" i="13"/>
  <c r="N64" i="13"/>
  <c r="O64" i="13" s="1"/>
  <c r="N279" i="13"/>
  <c r="O279" i="13" s="1"/>
  <c r="J279" i="13"/>
  <c r="J181" i="13"/>
  <c r="N181" i="13"/>
  <c r="O181" i="13" s="1"/>
  <c r="N172" i="13"/>
  <c r="O172" i="13" s="1"/>
  <c r="J172" i="13"/>
  <c r="J339" i="13"/>
  <c r="N339" i="13"/>
  <c r="O339" i="13" s="1"/>
  <c r="J75" i="13"/>
  <c r="N75" i="13"/>
  <c r="O75" i="13" s="1"/>
  <c r="J182" i="13"/>
  <c r="N182" i="13"/>
  <c r="O182" i="13" s="1"/>
  <c r="J336" i="13"/>
  <c r="N336" i="13"/>
  <c r="O336" i="13" s="1"/>
  <c r="N160" i="13"/>
  <c r="O160" i="13" s="1"/>
  <c r="J160" i="13"/>
  <c r="N135" i="13"/>
  <c r="O135" i="13" s="1"/>
  <c r="J135" i="13"/>
  <c r="J282" i="13"/>
  <c r="N282" i="13"/>
  <c r="O282" i="13" s="1"/>
  <c r="N203" i="13"/>
  <c r="O203" i="13" s="1"/>
  <c r="J203" i="13"/>
  <c r="J331" i="13"/>
  <c r="N331" i="13"/>
  <c r="O331" i="13" s="1"/>
  <c r="N239" i="13"/>
  <c r="O239" i="13" s="1"/>
  <c r="J239" i="13"/>
  <c r="J332" i="13"/>
  <c r="N332" i="13"/>
  <c r="O332" i="13" s="1"/>
  <c r="L438" i="13"/>
  <c r="J312" i="13"/>
  <c r="N312" i="13"/>
  <c r="O312" i="13" s="1"/>
  <c r="N283" i="13"/>
  <c r="O283" i="13" s="1"/>
  <c r="J283" i="13"/>
  <c r="N10" i="13"/>
  <c r="O10" i="13" s="1"/>
  <c r="J10" i="13"/>
  <c r="N252" i="13"/>
  <c r="O252" i="13" s="1"/>
  <c r="J252" i="13"/>
  <c r="N167" i="13"/>
  <c r="O167" i="13" s="1"/>
  <c r="J167" i="13"/>
  <c r="L422" i="13"/>
  <c r="J343" i="13"/>
  <c r="N343" i="13"/>
  <c r="O343" i="13" s="1"/>
  <c r="L389" i="13"/>
  <c r="J340" i="13"/>
  <c r="N340" i="13"/>
  <c r="O340" i="13" s="1"/>
  <c r="J20" i="13"/>
  <c r="N20" i="13"/>
  <c r="O20" i="13" s="1"/>
  <c r="J198" i="13"/>
  <c r="N198" i="13"/>
  <c r="O198" i="13" s="1"/>
  <c r="J281" i="13"/>
  <c r="N281" i="13"/>
  <c r="O281" i="13" s="1"/>
  <c r="N309" i="13"/>
  <c r="O309" i="13" s="1"/>
  <c r="J309" i="13"/>
  <c r="J328" i="13"/>
  <c r="N328" i="13"/>
  <c r="O328" i="13" s="1"/>
  <c r="J237" i="13"/>
  <c r="N237" i="13"/>
  <c r="O237" i="13" s="1"/>
  <c r="N232" i="13"/>
  <c r="O232" i="13" s="1"/>
  <c r="J232" i="13"/>
  <c r="N204" i="13"/>
  <c r="O204" i="13" s="1"/>
  <c r="J204" i="13"/>
  <c r="N58" i="13"/>
  <c r="O58" i="13" s="1"/>
  <c r="J58" i="13"/>
  <c r="J335" i="13"/>
  <c r="N335" i="13"/>
  <c r="O335" i="13" s="1"/>
  <c r="N124" i="13"/>
  <c r="O124" i="13" s="1"/>
  <c r="J124" i="13"/>
  <c r="J117" i="13" s="1"/>
  <c r="N212" i="13"/>
  <c r="O212" i="13" s="1"/>
  <c r="J212" i="13"/>
  <c r="J102" i="13"/>
  <c r="J101" i="13" s="1"/>
  <c r="N102" i="13"/>
  <c r="O102" i="13" s="1"/>
  <c r="J94" i="13"/>
  <c r="N94" i="13"/>
  <c r="O94" i="13" s="1"/>
  <c r="J323" i="13"/>
  <c r="N323" i="13"/>
  <c r="O323" i="13" s="1"/>
  <c r="J23" i="13"/>
  <c r="N23" i="13"/>
  <c r="O23" i="13" s="1"/>
  <c r="N248" i="13"/>
  <c r="O248" i="13" s="1"/>
  <c r="J248" i="13"/>
  <c r="J242" i="13" s="1"/>
  <c r="L429" i="13"/>
  <c r="N346" i="13"/>
  <c r="O346" i="13" s="1"/>
  <c r="J346" i="13"/>
  <c r="L430" i="13"/>
  <c r="J68" i="13"/>
  <c r="N68" i="13"/>
  <c r="O68" i="13" s="1"/>
  <c r="M463" i="13"/>
  <c r="N268" i="13"/>
  <c r="O268" i="13" s="1"/>
  <c r="J268" i="13"/>
  <c r="N321" i="13"/>
  <c r="O321" i="13" s="1"/>
  <c r="J321" i="13"/>
  <c r="J234" i="13"/>
  <c r="N234" i="13"/>
  <c r="O234" i="13" s="1"/>
  <c r="N196" i="13"/>
  <c r="O196" i="13" s="1"/>
  <c r="J196" i="13"/>
  <c r="N317" i="13"/>
  <c r="O317" i="13" s="1"/>
  <c r="J317" i="13"/>
  <c r="L421" i="13"/>
  <c r="J253" i="13"/>
  <c r="N253" i="13"/>
  <c r="O253" i="13" s="1"/>
  <c r="L417" i="13"/>
  <c r="J225" i="13"/>
  <c r="N225" i="13"/>
  <c r="O225" i="13" s="1"/>
  <c r="N128" i="13"/>
  <c r="O128" i="13" s="1"/>
  <c r="J128" i="13"/>
  <c r="N151" i="13"/>
  <c r="O151" i="13" s="1"/>
  <c r="J151" i="13"/>
  <c r="J136" i="13" s="1"/>
  <c r="N251" i="13"/>
  <c r="O251" i="13" s="1"/>
  <c r="J251" i="13"/>
  <c r="N159" i="13"/>
  <c r="O159" i="13" s="1"/>
  <c r="J159" i="13"/>
  <c r="J177" i="13"/>
  <c r="N177" i="13"/>
  <c r="O177" i="13" s="1"/>
  <c r="N235" i="13"/>
  <c r="O235" i="13" s="1"/>
  <c r="J235" i="13"/>
  <c r="J233" i="13"/>
  <c r="N233" i="13"/>
  <c r="O233" i="13" s="1"/>
  <c r="J210" i="13"/>
  <c r="J205" i="13" s="1"/>
  <c r="N210" i="13"/>
  <c r="O210" i="13" s="1"/>
  <c r="J162" i="13"/>
  <c r="N162" i="13"/>
  <c r="O162" i="13" s="1"/>
  <c r="N111" i="13"/>
  <c r="O111" i="13" s="1"/>
  <c r="J111" i="13"/>
  <c r="J105" i="13" s="1"/>
  <c r="J278" i="13"/>
  <c r="N278" i="13"/>
  <c r="O278" i="13" s="1"/>
  <c r="N255" i="13"/>
  <c r="O255" i="13" s="1"/>
  <c r="J255" i="13"/>
  <c r="J78" i="13"/>
  <c r="N78" i="13"/>
  <c r="O78" i="13" s="1"/>
  <c r="J308" i="13"/>
  <c r="N308" i="13"/>
  <c r="O308" i="13" s="1"/>
  <c r="N310" i="13"/>
  <c r="O310" i="13" s="1"/>
  <c r="J310" i="13"/>
  <c r="N337" i="13"/>
  <c r="O337" i="13" s="1"/>
  <c r="J337" i="13"/>
  <c r="N341" i="13"/>
  <c r="O341" i="13" s="1"/>
  <c r="J341" i="13"/>
  <c r="N26" i="13"/>
  <c r="O26" i="13" s="1"/>
  <c r="J26" i="13"/>
  <c r="J32" i="13"/>
  <c r="N32" i="13"/>
  <c r="O32" i="13" s="1"/>
  <c r="L458" i="13"/>
  <c r="L416" i="13"/>
  <c r="J134" i="13"/>
  <c r="N134" i="13"/>
  <c r="O134" i="13" s="1"/>
  <c r="J98" i="13"/>
  <c r="J97" i="13" s="1"/>
  <c r="N98" i="13"/>
  <c r="O98" i="13" s="1"/>
  <c r="J274" i="13"/>
  <c r="N274" i="13"/>
  <c r="O274" i="13" s="1"/>
  <c r="N171" i="13"/>
  <c r="O171" i="13" s="1"/>
  <c r="J171" i="13"/>
  <c r="J348" i="13"/>
  <c r="N348" i="13"/>
  <c r="O348" i="13" s="1"/>
  <c r="N228" i="13"/>
  <c r="O228" i="13" s="1"/>
  <c r="J228" i="13"/>
  <c r="L455" i="13"/>
  <c r="J262" i="13"/>
  <c r="N262" i="13"/>
  <c r="O262" i="13" s="1"/>
  <c r="L456" i="13"/>
  <c r="L414" i="13"/>
  <c r="J133" i="13"/>
  <c r="N133" i="13"/>
  <c r="O133" i="13" s="1"/>
  <c r="J52" i="13"/>
  <c r="N52" i="13"/>
  <c r="O52" i="13" s="1"/>
  <c r="J70" i="13" l="1"/>
  <c r="J164" i="13"/>
  <c r="M429" i="13"/>
  <c r="M456" i="13"/>
  <c r="M417" i="13"/>
  <c r="M458" i="13"/>
  <c r="J229" i="13"/>
  <c r="J126" i="13"/>
  <c r="M389" i="13"/>
  <c r="M422" i="13"/>
  <c r="M379" i="13"/>
  <c r="O136" i="13"/>
  <c r="O70" i="13"/>
  <c r="O242" i="13"/>
  <c r="O126" i="13"/>
  <c r="O101" i="13"/>
  <c r="O97" i="13"/>
  <c r="O105" i="13"/>
  <c r="O205" i="13"/>
  <c r="O223" i="13"/>
  <c r="M416" i="13"/>
  <c r="M421" i="13"/>
  <c r="M438" i="13"/>
  <c r="J27" i="13"/>
  <c r="N27" i="13"/>
  <c r="O27" i="13" s="1"/>
  <c r="M455" i="13"/>
  <c r="J223" i="13"/>
  <c r="M430" i="13"/>
  <c r="O117" i="13"/>
  <c r="O229" i="13"/>
  <c r="O250" i="13"/>
  <c r="M414" i="13"/>
  <c r="J250" i="13"/>
  <c r="O164" i="13"/>
  <c r="M377" i="13" l="1"/>
  <c r="M354" i="13" s="1"/>
  <c r="N29" i="13"/>
  <c r="O29" i="13" s="1"/>
  <c r="J29" i="13"/>
  <c r="J157" i="13" l="1"/>
  <c r="N157" i="13"/>
  <c r="O157" i="13" s="1"/>
  <c r="J35" i="13"/>
  <c r="J7" i="13" s="1"/>
  <c r="N35" i="13"/>
  <c r="O35" i="13" s="1"/>
  <c r="J324" i="13" l="1"/>
  <c r="N324" i="13"/>
  <c r="O324" i="13" s="1"/>
  <c r="N326" i="13"/>
  <c r="O326" i="13" s="1"/>
  <c r="J326" i="13"/>
  <c r="N192" i="13"/>
  <c r="O192" i="13" s="1"/>
  <c r="J192" i="13"/>
  <c r="N325" i="13"/>
  <c r="O325" i="13" s="1"/>
  <c r="J325" i="13"/>
  <c r="J327" i="13"/>
  <c r="N327" i="13"/>
  <c r="O327" i="13" s="1"/>
  <c r="N188" i="13"/>
  <c r="O188" i="13" s="1"/>
  <c r="J188" i="13"/>
  <c r="O7" i="13"/>
  <c r="J161" i="13"/>
  <c r="N161" i="13"/>
  <c r="O161" i="13" s="1"/>
  <c r="O307" i="13" l="1"/>
  <c r="O306" i="13"/>
  <c r="N62" i="13"/>
  <c r="O62" i="13" s="1"/>
  <c r="J62" i="13"/>
  <c r="N61" i="13"/>
  <c r="O61" i="13" s="1"/>
  <c r="J61" i="13"/>
  <c r="J306" i="13"/>
  <c r="J307" i="13"/>
  <c r="N69" i="13"/>
  <c r="O69" i="13" s="1"/>
  <c r="J69" i="13"/>
  <c r="J60" i="13" l="1"/>
  <c r="J36" i="13" s="1"/>
  <c r="N60" i="13"/>
  <c r="O60" i="13" s="1"/>
  <c r="N163" i="13"/>
  <c r="O163" i="13" s="1"/>
  <c r="J163" i="13"/>
  <c r="N184" i="13"/>
  <c r="O184" i="13" s="1"/>
  <c r="J184" i="13"/>
  <c r="J202" i="13"/>
  <c r="N202" i="13"/>
  <c r="O202" i="13" s="1"/>
  <c r="J185" i="13"/>
  <c r="N185" i="13"/>
  <c r="O185" i="13" s="1"/>
  <c r="J158" i="13"/>
  <c r="N158" i="13"/>
  <c r="O158" i="13" s="1"/>
  <c r="J67" i="13"/>
  <c r="N67" i="13"/>
  <c r="O67" i="13" s="1"/>
  <c r="N183" i="13"/>
  <c r="O183" i="13" s="1"/>
  <c r="J183" i="13"/>
  <c r="O156" i="13" l="1"/>
  <c r="O36" i="13"/>
  <c r="O180" i="13"/>
  <c r="J180" i="13"/>
  <c r="N65" i="13"/>
  <c r="O65" i="13" s="1"/>
  <c r="J65" i="13"/>
  <c r="J63" i="13" s="1"/>
  <c r="J156" i="13"/>
  <c r="J201" i="13"/>
  <c r="J189" i="13" s="1"/>
  <c r="N201" i="13"/>
  <c r="O201" i="13" s="1"/>
  <c r="J6" i="13" l="1"/>
  <c r="O475" i="13" s="1"/>
  <c r="O189" i="13"/>
  <c r="O63" i="13"/>
  <c r="O6" i="13" l="1"/>
  <c r="O476" i="13" s="1"/>
</calcChain>
</file>

<file path=xl/sharedStrings.xml><?xml version="1.0" encoding="utf-8"?>
<sst xmlns="http://schemas.openxmlformats.org/spreadsheetml/2006/main" count="20564" uniqueCount="5260">
  <si>
    <t>Data: Junho de 2023</t>
  </si>
  <si>
    <t>SF-03472</t>
  </si>
  <si>
    <t>Profissional</t>
  </si>
  <si>
    <t>SF-03085</t>
  </si>
  <si>
    <t>SF-03487</t>
  </si>
  <si>
    <t>SF-01102</t>
  </si>
  <si>
    <t>SF-03521</t>
  </si>
  <si>
    <t>SF-03509</t>
  </si>
  <si>
    <t>SF-00716</t>
  </si>
  <si>
    <t>SF-00717</t>
  </si>
  <si>
    <t>SF-00710</t>
  </si>
  <si>
    <t>SF-00709</t>
  </si>
  <si>
    <t>COMPOSIÇÕES DE CUSTO UNITÁRIO</t>
  </si>
  <si>
    <t>ITEM</t>
  </si>
  <si>
    <t>DESCRIÇÃO</t>
  </si>
  <si>
    <t>DISCRIMINAÇÃO DA COMPOSIÇÃO</t>
  </si>
  <si>
    <t>UNIDADE</t>
  </si>
  <si>
    <t>COEFICIENTE</t>
  </si>
  <si>
    <t>CUSTO UNITÁRIO</t>
  </si>
  <si>
    <t>CUSTO TOTAL</t>
  </si>
  <si>
    <t>TOTAL DO SERVIÇO</t>
  </si>
  <si>
    <t>QTD</t>
  </si>
  <si>
    <t>SF-00001</t>
  </si>
  <si>
    <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</si>
  <si>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</si>
  <si>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</si>
  <si>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</si>
  <si>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</si>
  <si>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</si>
  <si>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</si>
  <si>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</si>
  <si>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</si>
  <si>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</si>
  <si>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</si>
  <si>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</si>
  <si>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</si>
  <si>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</si>
  <si>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</si>
  <si>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</si>
  <si>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</si>
  <si>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</si>
  <si>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</si>
  <si>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</si>
  <si>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</si>
  <si>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</si>
  <si>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</si>
  <si>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</si>
  <si>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</si>
  <si>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</si>
  <si>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</si>
  <si>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</si>
  <si>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</si>
  <si>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</si>
  <si>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</si>
  <si>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</si>
  <si>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</si>
  <si>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</si>
  <si>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</si>
  <si>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</si>
  <si>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</si>
  <si>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</si>
  <si>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</si>
  <si>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</si>
  <si>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</si>
  <si>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</si>
  <si>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</si>
  <si>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</si>
  <si>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</si>
  <si>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</si>
  <si>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</si>
  <si>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</si>
  <si>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</si>
  <si>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</si>
  <si>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</si>
  <si>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</si>
  <si>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</si>
  <si>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</si>
  <si>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</si>
  <si>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</si>
  <si>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</si>
  <si>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</si>
  <si>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</si>
  <si>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</si>
  <si>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</si>
  <si>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</si>
  <si>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</si>
  <si>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</si>
  <si>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</si>
  <si>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</si>
  <si>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</si>
  <si>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</si>
  <si>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</si>
  <si>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Chapa de aco USI-SAC 350, de (2,44x6)m, com espessura de 1/2"</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</si>
  <si>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</si>
  <si>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</si>
  <si>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</si>
  <si>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</si>
  <si>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h</t>
  </si>
  <si>
    <t>Talha Guincho manual de 10Kg, sem operador, com as seguintes especificacoes minimas: capacidade de icamento de 1500Kg e de tracao de 1800Kg, cabo de aco com curso ilimitado, alavanca, gancho e carretel. Custo horario corrido.</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</si>
  <si>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</si>
  <si>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</si>
  <si>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</si>
  <si>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</si>
  <si>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</si>
  <si>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</si>
  <si>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</si>
  <si>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</si>
  <si>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</si>
  <si>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</si>
  <si>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</si>
  <si>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</si>
  <si>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</si>
  <si>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</si>
  <si>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</si>
  <si>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</si>
  <si>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</si>
  <si>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</si>
  <si>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</si>
  <si>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</si>
  <si>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</si>
  <si>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</si>
  <si>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</si>
  <si>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</si>
  <si>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</si>
  <si>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</si>
  <si>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</si>
  <si>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</si>
  <si>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</si>
  <si>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</si>
  <si>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</si>
  <si>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</si>
  <si>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</si>
  <si>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</si>
  <si>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</si>
  <si>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</si>
  <si>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</si>
  <si>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</si>
  <si>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</si>
  <si>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</si>
  <si>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</si>
  <si>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</si>
  <si>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</si>
  <si>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</si>
  <si>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</si>
  <si>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</si>
  <si>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</si>
  <si>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</si>
  <si>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</si>
  <si>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</si>
  <si>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</si>
  <si>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</si>
  <si>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</si>
  <si>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</si>
  <si>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</si>
  <si>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</si>
  <si>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</si>
  <si>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</si>
  <si>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</si>
  <si>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</si>
  <si>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</si>
  <si>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</si>
  <si>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</si>
  <si>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</si>
  <si>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</si>
  <si>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</si>
  <si>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</si>
  <si>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</si>
  <si>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</si>
  <si>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</si>
  <si>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</si>
  <si>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</si>
  <si>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</si>
  <si>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</si>
  <si>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</si>
  <si>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</si>
  <si>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</si>
  <si>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</si>
  <si>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</si>
  <si>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</si>
  <si>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</si>
  <si>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</si>
  <si>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</si>
  <si>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</si>
  <si>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</si>
  <si>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</si>
  <si>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</si>
  <si>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</si>
  <si>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</si>
  <si>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</si>
  <si>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</si>
  <si>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</si>
  <si>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</si>
  <si>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</si>
  <si>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</si>
  <si>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</si>
  <si>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</si>
  <si>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</si>
  <si>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</si>
  <si>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</si>
  <si>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</si>
  <si>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</si>
  <si>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</si>
  <si>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</si>
  <si>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</si>
  <si>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</si>
  <si>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</si>
  <si>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</si>
  <si>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</si>
  <si>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</si>
  <si>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</si>
  <si>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</si>
  <si>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</si>
  <si>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</si>
  <si>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</si>
  <si>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</si>
  <si>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</si>
  <si>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</si>
  <si>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</si>
  <si>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</si>
  <si>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</si>
  <si>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</si>
  <si>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</si>
  <si>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</si>
  <si>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</si>
  <si>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</si>
  <si>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</si>
  <si>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</si>
  <si>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</si>
  <si>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</si>
  <si>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</si>
  <si>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</si>
  <si>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</si>
  <si>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</si>
  <si>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</si>
  <si>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</si>
  <si>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</si>
  <si>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</si>
  <si>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</si>
  <si>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</si>
  <si>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</si>
  <si>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</si>
  <si>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</si>
  <si>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</si>
  <si>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</si>
  <si>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</si>
  <si>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</si>
  <si>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</si>
  <si>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</si>
  <si>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</si>
  <si>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</si>
  <si>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</si>
  <si>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</si>
  <si>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</si>
  <si>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</si>
  <si>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</si>
  <si>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</si>
  <si>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</si>
  <si>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</si>
  <si>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</si>
  <si>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</si>
  <si>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</si>
  <si>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</si>
  <si>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</si>
  <si>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</si>
  <si>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</si>
  <si>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</si>
  <si>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</si>
  <si>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</si>
  <si>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</si>
  <si>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</si>
  <si>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</si>
  <si>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</si>
  <si>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</si>
  <si>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</si>
  <si>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</si>
  <si>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</si>
  <si>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</si>
  <si>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</si>
  <si>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</si>
  <si>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</si>
  <si>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</si>
  <si>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</si>
  <si>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</si>
  <si>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</si>
  <si>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</si>
  <si>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</si>
  <si>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</si>
  <si>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</si>
  <si>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</si>
  <si>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</si>
  <si>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</si>
  <si>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UN</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</si>
  <si>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</si>
  <si>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</si>
  <si>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</si>
  <si>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</si>
  <si>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</si>
  <si>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</si>
  <si>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</si>
  <si>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</si>
  <si>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</si>
  <si>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</si>
  <si>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</si>
  <si>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</si>
  <si>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</si>
  <si>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</si>
  <si>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</si>
  <si>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</si>
  <si>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</si>
  <si>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</si>
  <si>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</si>
  <si>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</si>
  <si>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</si>
  <si>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</si>
  <si>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</si>
  <si>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</si>
  <si>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</si>
  <si>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</si>
  <si>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</si>
  <si>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</si>
  <si>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</si>
  <si>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</si>
  <si>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</si>
  <si>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</si>
  <si>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</si>
  <si>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</si>
  <si>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</si>
  <si>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</si>
  <si>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</si>
  <si>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</si>
  <si>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</si>
  <si>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</si>
  <si>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</si>
  <si>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</si>
  <si>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</si>
  <si>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</si>
  <si>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</si>
  <si>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</si>
  <si>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</si>
  <si>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</si>
  <si>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</si>
  <si>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</si>
  <si>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</si>
  <si>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</si>
  <si>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</si>
  <si>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</si>
  <si>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</si>
  <si>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</si>
  <si>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</si>
  <si>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</si>
  <si>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</si>
  <si>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</si>
  <si>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</si>
  <si>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</si>
  <si>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</si>
  <si>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</si>
  <si>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</si>
  <si>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</si>
  <si>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</si>
  <si>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</si>
  <si>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</si>
  <si>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</si>
  <si>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</si>
  <si>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</si>
  <si>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</si>
  <si>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</si>
  <si>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</si>
  <si>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</si>
  <si>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</si>
  <si>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</si>
  <si>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</si>
  <si>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</si>
  <si>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</si>
  <si>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</si>
  <si>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</si>
  <si>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</si>
  <si>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</si>
  <si>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</si>
  <si>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</si>
  <si>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</si>
  <si>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</si>
  <si>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</si>
  <si>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</si>
  <si>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</si>
  <si>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</si>
  <si>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</si>
  <si>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</si>
  <si>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</si>
  <si>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</si>
  <si>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</si>
  <si>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</si>
  <si>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</si>
  <si>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</si>
  <si>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</si>
  <si>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</si>
  <si>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</si>
  <si>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</si>
  <si>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</si>
  <si>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</si>
  <si>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</si>
  <si>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</si>
  <si>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</si>
  <si>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</si>
  <si>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</si>
  <si>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</si>
  <si>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</si>
  <si>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</si>
  <si>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</si>
  <si>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</si>
  <si>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</si>
  <si>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</si>
  <si>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</si>
  <si>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</si>
  <si>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</si>
  <si>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</si>
  <si>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</si>
  <si>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</si>
  <si>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</si>
  <si>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</si>
  <si>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</si>
  <si>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</si>
  <si>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</si>
  <si>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</si>
  <si>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</si>
  <si>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</si>
  <si>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</si>
  <si>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</si>
  <si>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</si>
  <si>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</si>
  <si>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</si>
  <si>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</si>
  <si>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</si>
  <si>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</si>
  <si>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</si>
  <si>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</si>
  <si>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</si>
  <si>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</si>
  <si>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</si>
  <si>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</si>
  <si>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</si>
  <si>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</si>
  <si>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</si>
  <si>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</si>
  <si>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</si>
  <si>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</si>
  <si>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</si>
  <si>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</si>
  <si>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</si>
  <si>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</si>
  <si>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</si>
  <si>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</si>
  <si>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</si>
  <si>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</si>
  <si>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</si>
  <si>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</si>
  <si>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</si>
  <si>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</si>
  <si>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</si>
  <si>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</si>
  <si>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</si>
  <si>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</si>
  <si>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</si>
  <si>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</si>
  <si>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</si>
  <si>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</si>
  <si>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</si>
  <si>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</si>
  <si>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</si>
  <si>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</si>
  <si>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</si>
  <si>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</si>
  <si>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</si>
  <si>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</si>
  <si>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</si>
  <si>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</si>
  <si>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</si>
  <si>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</si>
  <si>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</si>
  <si>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</si>
  <si>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</si>
  <si>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</si>
  <si>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</si>
  <si>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</si>
  <si>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</si>
  <si>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</si>
  <si>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</si>
  <si>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</si>
  <si>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</si>
  <si>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</si>
  <si>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</si>
  <si>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</si>
  <si>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</si>
  <si>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</si>
  <si>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</si>
  <si>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</si>
  <si>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</si>
  <si>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</si>
  <si>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</si>
  <si>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</si>
  <si>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</si>
  <si>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</si>
  <si>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</si>
  <si>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</si>
  <si>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</si>
  <si>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</si>
  <si>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</si>
  <si>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</si>
  <si>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</si>
  <si>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</si>
  <si>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</si>
  <si>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</si>
  <si>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</si>
  <si>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</si>
  <si>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</si>
  <si>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</si>
  <si>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</si>
  <si>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</si>
  <si>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</si>
  <si>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</si>
  <si>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</si>
  <si>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</si>
  <si>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</si>
  <si>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</si>
  <si>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</si>
  <si>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</si>
  <si>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</si>
  <si>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</si>
  <si>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</si>
  <si>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</si>
  <si>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</si>
  <si>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</si>
  <si>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</si>
  <si>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</si>
  <si>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</si>
  <si>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</si>
  <si>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</si>
  <si>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</si>
  <si>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</si>
  <si>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</si>
  <si>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</si>
  <si>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</si>
  <si>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</si>
  <si>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</si>
  <si>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</si>
  <si>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</si>
  <si>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</si>
  <si>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</si>
  <si>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</si>
  <si>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</si>
  <si>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</si>
  <si>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</si>
  <si>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</si>
  <si>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</si>
  <si>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</si>
  <si>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</si>
  <si>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</si>
  <si>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</si>
  <si>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</si>
  <si>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</si>
  <si>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</si>
  <si>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</si>
  <si>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</si>
  <si>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</si>
  <si>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</si>
  <si>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</si>
  <si>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</si>
  <si>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</si>
  <si>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</si>
  <si>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</si>
  <si>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</si>
  <si>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</si>
  <si>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</si>
  <si>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</si>
  <si>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</si>
  <si>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</si>
  <si>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</si>
  <si>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</si>
  <si>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</si>
  <si>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</si>
  <si>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</si>
  <si>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</si>
  <si>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</si>
  <si>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</si>
  <si>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</si>
  <si>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</si>
  <si>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</si>
  <si>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</si>
  <si>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</si>
  <si>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</si>
  <si>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</si>
  <si>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</si>
  <si>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</si>
  <si>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</si>
  <si>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</si>
  <si>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</si>
  <si>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</si>
  <si>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</si>
  <si>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</si>
  <si>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</si>
  <si>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</si>
  <si>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</si>
  <si>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</si>
  <si>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</si>
  <si>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</si>
  <si>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</si>
  <si>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</si>
  <si>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</si>
  <si>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</si>
  <si>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</si>
  <si>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</si>
  <si>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</si>
  <si>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</si>
  <si>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</si>
  <si>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</si>
  <si>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</si>
  <si>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</si>
  <si>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</si>
  <si>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</si>
  <si>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</si>
  <si>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</si>
  <si>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</si>
  <si>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</si>
  <si>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</si>
  <si>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</si>
  <si>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</si>
  <si>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</si>
  <si>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</si>
  <si>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</si>
  <si>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</si>
  <si>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</si>
  <si>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</si>
  <si>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</si>
  <si>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</si>
  <si>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</si>
  <si>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</si>
  <si>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</si>
  <si>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</si>
  <si>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</si>
  <si>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</si>
  <si>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</si>
  <si>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</si>
  <si>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</si>
  <si>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</si>
  <si>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</si>
  <si>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</si>
  <si>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</si>
  <si>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</si>
  <si>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</si>
  <si>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</si>
  <si>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</si>
  <si>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</si>
  <si>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</si>
  <si>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</si>
  <si>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</si>
  <si>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</si>
  <si>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</si>
  <si>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</si>
  <si>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</si>
  <si>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</si>
  <si>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</si>
  <si>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</si>
  <si>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</si>
  <si>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</si>
  <si>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</si>
  <si>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</si>
  <si>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</si>
  <si>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</si>
  <si>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</si>
  <si>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</si>
  <si>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SF-00711</t>
  </si>
  <si>
    <t>SF-00712</t>
  </si>
  <si>
    <t>SF-00713</t>
  </si>
  <si>
    <t>SF-00714</t>
  </si>
  <si>
    <t>SF-00715</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</si>
  <si>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</si>
  <si>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</si>
  <si>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</si>
  <si>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</si>
  <si>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</si>
  <si>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</si>
  <si>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</si>
  <si>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</si>
  <si>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</si>
  <si>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</si>
  <si>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</si>
  <si>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</si>
  <si>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</si>
  <si>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</si>
  <si>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</si>
  <si>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</si>
  <si>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</si>
  <si>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</si>
  <si>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</si>
  <si>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</si>
  <si>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</si>
  <si>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</si>
  <si>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</si>
  <si>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</si>
  <si>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</si>
  <si>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</si>
  <si>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</si>
  <si>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</si>
  <si>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</si>
  <si>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</si>
  <si>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</si>
  <si>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</si>
  <si>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</si>
  <si>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</si>
  <si>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</si>
  <si>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</si>
  <si>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</si>
  <si>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</si>
  <si>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</si>
  <si>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</si>
  <si>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</si>
  <si>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</si>
  <si>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</si>
  <si>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</si>
  <si>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</si>
  <si>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</si>
  <si>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</si>
  <si>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</si>
  <si>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</si>
  <si>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</si>
  <si>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</si>
  <si>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</si>
  <si>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</si>
  <si>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</si>
  <si>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</si>
  <si>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</si>
  <si>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</si>
  <si>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</si>
  <si>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</si>
  <si>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</si>
  <si>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</si>
  <si>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</si>
  <si>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</si>
  <si>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</si>
  <si>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</si>
  <si>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</si>
  <si>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</si>
  <si>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</si>
  <si>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</si>
  <si>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</si>
  <si>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</si>
  <si>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</si>
  <si>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</si>
  <si>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</si>
  <si>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</si>
  <si>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</si>
  <si>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</si>
  <si>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</si>
  <si>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</si>
  <si>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</si>
  <si>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</si>
  <si>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</si>
  <si>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</si>
  <si>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</si>
  <si>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</si>
  <si>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</si>
  <si>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</si>
  <si>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</si>
  <si>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</si>
  <si>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</si>
  <si>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</si>
  <si>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</si>
  <si>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</si>
  <si>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</si>
  <si>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</si>
  <si>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</si>
  <si>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</si>
  <si>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</si>
  <si>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</si>
  <si>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</si>
  <si>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</si>
  <si>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</si>
  <si>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</si>
  <si>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</si>
  <si>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</si>
  <si>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</si>
  <si>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</si>
  <si>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</si>
  <si>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</si>
  <si>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</si>
  <si>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</si>
  <si>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</si>
  <si>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</si>
  <si>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</si>
  <si>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</si>
  <si>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</si>
  <si>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</si>
  <si>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</si>
  <si>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</si>
  <si>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</si>
  <si>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</si>
  <si>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</si>
  <si>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</si>
  <si>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</si>
  <si>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</si>
  <si>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</si>
  <si>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</si>
  <si>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</si>
  <si>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</si>
  <si>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</si>
  <si>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</si>
  <si>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</si>
  <si>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</si>
  <si>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</si>
  <si>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</si>
  <si>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</si>
  <si>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</si>
  <si>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</si>
  <si>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</si>
  <si>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</si>
  <si>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</si>
  <si>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</si>
  <si>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</si>
  <si>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</si>
  <si>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</si>
  <si>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</si>
  <si>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</si>
  <si>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</si>
  <si>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</si>
  <si>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</si>
  <si>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</si>
  <si>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</si>
  <si>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</si>
  <si>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</si>
  <si>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</si>
  <si>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</si>
  <si>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</si>
  <si>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</si>
  <si>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</si>
  <si>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</si>
  <si>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</si>
  <si>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</si>
  <si>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</si>
  <si>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</si>
  <si>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</si>
  <si>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</si>
  <si>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</si>
  <si>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</si>
  <si>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</si>
  <si>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</si>
  <si>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</si>
  <si>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</si>
  <si>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</si>
  <si>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</si>
  <si>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</si>
  <si>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</si>
  <si>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</si>
  <si>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</si>
  <si>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</si>
  <si>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</si>
  <si>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</si>
  <si>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</si>
  <si>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</si>
  <si>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</si>
  <si>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</si>
  <si>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</si>
  <si>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</si>
  <si>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</si>
  <si>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</si>
  <si>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</si>
  <si>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</si>
  <si>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</si>
  <si>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</si>
  <si>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</si>
  <si>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</si>
  <si>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</si>
  <si>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</si>
  <si>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</si>
  <si>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</si>
  <si>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</si>
  <si>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</si>
  <si>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</si>
  <si>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</si>
  <si>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</si>
  <si>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r>
      <rPr>
        <b/>
        <sz val="10"/>
        <rFont val="Arial"/>
        <family val="2"/>
      </rPr>
      <t>Fontes:</t>
    </r>
    <r>
      <rPr>
        <sz val="10"/>
        <rFont val="Arial"/>
        <family val="2"/>
      </rPr>
      <t xml:space="preserve"> PINI 05.102.000020.SER</t>
    </r>
  </si>
  <si>
    <t>SF-00962</t>
  </si>
  <si>
    <t>Insert metálico tipo 2, conforme projeto</t>
  </si>
  <si>
    <t>SF-00963</t>
  </si>
  <si>
    <t>Insert metálico tipo 3, conforme projeto</t>
  </si>
  <si>
    <t>SF-00964</t>
  </si>
  <si>
    <t>Mármore branco especial 20mm</t>
  </si>
  <si>
    <t>SF-00965</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</si>
  <si>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</si>
  <si>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</si>
  <si>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</si>
  <si>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</si>
  <si>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</si>
  <si>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</si>
  <si>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</si>
  <si>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</si>
  <si>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</si>
  <si>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</si>
  <si>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</si>
  <si>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</si>
  <si>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</si>
  <si>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</si>
  <si>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</si>
  <si>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</si>
  <si>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</si>
  <si>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</si>
  <si>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</si>
  <si>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</si>
  <si>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</si>
  <si>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</si>
  <si>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</si>
  <si>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</si>
  <si>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</si>
  <si>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</si>
  <si>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</si>
  <si>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</si>
  <si>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</si>
  <si>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</si>
  <si>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</si>
  <si>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</si>
  <si>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</si>
  <si>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</si>
  <si>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</si>
  <si>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</si>
  <si>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</si>
  <si>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</si>
  <si>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</si>
  <si>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</si>
  <si>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</si>
  <si>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</si>
  <si>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</si>
  <si>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</si>
  <si>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</si>
  <si>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</si>
  <si>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</si>
  <si>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</si>
  <si>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</si>
  <si>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</si>
  <si>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</si>
  <si>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</si>
  <si>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</si>
  <si>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</si>
  <si>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</si>
  <si>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</si>
  <si>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</si>
  <si>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</si>
  <si>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</si>
  <si>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</si>
  <si>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</si>
  <si>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</si>
  <si>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</si>
  <si>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</si>
  <si>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</si>
  <si>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</si>
  <si>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</si>
  <si>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</si>
  <si>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</si>
  <si>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</si>
  <si>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</si>
  <si>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</si>
  <si>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</si>
  <si>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</si>
  <si>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</si>
  <si>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</si>
  <si>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</si>
  <si>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</si>
  <si>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</si>
  <si>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</si>
  <si>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</si>
  <si>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</si>
  <si>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</si>
  <si>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</si>
  <si>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</si>
  <si>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</si>
  <si>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</si>
  <si>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</si>
  <si>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</si>
  <si>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</si>
  <si>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</si>
  <si>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</si>
  <si>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</si>
  <si>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</si>
  <si>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</si>
  <si>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</si>
  <si>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</si>
  <si>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</si>
  <si>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</si>
  <si>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</si>
  <si>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</si>
  <si>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</si>
  <si>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</si>
  <si>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</si>
  <si>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</si>
  <si>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SF-01097</t>
  </si>
  <si>
    <t>SF-01098</t>
  </si>
  <si>
    <t>SF-01101</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</si>
  <si>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</si>
  <si>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</si>
  <si>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</si>
  <si>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</si>
  <si>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</si>
  <si>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</si>
  <si>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</si>
  <si>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</si>
  <si>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</si>
  <si>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</si>
  <si>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</si>
  <si>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</si>
  <si>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</si>
  <si>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</si>
  <si>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</si>
  <si>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</si>
  <si>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</si>
  <si>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</si>
  <si>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</si>
  <si>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</si>
  <si>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</si>
  <si>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</si>
  <si>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</si>
  <si>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</si>
  <si>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</si>
  <si>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</si>
  <si>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</si>
  <si>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</si>
  <si>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</si>
  <si>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</si>
  <si>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</si>
  <si>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</si>
  <si>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</si>
  <si>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</si>
  <si>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</si>
  <si>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</si>
  <si>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</si>
  <si>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</si>
  <si>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</si>
  <si>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</si>
  <si>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</si>
  <si>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</si>
  <si>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</si>
  <si>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</si>
  <si>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</si>
  <si>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</si>
  <si>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</si>
  <si>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</si>
  <si>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</si>
  <si>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</si>
  <si>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</si>
  <si>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</si>
  <si>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</si>
  <si>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</si>
  <si>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</si>
  <si>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</si>
  <si>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</si>
  <si>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</si>
  <si>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</si>
  <si>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</si>
  <si>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</si>
  <si>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</si>
  <si>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SF-01134</t>
  </si>
  <si>
    <t>Cumeeira metálica galvanizada GR 40 com espessura de 0,43 mm.</t>
  </si>
  <si>
    <t>SF-01135</t>
  </si>
  <si>
    <t>Telha metálica trapezoidal galvanizada GR 25 com espessura de 0,43 mm, com largura de 1020 mm e comprimento de 5 metros.</t>
  </si>
  <si>
    <t>SF-01136</t>
  </si>
  <si>
    <t>Cumeeira metálica galvanizada GR 25 com espessura de 0,43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</si>
  <si>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</si>
  <si>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</si>
  <si>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</si>
  <si>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</si>
  <si>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</si>
  <si>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</si>
  <si>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</si>
  <si>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</si>
  <si>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</si>
  <si>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</si>
  <si>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</si>
  <si>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</si>
  <si>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</si>
  <si>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</si>
  <si>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</si>
  <si>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</si>
  <si>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</si>
  <si>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</si>
  <si>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</si>
  <si>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</si>
  <si>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</si>
  <si>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</si>
  <si>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</si>
  <si>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</si>
  <si>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</si>
  <si>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</si>
  <si>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</si>
  <si>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</si>
  <si>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</si>
  <si>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</si>
  <si>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</si>
  <si>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</si>
  <si>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</si>
  <si>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</si>
  <si>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</si>
  <si>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</si>
  <si>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</si>
  <si>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</si>
  <si>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</si>
  <si>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</si>
  <si>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</si>
  <si>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</si>
  <si>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</si>
  <si>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</si>
  <si>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</si>
  <si>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</si>
  <si>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</si>
  <si>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</si>
  <si>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</si>
  <si>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</si>
  <si>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</si>
  <si>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</si>
  <si>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</si>
  <si>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</si>
  <si>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</si>
  <si>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</si>
  <si>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</si>
  <si>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</si>
  <si>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</si>
  <si>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</si>
  <si>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</si>
  <si>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</si>
  <si>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</si>
  <si>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</si>
  <si>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</si>
  <si>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</si>
  <si>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</si>
  <si>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</si>
  <si>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</si>
  <si>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</si>
  <si>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</si>
  <si>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</si>
  <si>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</si>
  <si>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</si>
  <si>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</si>
  <si>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</si>
  <si>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</si>
  <si>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</si>
  <si>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</si>
  <si>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</si>
  <si>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</si>
  <si>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</si>
  <si>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</si>
  <si>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</si>
  <si>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</si>
  <si>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</si>
  <si>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</si>
  <si>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</si>
  <si>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</si>
  <si>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</si>
  <si>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</si>
  <si>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</si>
  <si>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</si>
  <si>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</si>
  <si>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</si>
  <si>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</si>
  <si>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</si>
  <si>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</si>
  <si>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</si>
  <si>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</si>
  <si>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</si>
  <si>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</si>
  <si>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</si>
  <si>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</si>
  <si>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</si>
  <si>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</si>
  <si>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</si>
  <si>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</si>
  <si>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</si>
  <si>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</si>
  <si>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</si>
  <si>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</si>
  <si>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</si>
  <si>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</si>
  <si>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</si>
  <si>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</si>
  <si>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</si>
  <si>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</si>
  <si>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</si>
  <si>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</si>
  <si>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</si>
  <si>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</si>
  <si>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</si>
  <si>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</si>
  <si>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</si>
  <si>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</si>
  <si>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</si>
  <si>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</si>
  <si>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</si>
  <si>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</si>
  <si>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</si>
  <si>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</si>
  <si>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</si>
  <si>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</si>
  <si>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</si>
  <si>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</si>
  <si>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</si>
  <si>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</si>
  <si>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</si>
  <si>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</si>
  <si>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</si>
  <si>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</si>
  <si>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</si>
  <si>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</si>
  <si>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</si>
  <si>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</si>
  <si>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</si>
  <si>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</si>
  <si>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</si>
  <si>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</si>
  <si>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</si>
  <si>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</si>
  <si>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</si>
  <si>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</si>
  <si>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</si>
  <si>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</si>
  <si>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</si>
  <si>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</si>
  <si>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</si>
  <si>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</si>
  <si>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</si>
  <si>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</si>
  <si>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</si>
  <si>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</si>
  <si>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</si>
  <si>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</si>
  <si>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</si>
  <si>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</si>
  <si>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</si>
  <si>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</si>
  <si>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</si>
  <si>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</si>
  <si>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</si>
  <si>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</si>
  <si>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</si>
  <si>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</si>
  <si>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</si>
  <si>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</si>
  <si>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</si>
  <si>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</si>
  <si>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</si>
  <si>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tubulações de ferro de diâmetro nominal 5”. Ref.: AF/Armaflex M-48,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</si>
  <si>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</si>
  <si>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</si>
  <si>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</si>
  <si>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</si>
  <si>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</si>
  <si>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</si>
  <si>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</si>
  <si>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</si>
  <si>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</si>
  <si>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</si>
  <si>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</si>
  <si>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</si>
  <si>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SF-01331</t>
  </si>
  <si>
    <t>Cabo constituído por 12 fibras ópticas do tipo monomodo (9/125μm)</t>
  </si>
  <si>
    <t>SF-01332</t>
  </si>
  <si>
    <t>Cabo constituído por 144 fibras ópticas do tipo monomodo (9/125μm)</t>
  </si>
  <si>
    <t>SF-01333</t>
  </si>
  <si>
    <t>SF-01334</t>
  </si>
  <si>
    <t>SF-01335</t>
  </si>
  <si>
    <t>SF-01336</t>
  </si>
  <si>
    <t>SF-01339</t>
  </si>
  <si>
    <t>SF-01342</t>
  </si>
  <si>
    <t>SF-01343</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</si>
  <si>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</si>
  <si>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</si>
  <si>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</si>
  <si>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</si>
  <si>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</si>
  <si>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</si>
  <si>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</si>
  <si>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</si>
  <si>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</si>
  <si>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</si>
  <si>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</si>
  <si>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</si>
  <si>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</si>
  <si>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</si>
  <si>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</si>
  <si>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</si>
  <si>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</si>
  <si>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</si>
  <si>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</si>
  <si>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</si>
  <si>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</si>
  <si>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</si>
  <si>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</si>
  <si>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</si>
  <si>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</si>
  <si>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</si>
  <si>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</si>
  <si>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</si>
  <si>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</si>
  <si>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</si>
  <si>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</si>
  <si>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</si>
  <si>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</si>
  <si>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</si>
  <si>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</si>
  <si>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</si>
  <si>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</si>
  <si>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</si>
  <si>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</si>
  <si>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</si>
  <si>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</si>
  <si>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</si>
  <si>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</si>
  <si>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</si>
  <si>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</si>
  <si>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</si>
  <si>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</si>
  <si>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</si>
  <si>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</si>
  <si>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</si>
  <si>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</si>
  <si>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</si>
  <si>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</si>
  <si>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</si>
  <si>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</si>
  <si>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</si>
  <si>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</si>
  <si>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</si>
  <si>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</si>
  <si>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</si>
  <si>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</si>
  <si>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</si>
  <si>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</si>
  <si>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</si>
  <si>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</si>
  <si>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</si>
  <si>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</si>
  <si>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</si>
  <si>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</si>
  <si>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</si>
  <si>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</si>
  <si>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</si>
  <si>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</si>
  <si>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</si>
  <si>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</si>
  <si>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</si>
  <si>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</si>
  <si>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</si>
  <si>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</si>
  <si>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</si>
  <si>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</si>
  <si>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</si>
  <si>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</si>
  <si>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</si>
  <si>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</si>
  <si>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</si>
  <si>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</si>
  <si>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</si>
  <si>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</si>
  <si>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</si>
  <si>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</si>
  <si>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</si>
  <si>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</si>
  <si>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</si>
  <si>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</si>
  <si>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</si>
  <si>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</si>
  <si>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SF-01809</t>
  </si>
  <si>
    <t>ELETRODUTO DE AÇO GALVANIZADO A FOGO TIPO MÉDIO ROSCA NBR 8133 - ESP. 0,90MM - 1 1/4"</t>
  </si>
  <si>
    <t>SF-01810</t>
  </si>
  <si>
    <t>ELETRODUTO DE AÇO GALVANIZADO A FOGO TIPO MÉDIO ROSCA NBR 8133 - ESP. 0,90MM - 1 1/2"</t>
  </si>
  <si>
    <t>SF-01811</t>
  </si>
  <si>
    <t>ELETRODUTO DE AÇO GALVANIZADO A FOGO TIPO MÉDIO ROSCA NBR 8133 - ESP. 0,90MM - 2"</t>
  </si>
  <si>
    <t>SF-01812</t>
  </si>
  <si>
    <t>ELETRODUTO DE AÇO GALVANIZADO A FOGO TIPO MÉDIO ROSCA NBR 8133 - ESP. 1,20MM - 2 1/2"</t>
  </si>
  <si>
    <t>SF-01813</t>
  </si>
  <si>
    <t>ELETRODUTO DE AÇO GALVANIZADO A FOGO TIPO SEMI-PESADO/MÉDIO ROSCA NBR 8133 - ESP. 1,50MM - 3"</t>
  </si>
  <si>
    <t>SF-01814</t>
  </si>
  <si>
    <t>ELETRODUTO DE AÇO GALVANIZADO A FOGO TIPO SEMI-PESADO/MÉDIO ROSCA NBR 8133 - ESP. 1,50MM - 4"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</si>
  <si>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</si>
  <si>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</si>
  <si>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</si>
  <si>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</si>
  <si>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</si>
  <si>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</si>
  <si>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</si>
  <si>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</si>
  <si>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</si>
  <si>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</si>
  <si>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</si>
  <si>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</si>
  <si>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</si>
  <si>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</si>
  <si>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</si>
  <si>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</si>
  <si>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</si>
  <si>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</si>
  <si>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</si>
  <si>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</si>
  <si>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</si>
  <si>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</si>
  <si>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</si>
  <si>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</si>
  <si>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</si>
  <si>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</si>
  <si>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</si>
  <si>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</si>
  <si>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</si>
  <si>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</si>
  <si>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</si>
  <si>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</si>
  <si>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</si>
  <si>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</si>
  <si>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</si>
  <si>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</si>
  <si>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</si>
  <si>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</si>
  <si>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</si>
  <si>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</si>
  <si>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</si>
  <si>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</si>
  <si>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</si>
  <si>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</si>
  <si>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</si>
  <si>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</si>
  <si>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</si>
  <si>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</si>
  <si>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</si>
  <si>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</si>
  <si>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</si>
  <si>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</si>
  <si>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</si>
  <si>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</si>
  <si>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</si>
  <si>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</si>
  <si>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</si>
  <si>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</si>
  <si>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</si>
  <si>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</si>
  <si>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</si>
  <si>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</si>
  <si>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</si>
  <si>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</si>
  <si>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</si>
  <si>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</si>
  <si>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</si>
  <si>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</si>
  <si>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</si>
  <si>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</si>
  <si>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</si>
  <si>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</si>
  <si>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</si>
  <si>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</si>
  <si>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</si>
  <si>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</si>
  <si>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</si>
  <si>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</si>
  <si>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</si>
  <si>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</si>
  <si>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</si>
  <si>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</si>
  <si>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</si>
  <si>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</si>
  <si>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</si>
  <si>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</si>
  <si>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</si>
  <si>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</si>
  <si>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</si>
  <si>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</si>
  <si>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</si>
  <si>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</si>
  <si>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1"</t>
  </si>
  <si>
    <t>SF-02099</t>
  </si>
  <si>
    <t>SF-02212</t>
  </si>
  <si>
    <t>SF-02213</t>
  </si>
  <si>
    <t>SF-02214</t>
  </si>
  <si>
    <t>SF-02250</t>
  </si>
  <si>
    <t>SF-02285</t>
  </si>
  <si>
    <t>SF-02290</t>
  </si>
  <si>
    <t>SF-02294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</si>
  <si>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</si>
  <si>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</si>
  <si>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</si>
  <si>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</si>
  <si>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</si>
  <si>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</si>
  <si>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</si>
  <si>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</si>
  <si>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</si>
  <si>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</si>
  <si>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</si>
  <si>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</si>
  <si>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</si>
  <si>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</si>
  <si>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</si>
  <si>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</si>
  <si>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</si>
  <si>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</si>
  <si>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</si>
  <si>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</si>
  <si>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</si>
  <si>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</si>
  <si>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</si>
  <si>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</si>
  <si>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</si>
  <si>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</si>
  <si>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</si>
  <si>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</si>
  <si>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</si>
  <si>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</si>
  <si>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</si>
  <si>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</si>
  <si>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</si>
  <si>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</si>
  <si>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</si>
  <si>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</si>
  <si>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</si>
  <si>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</si>
  <si>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</si>
  <si>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</si>
  <si>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</si>
  <si>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</si>
  <si>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</si>
  <si>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</si>
  <si>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</si>
  <si>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</si>
  <si>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</si>
  <si>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</si>
  <si>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</si>
  <si>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</si>
  <si>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</si>
  <si>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</si>
  <si>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</si>
  <si>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</si>
  <si>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</si>
  <si>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</si>
  <si>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</si>
  <si>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</si>
  <si>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</si>
  <si>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</si>
  <si>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</si>
  <si>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</si>
  <si>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</si>
  <si>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</si>
  <si>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</si>
  <si>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</si>
  <si>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</si>
  <si>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</si>
  <si>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</si>
  <si>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</si>
  <si>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</si>
  <si>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</si>
  <si>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</si>
  <si>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</si>
  <si>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</si>
  <si>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</si>
  <si>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</si>
  <si>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</si>
  <si>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</si>
  <si>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</si>
  <si>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</si>
  <si>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</si>
  <si>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</si>
  <si>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</si>
  <si>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</si>
  <si>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</si>
  <si>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</si>
  <si>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</si>
  <si>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</si>
  <si>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</si>
  <si>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</si>
  <si>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</si>
  <si>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</si>
  <si>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</si>
  <si>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</si>
  <si>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</si>
  <si>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</si>
  <si>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</si>
  <si>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</si>
  <si>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</si>
  <si>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</si>
  <si>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</si>
  <si>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</si>
  <si>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</si>
  <si>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</si>
  <si>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</si>
  <si>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</si>
  <si>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</si>
  <si>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</si>
  <si>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</si>
  <si>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</si>
  <si>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</si>
  <si>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</si>
  <si>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</si>
  <si>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</si>
  <si>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</si>
  <si>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</si>
  <si>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</si>
  <si>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</si>
  <si>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</si>
  <si>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</si>
  <si>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</si>
  <si>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</si>
  <si>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</si>
  <si>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</si>
  <si>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</si>
  <si>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</si>
  <si>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</si>
  <si>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</si>
  <si>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</si>
  <si>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</si>
  <si>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</si>
  <si>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</si>
  <si>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</si>
  <si>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</si>
  <si>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</si>
  <si>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</si>
  <si>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</si>
  <si>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</si>
  <si>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</si>
  <si>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</si>
  <si>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</si>
  <si>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</si>
  <si>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</si>
  <si>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</si>
  <si>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</si>
  <si>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</si>
  <si>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</si>
  <si>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</si>
  <si>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</si>
  <si>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</si>
  <si>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</si>
  <si>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</si>
  <si>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</si>
  <si>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</si>
  <si>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</si>
  <si>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</si>
  <si>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</si>
  <si>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</si>
  <si>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</si>
  <si>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</si>
  <si>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</si>
  <si>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</si>
  <si>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</si>
  <si>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</si>
  <si>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</si>
  <si>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</si>
  <si>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</si>
  <si>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</si>
  <si>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</si>
  <si>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</si>
  <si>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</si>
  <si>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</si>
  <si>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</si>
  <si>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</si>
  <si>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</si>
  <si>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</si>
  <si>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</si>
  <si>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</si>
  <si>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</si>
  <si>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</si>
  <si>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</si>
  <si>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</si>
  <si>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</si>
  <si>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</si>
  <si>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</si>
  <si>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</si>
  <si>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</si>
  <si>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</si>
  <si>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</si>
  <si>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</si>
  <si>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</si>
  <si>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</si>
  <si>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</si>
  <si>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</si>
  <si>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</si>
  <si>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</si>
  <si>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</si>
  <si>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</si>
  <si>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</si>
  <si>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</si>
  <si>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</si>
  <si>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</si>
  <si>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</si>
  <si>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</si>
  <si>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</si>
  <si>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</si>
  <si>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</si>
  <si>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</si>
  <si>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</si>
  <si>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</si>
  <si>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</si>
  <si>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</si>
  <si>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</si>
  <si>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</si>
  <si>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</si>
  <si>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</si>
  <si>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</si>
  <si>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</si>
  <si>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</si>
  <si>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</si>
  <si>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</si>
  <si>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</si>
  <si>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</si>
  <si>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</si>
  <si>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</si>
  <si>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</si>
  <si>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</si>
  <si>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</si>
  <si>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</si>
  <si>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</si>
  <si>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</si>
  <si>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</si>
  <si>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</si>
  <si>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</si>
  <si>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</si>
  <si>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SF-03086</t>
  </si>
  <si>
    <t>SF-03087</t>
  </si>
  <si>
    <t>SF-03088</t>
  </si>
  <si>
    <t>SF-03089</t>
  </si>
  <si>
    <t>SF-03090</t>
  </si>
  <si>
    <t>SF-03091</t>
  </si>
  <si>
    <t>SF-03092</t>
  </si>
  <si>
    <t>SF-03093</t>
  </si>
  <si>
    <t>SF-03095</t>
  </si>
  <si>
    <t>SF-03096</t>
  </si>
  <si>
    <t>SF-03111</t>
  </si>
  <si>
    <t>SF-03112</t>
  </si>
  <si>
    <t>SF-03127</t>
  </si>
  <si>
    <t>Grelha para retorno de ar com lâminas fixas e registro, 225 mm x 225 mm</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</si>
  <si>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</si>
  <si>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</si>
  <si>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</si>
  <si>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</si>
  <si>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</si>
  <si>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</si>
  <si>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</si>
  <si>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</si>
  <si>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</si>
  <si>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</si>
  <si>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</si>
  <si>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</si>
  <si>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</si>
  <si>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</si>
  <si>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</si>
  <si>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</si>
  <si>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</si>
  <si>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</si>
  <si>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</si>
  <si>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</si>
  <si>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</si>
  <si>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</si>
  <si>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</si>
  <si>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</si>
  <si>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</si>
  <si>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</si>
  <si>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</si>
  <si>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</si>
  <si>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</si>
  <si>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</si>
  <si>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</si>
  <si>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</si>
  <si>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</si>
  <si>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</si>
  <si>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</si>
  <si>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</si>
  <si>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</si>
  <si>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</si>
  <si>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</si>
  <si>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</si>
  <si>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</si>
  <si>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</si>
  <si>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</si>
  <si>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</si>
  <si>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</si>
  <si>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</si>
  <si>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</si>
  <si>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</si>
  <si>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</si>
  <si>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</si>
  <si>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</si>
  <si>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</si>
  <si>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</si>
  <si>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</si>
  <si>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</si>
  <si>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</si>
  <si>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</si>
  <si>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</si>
  <si>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</si>
  <si>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</si>
  <si>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</si>
  <si>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</si>
  <si>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</si>
  <si>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</si>
  <si>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</si>
  <si>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</si>
  <si>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</si>
  <si>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</si>
  <si>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</si>
  <si>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</si>
  <si>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</si>
  <si>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</si>
  <si>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</si>
  <si>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</si>
  <si>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</si>
  <si>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</si>
  <si>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</si>
  <si>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</si>
  <si>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</si>
  <si>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</si>
  <si>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</si>
  <si>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</si>
  <si>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</si>
  <si>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</si>
  <si>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</si>
  <si>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</si>
  <si>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</si>
  <si>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</si>
  <si>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</si>
  <si>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</si>
  <si>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</si>
  <si>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</si>
  <si>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</si>
  <si>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</si>
  <si>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</si>
  <si>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</si>
  <si>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</si>
  <si>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</si>
  <si>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</si>
  <si>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</si>
  <si>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</si>
  <si>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</si>
  <si>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</si>
  <si>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</si>
  <si>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</si>
  <si>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</si>
  <si>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</si>
  <si>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</si>
  <si>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</si>
  <si>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</si>
  <si>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</si>
  <si>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</si>
  <si>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</si>
  <si>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</si>
  <si>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</si>
  <si>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</si>
  <si>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</si>
  <si>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</si>
  <si>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</si>
  <si>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</si>
  <si>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</si>
  <si>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</si>
  <si>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</si>
  <si>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</si>
  <si>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</si>
  <si>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</si>
  <si>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</si>
  <si>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</si>
  <si>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</si>
  <si>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</si>
  <si>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</si>
  <si>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</si>
  <si>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</si>
  <si>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</si>
  <si>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</si>
  <si>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</si>
  <si>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</si>
  <si>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</si>
  <si>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</si>
  <si>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</si>
  <si>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</si>
  <si>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</si>
  <si>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</si>
  <si>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</si>
  <si>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</si>
  <si>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</si>
  <si>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</si>
  <si>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</si>
  <si>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</si>
  <si>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</si>
  <si>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</si>
  <si>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</si>
  <si>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</si>
  <si>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</si>
  <si>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</si>
  <si>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</si>
  <si>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</si>
  <si>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</si>
  <si>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</si>
  <si>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</si>
  <si>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</si>
  <si>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</si>
  <si>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</si>
  <si>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</si>
  <si>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</si>
  <si>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</si>
  <si>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</si>
  <si>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</si>
  <si>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</si>
  <si>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</si>
  <si>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</si>
  <si>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</si>
  <si>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</si>
  <si>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</si>
  <si>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</si>
  <si>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</si>
  <si>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</si>
  <si>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</si>
  <si>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</si>
  <si>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</si>
  <si>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</si>
  <si>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</si>
  <si>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</si>
  <si>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</si>
  <si>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</si>
  <si>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</si>
  <si>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</si>
  <si>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</si>
  <si>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</si>
  <si>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</si>
  <si>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</si>
  <si>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</si>
  <si>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</si>
  <si>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</si>
  <si>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</si>
  <si>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</si>
  <si>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</si>
  <si>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</si>
  <si>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</si>
  <si>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</si>
  <si>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</si>
  <si>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</si>
  <si>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</si>
  <si>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</si>
  <si>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</si>
  <si>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</si>
  <si>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</si>
  <si>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</si>
  <si>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</si>
  <si>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</si>
  <si>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</si>
  <si>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</si>
  <si>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</si>
  <si>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</si>
  <si>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</si>
  <si>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</si>
  <si>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</si>
  <si>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</si>
  <si>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</si>
  <si>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</si>
  <si>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</si>
  <si>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</si>
  <si>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</si>
  <si>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</si>
  <si>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</si>
  <si>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</si>
  <si>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</si>
  <si>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</si>
  <si>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</si>
  <si>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</si>
  <si>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</si>
  <si>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</si>
  <si>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</si>
  <si>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</si>
  <si>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</si>
  <si>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</si>
  <si>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</si>
  <si>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</si>
  <si>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</si>
  <si>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</si>
  <si>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</si>
  <si>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</si>
  <si>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</si>
  <si>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</si>
  <si>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SF-03456</t>
  </si>
  <si>
    <t>SF-03457</t>
  </si>
  <si>
    <t>SF-03458</t>
  </si>
  <si>
    <t>SF-03459</t>
  </si>
  <si>
    <t>SF-03460</t>
  </si>
  <si>
    <t>SF-03461</t>
  </si>
  <si>
    <t>SF-03463</t>
  </si>
  <si>
    <t>SF-03464</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</si>
  <si>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</si>
  <si>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</si>
  <si>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</si>
  <si>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</si>
  <si>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</si>
  <si>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</si>
  <si>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</si>
  <si>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</si>
  <si>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</si>
  <si>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</si>
  <si>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</si>
  <si>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</si>
  <si>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</si>
  <si>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SF-03490</t>
  </si>
  <si>
    <t>SF-03491</t>
  </si>
  <si>
    <t>SF-03494</t>
  </si>
  <si>
    <t>SF-03495</t>
  </si>
  <si>
    <t>SF-03496</t>
  </si>
  <si>
    <t>SF-03501</t>
  </si>
  <si>
    <t>SF-03502</t>
  </si>
  <si>
    <t>Cantoneira de alumínio sextavada para acabamento de quinas de paredes azulejadas</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</si>
  <si>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</si>
  <si>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</si>
  <si>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</si>
  <si>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</si>
  <si>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</si>
  <si>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</si>
  <si>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</si>
  <si>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</si>
  <si>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</si>
  <si>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SF-03510</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</si>
  <si>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</si>
  <si>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</si>
  <si>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</si>
  <si>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</si>
  <si>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</si>
  <si>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</si>
  <si>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</si>
  <si>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</si>
  <si>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</si>
  <si>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</si>
  <si>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</si>
  <si>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</si>
  <si>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</si>
  <si>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</si>
  <si>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</si>
  <si>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</si>
  <si>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Manutenção Civil</t>
  </si>
  <si>
    <t>PLANILHA ORÇAMENTÁRIA</t>
  </si>
  <si>
    <t>QUANTIDADE</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</si>
  <si>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</si>
  <si>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</si>
  <si>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</si>
  <si>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</si>
  <si>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</si>
  <si>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</si>
  <si>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</si>
  <si>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</si>
  <si>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</si>
  <si>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</si>
  <si>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</si>
  <si>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</si>
  <si>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</si>
  <si>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</si>
  <si>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</si>
  <si>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</si>
  <si>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</si>
  <si>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SF-00015</t>
  </si>
  <si>
    <t>Locação de caçambas e destinação final do entulho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</si>
  <si>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</si>
  <si>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</si>
  <si>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</si>
  <si>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</si>
  <si>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</si>
  <si>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</si>
  <si>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</si>
  <si>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</si>
  <si>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</si>
  <si>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</si>
  <si>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</si>
  <si>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</si>
  <si>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</si>
  <si>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</si>
  <si>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</si>
  <si>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</si>
  <si>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</si>
  <si>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</si>
  <si>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</si>
  <si>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</si>
  <si>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</si>
  <si>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</si>
  <si>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</si>
  <si>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</si>
  <si>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</si>
  <si>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</si>
  <si>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</si>
  <si>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</si>
  <si>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</si>
  <si>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</si>
  <si>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</si>
  <si>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</si>
  <si>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</si>
  <si>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</si>
  <si>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</si>
  <si>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</si>
  <si>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</si>
  <si>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</si>
  <si>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</si>
  <si>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</si>
  <si>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</si>
  <si>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</si>
  <si>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SF-00054</t>
  </si>
  <si>
    <t>Esticador de cabo de aço</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</si>
  <si>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</si>
  <si>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</si>
  <si>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</si>
  <si>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</si>
  <si>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</si>
  <si>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</si>
  <si>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</si>
  <si>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</si>
  <si>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</si>
  <si>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</si>
  <si>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</si>
  <si>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</si>
  <si>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</si>
  <si>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SF-00064</t>
  </si>
  <si>
    <t>Placa de ancoragem para extremidade</t>
  </si>
  <si>
    <t>SF-00065</t>
  </si>
  <si>
    <t>Placa de ancoragem para montagem no pilar</t>
  </si>
  <si>
    <t>SF-00066</t>
  </si>
  <si>
    <t>Ponto de ancoragem</t>
  </si>
  <si>
    <t>SF-00068</t>
  </si>
  <si>
    <t>Sistema Guarda-corpo-Rodapé (GcR) metálico</t>
  </si>
  <si>
    <t>SF-00069</t>
  </si>
  <si>
    <t>Suporte intermediário reto para linha de vida</t>
  </si>
  <si>
    <t>Tapume em compensado de madeira</t>
  </si>
  <si>
    <t>SF-00071</t>
  </si>
  <si>
    <t>Trole para linha de vida horizontal</t>
  </si>
  <si>
    <t>SF-00072</t>
  </si>
  <si>
    <t>Trole para travaqueda retrátil</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</si>
  <si>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</si>
  <si>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</si>
  <si>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</si>
  <si>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</si>
  <si>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</si>
  <si>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</si>
  <si>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</si>
  <si>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</si>
  <si>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</si>
  <si>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</si>
  <si>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</si>
  <si>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</si>
  <si>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</si>
  <si>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</si>
  <si>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</si>
  <si>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</si>
  <si>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</si>
  <si>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</si>
  <si>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</si>
  <si>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</si>
  <si>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</si>
  <si>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</si>
  <si>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Tratamento de trincas superficiais com selante acrílico e tela de poliéster</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</si>
  <si>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</si>
  <si>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</si>
  <si>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</si>
  <si>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</si>
  <si>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</si>
  <si>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</si>
  <si>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</si>
  <si>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</si>
  <si>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</si>
  <si>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</si>
  <si>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</si>
  <si>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</si>
  <si>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</si>
  <si>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</si>
  <si>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</si>
  <si>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</si>
  <si>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</si>
  <si>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</si>
  <si>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</si>
  <si>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</si>
  <si>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</si>
  <si>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</si>
  <si>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</si>
  <si>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</si>
  <si>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</si>
  <si>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</si>
  <si>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</si>
  <si>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</si>
  <si>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</si>
  <si>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</si>
  <si>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</si>
  <si>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</si>
  <si>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</si>
  <si>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</si>
  <si>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</si>
  <si>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</si>
  <si>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</si>
  <si>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</si>
  <si>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</si>
  <si>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</si>
  <si>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</si>
  <si>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</si>
  <si>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</si>
  <si>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</si>
  <si>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</si>
  <si>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</si>
  <si>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</si>
  <si>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</si>
  <si>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</si>
  <si>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</si>
  <si>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</si>
  <si>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</si>
  <si>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</si>
  <si>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</si>
  <si>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</si>
  <si>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</si>
  <si>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</si>
  <si>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t>
  </si>
  <si>
    <t>Instalação de persianas reaproveitadas</t>
  </si>
  <si>
    <t>SF-00165</t>
  </si>
  <si>
    <t>Película de poliéster jateada incolor</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</si>
  <si>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</si>
  <si>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</si>
  <si>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</si>
  <si>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</si>
  <si>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</si>
  <si>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</si>
  <si>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</si>
  <si>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</si>
  <si>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</si>
  <si>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</si>
  <si>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</si>
  <si>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</si>
  <si>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</si>
  <si>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</si>
  <si>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</si>
  <si>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</si>
  <si>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</si>
  <si>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</si>
  <si>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</si>
  <si>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</si>
  <si>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</si>
  <si>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</si>
  <si>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</si>
  <si>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</si>
  <si>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</si>
  <si>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</si>
  <si>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</si>
  <si>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</si>
  <si>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</si>
  <si>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</si>
  <si>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</si>
  <si>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</si>
  <si>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</si>
  <si>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</si>
  <si>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</si>
  <si>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</si>
  <si>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</si>
  <si>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</si>
  <si>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</si>
  <si>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</si>
  <si>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</si>
  <si>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</si>
  <si>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</si>
  <si>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</si>
  <si>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</si>
  <si>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</si>
  <si>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</si>
  <si>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</si>
  <si>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</si>
  <si>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</si>
  <si>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</si>
  <si>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</si>
  <si>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</si>
  <si>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</si>
  <si>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</si>
  <si>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</si>
  <si>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</si>
  <si>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</si>
  <si>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</si>
  <si>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</si>
  <si>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</si>
  <si>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</si>
  <si>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</si>
  <si>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</si>
  <si>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</si>
  <si>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</si>
  <si>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100mm</t>
  </si>
  <si>
    <t>Caixa de passagem em PVC 150 x 150 x 75 mm</t>
  </si>
  <si>
    <t>Caixa para piso elevado</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</si>
  <si>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</si>
  <si>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</si>
  <si>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</si>
  <si>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</si>
  <si>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</si>
  <si>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</si>
  <si>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</si>
  <si>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</si>
  <si>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</si>
  <si>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</si>
  <si>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</si>
  <si>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</si>
  <si>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</si>
  <si>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</si>
  <si>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</si>
  <si>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</si>
  <si>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</si>
  <si>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</si>
  <si>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</si>
  <si>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</si>
  <si>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</si>
  <si>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Interruptor para condulete</t>
  </si>
  <si>
    <t>Módulo interruptor paralelo</t>
  </si>
  <si>
    <t>Módulo interruptor simples</t>
  </si>
  <si>
    <t>Módulo tomada 10 A</t>
  </si>
  <si>
    <t>Módulo tomada 20 A</t>
  </si>
  <si>
    <t>Tampa cega metálica para caixas de piso 4 x 2"</t>
  </si>
  <si>
    <t xml:space="preserve">Tampa cega metálica para caixas de piso 4 x 4" </t>
  </si>
  <si>
    <t>Tampa cega para condulete</t>
  </si>
  <si>
    <t>Tampa RJ45 dupla para condulete</t>
  </si>
  <si>
    <t>Tomada para condulete</t>
  </si>
  <si>
    <t>Tomada para perfilado e eletrocalha</t>
  </si>
  <si>
    <t>Bloco autônomo de emergência</t>
  </si>
  <si>
    <t>Instalação de luminária reaproveitada</t>
  </si>
  <si>
    <t>Luminária 2 x 7,5 W de embutir</t>
  </si>
  <si>
    <t>Luminária 2 x 7,5 W de sobrepor</t>
  </si>
  <si>
    <t>Luminária 2 x 15 W de embutir</t>
  </si>
  <si>
    <t>Luminária 2 x 15 W de sobrepor</t>
  </si>
  <si>
    <t>Condutor 10 mm²</t>
  </si>
  <si>
    <t>Condutor 16 mm²</t>
  </si>
  <si>
    <t>Condutor 2,5 mm²</t>
  </si>
  <si>
    <t>Condutor 3x2,5 mm²</t>
  </si>
  <si>
    <t>Condutor 4 mm²</t>
  </si>
  <si>
    <t>Condutor 4x2,5 mm²</t>
  </si>
  <si>
    <t>Condutor 6 mm²</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</si>
  <si>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</si>
  <si>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</si>
  <si>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</si>
  <si>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</si>
  <si>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</si>
  <si>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</si>
  <si>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</si>
  <si>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</si>
  <si>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 x 360 mm</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</si>
  <si>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</si>
  <si>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</si>
  <si>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</si>
  <si>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</si>
  <si>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</si>
  <si>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</si>
  <si>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</si>
  <si>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</si>
  <si>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</si>
  <si>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</si>
  <si>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</si>
  <si>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</si>
  <si>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</si>
  <si>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</si>
  <si>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</si>
  <si>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</si>
  <si>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</si>
  <si>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</si>
  <si>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</si>
  <si>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</si>
  <si>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</si>
  <si>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</si>
  <si>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</si>
  <si>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</si>
  <si>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</si>
  <si>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</si>
  <si>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</si>
  <si>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</si>
  <si>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</si>
  <si>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</si>
  <si>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</si>
  <si>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</si>
  <si>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</si>
  <si>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</si>
  <si>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</si>
  <si>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</si>
  <si>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</si>
  <si>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</si>
  <si>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</si>
  <si>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</si>
  <si>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</si>
  <si>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</si>
  <si>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</si>
  <si>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</si>
  <si>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</si>
  <si>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</si>
  <si>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</si>
  <si>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</si>
  <si>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</si>
  <si>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</si>
  <si>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</si>
  <si>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</si>
  <si>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</si>
  <si>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</si>
  <si>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</si>
  <si>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</si>
  <si>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</si>
  <si>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x 0,60m, pintada</t>
  </si>
  <si>
    <t>Folha de porta em madeira 2,10 x 0,70m, pintada</t>
  </si>
  <si>
    <t>Folha de porta em madeira 2,10 x 0,80m, pintada</t>
  </si>
  <si>
    <t>Folha de porta em madeira 2,10 x 0,90m, pintada</t>
  </si>
  <si>
    <t>Folha de porta em madeira 2,10 x 1,0m, pintada</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</si>
  <si>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</si>
  <si>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</si>
  <si>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</si>
  <si>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</si>
  <si>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</si>
  <si>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</si>
  <si>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</si>
  <si>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</si>
  <si>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</si>
  <si>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</si>
  <si>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</si>
  <si>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</si>
  <si>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</si>
  <si>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</si>
  <si>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x 325 mm</t>
  </si>
  <si>
    <t>SF-00384</t>
  </si>
  <si>
    <t>Massa para calafetar madeira</t>
  </si>
  <si>
    <t>Dobradiça para porta com anel</t>
  </si>
  <si>
    <t>Fechadura para porta externa maçaneta em barra (fornecimento)</t>
  </si>
  <si>
    <t>Fechadura para Porta Externa com Espelho - Millenio</t>
  </si>
  <si>
    <t>Fechadura para Porta de Banheiro com Espelho - Millenio</t>
  </si>
  <si>
    <t>Tarjeta Livre / Ocupado para portas de banheiro</t>
  </si>
  <si>
    <t>Fechadura de embutir para armário e gaveta</t>
  </si>
  <si>
    <t>Fechadura de embutir para móveis – Fechamento Superior - Referência 861</t>
  </si>
  <si>
    <t>Fechadura de embutir para móveis – Fechamento lateral - Referência 871</t>
  </si>
  <si>
    <t>par</t>
  </si>
  <si>
    <t>Puxador alça 102 mm</t>
  </si>
  <si>
    <t>Espuma Expansiva à base de poliuretano</t>
  </si>
  <si>
    <t>500 ml</t>
  </si>
  <si>
    <t>Adesivo de Contato à Base d’água</t>
  </si>
  <si>
    <t>Laminado fenólico melamínico texturizado - Azul Noturno</t>
  </si>
  <si>
    <t>Laminado fenólico melamínico texturizado - Branco</t>
  </si>
  <si>
    <t>Laminado fenólico melamínico texturizado - Ovo</t>
  </si>
  <si>
    <t>Tábua de Madeira bruta aparelhada - Pinus</t>
  </si>
  <si>
    <t>Sarrafo De Madeira</t>
  </si>
  <si>
    <t>Caibro De Madeira</t>
  </si>
  <si>
    <t>Painel de MDF Laminado – Branco - 06 mm</t>
  </si>
  <si>
    <t>Painel de MDF Laminado - Branco - 15 mm</t>
  </si>
  <si>
    <t>Painel de MDF Laminado – Branco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</si>
  <si>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</si>
  <si>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</si>
  <si>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</si>
  <si>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</si>
  <si>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</si>
  <si>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</si>
  <si>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</si>
  <si>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</si>
  <si>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</si>
  <si>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</si>
  <si>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</si>
  <si>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</si>
  <si>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</si>
  <si>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</si>
  <si>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</si>
  <si>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Tela metálica para estuque</t>
  </si>
  <si>
    <t>Arame galvanizado, bitola 16 BWG (1,65 mm)</t>
  </si>
  <si>
    <t>Tela em aço galvanizado, tipo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</si>
  <si>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</si>
  <si>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</si>
  <si>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</si>
  <si>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</si>
  <si>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</si>
  <si>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</si>
  <si>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</si>
  <si>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</si>
  <si>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</si>
  <si>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</si>
  <si>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</si>
  <si>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</si>
  <si>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</si>
  <si>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</si>
  <si>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</si>
  <si>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</si>
  <si>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</si>
  <si>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</si>
  <si>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</si>
  <si>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</si>
  <si>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</si>
  <si>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</si>
  <si>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</si>
  <si>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Adesivo Selante Poliuretano</t>
  </si>
  <si>
    <t>Selante de Silicone</t>
  </si>
  <si>
    <t>Aditivo Impermeabilizante</t>
  </si>
  <si>
    <t>Lona Plástica (e ≥ 200µ)</t>
  </si>
  <si>
    <t>Lona Plástica (e=100µ)</t>
  </si>
  <si>
    <t>Supervisor(a)-Geral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</si>
  <si>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</si>
  <si>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</si>
  <si>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</si>
  <si>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</si>
  <si>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</si>
  <si>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</si>
  <si>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</si>
  <si>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</si>
  <si>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</si>
  <si>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</si>
  <si>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</si>
  <si>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</si>
  <si>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SF-00720</t>
  </si>
  <si>
    <t>Alicate meia cana 6''</t>
  </si>
  <si>
    <t>SF-00721</t>
  </si>
  <si>
    <t>Alicate torquês de 8"</t>
  </si>
  <si>
    <t>SF-00722</t>
  </si>
  <si>
    <t>Alicate universal de 8"</t>
  </si>
  <si>
    <t>SF-00723</t>
  </si>
  <si>
    <t>Arco de serra</t>
  </si>
  <si>
    <t>SF-00724</t>
  </si>
  <si>
    <t>Aspirador de pó industrial</t>
  </si>
  <si>
    <t>SF-00725</t>
  </si>
  <si>
    <t>Balde metálico</t>
  </si>
  <si>
    <t>SF-00726</t>
  </si>
  <si>
    <t>Caixa para ferramenta sanfonada metálica com cadeado</t>
  </si>
  <si>
    <t>SF-00727</t>
  </si>
  <si>
    <t>Carretel com linha em caixa de pó para marcação</t>
  </si>
  <si>
    <t>Carrinho de mão reforçado</t>
  </si>
  <si>
    <t>SF-00729</t>
  </si>
  <si>
    <t>Cavadeira articulada</t>
  </si>
  <si>
    <t>SF-00730</t>
  </si>
  <si>
    <t>Chave de fenda de 1/2" x 10"</t>
  </si>
  <si>
    <t>SF-00731</t>
  </si>
  <si>
    <t>Chave de fenda de 1/4"</t>
  </si>
  <si>
    <t>SF-00732</t>
  </si>
  <si>
    <t>Chave de fenda de 3/16" x 5"</t>
  </si>
  <si>
    <t>SF-00733</t>
  </si>
  <si>
    <t>Chave Philips PH2 1/4" x 6"</t>
  </si>
  <si>
    <t>SF-00734</t>
  </si>
  <si>
    <t>Chave Philips PH3 5/16" x 8"</t>
  </si>
  <si>
    <t>SF-00735</t>
  </si>
  <si>
    <t>Compressor de Ar</t>
  </si>
  <si>
    <t>SF-00736</t>
  </si>
  <si>
    <t>Enxadão com cabo</t>
  </si>
  <si>
    <t>Enxadão estreito com cabo</t>
  </si>
  <si>
    <t>SF-00738</t>
  </si>
  <si>
    <t>Escada duplo acesso 6 degraus</t>
  </si>
  <si>
    <t>SF-00739</t>
  </si>
  <si>
    <t>Escada tipo tesoura e singela de fibra com 2 m</t>
  </si>
  <si>
    <t>SF-00740</t>
  </si>
  <si>
    <t>Escala métrica de madeira 2 m</t>
  </si>
  <si>
    <t>SF-00741</t>
  </si>
  <si>
    <t>Esmerilhadeira Angular 4,5’’</t>
  </si>
  <si>
    <t>SF-00742</t>
  </si>
  <si>
    <t>Esmerilhadeira Angular 7’’</t>
  </si>
  <si>
    <t>SF-00743</t>
  </si>
  <si>
    <t>Espátula forjada de 12 cm</t>
  </si>
  <si>
    <t>SF-00744</t>
  </si>
  <si>
    <t>Espátula forjada de 4 cm</t>
  </si>
  <si>
    <t>Espátula forjada de 8 cm</t>
  </si>
  <si>
    <t>Esquadro 300 mm</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</si>
  <si>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</si>
  <si>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</si>
  <si>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</si>
  <si>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</si>
  <si>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</si>
  <si>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</si>
  <si>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</si>
  <si>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</si>
  <si>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</si>
  <si>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</si>
  <si>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SF-00755</t>
  </si>
  <si>
    <t>Linha de pedreiro de 100 m</t>
  </si>
  <si>
    <t>SF-00756</t>
  </si>
  <si>
    <t>Marreta de 1 kg</t>
  </si>
  <si>
    <t>SF-00757</t>
  </si>
  <si>
    <t>Marreta de borracha de 600 g</t>
  </si>
  <si>
    <t>SF-00758</t>
  </si>
  <si>
    <t>Martelo de bola 500 g</t>
  </si>
  <si>
    <t>SF-00759</t>
  </si>
  <si>
    <t>Martelo de pena 300 g</t>
  </si>
  <si>
    <t>SF-00760</t>
  </si>
  <si>
    <t>Martelo tipo unha</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</si>
  <si>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</si>
  <si>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</si>
  <si>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</si>
  <si>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</si>
  <si>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</si>
  <si>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</si>
  <si>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</si>
  <si>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</si>
  <si>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</si>
  <si>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</si>
  <si>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</si>
  <si>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</si>
  <si>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</si>
  <si>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</si>
  <si>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</si>
  <si>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</si>
  <si>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Prumo de centro</t>
  </si>
  <si>
    <t>Prumo de parede</t>
  </si>
  <si>
    <t>SF-00771</t>
  </si>
  <si>
    <t>Rebitadeira manual</t>
  </si>
  <si>
    <t>Régua de alumínio para pedreiro com 2 m</t>
  </si>
  <si>
    <t>SF-00773</t>
  </si>
  <si>
    <t>Serrote 20"</t>
  </si>
  <si>
    <t>SF-00774</t>
  </si>
  <si>
    <t>Serrote de costa</t>
  </si>
  <si>
    <t>SF-00775</t>
  </si>
  <si>
    <t>Tesoura</t>
  </si>
  <si>
    <t>SF-00776</t>
  </si>
  <si>
    <t>Tesoura de chapas tipo aviação</t>
  </si>
  <si>
    <t>SF-00777</t>
  </si>
  <si>
    <t>Trena de 5 m</t>
  </si>
  <si>
    <t>SF-00785</t>
  </si>
  <si>
    <t>Lixadeira e politriz angular 7’’/9’’</t>
  </si>
  <si>
    <t>SF-00806</t>
  </si>
  <si>
    <t>Maçarico para gás GLP</t>
  </si>
  <si>
    <t>SF-00808</t>
  </si>
  <si>
    <t>Betoneira monofásica 400 L</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</si>
  <si>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</si>
  <si>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</si>
  <si>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</si>
  <si>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</si>
  <si>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</si>
  <si>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</si>
  <si>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</si>
  <si>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</si>
  <si>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</si>
  <si>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</si>
  <si>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Desempenadeira de aço lisa</t>
  </si>
  <si>
    <t>Desempenadeira estriada em PVC 14 x 27 cm</t>
  </si>
  <si>
    <t>SF-00816</t>
  </si>
  <si>
    <t>Desempenadeira lisa em PVC 18 x 30 cm</t>
  </si>
  <si>
    <t>SF-00817</t>
  </si>
  <si>
    <t>Martelete demolidor 1,7 kW (12 kg)</t>
  </si>
  <si>
    <t>SF-00818</t>
  </si>
  <si>
    <t>Martelete demolidor 2 kW (30 kg)</t>
  </si>
  <si>
    <t>SF-00819</t>
  </si>
  <si>
    <t>Rolo lã de carneiro 23 cm com suporte</t>
  </si>
  <si>
    <t>SF-00820</t>
  </si>
  <si>
    <t>Trado perfurador para terra manual 25 cm</t>
  </si>
  <si>
    <t>SF-00821</t>
  </si>
  <si>
    <t>Plataforma de trabalho aéreo articulada</t>
  </si>
  <si>
    <t>dia</t>
  </si>
  <si>
    <t>SF-00822</t>
  </si>
  <si>
    <t>Relógio de ponto biométrico</t>
  </si>
  <si>
    <t>pç</t>
  </si>
  <si>
    <t>Bota de PVC</t>
  </si>
  <si>
    <t>Capa de chuva</t>
  </si>
  <si>
    <t>Talabarte em Y</t>
  </si>
  <si>
    <t>Instalação de vidro (comum, temperado, aramado ou laminado) reaproveitado</t>
  </si>
  <si>
    <t>Vidro temperado incolor com 8mm de espessura</t>
  </si>
  <si>
    <t>Vidro liso comum transparente 5mm</t>
  </si>
  <si>
    <t>Corte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</si>
  <si>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</si>
  <si>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</si>
  <si>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</si>
  <si>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</si>
  <si>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</si>
  <si>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</si>
  <si>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</si>
  <si>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</si>
  <si>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</si>
  <si>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</si>
  <si>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</si>
  <si>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</si>
  <si>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</si>
  <si>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</si>
  <si>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</si>
  <si>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</si>
  <si>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</si>
  <si>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</si>
  <si>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</si>
  <si>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</si>
  <si>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</si>
  <si>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</si>
  <si>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</si>
  <si>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</si>
  <si>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</si>
  <si>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</si>
  <si>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</si>
  <si>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</si>
  <si>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</si>
  <si>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</si>
  <si>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</si>
  <si>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</si>
  <si>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</si>
  <si>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</si>
  <si>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SF-00882</t>
  </si>
  <si>
    <t>Suporte tipo “Spiderglass” para vidro temperado</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</si>
  <si>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</si>
  <si>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</si>
  <si>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</si>
  <si>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</si>
  <si>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</si>
  <si>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</si>
  <si>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</si>
  <si>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</si>
  <si>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</si>
  <si>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x 50 mm</t>
  </si>
  <si>
    <t>Veda fresta adesivo “E” branco</t>
  </si>
  <si>
    <t>Vedapress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</si>
  <si>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</si>
  <si>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</si>
  <si>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</si>
  <si>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</si>
  <si>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</si>
  <si>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</si>
  <si>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</si>
  <si>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</si>
  <si>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</si>
  <si>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</si>
  <si>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</si>
  <si>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</si>
  <si>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</si>
  <si>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</si>
  <si>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</si>
  <si>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 mm (canelado, martelado, pontilhado e mini-boreal)</t>
  </si>
  <si>
    <t>Vidro fumê/bronze 5 mm</t>
  </si>
  <si>
    <t>Recuperação de massa em esquadria metálica</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</si>
  <si>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</si>
  <si>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</si>
  <si>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</si>
  <si>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</si>
  <si>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</si>
  <si>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</si>
  <si>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</si>
  <si>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</si>
  <si>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de vala com compactação mecanizada</t>
  </si>
  <si>
    <t>Tubo de cobre classe "E" 22 mm</t>
  </si>
  <si>
    <t>Tubo de cobre classe "E" 28 mm</t>
  </si>
  <si>
    <t>Tubo de cobre classe "E" 42 mm</t>
  </si>
  <si>
    <t>Bacia conforto (h=44 cm) – Linha Acessibilidade</t>
  </si>
  <si>
    <t>Assento para bacia convencional - Linha Acessibilidade</t>
  </si>
  <si>
    <t>Base registro de gaveta 1 1/2”</t>
  </si>
  <si>
    <t>Condutor 25 mm²</t>
  </si>
  <si>
    <t>Condutor 35 mm²</t>
  </si>
  <si>
    <t>Condutor 50 mm²</t>
  </si>
  <si>
    <t>Condutor 70 mm²</t>
  </si>
  <si>
    <t>Condutor 95 mm²</t>
  </si>
  <si>
    <t>Condutor 120 mm²</t>
  </si>
  <si>
    <t>Condutor 150 mm²</t>
  </si>
  <si>
    <t>Condutor 185 mm²</t>
  </si>
  <si>
    <t>Condutor 240 mm²</t>
  </si>
  <si>
    <t>Montagem e desmontagem de andaime fachadeiro</t>
  </si>
  <si>
    <t>Montagem e desmontagem de andaime tubular</t>
  </si>
  <si>
    <t>Tela de proteção para andaime</t>
  </si>
  <si>
    <t>SF-00941</t>
  </si>
  <si>
    <t>Plataforma de trabalho aéreo tesoura</t>
  </si>
  <si>
    <t>Remoção de folha de porta de enrolar</t>
  </si>
  <si>
    <t>Base registro de gaveta 1"</t>
  </si>
  <si>
    <t>Base registro de pressão 3/4"</t>
  </si>
  <si>
    <t>Tampa em ferro fundido T-33</t>
  </si>
  <si>
    <t>Arquiteto(a) com experiência em intervenção no patrimônio cultural</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</si>
  <si>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</si>
  <si>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</si>
  <si>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</si>
  <si>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</si>
  <si>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</si>
  <si>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</si>
  <si>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</si>
  <si>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</si>
  <si>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</si>
  <si>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</si>
  <si>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</si>
  <si>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</si>
  <si>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</si>
  <si>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</si>
  <si>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</si>
  <si>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</si>
  <si>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</si>
  <si>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</si>
  <si>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</si>
  <si>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</si>
  <si>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</si>
  <si>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</si>
  <si>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</si>
  <si>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</si>
  <si>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</si>
  <si>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</si>
  <si>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</si>
  <si>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</si>
  <si>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</si>
  <si>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</si>
  <si>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</si>
  <si>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Tratamento de juntas de movimentação em revestimentos</t>
  </si>
  <si>
    <t>Adesivo Selante Poliuretano – fornecimento e aplicação</t>
  </si>
  <si>
    <t>Chuveiro elétrico</t>
  </si>
  <si>
    <t>Lastro em concreto magro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</si>
  <si>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</si>
  <si>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</si>
  <si>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</si>
  <si>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</si>
  <si>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</si>
  <si>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</si>
  <si>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</si>
  <si>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</si>
  <si>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</si>
  <si>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</si>
  <si>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</si>
  <si>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</si>
  <si>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</si>
  <si>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</si>
  <si>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</si>
  <si>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Fixadores metálicos para rochas ornamentais (Modelo Edifício Principal, peça inferior)</t>
  </si>
  <si>
    <t>SF-00995</t>
  </si>
  <si>
    <t>Montagem e desmontagem de andaime suspenso tipo leve (balancim)</t>
  </si>
  <si>
    <t>SF-00996</t>
  </si>
  <si>
    <t>Deslocamento de andaime suspenso tipo leve (balancim)</t>
  </si>
  <si>
    <t>Locação de Container - Escritório</t>
  </si>
  <si>
    <t xml:space="preserve">mês </t>
  </si>
  <si>
    <t>Abertura/fechamento de rasgo em concreto</t>
  </si>
  <si>
    <t>Recomposição de rejuntamento sobre revestimentos</t>
  </si>
  <si>
    <t>Impermeabilização de revestimentos em pedra</t>
  </si>
  <si>
    <t>Piso vinílico semiflexível</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</si>
  <si>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</si>
  <si>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</si>
  <si>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</si>
  <si>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</si>
  <si>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</si>
  <si>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</si>
  <si>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 de Obras e Manutenção – Apoio de campo – Sistemas de climatização</t>
  </si>
  <si>
    <t>Supervisor de Obras e Manutenção – Apoio de campo - Elevadores</t>
  </si>
  <si>
    <t>Supervisor de Obras e Manutenção – Apoio de campo - Eletrotécnico</t>
  </si>
  <si>
    <t>Supervisor de Obras e Manutenção – Apoio de Campo - Obras Civis</t>
  </si>
  <si>
    <t>Supervisor de Obras e Manutenção – Apoio de Campo - Hidrossanitário</t>
  </si>
  <si>
    <t>Supervisor de Obras e Manutenção – Apoio de campo – Planejamento</t>
  </si>
  <si>
    <t>Supervisor de Obras e Manutenção – Apoio de campo – Segurança do Trabalho</t>
  </si>
  <si>
    <t>SF-01043</t>
  </si>
  <si>
    <t>Trena de 100 m</t>
  </si>
  <si>
    <t xml:space="preserve">Reparo de placas de mármore com adesivo estrutural epóxi branco/transparente </t>
  </si>
  <si>
    <t>cm3</t>
  </si>
  <si>
    <t>Perfil de chapa de aço galvanizado para esquadria (Anexo 1)</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</si>
  <si>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</si>
  <si>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</si>
  <si>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</si>
  <si>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</si>
  <si>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</si>
  <si>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</si>
  <si>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</si>
  <si>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</si>
  <si>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</si>
  <si>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</si>
  <si>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</si>
  <si>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</si>
  <si>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</si>
  <si>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</si>
  <si>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</si>
  <si>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</si>
  <si>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</si>
  <si>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</si>
  <si>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</si>
  <si>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</si>
  <si>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Perfil “U” em aço 25 x 25 mm</t>
  </si>
  <si>
    <t>Alimentação para mão-de-obra indireta</t>
  </si>
  <si>
    <t>Transporte para mão-de-obra indireta</t>
  </si>
  <si>
    <t>SF-01085</t>
  </si>
  <si>
    <t>Transporte (mobilização ou desmobilização) de Container</t>
  </si>
  <si>
    <t>Cotovelo de cobre de 1 3/8”</t>
  </si>
  <si>
    <t>Cotovelo de cobre de 1 5/8”</t>
  </si>
  <si>
    <t>Cotovelo de cobre de 7/8”</t>
  </si>
  <si>
    <t>Luva de cobre de 1 3/8”</t>
  </si>
  <si>
    <t>Luva de cobre de 1 5/8”</t>
  </si>
  <si>
    <t>Luva de cobre de 7/8”</t>
  </si>
  <si>
    <t>Tubo de cobre de 1 3/8”</t>
  </si>
  <si>
    <t>Tubo de cobre de 1 5/8”</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</si>
  <si>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</si>
  <si>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</si>
  <si>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</si>
  <si>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</si>
  <si>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</si>
  <si>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</si>
  <si>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</si>
  <si>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</si>
  <si>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</si>
  <si>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Granitina para revestimento de pisos</t>
  </si>
  <si>
    <t>Piso vinílico flexível em manta</t>
  </si>
  <si>
    <t>Tratamento de juntas de dilatação ou movimentação estrutural</t>
  </si>
  <si>
    <t>Recuperação superficial de preparação para pintura epóxi de alto desempenho</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</si>
  <si>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</si>
  <si>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</si>
  <si>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</si>
  <si>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</si>
  <si>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</si>
  <si>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</si>
  <si>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</si>
  <si>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</si>
  <si>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</si>
  <si>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SF-01122</t>
  </si>
  <si>
    <t>Pintura Eletrostática</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</si>
  <si>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</si>
  <si>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</si>
  <si>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</si>
  <si>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</si>
  <si>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</si>
  <si>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</si>
  <si>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</si>
  <si>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</si>
  <si>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</si>
  <si>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 com adição de microesferas de vidro</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</si>
  <si>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</si>
  <si>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</si>
  <si>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</si>
  <si>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</si>
  <si>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</si>
  <si>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</si>
  <si>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</si>
  <si>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</si>
  <si>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</si>
  <si>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</si>
  <si>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</si>
  <si>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</si>
  <si>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</si>
  <si>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</si>
  <si>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</si>
  <si>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</si>
  <si>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</si>
  <si>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cj x mês</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</si>
  <si>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</si>
  <si>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</si>
  <si>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</si>
  <si>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</si>
  <si>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</si>
  <si>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</si>
  <si>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</si>
  <si>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</si>
  <si>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</si>
  <si>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</si>
  <si>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</si>
  <si>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</si>
  <si>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</si>
  <si>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</si>
  <si>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</si>
  <si>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</si>
  <si>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Injeção de Resina de Poliuretano em fissuras em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</si>
  <si>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</si>
  <si>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</si>
  <si>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</si>
  <si>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</si>
  <si>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</si>
  <si>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</si>
  <si>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</si>
  <si>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</si>
  <si>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</si>
  <si>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</si>
  <si>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</si>
  <si>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</si>
  <si>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</si>
  <si>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</si>
  <si>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</si>
  <si>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</si>
  <si>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</si>
  <si>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</si>
  <si>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Calha em chapa de zinco # 24 - Modelo 1</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</si>
  <si>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</si>
  <si>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</si>
  <si>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</si>
  <si>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</si>
  <si>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</si>
  <si>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</si>
  <si>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</si>
  <si>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</si>
  <si>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</si>
  <si>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</si>
  <si>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</si>
  <si>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</si>
  <si>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</si>
  <si>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</si>
  <si>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Jogo de chave allen curto métrico</t>
  </si>
  <si>
    <t>SF-01193</t>
  </si>
  <si>
    <t>Jogo de chave allen longo métrico</t>
  </si>
  <si>
    <t>SF-01194</t>
  </si>
  <si>
    <t>Conjunto de chaves de boca de 6 a 32 mm</t>
  </si>
  <si>
    <t>SF-01195</t>
  </si>
  <si>
    <t>Conjunto de chaves de boca de 1/4" a 1 1/4"</t>
  </si>
  <si>
    <t>SF-01196</t>
  </si>
  <si>
    <t>Conjunto de escovas de aço (pequena, média e grande)</t>
  </si>
  <si>
    <t>SF-01197</t>
  </si>
  <si>
    <t>Marreta de 2 kg</t>
  </si>
  <si>
    <t>SF-01198</t>
  </si>
  <si>
    <t>Marreta de 5 kg</t>
  </si>
  <si>
    <t>SF-01199</t>
  </si>
  <si>
    <t>Marreta de 10 kg</t>
  </si>
  <si>
    <t>SF-01200</t>
  </si>
  <si>
    <t>Conjunto Pé de cabra 15" x 16 mm e 24" x 19 mm</t>
  </si>
  <si>
    <t>Talhadeira</t>
  </si>
  <si>
    <t>SF-01202</t>
  </si>
  <si>
    <t>Serra copo diamantada (conjunto de 1/2" a 1 1/2")</t>
  </si>
  <si>
    <t>SF-01203</t>
  </si>
  <si>
    <t>Cortadora de Piso a Gasolina</t>
  </si>
  <si>
    <t>SF-01204</t>
  </si>
  <si>
    <t>Cortadora de Parede</t>
  </si>
  <si>
    <t>Enxada com cabo (2,5 libras)</t>
  </si>
  <si>
    <t>Escada extensível de alumínio dupla 2x8</t>
  </si>
  <si>
    <t>SF-01207</t>
  </si>
  <si>
    <t>Escada extensível de alumínio dupla 2x12</t>
  </si>
  <si>
    <t>SF-01208</t>
  </si>
  <si>
    <t>Escada tipo tesoura duplo acesso de fibra com 12 degraus</t>
  </si>
  <si>
    <t>SF-01209</t>
  </si>
  <si>
    <t>Exaustor para espaço confinado</t>
  </si>
  <si>
    <t>SF-01210</t>
  </si>
  <si>
    <t>Furadeira/Parafusadeira elétrica</t>
  </si>
  <si>
    <t>SF-01211</t>
  </si>
  <si>
    <t>Furadeira de impacto/parafusadeira à bateria</t>
  </si>
  <si>
    <t>SF-01212</t>
  </si>
  <si>
    <t>Jogo de Bits pontas e soquetes para Furadeira/ Parafusadeira</t>
  </si>
  <si>
    <t>SF-01213</t>
  </si>
  <si>
    <t>Jogo de chave torx</t>
  </si>
  <si>
    <t>Mangueira de nível de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</si>
  <si>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</si>
  <si>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</si>
  <si>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</si>
  <si>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</si>
  <si>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</si>
  <si>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</si>
  <si>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</si>
  <si>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</si>
  <si>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</si>
  <si>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</si>
  <si>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</si>
  <si>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</si>
  <si>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</si>
  <si>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</si>
  <si>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</si>
  <si>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</si>
  <si>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</si>
  <si>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</si>
  <si>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</si>
  <si>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Manta autocolante aluminizada</t>
  </si>
  <si>
    <t>Primer para aplicação de manta autocolante aluminizada</t>
  </si>
  <si>
    <t>Carpete aveludado azul royal - fornecimento e instalação</t>
  </si>
  <si>
    <t>Demolição de revestimento de piso têxtil (carpete)</t>
  </si>
  <si>
    <t>Bancada em granito cinza andorinha polido - 2,40 m x 0,60 m</t>
  </si>
  <si>
    <t>Bancada em granito cinza andorinha polido - 2,50 m x 0,60 m</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</si>
  <si>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</si>
  <si>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</si>
  <si>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</si>
  <si>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</si>
  <si>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</si>
  <si>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</si>
  <si>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</si>
  <si>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</si>
  <si>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</si>
  <si>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</si>
  <si>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</si>
  <si>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</si>
  <si>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</si>
  <si>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</si>
  <si>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</si>
  <si>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</si>
  <si>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</si>
  <si>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</si>
  <si>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</si>
  <si>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</si>
  <si>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</si>
  <si>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</si>
  <si>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</si>
  <si>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</si>
  <si>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x 0,60 m</t>
  </si>
  <si>
    <t>Folha de porta em madeira e MDF 2,10 x 0,70 m</t>
  </si>
  <si>
    <t>Folha de porta em madeira e MDF 2,10 x 0,80 m</t>
  </si>
  <si>
    <t>Folha de porta em madeira e MDF 2,10 x 0,90 m</t>
  </si>
  <si>
    <t>Remoção de boiler</t>
  </si>
  <si>
    <t>Remoção de tacos de madeira</t>
  </si>
  <si>
    <t>Cerâmica 30 x 60 cm - Glacier White - Portobello – Linha Residencial</t>
  </si>
  <si>
    <t>Instalação de tacos de madeira reaproveitados</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</si>
  <si>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</si>
  <si>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</si>
  <si>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</si>
  <si>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</si>
  <si>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</si>
  <si>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</si>
  <si>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</si>
  <si>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</si>
  <si>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</si>
  <si>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</si>
  <si>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</si>
  <si>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</si>
  <si>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Bandeira de porta, em madeira e MDF</t>
  </si>
  <si>
    <t>Bandeira de porta, em madeira pintada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</si>
  <si>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</si>
  <si>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</si>
  <si>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</si>
  <si>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</si>
  <si>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</si>
  <si>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</si>
  <si>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</si>
  <si>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</si>
  <si>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</si>
  <si>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</si>
  <si>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</si>
  <si>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</si>
  <si>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</si>
  <si>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</si>
  <si>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</si>
  <si>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</si>
  <si>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 - fornecimento e instalação</t>
  </si>
  <si>
    <t>Caixa de Passagem Subterrânea 1600 x 2000 mm</t>
  </si>
  <si>
    <t>Projeto Executivo de Rede de Telecomunicações Backbone</t>
  </si>
  <si>
    <t>Eletroduto PEAD 2”</t>
  </si>
  <si>
    <t>Tampa em Ferro Fundido - Circular DN-600 mm Classe 400</t>
  </si>
  <si>
    <t>Tubo de sistema PEX multicamada flexível 20 mm para gás</t>
  </si>
  <si>
    <t>Tubo de sistema PEX multicamada flexível 26 mm para gás</t>
  </si>
  <si>
    <t>Bloco autônomo de emergência 1000 lumens – fornecimento e instalação</t>
  </si>
  <si>
    <t>Cabo Ethernet blindado</t>
  </si>
  <si>
    <t>Cabo de fibra óptica 12 fibras</t>
  </si>
  <si>
    <t>Cabos de cobre para comunicação CANbus</t>
  </si>
  <si>
    <t>Cabos de cobre para comunicação padrão RS-485</t>
  </si>
  <si>
    <t>Condulete de alumínio de 2”</t>
  </si>
  <si>
    <t>Distribuidor Interno Óptico Industrial – fornecimento e instalação</t>
  </si>
  <si>
    <t>Eletroduto PEAD 5”</t>
  </si>
  <si>
    <t>Interruptor duplo para condulete</t>
  </si>
  <si>
    <t>Leito 400 x 100 mm</t>
  </si>
  <si>
    <t>Leito 600 x 100 mm</t>
  </si>
  <si>
    <t>Luminária 2x28 W hermética de sobrepor</t>
  </si>
  <si>
    <t xml:space="preserve">Luminária LED para poste 60 W </t>
  </si>
  <si>
    <t xml:space="preserve">Luminária LED para poste 120 W </t>
  </si>
  <si>
    <t>Poste curvo simples 8 metros</t>
  </si>
  <si>
    <t>Caixa de Passagem Subterrânea 300 x 300 x 500mm</t>
  </si>
  <si>
    <t>Caixa de Passagem Subterrânea 600 x 600 x 800mm</t>
  </si>
  <si>
    <t>Kit terminal para cabo de potência, 8,7 kV / 15 kV, 95 mm²</t>
  </si>
  <si>
    <t>Kit terminal para cabo de potência, 8,7 kV / 15 kV, 240 mm²</t>
  </si>
  <si>
    <t xml:space="preserve">Tomada para condulete de 20 A </t>
  </si>
  <si>
    <t>mês</t>
  </si>
  <si>
    <t>Cabo de cobre nu 50 mm²</t>
  </si>
  <si>
    <t>Haste de aterramento 3/4” x 3 m</t>
  </si>
  <si>
    <t>Leito 800 x 100 mm</t>
  </si>
  <si>
    <t>Engenheiro(a) eletricista pleno</t>
  </si>
  <si>
    <t>Mão francesa metálica dupla</t>
  </si>
  <si>
    <t>Óleo diesel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</si>
  <si>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</si>
  <si>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</si>
  <si>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</si>
  <si>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</si>
  <si>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</si>
  <si>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</si>
  <si>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</si>
  <si>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</si>
  <si>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</si>
  <si>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</si>
  <si>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</si>
  <si>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</si>
  <si>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</si>
  <si>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</si>
  <si>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</si>
  <si>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</si>
  <si>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</si>
  <si>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</si>
  <si>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</si>
  <si>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</si>
  <si>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pct</t>
  </si>
  <si>
    <t>Chapa de aço galvanizado</t>
  </si>
  <si>
    <t>Perfil de aço</t>
  </si>
  <si>
    <t>Condulete de alumínio de 3/4”</t>
  </si>
  <si>
    <t>Condulete de alumínio de 1”</t>
  </si>
  <si>
    <t>Condulete de alumínio de 1 1/4”</t>
  </si>
  <si>
    <t>Condulete de alumínio de 1 1/2”</t>
  </si>
  <si>
    <t xml:space="preserve">Condulete de alumínio de 2” </t>
  </si>
  <si>
    <t>Condulete de alumínio de 3”</t>
  </si>
  <si>
    <t>Condulete de alumínio de 4”</t>
  </si>
  <si>
    <t>Tampa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</si>
  <si>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</si>
  <si>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</si>
  <si>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</si>
  <si>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</si>
  <si>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</si>
  <si>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</si>
  <si>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</si>
  <si>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</si>
  <si>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</si>
  <si>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</si>
  <si>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Cobre nu 16 mm²</t>
  </si>
  <si>
    <t>Cobre nu 25 mm²</t>
  </si>
  <si>
    <t>Cobre nu 35 mm²</t>
  </si>
  <si>
    <t>Cobre nu 50 mm²</t>
  </si>
  <si>
    <t>Cobre nu 70 mm²</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</si>
  <si>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</si>
  <si>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</si>
  <si>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</si>
  <si>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</si>
  <si>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</si>
  <si>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</si>
  <si>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 xml:space="preserve">Eletroduto de aço galvanizado de 3” </t>
  </si>
  <si>
    <t>Eletroduto de aço galvanizado de 4”</t>
  </si>
  <si>
    <t>Eletroduto de aço galvanizado a fogo de 1”</t>
  </si>
  <si>
    <t>Eletroduto de aço galvanizado a fogo de 1 1/2”</t>
  </si>
  <si>
    <t>Eletroduto de aço galvanizado a fogo de 2”</t>
  </si>
  <si>
    <t>Eletroduto de aço galvanizado a fogo de 3”</t>
  </si>
  <si>
    <t>Luva para eletroduto 1/2”</t>
  </si>
  <si>
    <t>Curva para eletroduto 1/2”</t>
  </si>
  <si>
    <t>Conector reto para eletroduto 3/4”</t>
  </si>
  <si>
    <t>Conector curvo para eletroduto 3/4”</t>
  </si>
  <si>
    <t>Luva para eletroduto 3/4”</t>
  </si>
  <si>
    <t>Curva para eletroduto 3/4”</t>
  </si>
  <si>
    <t>Conector reto para eletroduto 1”</t>
  </si>
  <si>
    <t>Conector curvo para eletroduto 1”</t>
  </si>
  <si>
    <t>Luva para eletroduto 1”</t>
  </si>
  <si>
    <t>Curva para eletroduto 1”</t>
  </si>
  <si>
    <t>Conector reto para eletroduto 1 1/4”</t>
  </si>
  <si>
    <t>Conector curvo para eletroduto 1 1/4”</t>
  </si>
  <si>
    <t>Luva para eletroduto 1 1/4”</t>
  </si>
  <si>
    <t>Curva para eletroduto 1 1/4”</t>
  </si>
  <si>
    <t>Conector reto para eletroduto 1 1/2”</t>
  </si>
  <si>
    <t>Conector curvo para eletroduto 1 1/2”</t>
  </si>
  <si>
    <t>Luva para eletroduto 1 1/2”</t>
  </si>
  <si>
    <t>Conector reto para eletroduto 2”</t>
  </si>
  <si>
    <t>Conector curvo para eletroduto 2”</t>
  </si>
  <si>
    <t>Luva para eletroduto 2”</t>
  </si>
  <si>
    <t>Curva para eletroduto 2”</t>
  </si>
  <si>
    <t>Conector curvo para eletroduto 2 1/2”</t>
  </si>
  <si>
    <t>Luva para eletroduto 2 1/2”</t>
  </si>
  <si>
    <t>Curva para eletroduto 2 1/2”</t>
  </si>
  <si>
    <t>Conector reto para eletroduto 3”</t>
  </si>
  <si>
    <t>Conector curvo para eletroduto 3”</t>
  </si>
  <si>
    <t>Luva para eletroduto 3”</t>
  </si>
  <si>
    <t>Curva para eletroduto 3”</t>
  </si>
  <si>
    <t>Conector reto para eletroduto 4”</t>
  </si>
  <si>
    <t>Conector curvo para eletroduto 4”</t>
  </si>
  <si>
    <t>Luva para eletroduto 4”</t>
  </si>
  <si>
    <t>Curva para eletroduto 4”</t>
  </si>
  <si>
    <t>Eletroduto de PVC Corrugado Reforçado 3/4” (DE 25mm)</t>
  </si>
  <si>
    <t>Eletroduto de PVC Corrugado Reforçado 1” (DE 32mm)</t>
  </si>
  <si>
    <t>Eletroduto flexível metálico com capa de PVC 3/4”</t>
  </si>
  <si>
    <t>Eletroduto flexível metálico com capa de PVC 1”</t>
  </si>
  <si>
    <t>Eletroduto flexível metálico com capa de PVC 1 1/4”</t>
  </si>
  <si>
    <t>Eletroduto flexível metálico com capa de PVC 1 1/2”</t>
  </si>
  <si>
    <t>Eletroduto flexível metálico com capa de PVC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</si>
  <si>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</si>
  <si>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</si>
  <si>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</si>
  <si>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</si>
  <si>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</si>
  <si>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</si>
  <si>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</si>
  <si>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</si>
  <si>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</si>
  <si>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</si>
  <si>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</si>
  <si>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</si>
  <si>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</si>
  <si>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</si>
  <si>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</si>
  <si>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</si>
  <si>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</si>
  <si>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</si>
  <si>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</si>
  <si>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</si>
  <si>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</si>
  <si>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</si>
  <si>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</si>
  <si>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</si>
  <si>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Base fusível NH 00 / NH 000</t>
  </si>
  <si>
    <t>Base fusível NH 1</t>
  </si>
  <si>
    <t>Base fusível NH 2</t>
  </si>
  <si>
    <t>Base fusível NH 3</t>
  </si>
  <si>
    <t>Fusível NH 000</t>
  </si>
  <si>
    <t>Fusível NH 1</t>
  </si>
  <si>
    <t>Fusível NH 2</t>
  </si>
  <si>
    <t>Fusível NH 3</t>
  </si>
  <si>
    <t>Fusível Diazed</t>
  </si>
  <si>
    <t>Luminária LED para poste 150 W</t>
  </si>
  <si>
    <t>Poste reto 3 m</t>
  </si>
  <si>
    <t>Poste curvo simples 8 m</t>
  </si>
  <si>
    <t>Poste curvo duplo 8 m</t>
  </si>
  <si>
    <t>Braço para iluminação</t>
  </si>
  <si>
    <t>Bloco autônomo de emergência 2400 lumens</t>
  </si>
  <si>
    <t>Luminária LED Highbay 200 W</t>
  </si>
  <si>
    <t>Chumbador 1/4”</t>
  </si>
  <si>
    <t xml:space="preserve">Caixa 4 x 2" de embutir para alvenaria </t>
  </si>
  <si>
    <t xml:space="preserve">Caixa 4 x 4" de embutir para alvenaria </t>
  </si>
  <si>
    <t>Caixa de passagem em aço 400 x 400 x 150mm</t>
  </si>
  <si>
    <t>Abraçadeira tipo D para eletroduto</t>
  </si>
  <si>
    <t>Abraçadeira tipo D (copo) copo para dutos/tubulações até 3”</t>
  </si>
  <si>
    <t>Tampa cega metálica para caixas de piso 4 x 4"</t>
  </si>
  <si>
    <t>Quadro termoplástico para 12 disjuntores</t>
  </si>
  <si>
    <t>Quadro termoplástico para 24 disjuntores</t>
  </si>
  <si>
    <t>Quadro termoplástico para 36 disjuntores</t>
  </si>
  <si>
    <t>Sensor de presença externo</t>
  </si>
  <si>
    <t>Caixa de inspeção de aterramento 300 mm</t>
  </si>
  <si>
    <t>Captor tipo Franklin</t>
  </si>
  <si>
    <t>Mastro 3 m</t>
  </si>
  <si>
    <t>Adesivo estrutural</t>
  </si>
  <si>
    <t>Tampão DN 600 Articulado D-400</t>
  </si>
  <si>
    <t>Tampão T-33 Articulado B-125</t>
  </si>
  <si>
    <t>Tampão T-33 Simples Pesado</t>
  </si>
  <si>
    <t>Placa de sinalização em PVC 2 mm</t>
  </si>
  <si>
    <t>Solda exotérmica</t>
  </si>
  <si>
    <t>Cone de sinalização</t>
  </si>
  <si>
    <t>SF-02438</t>
  </si>
  <si>
    <t>Nível laser de linhas</t>
  </si>
  <si>
    <t>Alicate crimpador com catraca para terminal RJ45</t>
  </si>
  <si>
    <t>SF-02570</t>
  </si>
  <si>
    <t>Veículo do tipo automóvel de passageiros</t>
  </si>
  <si>
    <t>Protetor solar</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</si>
  <si>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</si>
  <si>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</si>
  <si>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</si>
  <si>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</si>
  <si>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</si>
  <si>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</si>
  <si>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</si>
  <si>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</si>
  <si>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</si>
  <si>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 – fornecimento e aplicação</t>
  </si>
  <si>
    <t>Estaca escavada manualmente de diâmetro 30 cm</t>
  </si>
  <si>
    <t>Arrasamento mecânico de estacas de concreto armado com diâmetros de até 40 cm</t>
  </si>
  <si>
    <t>Quadro 400x300x200 mm – fornecimento e instalação</t>
  </si>
  <si>
    <t>Concreto Usinado, fck = 25 MPa</t>
  </si>
  <si>
    <t>Estaca escavada mecanicamente - 40 cm de diâmetro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</si>
  <si>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</si>
  <si>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</si>
  <si>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</si>
  <si>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</si>
  <si>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</si>
  <si>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</si>
  <si>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</si>
  <si>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</si>
  <si>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</si>
  <si>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</si>
  <si>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Poste reto 5 metros – fornecimento e instalação</t>
  </si>
  <si>
    <t>Suporte para luminária de poste simples – fornecimento e instalação</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</si>
  <si>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</si>
  <si>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</si>
  <si>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</si>
  <si>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</si>
  <si>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</si>
  <si>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Demolição de revestimento de piso vinílico</t>
  </si>
  <si>
    <t>Remoção de telhas de fibrocimento, metálica ou cerâmica</t>
  </si>
  <si>
    <t>Instalação de forro metálico reaproveitado</t>
  </si>
  <si>
    <t>Remoção de pavimento em elementos intertravados de concreto</t>
  </si>
  <si>
    <t>Instalação de pavimentação em elementos intertravados de concreto reaproveitados</t>
  </si>
  <si>
    <t>Disjuntor tripolar trilho DIN até 40 A</t>
  </si>
  <si>
    <t>Poste reto 4m</t>
  </si>
  <si>
    <t>Quadro elétrico TTA - 6 disjuntores terminais</t>
  </si>
  <si>
    <t>Quadro elétrico TTA - 11 disjuntores terminais</t>
  </si>
  <si>
    <t>Anel de borracha para vedação na interligação de tubos de esgoto</t>
  </si>
  <si>
    <t>Rejunte cimentício flexível</t>
  </si>
  <si>
    <t>Barra de apoio 70 cm - Linha Acessibilidade</t>
  </si>
  <si>
    <t>Barra de apoio 80 cm - Linha Acessibilidade</t>
  </si>
  <si>
    <t>Bolsa de ligação Branca para Vaso Sanitário</t>
  </si>
  <si>
    <t>Botão de Acionamento para Mictório</t>
  </si>
  <si>
    <t>Braço de metal para Chuveiro</t>
  </si>
  <si>
    <t>Caixa de descarga alta/elevada</t>
  </si>
  <si>
    <t>Caixa de gordura grande com cesta</t>
  </si>
  <si>
    <t>Caixa de hidrante de parede com vidro - 70x50 cm</t>
  </si>
  <si>
    <t>Chuveiro Elétrico</t>
  </si>
  <si>
    <t>Manômetro DN63 (2 1/2”) até 150 psi - Seco</t>
  </si>
  <si>
    <t>Ralo semi esférico, tipo Abacaxi - 4”</t>
  </si>
  <si>
    <t>Válvula de esfera em bronze 3/4”</t>
  </si>
  <si>
    <t>Válvula de esfera em bronze 1 1/2”</t>
  </si>
  <si>
    <t>Válvula de esfera em bronze 2”</t>
  </si>
  <si>
    <t>Válvula de esfera metálica 1/2” para gás</t>
  </si>
  <si>
    <t>Registro de Gaveta Bruto 1 1/2”</t>
  </si>
  <si>
    <t>Registro de Gaveta Bruto 1 1/4”</t>
  </si>
  <si>
    <t>Registro de Gaveta Bruto 1”</t>
  </si>
  <si>
    <t>Registro de Gaveta Bruto 1/2”</t>
  </si>
  <si>
    <t>Registro de Gaveta Bruto 2 1/2”</t>
  </si>
  <si>
    <t>Registro de Gaveta Bruto 2”</t>
  </si>
  <si>
    <t>Registro de Gaveta Bruto 3”</t>
  </si>
  <si>
    <t>Registro de Gaveta Bruto 3/4”</t>
  </si>
  <si>
    <t>Registro de Gaveta Bruto 4”</t>
  </si>
  <si>
    <t>Registro de Pressão Bruto 1/2”</t>
  </si>
  <si>
    <t>Registro de Pressão Bruto 3/4”</t>
  </si>
  <si>
    <t>Registro Esfera PVC VS Roscável 1/2”</t>
  </si>
  <si>
    <t>Registro Esfera PVC VS Roscável 1 1/2”</t>
  </si>
  <si>
    <t>Registro Esfera PVC VS Soldável 60 mm</t>
  </si>
  <si>
    <t>Registro para Hidrante 2 1/2”</t>
  </si>
  <si>
    <t>Terminal de Ventilação PVC - 100 mm</t>
  </si>
  <si>
    <t>Terminal de Ventilação PVC - 50 mm</t>
  </si>
  <si>
    <t>Terminal de Ventilação PVC - 75 mm</t>
  </si>
  <si>
    <t>Torneira de Bóia Com Balão Plástico 1 1/2”</t>
  </si>
  <si>
    <t>Torneira de Bóia Com Balão Plástico 1 1/4”</t>
  </si>
  <si>
    <t>Torneira de Bóia Com Balão Plástico 1”</t>
  </si>
  <si>
    <t>Torneira de Bóia Com Balão Plástico 2”</t>
  </si>
  <si>
    <t>Torneira de Bóia Com Balão Plástico 3/4”</t>
  </si>
  <si>
    <t>Tubo de cobre classe “E” 22 mm</t>
  </si>
  <si>
    <t>Tubo de cobre classe “E” 28 mm</t>
  </si>
  <si>
    <t>Tubo de cobre classe “E” 42 mm</t>
  </si>
  <si>
    <t>Tubo de cobre classe “E” 35 mm</t>
  </si>
  <si>
    <t>Tubo de cobre classe “E” 54 mm</t>
  </si>
  <si>
    <t>Tubo de cobre classe “E” 66 mm</t>
  </si>
  <si>
    <t>Tubo de cobre classe “E” 79 mm</t>
  </si>
  <si>
    <t>Tubo de cobre classe “E” 104 mm</t>
  </si>
  <si>
    <t>Tubo CPVC soldável 28 mm  – Linha Residencial</t>
  </si>
  <si>
    <t>Tubo de aço-carbono galvanizado 1 1/4” – Água Potável e Combate a Incêndio</t>
  </si>
  <si>
    <t>Tubo de aço-carbono galvanizado 1/2” – Água Potável e Combate a Incêndio</t>
  </si>
  <si>
    <t>Tubo de aço-carbono galvanizado 3/4” – Água Potável e Combate a Incêndio</t>
  </si>
  <si>
    <t>Tubo de aço-carbono galvanizado 1” – Água Potável e Combate a Incêndio</t>
  </si>
  <si>
    <t>Tubo de aço-carbono galvanizado 2” – Água Potável e Combate a Incêndio</t>
  </si>
  <si>
    <t>Tubo de aço-carbono galvanizado 2 1/2” – Água Potável e Combate a Incêndio</t>
  </si>
  <si>
    <t>Tubo de aço-carbono galvanizado 3” – Água Potável e Combate a Incêndio</t>
  </si>
  <si>
    <t>Niple de aço-carbono galvanizado 2”</t>
  </si>
  <si>
    <t>Niple de aço-carbono galvanizado 2 1/2”</t>
  </si>
  <si>
    <t>Niple de aço-carbono galvanizado 3”</t>
  </si>
  <si>
    <t>Tubo PVC esgoto DN 300 mm - Ocre</t>
  </si>
  <si>
    <t>Tubo PVC esgoto ou águas pluviais predial DN 100 mm</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</si>
  <si>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</si>
  <si>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</si>
  <si>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</si>
  <si>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</si>
  <si>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</si>
  <si>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</si>
  <si>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</si>
  <si>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</si>
  <si>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</si>
  <si>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</si>
  <si>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Tubo PVC soldável água fria DN 20 mm</t>
  </si>
  <si>
    <t>Tubo PVC soldável água fria DN 60 mm</t>
  </si>
  <si>
    <t>Tubo PVC soldável água fria DN 75 mm</t>
  </si>
  <si>
    <t>Tubo PVC soldável água fria DN 85 mm</t>
  </si>
  <si>
    <t>Tubo PVC soldável água fria DN 110 mm</t>
  </si>
  <si>
    <t>Válvula de escoamento para lavatório e bidê</t>
  </si>
  <si>
    <t>Válvula de escoamento para pia de cozinha 3 1/2”</t>
  </si>
  <si>
    <t>Válvula de Sucção tipo Pé com Crivos 1”</t>
  </si>
  <si>
    <t>Válvula de Sucção tipo Pé com Crivos 2”</t>
  </si>
  <si>
    <t>Válvula de retenção horizontal 3/4”</t>
  </si>
  <si>
    <t>Válvula de retenção horizontal 2”</t>
  </si>
  <si>
    <t>Válvula de retenção vertical - 3”</t>
  </si>
  <si>
    <t>Válvula de retenção vertical - 4”</t>
  </si>
  <si>
    <t>Válvula de retenção vertical - 2”</t>
  </si>
  <si>
    <t>Válvula de retenção vertical - 2 1/2”</t>
  </si>
  <si>
    <t>Adaptador com Flange e Anel 85 mm x 3”</t>
  </si>
  <si>
    <t>Adaptador PVC água fria- 60 mm x 2”</t>
  </si>
  <si>
    <t>Manilha para Poço – 1,10 x 0,50 x 0,05 m</t>
  </si>
  <si>
    <t>Aquecedor elétrico horizontal – 200 L – Linha Residencial</t>
  </si>
  <si>
    <t>Bucha de Redução em CPVC 28 x 22 mm</t>
  </si>
  <si>
    <t>Plug Galvanizado 4”</t>
  </si>
  <si>
    <t>Caixa d’água 1000 Litros</t>
  </si>
  <si>
    <t>Canopla para Sprinkler de 1/2”, em latão cromado, diâmetro externo de 6,5 cm</t>
  </si>
  <si>
    <t>Sprinkler Pendente 1/2” Cromado 68°C, Fator K80 (5,6)</t>
  </si>
  <si>
    <t>Cap PVC Soldável 60 mm</t>
  </si>
  <si>
    <t>Tê 90° em cobre 22 mm</t>
  </si>
  <si>
    <t>Conector em cobre ou bronze 22 mm x 3/4” fêmea</t>
  </si>
  <si>
    <t>Curva Ferro Galvanizado 90° Fêmea 2”</t>
  </si>
  <si>
    <t>Curva 45° Longa PVC esgoto ou águas pluviais predial DN 100 mm</t>
  </si>
  <si>
    <t>Curva 90° de aço-carbono galvanizado 3”</t>
  </si>
  <si>
    <t>Curva 90° PVC esgoto DN 100 mm Série R</t>
  </si>
  <si>
    <t>Fita perfurada em aço-carbono - 17 x 0,40 mm - rolo 30 m</t>
  </si>
  <si>
    <t>Flange PVC soldável água fria DN 60 mm</t>
  </si>
  <si>
    <t>Flange PVC soldável água fria DN 25 mm</t>
  </si>
  <si>
    <t>Joelho 45° CPVC 28 mm – Linha Residencial</t>
  </si>
  <si>
    <t>Joelho 45° PVC soldável água fria DN 60 mm</t>
  </si>
  <si>
    <t>Joelho 45° CPVC 22 mm – Linha Residencial</t>
  </si>
  <si>
    <t>Joelho 45° PVC esgoto ou águas pluviais predial DN 50 mm</t>
  </si>
  <si>
    <t>Joelho 90° CPVC 22 mm – Linha Residencial</t>
  </si>
  <si>
    <t>Joelho 90° CPVC 28 mm – Linha Residencial</t>
  </si>
  <si>
    <t>Joelho 90° PVC soldável água fria DN 60 mm</t>
  </si>
  <si>
    <t>Tê 90° PVC soldável água fria DN 60 mm</t>
  </si>
  <si>
    <t>Tubo PEAD corrugado para drenagem – Diâmetro 110 mm</t>
  </si>
  <si>
    <t>Tubo PVC para Calha 88 mm</t>
  </si>
  <si>
    <t>Luva de Correr PVC esgoto ou águas pluviais predial DN 100 mm</t>
  </si>
  <si>
    <t>Luva de transição CPVC 1/2”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</si>
  <si>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</si>
  <si>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</si>
  <si>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</si>
  <si>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</si>
  <si>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</si>
  <si>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</si>
  <si>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</si>
  <si>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</si>
  <si>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</si>
  <si>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</si>
  <si>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</si>
  <si>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</si>
  <si>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</si>
  <si>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</si>
  <si>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</si>
  <si>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</si>
  <si>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</si>
  <si>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</si>
  <si>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</si>
  <si>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</si>
  <si>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</si>
  <si>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</si>
  <si>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</si>
  <si>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</si>
  <si>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</si>
  <si>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</si>
  <si>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</si>
  <si>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</si>
  <si>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</si>
  <si>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</si>
  <si>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SF-03054</t>
  </si>
  <si>
    <t>Aeronave remotamente pilotada - drone - peso inferior a 250g</t>
  </si>
  <si>
    <t>SF-03079</t>
  </si>
  <si>
    <t>Locação de Banheiro Químico Standard</t>
  </si>
  <si>
    <t>Supervisor(a) Técnico(a) - Sistema Hidrossanitário</t>
  </si>
  <si>
    <t>Supervisor(a) Técnico(a) - Segurança do Trabalho</t>
  </si>
  <si>
    <t>Encarregado(a) de Manutenção Hidrossanitária</t>
  </si>
  <si>
    <t>Bombeiro(a) Hidráulico(a) Planejador(a) de Manutenção</t>
  </si>
  <si>
    <t>Instalador(a) Hidráulico(a)</t>
  </si>
  <si>
    <t>Bombeiro(a) Hidráulico(a) Plantonista (diurno)</t>
  </si>
  <si>
    <t>Bombeiro(a) Hidráulico(a) Plantonista (noturno)</t>
  </si>
  <si>
    <t>Ajudante de Manutenção Hidrossanitária</t>
  </si>
  <si>
    <t>Ajudante de Bombeiro(a) Hidráulico(a) Plantonista (diurno)</t>
  </si>
  <si>
    <t>Ajudante de Bombeiro(a) Hidráulico(a) Plantonista (noturno)</t>
  </si>
  <si>
    <t>Mangueira de incêndio tipo 2 - engate 2 1/2” - lance 15 m</t>
  </si>
  <si>
    <t>Manômetro DN100 (4”) até 150psi - para aferição (NBR 14105-1 classe A1)</t>
  </si>
  <si>
    <t>Bucha de redução em ferro galvanizado 3” x 2 1/2”</t>
  </si>
  <si>
    <t>Tubo de aço-carbono galvanizado 1 1/2” – Água Potável e Combate a Incêndio</t>
  </si>
  <si>
    <t>Grelha para retorno quadrada 225 x 225 mm</t>
  </si>
  <si>
    <t>Instalação de quadros elétricos ou de telecomunicações</t>
  </si>
  <si>
    <t>Condulete de alumínio de 3"</t>
  </si>
  <si>
    <t>Fluido de arrefecimento diluído para motor MTU 16V4000</t>
  </si>
  <si>
    <t>litro</t>
  </si>
  <si>
    <t>Fluido de arrefecimento diluído para motor Cummins NTA 855</t>
  </si>
  <si>
    <t>Fluido de arrefecimento diluído para motor Mercedes-Benz OM 447 LA</t>
  </si>
  <si>
    <t>Cotovelo BSP 1 1/2” para filtro de óleo diesel</t>
  </si>
  <si>
    <t>União BSP 1 1/2” para filtro de óleo diesel</t>
  </si>
  <si>
    <t>Tubo de aço-carbono 1 1/2” - Filtro de óleo diesel</t>
  </si>
  <si>
    <t>Bloco vazado de concreto simples com 02 furos (19x19x39 - Classe A)</t>
  </si>
  <si>
    <t>Bloco vazado de concreto simples tipo canaleta (19x19x39 - Classe A)</t>
  </si>
  <si>
    <t>SF-03216</t>
  </si>
  <si>
    <t>Bloco vazado de concreto simples tipo compensador A (19x19x9 - Classe A)</t>
  </si>
  <si>
    <t>Bloco vazado de concreto simples tipo compensador A (19x19x9 - Classe C)</t>
  </si>
  <si>
    <t>Graute industrializado, 50 MPa ≤ fck ≤ 60 Mpa</t>
  </si>
  <si>
    <t>25 kg</t>
  </si>
  <si>
    <t>Tela metálica para reboco</t>
  </si>
  <si>
    <t>Vergalhão Ca-60 Diâmetro 4,2 mm</t>
  </si>
  <si>
    <t>Vermiculita Expandida</t>
  </si>
  <si>
    <t>100 L</t>
  </si>
  <si>
    <t>Conector Macho 26 mm  x 3/4” para tubo PEX para gás - GLP</t>
  </si>
  <si>
    <t>Redução 26 mm x 20mm para tubo PEX para gás – GLP</t>
  </si>
  <si>
    <t>Tê Fêmea 26 mm x 3/4” para tubo PEX para gás - GLP</t>
  </si>
  <si>
    <t>Pastilha de porcelana (2 x 2 cm) – Fornecimento e instalação</t>
  </si>
  <si>
    <t>Eletroduto de PEAD de 4"</t>
  </si>
  <si>
    <t>Poste de Concreto Circular L = 12 m</t>
  </si>
  <si>
    <t>Poste de Concreto Circular L = 9 m</t>
  </si>
  <si>
    <t>Suporte para luminária de poste triplo</t>
  </si>
  <si>
    <t>Remoção de poste de iluminação</t>
  </si>
  <si>
    <t>Remoção de braço de iluminação</t>
  </si>
  <si>
    <t>Cabo 3x10 mm²</t>
  </si>
  <si>
    <t>Quadro elétrico TTA - 11 disjuntores terminais para uso externo</t>
  </si>
  <si>
    <t>Luminária LED para poste 230 W</t>
  </si>
  <si>
    <t>Eletroduto PEAD 1 1/2”(40mm)</t>
  </si>
  <si>
    <t>Cabo 3x6 mm²</t>
  </si>
  <si>
    <t>Projeto Executivo de Iluminação Viária</t>
  </si>
  <si>
    <t>Suporte para luminária de poste quádruplo</t>
  </si>
  <si>
    <t>Quadro elétrico TTA - 18 disjuntores terminais</t>
  </si>
  <si>
    <t>Condulete de alumínio de 3/4’’</t>
  </si>
  <si>
    <t>Curva 90° PVC soldável 25mm</t>
  </si>
  <si>
    <t>Cerâmica para revestimento de PAREDES de superfícies internas</t>
  </si>
  <si>
    <t>Cerâmica para revestimento de pisos de superfícies internas</t>
  </si>
  <si>
    <t>Cerâmica de linha industrial para revestimento de PISOS E PAREDES de superfícies internas e externas</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</si>
  <si>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</si>
  <si>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</si>
  <si>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</si>
  <si>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 x 525 mm</t>
  </si>
  <si>
    <t>Grelha retangular 325 x 125 mm</t>
  </si>
  <si>
    <t>Ar-condicionado Fan-Coil 5,0 TR com Acessórios</t>
  </si>
  <si>
    <t>Ar-condicionado Fan-Coil 3,5 TR com Acessórios</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</si>
  <si>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</si>
  <si>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</si>
  <si>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</si>
  <si>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</si>
  <si>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</si>
  <si>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</si>
  <si>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</si>
  <si>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</si>
  <si>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</si>
  <si>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</si>
  <si>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</si>
  <si>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</si>
  <si>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</si>
  <si>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</si>
  <si>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</si>
  <si>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</si>
  <si>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</si>
  <si>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</si>
  <si>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</si>
  <si>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</si>
  <si>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</si>
  <si>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</si>
  <si>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</si>
  <si>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</si>
  <si>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</si>
  <si>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</si>
  <si>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</si>
  <si>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</si>
  <si>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</si>
  <si>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</si>
  <si>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</si>
  <si>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</si>
  <si>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</si>
  <si>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</si>
  <si>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</si>
  <si>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</si>
  <si>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</si>
  <si>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</si>
  <si>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</si>
  <si>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</si>
  <si>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</si>
  <si>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</si>
  <si>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</si>
  <si>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</si>
  <si>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</si>
  <si>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</si>
  <si>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</si>
  <si>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</si>
  <si>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</si>
  <si>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</si>
  <si>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</si>
  <si>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</si>
  <si>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</si>
  <si>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</si>
  <si>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</si>
  <si>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</si>
  <si>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</si>
  <si>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</si>
  <si>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</si>
  <si>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</si>
  <si>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</si>
  <si>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</si>
  <si>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</si>
  <si>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</si>
  <si>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</si>
  <si>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</si>
  <si>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</si>
  <si>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</si>
  <si>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</si>
  <si>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</si>
  <si>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</si>
  <si>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</si>
  <si>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</si>
  <si>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</si>
  <si>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</si>
  <si>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</si>
  <si>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</si>
  <si>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</si>
  <si>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</si>
  <si>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</si>
  <si>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</si>
  <si>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</si>
  <si>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</si>
  <si>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</si>
  <si>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</si>
  <si>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</si>
  <si>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</si>
  <si>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</si>
  <si>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</si>
  <si>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</si>
  <si>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</si>
  <si>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</si>
  <si>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</si>
  <si>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</si>
  <si>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</si>
  <si>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</si>
  <si>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</si>
  <si>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</si>
  <si>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</si>
  <si>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</si>
  <si>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</si>
  <si>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</si>
  <si>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</si>
  <si>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</si>
  <si>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</si>
  <si>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</si>
  <si>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</si>
  <si>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</si>
  <si>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</si>
  <si>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</si>
  <si>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</si>
  <si>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</si>
  <si>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</si>
  <si>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</si>
  <si>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</si>
  <si>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</si>
  <si>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</si>
  <si>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</si>
  <si>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</si>
  <si>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</si>
  <si>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</si>
  <si>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</si>
  <si>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</si>
  <si>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</si>
  <si>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</si>
  <si>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</si>
  <si>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</si>
  <si>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</si>
  <si>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</si>
  <si>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</si>
  <si>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Joelho 90° cobre 35 mm</t>
  </si>
  <si>
    <t>Luva cobre 35 mm</t>
  </si>
  <si>
    <t>Tê cobre 35 mm</t>
  </si>
  <si>
    <t>Joelho 90° cobre 42 mm</t>
  </si>
  <si>
    <t>Luva cobre 42 mm</t>
  </si>
  <si>
    <t>Tê cobre 42 mm</t>
  </si>
  <si>
    <t>Redução cobre 42 mm x 35 mm</t>
  </si>
  <si>
    <t>Joelho 90° cobre 54 mm</t>
  </si>
  <si>
    <t>Luva cobre 54 mm</t>
  </si>
  <si>
    <t>Tê cobre 54 mm</t>
  </si>
  <si>
    <t>Redução cobre 54 mm x 42 mm</t>
  </si>
  <si>
    <t>Joelho 90° cobre 66 mm</t>
  </si>
  <si>
    <t>Luva cobre 66 mm</t>
  </si>
  <si>
    <t>Tê cobre 66 mm</t>
  </si>
  <si>
    <t>Redução cobre 66 mm x 54 mm</t>
  </si>
  <si>
    <t>Joelho 90° cobre 79 mm</t>
  </si>
  <si>
    <t>Luva cobre 79 mm</t>
  </si>
  <si>
    <t>Tê cobre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</si>
  <si>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</si>
  <si>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</si>
  <si>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</si>
  <si>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</si>
  <si>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</si>
  <si>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</si>
  <si>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</si>
  <si>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Luva de correr CPVC 22 mm – Linha Residencial</t>
  </si>
  <si>
    <t>Luva de correr CPVC 28 mm – Linha Residencial</t>
  </si>
  <si>
    <t>SF-03471</t>
  </si>
  <si>
    <t>Perfil em MDF para acabamento de piso sintético laminado flutuante - Instalação/Substituição</t>
  </si>
  <si>
    <t>Supervisor(a) Técnico(a) - Sistemas Construtivos</t>
  </si>
  <si>
    <t>Vidro temperado incolor com 6 mm de espessura</t>
  </si>
  <si>
    <t>Vidro temperado incolor com 6 mm de espessura, tipo JUMBO</t>
  </si>
  <si>
    <t>Remoção de revestimento sintético fixado por encaixe</t>
  </si>
  <si>
    <t>Tapume em telha metálica</t>
  </si>
  <si>
    <t>SF-03479</t>
  </si>
  <si>
    <t>Bloco vazado de concreto simples com 02 furos (11,5 x 19 x 39 cm - Classe C)</t>
  </si>
  <si>
    <t>Solo para aterro (com transporte)</t>
  </si>
  <si>
    <t>SF-03481</t>
  </si>
  <si>
    <t>Perfuratriz diamantada com coluna</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</si>
  <si>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</si>
  <si>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</si>
  <si>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</si>
  <si>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</si>
  <si>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</si>
  <si>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</si>
  <si>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SF-03488</t>
  </si>
  <si>
    <t>Película de poliéster para controle solar para clarabóias</t>
  </si>
  <si>
    <t>SF-03489</t>
  </si>
  <si>
    <t>Pá de bico com cabo de 71cm</t>
  </si>
  <si>
    <t>Instalação de telha de fibrocimento, metálica ou cerâmica reaproveitada</t>
  </si>
  <si>
    <t>Vergalhão Ca-50 Diâmetro 16,0 mm</t>
  </si>
  <si>
    <t>Claraboia tipo bolha em acrílico</t>
  </si>
  <si>
    <t>Mosaico de Pedra portuguesa (petit pavé)</t>
  </si>
  <si>
    <t>Instalação de mosaico de Pedra portuguesa (petit pavé) reaproveitada</t>
  </si>
  <si>
    <t>SF-03497</t>
  </si>
  <si>
    <t>Locação de Escavadeira (peso operacional ≥ 21t) com operador e transporte</t>
  </si>
  <si>
    <t>un x mês</t>
  </si>
  <si>
    <t>SF-03498</t>
  </si>
  <si>
    <t>Locação de Minicarregadeira (peso operacional ≥ 2,8t) com operador e transporte</t>
  </si>
  <si>
    <t>SF-03499</t>
  </si>
  <si>
    <t>Locação de Minicarregadeira (peso operacional ≥ 2,8t) com rompedor hidráulico, operador e transporte</t>
  </si>
  <si>
    <t>SF-03500</t>
  </si>
  <si>
    <t>Locação de Rolo compactador tipo pé de carneiro 11t, com operador e transporte</t>
  </si>
  <si>
    <t>Tela de poliéster estruturante para reforço de impermeabilização</t>
  </si>
  <si>
    <t>Cantoneira laminada em alumínio abas iguais 3/4” x 1/16”</t>
  </si>
  <si>
    <t>Forro metálico suspenso tipo colmeia (módulo 625x625, com estrutura)</t>
  </si>
  <si>
    <t>SF-03505</t>
  </si>
  <si>
    <t>Acesso por corda (rapel) para trabalho em altura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</si>
  <si>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</si>
  <si>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</si>
  <si>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</si>
  <si>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</si>
  <si>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</si>
  <si>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Técnico(a) em Edificações - Planejamento de Manutenção (plantonista noturno)</t>
  </si>
  <si>
    <t>Engenheiro(a) / Arquiteto(a) pleno</t>
  </si>
  <si>
    <t>Impermeabilização rígida (semiflexível) com cimento modificado com polímero</t>
  </si>
  <si>
    <t>CUSTO DIRETO</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</si>
  <si>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</si>
  <si>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</si>
  <si>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</si>
  <si>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</si>
  <si>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</si>
  <si>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</si>
  <si>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</si>
  <si>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</si>
  <si>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</si>
  <si>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</si>
  <si>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</si>
  <si>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</si>
  <si>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</si>
  <si>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</si>
  <si>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</si>
  <si>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</si>
  <si>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ENGENHEIRO CIVIL DE OBRA JUNIOR COM ENCARGOS COMPLEMENTARES</t>
  </si>
  <si>
    <t>H</t>
  </si>
  <si>
    <t>PINTOR COM ENCARGOS COMPLEMENTARES</t>
  </si>
  <si>
    <t>SERVENTE COM ENCARGOS COMPLEMENTARES</t>
  </si>
  <si>
    <t>TINTA LATEX ACRILICA PREMIUM, COR BRANCO FOSCO</t>
  </si>
  <si>
    <t>MANTA ASFALTICA ELASTOMERICA EM POLIESTER 4 MM, TIPO III, CLASSE B, ACABAMENTO PP (NBR 9952)</t>
  </si>
  <si>
    <t>PEDREIRO COM ENCARGOS COMPLEMENTARES</t>
  </si>
  <si>
    <t>IMPERMEABILIZADOR COM ENCARGOS COMPLEMENTARES</t>
  </si>
  <si>
    <t>CIMENTO PORTLAND COMPOSTO CP II-32</t>
  </si>
  <si>
    <t>ELETRICISTA COM ENCARGOS COMPLEMENTARES</t>
  </si>
  <si>
    <t>MARTELETE OU ROMPEDOR PNEUMÁTICO MANUAL, 28 KG, COM SILENCIADOR - CHP DIURNO. AF_07/2016</t>
  </si>
  <si>
    <t>MARTELETE OU ROMPEDOR PNEUMÁTICO MANUAL, 28 KG, COM SILENCIADOR - CHI DIURNO. AF_07/2016</t>
  </si>
  <si>
    <t>AREIA MEDIA - POSTO JAZIDA/FORNECEDOR (RETIRADO NA JAZIDA, SEM TRANSPORTE)</t>
  </si>
  <si>
    <t>M3</t>
  </si>
  <si>
    <t>CABO DE ACO GALVANIZADO, DIAMETRO 9,53 MM (3/8"), COM ALMA DE FIBRA 6 X 25 F</t>
  </si>
  <si>
    <t>CARPINTEIRO DE ESQUADRIA COM ENCARGOS COMPLEMENTARES</t>
  </si>
  <si>
    <t>VIDRACEIRO COM ENCARGOS COMPLEMENTARES</t>
  </si>
  <si>
    <t>TINTA EPOXI BASE AGUA PREMIUM, BRANCA</t>
  </si>
  <si>
    <t>PRIMER EPOXI / EPOXIDICO</t>
  </si>
  <si>
    <t>AUXILIAR DE ELETRICISTA COM ENCARGOS COMPLEMENTARES</t>
  </si>
  <si>
    <t>MANTA ASFALTICA ELASTOMERICA EM POLIESTER 3 MM, TIPO III, CLASSE B, ACABAMENTO PP (NBR 9952)</t>
  </si>
  <si>
    <t>MONTADOR ELETROMECÃNICO COM ENCARGOS COMPLEMENTARES</t>
  </si>
  <si>
    <t>ARGAMASSA INDUSTRIALIZADA MULTIUSO, PARA REVESTIMENTO INTERNO E EXTERNO E ASSENTAMENTO DE BLOCOS DIVERSOS</t>
  </si>
  <si>
    <t>MASSA CORRIDA PARA SUPERFICIES DE AMBIENTES INTERNOS</t>
  </si>
  <si>
    <t>PRIMER PARA MANTA ASFALTICA A BASE DE ASFALTO MODIFICADO DILUIDO EM SOLVENTE, APLICACAO A FRIO</t>
  </si>
  <si>
    <t>TELHA TRAPEZOIDAL EM ACO ZINCADO, SEM PINTURA, ALTURA DE APROXIMADAMENTE 40 MM, ESPESSURA DE 0,50 MM E LARGURA UTIL DE 980 MM</t>
  </si>
  <si>
    <t>TECNICO DE EDIFICACOES COM ENCARGOS COMPLEMENTARES</t>
  </si>
  <si>
    <t>MES</t>
  </si>
  <si>
    <t>PLACA VINILICA SEMIFLEXIVEL PARA REVESTIMENTO DE PISOS E PAREDES, E = 2 MM (SEM COLOCACAO)</t>
  </si>
  <si>
    <t>GEOTEXTIL NAO TECIDO AGULHADO DE FILAMENTOS CONTINUOS 100% POLIESTER, RESITENCIA A TRACAO = 10 KN/M</t>
  </si>
  <si>
    <t>ARGILA OU BARRO PARA ATERRO/REATERRO (COM TRANSPORTE ATE 10 KM)</t>
  </si>
  <si>
    <t>LOCACAO DE CONTAINER 2,30 X 6,00 M, ALT. 2,50 M, PARA ESCRITORIO, SEM DIVISORIAS INTERNAS E SEM SANITARIO (NAO INCLUI MOBILIZACAO/DESMOBILIZACAO)</t>
  </si>
  <si>
    <t>ENDURECEDOR MINERAL DE BASE CIMENTICIA PARA PISO DE CONCRETO</t>
  </si>
  <si>
    <t>POLIESTIRENO EXPANDIDO/EPS (ISOPOR), TIPO 2F, PLACA, ISOLAMENTO TERMOACUSTICO, E = 20 MM, 1000 X 500 MM</t>
  </si>
  <si>
    <t>LOCACAO DE ESCORA METALICA TELESCOPICA, COM ALTURA REGULAVEL DE *1,80* A *3,20* M, COM CAPACIDADE DE CARGA DE NO MINIMO 1000 KGF (10 KN), INCLUSO TRIPE E FORCADO</t>
  </si>
  <si>
    <t>ACETILENO (RECARGA DE GAS ACETILENO PARA CILINDRO DE CONJUNTO OXICORTE GRANDE) NAO INCLUI TROCA/MANUTENCAO DO CILINDRO</t>
  </si>
  <si>
    <t>AJUDANTE ESPECIALIZADO COM ENCARGOS COMPLEMENTARES</t>
  </si>
  <si>
    <t>SELANTE ELASTICO MONOCOMPONENTE A BASE DE POLIURETANO (PU) PARA JUNTAS DIVERSAS</t>
  </si>
  <si>
    <t>310ML</t>
  </si>
  <si>
    <t>OXIGENIO, RECARGA PARA CILINDRO DE CONJUNTO OXICORTE GRANDE</t>
  </si>
  <si>
    <t>CONCRETO USINADO BOMBEAVEL, CLASSE DE RESISTENCIA C20, COM BRITA 0 E 1, SLUMP = 100 +/- 20 MM, EXCLUI SERVICO DE BOMBEAMENTO (NBR 8953)</t>
  </si>
  <si>
    <t>CAMINHÃO BASCULANTE 6 M3 TOCO, PESO BRUTO TOTAL 16.000 KG, CARGA ÚTIL MÁXIMA 11.130 KG, DISTÂNCIA ENTRE EIXOS 5,36 M, POTÊNCIA 185 CV, INCLUSIVE CAÇAMBA METÁLICA - CHP DIURNO. AF_06/2014</t>
  </si>
  <si>
    <t>TELA DE ARAME GALVANIZADA, HEXAGONAL, FIO 0,56 MM (24 BWG), MALHA 1/2", H = 1 M</t>
  </si>
  <si>
    <t>TÉCNICO EM SEGURANÇA DO TRABALHO COM ENCARGOS COMPLEMENTARES</t>
  </si>
  <si>
    <t>PLACA / CHAPA DE GESSO ACARTONADO, STANDARD (ST), COR BRANCA, E = 12,5 MM, 1200 X 2400 MM (L X C)</t>
  </si>
  <si>
    <t>MASSA ACRILICA PARA SUPERFICIES INTERNAS E EXTERNAS</t>
  </si>
  <si>
    <t>TELA DE ACO SOLDADA GALVANIZADA/ZINCADA PARA ALVENARIA, FIO D = *1,20 A 1,70* MM, MALHA 15 X 15 MM, (C X L) *50 X 7,5* CM</t>
  </si>
  <si>
    <t>PINO DE ACO COM FURO, HASTE = 27 MM (ACAO DIRETA)</t>
  </si>
  <si>
    <t>CENTO</t>
  </si>
  <si>
    <t>MONTADOR DE ESTRUTURA METÁLICA COM ENCARGOS COMPLEMENTARES</t>
  </si>
  <si>
    <t>TELA DE ACO SOLDADA NERVURADA, CA-60, Q-196, (3,11 KG/M2), DIAMETRO DO FIO = 5,0 MM, LARGURA = 2,45 M, ESPACAMENTO DA MALHA = 10 X 10 CM</t>
  </si>
  <si>
    <t>MANTA LIQUIDA DE BASE ASFALTICA MODIFICADA COM A ADICAO DE ELASTOMEROS DILUIDOS EM SOLVENTE ORGANICO, APLICACAO A FRIO (MEMBRANA IMPERMEABILIZANTE ASFASTICA)</t>
  </si>
  <si>
    <t>MASSA PARA VIDRO</t>
  </si>
  <si>
    <t>PEDRA PORTUGUESA OU PETIT PAVE, BRANCA OU PRETA</t>
  </si>
  <si>
    <t>OPERADOR DE BETONEIRA ESTACIONÁRIA/MISTURADOR COM ENCARGOS COMPLEMENTARES</t>
  </si>
  <si>
    <t>ENGENHEIRO CIVIL PLENO COM ENCARGOS COMPLEMENTARES</t>
  </si>
  <si>
    <t>BLOCO CERAMICO / TIJOLO VAZADO PARA ALVENARIA DE VEDACAO, FUROS NA VERTICAL,, 9 X 19 X 39 CM (NBR 15270)</t>
  </si>
  <si>
    <t>AZULEJISTA OU LADRILHISTA COM ENCARGOS COMPLEMENTARES</t>
  </si>
  <si>
    <t>ADITIVO ADESIVO LIQUIDO PARA ARGAMASSAS DE REVESTIMENTOS CIMENTICIOS</t>
  </si>
  <si>
    <t>SELANTE MONOCOMPONENTE A BASE DE SILICONE DE BAIXO MODULO, PARA JUNTAS DE PAVIMENTACAO</t>
  </si>
  <si>
    <t>CAL HIDRATADA CH-I PARA ARGAMASSAS</t>
  </si>
  <si>
    <t>VIDRO LISO INCOLOR 6 MM - SEM COLOCACAO</t>
  </si>
  <si>
    <t>HASTE RETA PARA GANCHO DE FERRO GALVANIZADO, COM ROSCA 1/4 " X 30 CM PARA FIXACAO DE TELHA METALICA, INCLUI PORCA E ARRUELAS DE VEDACAO</t>
  </si>
  <si>
    <t>CJ</t>
  </si>
  <si>
    <t>POLIESTIRENO EXPANDIDO/EPS (ISOPOR), PEROLAS, PARA CONCRETO LEVE</t>
  </si>
  <si>
    <t>TELHADISTA COM ENCARGOS COMPLEMENTARES</t>
  </si>
  <si>
    <t>PERFIL CANALETA, FORMATO C, EM ACO ZINCADO, PARA ESTRUTURA FORRO DRYWALL, E = 0,5 MM, *46 X 18* (L X H), COMPRIMENTO 3 M</t>
  </si>
  <si>
    <t>ADESIVO ESTRUTURAL A BASE DE RESINA EPOXI, BICOMPONENTE, PASTOSO (TIXOTROPICO)</t>
  </si>
  <si>
    <t>REVESTIMENTO EM CERAMICA ESMALTADA EXTRA, PEI MAIOR OU IGUAL 4, FORMATO MAIOR A 2025 CM2</t>
  </si>
  <si>
    <t>VIDRO TEMPERADO INCOLOR E = 8 MM, SEM COLOCACAO</t>
  </si>
  <si>
    <t>MANTA ASFALTICA ELASTOMERICA EM POLIESTER ALUMINIZADA 3 MM, TIPO III, CLASSE B (NBR 9952)</t>
  </si>
  <si>
    <t>PERFIL "U" ENRIJECIDO DE ACO GALVANIZADO, DOBRADO, 150 X 60 X 20 MM, E = 3,00 MM OU 200 X 75 X 25 MM, E = 3,75 MM</t>
  </si>
  <si>
    <t>CARPINTEIRO DE FORMAS COM ENCARGOS COMPLEMENTARES</t>
  </si>
  <si>
    <t>GESSEIRO COM ENCARGOS COMPLEMENTARES</t>
  </si>
  <si>
    <t>PASTILHA CERAMICA/PORCELANA, REVEST INT/EXT E PISCINA, CORES BRANCA OU FRIAS, SOLIDAS, SEM MESCLAGEM/MISTURA, ACABAMENTO LISO *2,5 X 2,5* CM</t>
  </si>
  <si>
    <t>MARMORISTA/GRANITEIRO COM ENCARGOS COMPLEMENTARES</t>
  </si>
  <si>
    <t>AJUDANTE DE OPERAÇÃO EM GERAL COM ENCARGOS COMPLEMENTARES</t>
  </si>
  <si>
    <t>FORRO DE FIBRA MINERAL EM PLACAS DE 625 X 625 MM, E = 15 MM, BORDA RETA, COM PINTURA ANTIMOFO, APOIADO EM PERFIL DE ACO GALVANIZADO COM 24 MM DE BASE - INSTALADO</t>
  </si>
  <si>
    <t>CALHA QUADRADA DE CHAPA DE ACO GALVANIZADA NUM 24, CORTE 100 CM</t>
  </si>
  <si>
    <t>DISCO DE LIXA PARA METAL, DIAMETRO = 180 MM, GRAO 120</t>
  </si>
  <si>
    <t>SILICONE ACETICO USO GERAL INCOLOR 280 G</t>
  </si>
  <si>
    <t>ABERTURA PARA ENCAIXE DE CUBA OU LAVATORIO EM BANCADA DE MARMORE/ GRANITO OU OUTRO TIPO DE PEDRA NATURAL</t>
  </si>
  <si>
    <t>FURO PARA TORNEIRA OU OUTROS ACESSORIOS EM BANCADA DE MARMORE/ GRANITO OU OUTRO TIPO DE PEDRA NATURAL</t>
  </si>
  <si>
    <t>PERFIL DE ALUMINIO ANODIZADO</t>
  </si>
  <si>
    <t>VIDRO TEMPERADO INCOLOR E = 10 MM, SEM COLOCACAO</t>
  </si>
  <si>
    <t>RUFO INTERNO/EXTERNO DE CHAPA DE ACO GALVANIZADA NUM 24, CORTE 25 CM</t>
  </si>
  <si>
    <t>GAS DE COZINHA - GLP</t>
  </si>
  <si>
    <t>SELADOR ACRILICO OPACO PREMIUM INTERIOR/EXTERIOR</t>
  </si>
  <si>
    <t>DILUENTE EPOXI</t>
  </si>
  <si>
    <t>PONTALETE *7,5 X 7,5* CM EM PINUS, MISTA OU EQUIVALENTE DA REGIAO - BRUTA</t>
  </si>
  <si>
    <t>PEDRA BRITADA N. 0, OU PEDRISCO (4,8 A 9,5 MM) POSTO PEDREIRA/FORNECEDOR, SEM FRETE</t>
  </si>
  <si>
    <t>TINTA ACRILICA PREMIUM PARA PISO</t>
  </si>
  <si>
    <t>MEMBRANA IMPERMEABILIZANTE ACRILICA MONOCOMPONENTE</t>
  </si>
  <si>
    <t>CALCETEIRO COM ENCARGOS COMPLEMENTARES</t>
  </si>
  <si>
    <t>AREIA GROSSA - POSTO JAZIDA/FORNECEDOR (RETIRADO NA JAZIDA, SEM TRANSPORTE)</t>
  </si>
  <si>
    <t>PARAFUSO ZINCADO ROSCA SOBERBA, CABECA SEXTAVADA, 5/16 " X 250 MM, PARA FIXACAO DE TELHA EM MADEIRA</t>
  </si>
  <si>
    <t>VIDRO COMUM LAMINADO LISO INCOLOR DUPLO, ESPESSURA TOTAL 8 MM (CADA CAMADA DE 4 MM) - COLOCADO</t>
  </si>
  <si>
    <t>VIDRO LISO INCOLOR 5MM - SEM COLOCACAO</t>
  </si>
  <si>
    <t>CAMADA SEPARADORA DE FILME DE POLIETILENO 20 A 25 MICRA</t>
  </si>
  <si>
    <t>VEU DE POLIESTER PARA IMPERMEABILIZACAO</t>
  </si>
  <si>
    <t>CALHA QUADRADA DE CHAPA DE ACO GALVANIZADA NUM 24, CORTE 50 CM</t>
  </si>
  <si>
    <t>ARGAMASSA COLANTE TIPO AC III</t>
  </si>
  <si>
    <t>TACO DE MADEIRA PARA PISO, IPE (CERNE) OU EQUIVALENTE DA REGIAO, 7 X 42 CM, E = 2 CM</t>
  </si>
  <si>
    <t>ARGAMASSA COLANTE AC II</t>
  </si>
  <si>
    <t>GRAUTE CIMENTICIO PARA USO GERAL</t>
  </si>
  <si>
    <t>TABUA NAO APARELHADA *2,5 X 30* CM, EM MACARANDUBA, ANGELIM OU EQUIVALENTE DA REGIAO - BRUTA</t>
  </si>
  <si>
    <t>DOMOS INDIVIDUAL EM ACRILICO BRANCO *95 X 95* CM, SEM INSTALACAO</t>
  </si>
  <si>
    <t>ANEL DE VEDACAO, PVC FLEXIVEL, 100 MM, PARA SAIDA DE BACIA / VASO SANITARIO</t>
  </si>
  <si>
    <t>TUBO PVC, SERIE R, DN 100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</si>
  <si>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</si>
  <si>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</si>
  <si>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</si>
  <si>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DE 25 MM, AGUA FRIA (NBR-5648)</t>
  </si>
  <si>
    <t>TUBO PVC, SOLDAVEL, DE 32 MM, AGUA FRIA (NBR-5648)</t>
  </si>
  <si>
    <t>TUBO PVC, SOLDAVEL, DE 40 MM, AGUA FRIA (NBR-5648)</t>
  </si>
  <si>
    <t>TUBO PVC, SOLDAVEL, DE 50 MM, AGUA FRIA (NBR-5648)</t>
  </si>
  <si>
    <t>FITA VEDA ROSCA EM ROLOS DE 18 MM X 50 M (L X C)</t>
  </si>
  <si>
    <t>SARRAFO NAO APARELHADO *2,5 X 10* CM, EM MACARANDUBA, ANGELIM OU EQUIVALENTE DA REGIAO - BRUTA</t>
  </si>
  <si>
    <t>CAIXA SIFONADA, PVC, 150 X *185* X 75 MM, COM GRELHA QUADRADA, BRANCA</t>
  </si>
  <si>
    <t>SOLUCAO PREPARADORA / LIMPADORA PARA PVC, FRASCO COM 1000 CM3</t>
  </si>
  <si>
    <t>CAIXA SIFONADA PVC, 250 X 230 X 75 MM, COM TAMPA CEGA QUADRADA, BRANCA</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</si>
  <si>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</si>
  <si>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</si>
  <si>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</si>
  <si>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</si>
  <si>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</si>
  <si>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</si>
  <si>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INDICUDUAL, SIFONADO, LOUCA BRANCA, SEM COMPLEMENTOS</t>
  </si>
  <si>
    <t>ENGATE / RABICHO FLEXIVEL INOX 1/2 " X 40 CM</t>
  </si>
  <si>
    <t>SIFAO EM METAL CROMADO PARA PIA OU LAVATORIO, 1 X 1.1/2 "</t>
  </si>
  <si>
    <t>SIFAO EM METAL CROMADO PARA TANQUE, 1.1/4 X 1.1/2 "</t>
  </si>
  <si>
    <t>TORNEIRA METALICA CROMADA DE MESA, PARA LAVATORIO, TEMPORIZADA PRESSAO FECHAMENTO AUTOMATICO, BICA BAIXA</t>
  </si>
  <si>
    <t>TORNEIRA METALICA CROMADA PARA JARDIM / TANQUE, COM BICO PLASTICO, CANO LONGO, DE PAREDE, PADRAO POPULAR / USO GERAL , 1/2 " OU 3/4 " (REF 1153 / 1130)</t>
  </si>
  <si>
    <t>VALVULA EM METAL CROMADO PARA LAVATORIO, 1 " SEM LADRAO</t>
  </si>
  <si>
    <t>VALVULA DE ESCOAMENTO PARA TANQUE, EM METAL CROMADO, 1.1/2 ", SEM LADRAO, COM TAMPAO PLASTICO</t>
  </si>
  <si>
    <t>VALVULA DE DESCARGA EM METAL CROMADO PARA MICTORIO COM ACIONAMENTO POR PRESSAO E FECHAMENTO AUTOMATICO</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</si>
  <si>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</si>
  <si>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</si>
  <si>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</si>
  <si>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</si>
  <si>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TELHA DE FIBROCIMENTO ONDULADA E = 6 MM, DE 2,44 X 1,10 M (SEM AMIANTO)</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</si>
  <si>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</si>
  <si>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</si>
  <si>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</si>
  <si>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</si>
  <si>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ACO GALVANIZADO, REVESTIDO EXTERNAMENTE COM PVC PRETO, DIAMETRO EXTERNO DE 32 MM (1"), TIPO SEALTUBO</t>
  </si>
  <si>
    <t>PISO EM PORCELANATO RETIFICADO EXTRA, FORMATO MENOR OU IGUAL A 2025 CM2</t>
  </si>
  <si>
    <t>ELETRODUTO FLEXIVEL, EM ACO GALVANIZADO, REVESTIDO EXTERNAMENTE COM PVC PRETO, DIAMETRO EXTERNO DE 25 MM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</si>
  <si>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</si>
  <si>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</si>
  <si>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</si>
  <si>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</si>
  <si>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</si>
  <si>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</si>
  <si>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</si>
  <si>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</si>
  <si>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</si>
  <si>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CHAPA DE ACO GALVANIZADA BITOLA GSG 22, E = 0,80 MM (6,40 KG/M2)</t>
  </si>
  <si>
    <t>MARCENEIRO COM ENCARGOS COMPLEMENTARES</t>
  </si>
  <si>
    <t>VALVULA DE ESFERA BRUTA EM BRONZE, BITOLA 1 1/2 " (REF 1552-B)</t>
  </si>
  <si>
    <t>VALVULA DE ESFERA BRUTA EM BRONZE, BITOLA 1 1/4 " (REF 1552-B)</t>
  </si>
  <si>
    <t>VALVULA DE ESFERA BRUTA EM BRONZE, BITOLA 1 " (REF 1552-B)</t>
  </si>
  <si>
    <t>VALVULA DE ESFERA BRUTA EM BRONZE, BITOLA 3/4 " (REF 1552-B)</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</si>
  <si>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</si>
  <si>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</si>
  <si>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</si>
  <si>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</si>
  <si>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</si>
  <si>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</si>
  <si>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</si>
  <si>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</si>
  <si>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</si>
  <si>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</si>
  <si>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</si>
  <si>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</si>
  <si>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</si>
  <si>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JG</t>
  </si>
  <si>
    <t>PREGO DE ACO POLIDO COM CABECA 12 X 12</t>
  </si>
  <si>
    <t>GUARNICAO / ALIZAR / VISTA LISA EM MADEIRA MACICA, PARA PORTA ,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</si>
  <si>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</si>
  <si>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</si>
  <si>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</si>
  <si>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</si>
  <si>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</si>
  <si>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</si>
  <si>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</si>
  <si>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</si>
  <si>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</si>
  <si>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</si>
  <si>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</si>
  <si>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</si>
  <si>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</si>
  <si>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</si>
  <si>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</si>
  <si>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</si>
  <si>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</si>
  <si>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ADESIVO ACRILICO DE BASE AQUOSA / COLA DE CONTATO</t>
  </si>
  <si>
    <t>CHAPA DE LAMINADO MELAMINICO, TEXTURIZADO, DE *1,25 X 3,08* M, E = 0,8 MM</t>
  </si>
  <si>
    <t>TABUA *2,5 X 30 CM EM PINUS, MISTA OU EQUIVALENTE DA REGIAO - BRUTA</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</si>
  <si>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</si>
  <si>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</si>
  <si>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</si>
  <si>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</si>
  <si>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</si>
  <si>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</si>
  <si>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</si>
  <si>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</si>
  <si>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</si>
  <si>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</si>
  <si>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FITA DE PAPEL REFORCADA COM LAMINA DE METAL PARA REFORCO DE CANTOS DE CHAPA DE GESSO PARA DRYWALL</t>
  </si>
  <si>
    <t>SOLDA EM BARRA DE ESTANHO-CHUMBO 50/50</t>
  </si>
  <si>
    <t>CAMINHÃO BASCULANTE 6 M3 TOCO, PESO BRUTO TOTAL 16.000 KG, CARGA ÚTIL MÁXIMA 11.130 KG, DISTÂNCIA ENTRE EIXOS 5,36 M, POTÊNCIA 185 CV, INCLUSIVE CAÇAMBA METÁLICA - CHI DIURNO. AF_06/2014</t>
  </si>
  <si>
    <t>MONTADOR (TUBO AÇO/EQUIPAMENTOS) COM ENCARGOS COMPLEMENTARES</t>
  </si>
  <si>
    <t>MASSA PREMIUM PARA TEXTURA LISA DE BASE ACRILICA, USO INTERNO E EXTERNO</t>
  </si>
  <si>
    <t>ARGAMASSA POLIMERICA IMPERMEABILIZANTE SEMIFLEXIVEL, BICOMPONENTE (MEMBRANA IMPERMEABILIZANTE ACRILICA)</t>
  </si>
  <si>
    <t>LONA PLASTICA PESADA PRETA, E = 150 MICRA</t>
  </si>
  <si>
    <t>AUXILIAR DE SERRALHEIRO COM ENCARGOS COMPLEMENTARES</t>
  </si>
  <si>
    <t>SERRALHEIRO COM ENCARGOS COMPLEMENTARES</t>
  </si>
  <si>
    <t>PISO EM GRANILITE, MARMORITE OU GRANITINA, AGREGADO COR PRETO, CINZA, PALHA OU BRANCO, E= *8* MM (INCLUSO EXECUCAO)</t>
  </si>
  <si>
    <t>RALO FOFO SEMIESFERICO, 150 MM, PARA LAJES/ CALHAS</t>
  </si>
  <si>
    <t>REDUCAO EXCENTRICA PVC, SERIE R, DN 150 X 100 MM, PARA ESGOTO PREDIAL</t>
  </si>
  <si>
    <t>TELA DE ACO SOLDADA GALVANIZADA/ZINCADA PARA ALVENARIA, FIO D = *1,24 MM, MALHA 25 X 25 MM</t>
  </si>
  <si>
    <t>TELA DE ACO SOLDADA NERVURADA, CA-60, Q-92, (1,48 KG/M2), DIAMETRO DO FIO = 4,2 MM, LARGURA = 2,45 X 60 M DE COMPRIMENTO, ESPACAMENTO DA MALHA = 15 X 15 CM</t>
  </si>
  <si>
    <t>PERFIL MONTANTE, FORMATO C, EM ACO ZINCADO, PARA ESTRUTURA PAREDE DRYWALL, E = 0,5 MM, 70 X 3000 MM (L X C)</t>
  </si>
  <si>
    <t>ACO CA-50, 10,0 MM, OU 12,5 MM, OU 16,0 MM, OU 20,0 MM, DOBRADO E CORTADO</t>
  </si>
  <si>
    <t>VIDRO LISO INCOLOR 4MM - SEM COLOCACAO</t>
  </si>
  <si>
    <t>ARMADOR COM ENCARGOS COMPLEMENTARES</t>
  </si>
  <si>
    <t>TAQUEADOR OU TAQUEIRO COM ENCARGOS COMPLEMENTARES</t>
  </si>
  <si>
    <t>PISO DE BORRACHA PASTILHADO EM PLACAS 50 X 50 CM, E = *3,5* MM, PARA COLA, PRETO</t>
  </si>
  <si>
    <t>VIDRO LISO FUME, E = 5 MM - SEM COLOCACAO</t>
  </si>
  <si>
    <t>CANTONEIRA ACO ABAS IGUAIS (QUALQUER BITOLA), ESPESSURA ENTRE 1/8" E 1/4"</t>
  </si>
  <si>
    <t>CAIBRO NAO APARELHADO *6 X 6* CM, EM MACARANDUBA, ANGELIM OU EQUIVALENTE DA REGIAO - BRUTA</t>
  </si>
  <si>
    <t>TABUA APARELHADA *2,5 X 30* CM, EM MACARANDUBA, ANGELIM OU EQUIVALENTE DA REGIAO</t>
  </si>
  <si>
    <t>ACO CA-50, 12,5 MM OU 16,0 MM, VERGALHAO</t>
  </si>
  <si>
    <t>MÁQUINA DEMARCADORA DE FAIXA DE TRÁFEGO À FRIO, AUTOPROPELIDA, POTÊNCIA 38 HP - CHI DIURNO. AF_07/2016</t>
  </si>
  <si>
    <t>VIDRO TEMPERADO INCOLOR E = 6 MM, SEM COLOCACAO</t>
  </si>
  <si>
    <t>LOCACAO DE ANDAIME METALICO TIPO FACHADEIRO, PEÃAS COM APROXIMADAMENTE 1,20 M DE LARGURA E 2,0 M DE ALTURA, INCLUINDO DIAGONAIS EM X, BARRAS DE LIGACAO, SAPATAS E DEMAIS ITENS NECESSARIOS A MONTAGEM (NAO INCLUI INSTALACAO)</t>
  </si>
  <si>
    <t>M2XMES</t>
  </si>
  <si>
    <t>FORRO DE PVC, FRISADO, BRANCO, REGUA DE 10 CM, ESPESSURA DE 8 MM A 10 MM E COMPRIMENTO 6 M (SEM COLOCACAO)</t>
  </si>
  <si>
    <t>MASSA DE REJUNTE EM PO PARA DRYWALL, A BASE DE GESSO, SECAGEM RAPIDA, PARA TRATAMENTO DE JUNTAS DE CHAPA DE GESSO (NECESSITA ADICAO DE AGUA)</t>
  </si>
  <si>
    <t>PERFIL DE BORRACHA EPDM MACICO *12 X 15* MM PARA ESQUADRIAS</t>
  </si>
  <si>
    <t>ARGAMASSA PRONTA PARA CONTRAPISO</t>
  </si>
  <si>
    <t>PLACA DE FIBRA MINERAL PARA FORRO, DE 625 X 625 MM, E = 15 MM, BORDA RETA, COM PINTURA ANTIMOFO (NAO INCLUI PERFIS)</t>
  </si>
  <si>
    <t>PEDRA BRITADA N. 2 (19 A 38 MM) POSTO PEDREIRA/FORNECEDOR, SEM FRETE</t>
  </si>
  <si>
    <t>TUBO PVC, SERIE R, DN 150 MM, PARA ESGOTO OU AGUAS PLUVIAIS PREDIAL (NBR 5688)</t>
  </si>
  <si>
    <t>BLOQUETE/PISO DE CONCRETO - MODELO BLOCO PISOGRAMA/CONCREGRAMA 2 FUROS, DIMENSOES APROX. DE 35 CM X 15 CM E ESPESSURA DE 7 CM (+/- 1 CM), COR NATURAL</t>
  </si>
  <si>
    <t>CUMEEIRA SHED PARA TELHA ONDULADA DE FIBROCIMENTO, E = 6 MM, ABA 280 MM, COMPRIMENTO 1100 MM (SEM AMIANTO)</t>
  </si>
  <si>
    <t>COLA A BASE DE RESINA SINTETICA PARA CHAPA DE LAMINADO MELAMINICO</t>
  </si>
  <si>
    <t>SUPORTE MAO-FRANCESA EM ACO, ABAS IGUAIS 40 CM, CAPACIDADE MINIMA 70 KG, BRANCO</t>
  </si>
  <si>
    <t>PENDURAL OU PRESILHA REGULADORA, EM ACO GALVANIZADO, COM CORPO, MOLA E REBITE, PARA PERFIL TIPO CANALETA DE ESTRUTURA EM FORROS DRYWALL</t>
  </si>
  <si>
    <t>LIXA EM FOLHA PARA PAREDE OU MADEIRA, NUMERO 120, COR VERMELHA</t>
  </si>
  <si>
    <t>ADESIVO ESTRUTURAL A BASE DE RESINA EPOXI, BICOMPONENTE, FLUIDO</t>
  </si>
  <si>
    <t>CUMEEIRA UNIVERSAL PARA TELHA ONDULADA DE FIBROCIMENTO, E = 6 MM, ABA 210 MM, COMPRIMENTO 1100 MM (SEM AMIANTO)</t>
  </si>
  <si>
    <t>MEMBRANA IMPERMEABILIZANTE A BASE DE POLIURETANO</t>
  </si>
  <si>
    <t>BLOCO DE VEDACAO DE CONCRETO, 9 X 19 X 39 CM (CLASSE C - NBR 6136)</t>
  </si>
  <si>
    <t>ARGAMASSA COLANTE TIPO AC III E</t>
  </si>
  <si>
    <t>RODAPE DE MADEIRA MACICA CUMARU/IPE CHAMPANHE OU EQUIVALENTE DA REGIAO, *1,5 X 7 CM</t>
  </si>
  <si>
    <t>PRIMER DE POLIURETANO</t>
  </si>
  <si>
    <t>PARAFUSO DRY WALL, EM ACO FOSFATIZADO, CABECA TROMBETA E PONTA AGULHA (TA), COMPRIMENTO 25 MM</t>
  </si>
  <si>
    <t>LOCACAO DE ANDAIME METALICO TUBULAR DE ENCAIXE, TIPO DE TORRE, CADA PAINEL COM LARGURA DE 1 ATE 1,5 M E ALTURA DE *1,00* M, INCLUINDO DIAGONAL, BARRAS DE LIGACAO, SAPATAS OU RODIZIOS E DEMAIS ITENS NECESSARIOS A MONTAGEM (NAO INCLUI INSTALACAO)</t>
  </si>
  <si>
    <t>MXMES</t>
  </si>
  <si>
    <t>BLOCO CERAMICO / TIJOLO VAZADO PARA ALVENARIA DE VEDACAO, 8 FUROS NA HORIZONTAL, DE 9 X 19 X 19 CM (L XA X C)</t>
  </si>
  <si>
    <t>REJUNTE CIMENTICIO, QUALQUER COR</t>
  </si>
  <si>
    <t>PERFIL GUIA, FORMATO U, EM ACO ZINCADO, PARA ESTRUTURA PAREDE DRYWALL, E = 0,5 MM, 70 X 3000 MM (L X C)</t>
  </si>
  <si>
    <t>TIJOLO CERAMICO MACICO COMUM *5 X 10 X 20* CM (L X A X C)</t>
  </si>
  <si>
    <t>PEDRA BRITADA N. 1 (9,5 a 19 MM) POSTO PEDREIRA/FORNECEDOR, SEM FRETE</t>
  </si>
  <si>
    <t>SOLDADOR COM ENCARGOS COMPLEMENTARES</t>
  </si>
  <si>
    <t>COMPACTADOR DE SOLOS DE PERCUSSÃO (SOQUETE) COM MOTOR A GASOLINA 4 TEMPOS, POTÊNCIA 4 CV - CHP DIURNO. AF_08/2015</t>
  </si>
  <si>
    <t>COMPACTADOR DE SOLOS DE PERCUSSÃO (SOQUETE) COM MOTOR A GASOLINA 4 TEMPOS, POTÊNCIA 4 CV - CHI DIURNO. AF_08/2015</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</si>
  <si>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</si>
  <si>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</si>
  <si>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</si>
  <si>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TUBO DE COBRE CLASSE "E", DN = 22 MM, PARA INSTALACAO HIDRAULICA PREDIAL</t>
  </si>
  <si>
    <t>TUBO DE COBRE CLASSE "E", DN = 28 MM, PARA INSTALACAO HIDRAULICA PREDIAL</t>
  </si>
  <si>
    <t>TUBO DE COBRE CLASSE "E", DN = 42 MM, PARA INSTALACAO HIDRAULICA PREDIAL</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</si>
  <si>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</si>
  <si>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</si>
  <si>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</si>
  <si>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CLASSE A15 CARGA MAXIMA 1,5 T, *400 X 400* MM</t>
  </si>
  <si>
    <t>ARQUITETO DE OBRA PLENO COM ENCARGOS COMPLEMENTARES</t>
  </si>
  <si>
    <t>COLA BRANCA BASE PVA</t>
  </si>
  <si>
    <t>LAVADORA DE ALTA PRESSAO (LAVA-JATO) PARA AGUA FRIA, PRESSAO DE OPERACAO ENTRE 1400 E 1900 LIB/POL2, VAZAO MAXIMA ENTRE 400 E 700 L/H - CHP DIURNO. AF_05/2023</t>
  </si>
  <si>
    <t>ARAME RECOZIDO 16 BWG, D = 1,65 MM (0,016 KG/M) OU 18 BWG, D = 1,25 MM (0,01 KG/M)</t>
  </si>
  <si>
    <t>PAPEL KRAFT BETUMADO</t>
  </si>
  <si>
    <t>PARAFUSO DE ACO TIPO CHUMBADOR PARABOLT, DIAMETRO 3/8", COMPRIMENTO 75 MM</t>
  </si>
  <si>
    <t>TELA PLASTICA LARANJA, TIPO TAPUME PARA SINALIZACAO, MALHA RETANGULAR, ROLO 1.20 X 50 M (L X C)</t>
  </si>
  <si>
    <t>CHUVEIRO COMUM EM PLASTICO BRANCO, COM CANO, 3 TEMPERATURAS, 5500 W (110/220 V)</t>
  </si>
  <si>
    <t>PÁ CARREGADEIRA SOBRE RODAS, POTÊNCIA LÍQUIDA 128 HP, CAPACIDADE DA CAÇAMBA 1,7 A 2,8 M3, PESO OPERACIONAL 11632 KG - CHP DIURNO. AF_06/2014</t>
  </si>
  <si>
    <t>PREGO DE ACO POLIDO COM CABECA 18 X 27 (2 1/2 X 10)</t>
  </si>
  <si>
    <t>ANEL BORRACHA, DN 150 MM, PARA TUBO SERIE REFORCADA ESGOTO PREDIAL</t>
  </si>
  <si>
    <t>APARELHO PARA CORTE E SOLDA OXI-ACETILENO SOBRE RODAS, INCLUSIVE CILINDROS E MAÇARICOS - CHP DIURNO. AF_05/2023</t>
  </si>
  <si>
    <t>CORDA DE POLIAMIDA 12 MM TIPO BOMBEIRO, PARA TRABALHO EM ALTURA</t>
  </si>
  <si>
    <t>100M</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</si>
  <si>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</si>
  <si>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</si>
  <si>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GRAMA BATATAIS EM PLACAS, SEM PLANTIO</t>
  </si>
  <si>
    <t>JARDINEIRO COM ENCARGOS COMPLEMENTARES</t>
  </si>
  <si>
    <t>CALCARIO DOLOMITICO A (POSTO PEDREIRA/FORNECEDOR, SEM FRETE)</t>
  </si>
  <si>
    <t>TERRA VEGETAL (GRANEL)</t>
  </si>
  <si>
    <t>FERTILIZANTE NPK - 10:10:10</t>
  </si>
  <si>
    <t>FERTILIZANTE ORGANICO COMPOSTO, CLASSE A</t>
  </si>
  <si>
    <t>MEIO-FIO OU GUIA DE CONCRETO, PRE-MOLDADO, COMP 1 M, *30 X 12/15* CM (H X L1/L2)</t>
  </si>
  <si>
    <t>TUBO DRENO, CORRUGADO, ESPIRALADO, FLEXIVEL, PERFURADO, EM POLIETILENO DE ALTA DENSIDADE (PEAD), DN 100 MM, (4") PARA DRENAGEM - EM ROLO (NORMA DNIT 093/2006 - E.M)</t>
  </si>
  <si>
    <t>GEOTEXTIL NAO TECIDO AGULHADO DE FILAMENTOS CONTINUOS 100% POLIESTER, RESITENCIA A TRACAO = 31 KN/M</t>
  </si>
  <si>
    <t>LOCACAO DE CONTAINER 2,30 X 6,00 M, ALT. 2,50 M, COM 1 SANITARIO, PARA ESCRITORIO, COMPLETO, SEM DIVISORIAS INTERNAS (NAO INCLUI MOBILIZACAO/DESMOBILIZACAO)</t>
  </si>
  <si>
    <t>MASSA PLASTICA PARA MARMORE/GRANITO</t>
  </si>
  <si>
    <t>LOCACAO DE CONTAINER 2,30 X 6,00 M, ALT. 2,50 M, PARA SANITARIO, COM 4 BACIAS, 8 CHUVEIROS,1 LAVATORIO E 1 MICTORIO (NAO INCLUI MOBILIZACAO/DESMOBILIZACAO)</t>
  </si>
  <si>
    <t>TINTA ACRILICA A BASE DE SOLVENTE, PARA SINALIZACAO HORIZONTAL VIARIA (NBR 11862)</t>
  </si>
  <si>
    <t>PLACA DE OBRA (PARA CONSTRUCAO CIVIL) EM CHAPA GALVANIZADA *N. 22*, ADESIVADA, DE *2,4 X 1,2* M (SEM POSTES PARA FIXACAO)</t>
  </si>
  <si>
    <t>FITA CREPE ROLO DE 25 MM X 50 M</t>
  </si>
  <si>
    <t>GUARNICAO / MOLDURA / ARREMATE DE ACABAMENTO PARA ESQUADRIA, EM ALUMINIO PERFIL 25, ACABAMENTO ANODIZADO BRANCO OU BRILHANTE, PARA 1 FACE</t>
  </si>
  <si>
    <t>PORTA DE ABRIR EM ALUMINIO TIPO VENEZIANA, ACABAMENTO ANODIZADO NATURAL, SEM GUARNICAO/ALIZAR/VISTA, 87 X 210 CM</t>
  </si>
  <si>
    <t>PARAFUSO DE ACO ZINCADO COM ROSCA SOBERBA, CABECA CHATA E FENDA SIMPLES, DIAMETRO 4,2 MM, COMPRIMENTO * 32 * MM</t>
  </si>
  <si>
    <t>JANELA MAXIM 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</si>
  <si>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</si>
  <si>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</si>
  <si>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</si>
  <si>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</si>
  <si>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</si>
  <si>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</si>
  <si>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</si>
  <si>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</si>
  <si>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PLACA DE SINALIZACAO DE SEGURANCA CONTRA INCENDIO, FOTOLUMINESCENTE, RETANGULAR, *13 X 26* CM, EM PVC *2* MM ANTI-CHAMAS (SIMBOLOS, CORES E PICTOGRAMAS CONFORME NBR 16820)</t>
  </si>
  <si>
    <t>PARAFUSO DRY WALL, EM ACO ZINCADO, CABECA LENTILHA E PONTA BROCA (LB), LARGURA 4,2 MM, COMPRIMENTO 13 MM</t>
  </si>
  <si>
    <t>PREGO DE ACO POLIDO COM CABECA 15 X 15 (1 1/4 X 13)</t>
  </si>
  <si>
    <t>POLIESTIRENO EXPANDIDO/EPS (ISOPOR), TIPO 2F, BLOCO</t>
  </si>
  <si>
    <t>VIBRADOR DE IMERSÃO, DIÂMETRO DE PONTEIRA 45MM, MOTOR ELÉTRICO TRIFÁSICO POTÊNCIA DE 2 CV - CHP DIURNO. AF_06/2015</t>
  </si>
  <si>
    <t>VIBRADOR DE IMERSÃO, DIÂMETRO DE PONTEIRA 45MM, MOTOR ELÉTRICO TRIFÁSICO POTÊNCIA DE 2 CV - CHI DIURNO. AF_06/2015</t>
  </si>
  <si>
    <t>ELETRODUTO/DUTO PEAD FLEXIVEL PAREDE SIMPLES, CORRUGACAO HELICOIDAL, COR PRETA, SEM ROSCA, DE 3", PARA CABEAMENTO SUBTERRANEO (NBR 15715)</t>
  </si>
  <si>
    <t>PISO TATIL DE ALERTA OU DIRECIONAL, DE BORRACHA, COLORIDO, 25 X 25 CM, E = 12 MM, PARA ARGAMASSA</t>
  </si>
  <si>
    <t>TAMPAO FOFO ARTICULADO P/ REGISTRO, CLASSE A15 CARGA MAX 1,5 T, *200 X 200* MM</t>
  </si>
  <si>
    <t>AREIA PARA ATERRO - POSTO JAZIDA/FORNECEDOR (RETIRADO NA JAZIDA, SEM TRANSPORTE)</t>
  </si>
  <si>
    <t>CHAPA DE ACO GROSSA, ASTM A36, E = 3/8 " (9,53 MM) 74,69 KG/M2</t>
  </si>
  <si>
    <t>ELETRODO REVESTIDO AWS - E6013, DIAMETRO IGUAL A 2,50 MM</t>
  </si>
  <si>
    <t>PARAFUSO DE FERRO POLIDO, SEXTAVADO, COM ROSCA INTEIRA, DIAMETRO 5/16", COMPRIMENTO 3/4", COM PORCA E ARRUELA LISA LEVE</t>
  </si>
  <si>
    <t>ALIMENTACAO - HORISTA (COLETADO CAIXA - ENCARGOS COMPLEMENTARES)</t>
  </si>
  <si>
    <t>TRANSPORTE - HORISTA (COLETADO CAIXA - ENCARGOS COMPLEMENTARES)</t>
  </si>
  <si>
    <t>COTOVELO DE COBRE 90 GRAUS (REF 607) SEM ANEL DE SOLDA, BOLSA X BOLSA, 35 MM</t>
  </si>
  <si>
    <t>SOLDA ESTANHO/COBRE PARA CONEXOES DE COBRE, FIO 2,5 MM, CARRETEL 500 GR (SEM CHUMBO)</t>
  </si>
  <si>
    <t>PASTA PARA SOLDA DE TUBOS E CONEXOES DE COBRE (EMBALAGEM COM 250 G)</t>
  </si>
  <si>
    <t>COTOVELO DE COBRE 90 GRAUS (REF 607) SEM ANEL DE SOLDA, BOLSA X BOLSA, 42 MM</t>
  </si>
  <si>
    <t>COTOVELO DE COBRE 90 GRAUS (REF 607) SEM ANEL DE SOLDA, BOLSA X BOLSA, 22 MM</t>
  </si>
  <si>
    <t>LUVA DE COBRE (REF 600) SEM ANEL DE SOLDA, BOLSA X BOLSA, 35 MM</t>
  </si>
  <si>
    <t>LUVA DE COBRE (REF 600) SEM ANEL DE SOLDA, BOLSA X BOLSA, 42 MM</t>
  </si>
  <si>
    <t>LUVA DE COBRE (REF 600) SEM ANEL DE SOLDA, BOLSA X BOLSA, 22 MM</t>
  </si>
  <si>
    <t>TUBO DE COBRE CLASSE "A", DN = 1 1/4 " (35 MM), PARA INSTALACOES DE MEDIA PRESSAO PARA GASES COMBUSTIVEIS E MEDICINAIS</t>
  </si>
  <si>
    <t>TUBO DE COBRE CLASSE "A", DN = 1 1/2 " (42 MM), PARA INSTALACOES DE MEDIA PRESSAO PARA GASES COMBUSTIVEIS E MEDICINAIS</t>
  </si>
  <si>
    <t>ELETRODUTO FLEXIVEL, EM ACO GALVANIZADO, REVESTIDO EXTERNAMENTE COM PVC PRETO, DIAMETRO EXTERNO DE 50 MM( 1 1/2"), TIPO SEALTUBO</t>
  </si>
  <si>
    <t>PERFIL TIPO CANTONEIRA EM L, EM ACO GALVANIZADO, BRANCO, PARA FORRO REMOVIVEL, *23* X 3000 MM (L X C)</t>
  </si>
  <si>
    <t>AJUDANTE DE PINTOR COM ENCARGOS COMPLEMENTARES</t>
  </si>
  <si>
    <t>PREGO DE ACO POLIDO COM CABECA 18 X 30 (2 3/4 X 10)</t>
  </si>
  <si>
    <t>VIGA NAO APARELHADA *6 X 16* CM, EM MACARANDUBA, ANGELIM OU EQUIVALENTE DA REGIAO - BRUTA</t>
  </si>
  <si>
    <t>ARAME GALVANIZADO 6 BWG, D = 5,16 MM (0,157 KG/M), OU 8 BWG, D = 4,19 MM (0,101 KG/M), OU 10 BWG, D = 3,40 MM (0,0713 KG/M)</t>
  </si>
  <si>
    <t>CHAPA/PAINEL DE MADEIRA COMPENSADA RESINADA (MADEIRITE RESINADO ROSA) PARA FORMA DE CONCRETO, DE 2200 x 1100 MM, E = 17 MM</t>
  </si>
  <si>
    <t>PÁ CARREGADEIRA SOBRE RODAS, POTÊNCIA LÍQUIDA 128 HP, CAPACIDADE DA CAÇAMBA 1,7 A 2,8 M3, PESO OPERACIONAL 11632 KG - CHI DIURNO. AF_06/2014</t>
  </si>
  <si>
    <t>MESTRE DE OBRAS COM ENCARGOS COMPLEMENTARES</t>
  </si>
  <si>
    <t>ADITIVO IMPERMEABILIZANTE DE PEGA NORMAL PARA ARGAMASSAS E CONCRETOS SEM ARMACAO, LIQUIDO E ISENTO DE CLORETOS</t>
  </si>
  <si>
    <t>SELANTE A BASE DE ALCATRAO E POLIURETANO PARA JUNTAS HORIZONTAIS</t>
  </si>
  <si>
    <t>CONJUNTO ARRUELAS DE VEDACAO 5/16" PARA TELHA FIBROCIMENTO (UMA ARRUELA METALICA E UMA ARRUELA PVC - CONICAS)</t>
  </si>
  <si>
    <t>ENCANADOR OU BOMBEIRO HIDRÁULICO COM ENCARGOS COMPLEMENTARES</t>
  </si>
  <si>
    <t>AJUDANTE DE CARPINTEIRO COM ENCARGOS COMPLEMENTARES</t>
  </si>
  <si>
    <t>ENGENHEIRO CIVIL DE OBRA PLENO COM ENCARGOS COMPLEMENTARES</t>
  </si>
  <si>
    <t>GUINCHO ELÉTRICO DE COLUNA, CAPACIDADE 400 KG, COM MOTO FREIO, MOTOR TRIFÁSICO DE 1,25 CV - CHI DIURNO. AF_03/2016</t>
  </si>
  <si>
    <t>CAL HIDRATADA PARA PINTURA</t>
  </si>
  <si>
    <t>BETONEIRA CAPACIDADE NOMINAL DE 400 L, CAPACIDADE DE MISTURA 280 L, MOTOR ELÉTRICO TRIFÁSICO POTÊNCIA DE 2 CV, SEM CARREGADOR - CHP DIURNO. AF_05/2023</t>
  </si>
  <si>
    <t>PARAFUSO FRANCES M16 EM ACO GALVANIZADO, COMPRIMENTO = 45 MM, DIAMETRO = 16 MM, CABECA ABAULADA</t>
  </si>
  <si>
    <t>PARAFUSO, COMUM, ASTM A307, SEXTAVADO, DIAMETRO 1/2" (12,7 MM), COMPRIMENTO 1" (25,4 MM)</t>
  </si>
  <si>
    <t>CHAPA/PAINEL DE MADEIRA COMPENSADA PLASTIFICADA (MADEIRITE PLASTIFICADO) PARA FORMA DE CONCRETO, DE 2200 x 1100 MM, E = *17* MM</t>
  </si>
  <si>
    <t>AUXILIAR DE ENCANADOR OU BOMBEIRO HIDRÁULICO COM ENCARGOS COMPLEMENTARES</t>
  </si>
  <si>
    <t>SERRA CIRCULAR DE BANCADA COM MOTOR ELÉTRICO POTÊNCIA DE 5HP, COM COIFA PARA DISCO 10" - CHI DIURNO. AF_08/2015</t>
  </si>
  <si>
    <t>BETONEIRA CAPACIDADE NOMINAL DE 400 L, CAPACIDADE DE MISTURA 280 L, MOTOR ELÉTRICO TRIFÁSICO POTÊNCIA DE 2 CV, SEM CARREGADOR - CHI DIURNO. AF_05/2023</t>
  </si>
  <si>
    <t>MEIO BLOCO DE VEDACAO DE CONCRETO 9 X 19 X 19 CM (CLASSE C - NBR 6136)</t>
  </si>
  <si>
    <t>GUINCHO ELÉTRICO DE COLUNA, CAPACIDADE 400 KG, COM MOTO FREIO, MOTOR TRIFÁSICO DE 1,25 CV - CHP DIURNO. AF_03/2016</t>
  </si>
  <si>
    <t>AREIA FINA - POSTO JAZIDA/FORNECEDOR (RETIRADO NA JAZIDA, SEM TRANSPORTE)</t>
  </si>
  <si>
    <t>BLOCO DE CONCRETO ESTRUTURAL 19 X 19 X 39 CM, FBK 8 MPA (NBR 6136)</t>
  </si>
  <si>
    <t>ALMOXARIFE COM ENCARGOS COMPLEMENTARES</t>
  </si>
  <si>
    <t>PARAFUSO ZINCADO, AUTOBROCANTE, FLANGEADO, 4,2 MM X 19 MM</t>
  </si>
  <si>
    <t>LONA PLASTICA EXTRA FORTE PRETA, E = 200 MICRA</t>
  </si>
  <si>
    <t>PROTETOR SOLAR FPS 30, EMBALAGEM 2 LITROS</t>
  </si>
  <si>
    <t>ANEL BORRACHA, DN 100 MM, PARA TUBO SERIE REFORCADA ESGOTO PREDIAL</t>
  </si>
  <si>
    <t>BUCHA DE NYLON SEM ABA S10, COM PARAFUSO DE 6,10 X 65 MM EM ACO ZINCADO COM ROSCA SOBERBA, CABECA CHATA E FENDA PHILLIPS</t>
  </si>
  <si>
    <t>GESSO EM PO PARA REVESTIMENTOS/MOLDURAS/SANCAS E USO GERAL</t>
  </si>
  <si>
    <t>PINO DE ACO COM ARRUELA CONICA, DIAMETRO ARRUELA = *23* MM E COMP HASTE = *27* MM (ACAO INDIRETA)</t>
  </si>
  <si>
    <t>TARUGO DELIMITADOR DE PROFUNDIDADE EM ESPUMA DE POLIETILENO DE BAIXA DENSIDADE 10 MM, CINZA</t>
  </si>
  <si>
    <t>SARRAFO *2,5 X 7,5* CM EM PINUS, MISTA OU EQUIVALENTE DA REGIAO - BRUTA</t>
  </si>
  <si>
    <t>LOCACAO DE ANDAIME SUSPENSO OU BALANCIM MANUAL, CAPACIDADE DE CARGA TOTAL DE APROXIMADAMENTE 250 KG/M2, PLATAFORMA DE 1,50 M X 0,80 M (C X L), CABO DE 45 M</t>
  </si>
  <si>
    <t>TABUA NAO APARELHADA *2,5 X 20* CM, EM MACARANDUBA, ANGELIM OU EQUIVALENTE DA REGIAO - BRUTA</t>
  </si>
  <si>
    <t>ACO CA-60, 4,2 MM, OU 5,0 MM, OU 6,0 MM, OU 7,0 MM, VERGALHAO</t>
  </si>
  <si>
    <t>FUNDO ANTICORROSIVO PARA METAIS FERROSOS (ZARCAO)</t>
  </si>
  <si>
    <t>ADITIVO LIQUIDO INCORPORADOR DE AR PARA CONCRETO E ARGAMASSA, LIQUIDO E ISENTO DE CLORETOS</t>
  </si>
  <si>
    <t>ELETRODO REVESTIDO AWS - E7018, DIAMETRO IGUAL A 4,00 MM</t>
  </si>
  <si>
    <t>FITA DE PAPEL MICROPERFURADO, 50 X 150 MM, PARA TRATAMENTO DE JUNTAS DE CHAPA DE GESSO PARA DRYWALL</t>
  </si>
  <si>
    <t>PASTA LUBRIFICANTE PARA TUBOS E CONEXOES COM JUNTA ELASTICA, EMBALAGEM DE *400* GR (USO EM PVC, ACO, POLIETILENO E OUTROS)</t>
  </si>
  <si>
    <t>PREGO DE ACO POLIDO SEM CABECA 15 X 15 (1 1/4 X 13)</t>
  </si>
  <si>
    <t>ACO CA-50, 8,0 MM, VERGALHAO</t>
  </si>
  <si>
    <t>MICROESFERAS DE VIDRO PARA SINALIZACAO HORIZONTAL VIARIA, TIPO II-A (DROP-ON) - NBR 16184</t>
  </si>
  <si>
    <t>TANQUE DE ASFALTO ESTACIONÁRIO COM SERPENTINA, CAPACIDADE 30.000 L - CHP DIURNO. AF_05/2023</t>
  </si>
  <si>
    <t>BUCHA DE NYLON SEM ABA S6, COM PARAFUSO DE 4,20 X 40 MM EM ACO ZINCADO COM ROSCA SOBERBA, CABECA CHATA E FENDA PHILLIPS</t>
  </si>
  <si>
    <t>ESPACADOR / DISTANCIADOR CIRCULAR COM ENTRADA LATERAL, EM PLASTICO, PARA VERGALHAO *4,2 A 12,5* MM, COBRIMENTO 20 MM</t>
  </si>
  <si>
    <t>ACO CA-50, 10,0 MM, VERGALHAO</t>
  </si>
  <si>
    <t>MOURAO ROLICO DE MADEIRA TRATADA, D = 8 A 11 CM, H = 2,20 M, EM EUCALIPTO OU EQUIVALENTE DA REGIAO (PARA CERCA)</t>
  </si>
  <si>
    <t>ACO CA-50, 6,3 MM, VERGALHAO</t>
  </si>
  <si>
    <t>PARAFUSO, AUTO ATARRACHANTE, CABECA CHATA, FENDA SIMPLES, 1/4 (6,35 MM) X 25 MM</t>
  </si>
  <si>
    <t>RESINA ACRILICA PREMIUM BASE AGUA - COR BRANCA</t>
  </si>
  <si>
    <t>PREGO DE ACO POLIDO COM CABECA 17 X 21 (2 X 11)</t>
  </si>
  <si>
    <t>PLACA DE GESSO PARA FORRO, *60 X 60* CM, ESPESSURA DE 12 MM (SEM COLOCACAO)</t>
  </si>
  <si>
    <t>ESCADA DUPLA DE ABRIR EM ALUMINIO, MODELO PINTOR, 8 DEGRAUS</t>
  </si>
  <si>
    <t>BOTA DE PVC PRETA, CANO MEDIO, SEM FORRO</t>
  </si>
  <si>
    <t>PAR</t>
  </si>
  <si>
    <t>CARRINHO DE MAO DE ACO CAPACIDADE 50 A 60 L, PNEU COM CAMARA</t>
  </si>
  <si>
    <t>REJUNTE EPOXI, QUALQUER COR</t>
  </si>
  <si>
    <t>USINA DE ASFALTO À FRIO, CAPACIDADE DE 40 A 60 TON/HORA, ELÉTRICA POTÊNCIA 30 CV - CHP DIURNO. AF_05/2023</t>
  </si>
  <si>
    <t>DESEMPENADEIRA DE CONCRETO, PESO DE 78 KG, 4 PÁS, MOTOR A GASOLINA, POTÊNCIA 5,5 HP - CHP DIURNO. AF_05/2023</t>
  </si>
  <si>
    <t>MICROESFERAS DE VIDRO PARA SINALIZACAO HORIZONTAL VIARIA, TIPO I-B (PREMIX) - NBR 16184</t>
  </si>
  <si>
    <t>PERFIL TABICA FECHADA, LISA, FORMATO Z, EM ACO GALVANIZADO NATURAL, LARGURA TOTAL NA HORIZONTAL *40* MM, PARA ESTRUTURA FORRO DRYWALL</t>
  </si>
  <si>
    <t>VIDRO MARTELADO OU CANELADO, 4 MM - SEM COLOCACAO</t>
  </si>
  <si>
    <t>AJUDANTE DE ARMADOR COM ENCARGOS COMPLEMENTARES</t>
  </si>
  <si>
    <t>SERRA CIRCULAR DE BANCADA COM MOTOR ELÉTRICO POTÊNCIA DE 5HP, COM COIFA PARA DISCO 10" - CHP DIURNO. AF_08/2015</t>
  </si>
  <si>
    <t>MÁQUINA DEMARCADORA DE FAIXA DE TRÁFEGO À FRIO, AUTOPROPELIDA, POTÊNCIA 38 HP - CHP DIURNO. AF_07/2016</t>
  </si>
  <si>
    <t>CAPA PARA CHUVA EM PVC COM FORRO DE POLIESTER, COM CAPUZ (AMARELA OU AZUL)</t>
  </si>
  <si>
    <t>REBITE DE ALUMINIO VAZADO DE REPUXO, 3,2 X 8 MM (1KG = 1025 UNIDADES)</t>
  </si>
  <si>
    <t>TALABARTE DE SEGURANCA, 2 MOSQUETOES TRAVA DUPLA *53* MM DE ABERTURA, COM ABSORVEDOR DE ENERGIA</t>
  </si>
  <si>
    <t>GRUPO GERADOR ESTACIONÁRIO, POTÊNCIA 150 KVA, MOTOR A DIESEL- CHP DIURNO. AF_03/2016</t>
  </si>
  <si>
    <t>TALHA MANUAL DE CORRENTE, CAPACIDADE DE 2 T COM ELEVACAO DE 3 M</t>
  </si>
  <si>
    <t>DILUENTE AGUARRAS</t>
  </si>
  <si>
    <t>TRAVA-QUEDAS EM ACO PARA CORDA DE 12 MM, EXTENSOR DE 25 X 300 MM, COM MOSQUETAO TIPO GANCHO TRAVA DUPLA</t>
  </si>
  <si>
    <t>CAMINHÃO BASCULANTE 10 M3, TRUCADO, POTÊNCIA 230 CV, INCLUSIVE CAÇAMBA METÁLICA, COM DISTRIBUIDOR DE AGREGADOS ACOPLADO - CHP DIURNO. AF_02/2017</t>
  </si>
  <si>
    <t>PRUMO DE PAREDE EM ACO 700 A 750 G</t>
  </si>
  <si>
    <t>VIBROACABADORA DE ASFALTO SOBRE ESTEIRAS, LARGURA DE PAVIMENTAÇÃO 1,90 M A 5,30 M, POTÊNCIA 105 HP CAPACIDADE 450 T/H - CHP DIURNO. AF_11/2014</t>
  </si>
  <si>
    <t>ADESIVO PLASTICO PARA PVC, FRASCO COM *850* GR</t>
  </si>
  <si>
    <t>ESPUMA EXPANSIVA DE POLIURETANO, APLICACAO MANUAL - 500 ML</t>
  </si>
  <si>
    <t>BETONEIRA CAPACIDADE NOMINAL DE 600 L, CAPACIDADE DE MISTURA 360 L, MOTOR ELÉTRICO TRIFÁSICO POTÊNCIA DE 4 CV, SEM CARREGADOR - CHP DIURNO. AF_05/2023</t>
  </si>
  <si>
    <t>ENXADA ESTREITA *25 X 23* CM COM CABO</t>
  </si>
  <si>
    <t>ESQUADRO DE ACO 12 " (300 MM), CABO DE ALUMINIO</t>
  </si>
  <si>
    <t>PREGO DE ACO POLIDO COM CABECA DUPLA 17 X 27 (2 1/2 X 11)</t>
  </si>
  <si>
    <t>PÁ CARREGADEIRA SOBRE RODAS, POTÊNCIA 197 HP, CAPACIDADE DA CAÇAMBA 2,5 A 3,5 M3, PESO OPERACIONAL 18338 KG - CHP DIURNO. AF_06/2014</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</si>
  <si>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</si>
  <si>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</si>
  <si>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</si>
  <si>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</si>
  <si>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</si>
  <si>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</si>
  <si>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TUBO CPVC, SOLDAVEL, 22 MM, AGUA QUENTE PREDIAL (NBR 15884)</t>
  </si>
  <si>
    <t>TUBO CPVC, SOLDAVEL, 28 MM, AGUA QUENTE PREDIAL (NBR 15884)</t>
  </si>
  <si>
    <t>PULSADOR CAMPAINHA 10A, 250V (APENAS MODULO)</t>
  </si>
  <si>
    <t>LUMINARIA PLAFON REDONDO COM VIDRO FOSCO DIAMETRO *30* CM, PARA 2 LAMPADAS, BASE E27, POTENCIA MAXIMA 40/60 W (NAO INCLUI LAMPADAS)</t>
  </si>
  <si>
    <t>LAMPADA FLUORESCENTE COMPACTA 2U BRANCA 15 W, BASE E27 (127/220 V)</t>
  </si>
  <si>
    <t>CANTONEIRA ALUMINIO ABAS IGUAIS 1 ", E = 3 /16 "</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</si>
  <si>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</si>
  <si>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</si>
  <si>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</si>
  <si>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</si>
  <si>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</si>
  <si>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</si>
  <si>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</si>
  <si>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</si>
  <si>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</si>
  <si>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PARA CABEAMENTO SUBTERRANEO (NBR 15715)</t>
  </si>
  <si>
    <t>TAMPAO FOFO ARTICULADO, CLASSE D400 CARGA MAX 40 T, REDONDO, TAMPA 600 MM (COM INSCRICAO EM RELEVO DO TIPO DE REDE)</t>
  </si>
  <si>
    <t>TUBO MULTICAMADA PEX, DN 20 MM, PARA INSTALACOES A GAS (AMARELO)</t>
  </si>
  <si>
    <t>TUBO MULTICAMADA PEX, DN *26* MM, PARA INSTALACOES A GAS (AMARELO)</t>
  </si>
  <si>
    <t>CONDULETE DE ALUMINIO TIPO T, PARA ELETRODUTO ROSCAVEL DE 2", COM TAMPA CEGA</t>
  </si>
  <si>
    <t>GUINDAUTO HIDRÁULICO, CAPACIDADE MÁXIMA DE CARGA 6200 KG, MOMENTO MÁXIMO DE CARGA 11,7 TM, ALCANCE MÁXIMO HORIZONTAL 9,70 M, INCLUSIVE CAMINHÃO TOCO PBT 16.000 KG, POTÊNCIA DE 189 CV - CHP DIURNO. AF_06/2014</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</si>
  <si>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</si>
  <si>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</si>
  <si>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</si>
  <si>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</si>
  <si>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ENGENHEIRO ELETRICISTA COM ENCARGOS COMPLEMENTARES</t>
  </si>
  <si>
    <t>OLEO DIESEL COMBUSTIVEL COMUM</t>
  </si>
  <si>
    <t>AUXILIAR DE ALMOXARIFE COM ENCARGOS COMPLEMENTARES</t>
  </si>
  <si>
    <t>AUXILIAR DE ESCRITORIO COM ENCARGOS COMPLEMENTARES</t>
  </si>
  <si>
    <t>ELETROTÉCNICO COM ENCARGOS COMPLEMENTARES</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</si>
  <si>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</si>
  <si>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</si>
  <si>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</si>
  <si>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</si>
  <si>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</si>
  <si>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</si>
  <si>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</si>
  <si>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</si>
  <si>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</si>
  <si>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</si>
  <si>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</si>
  <si>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</si>
  <si>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</si>
  <si>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</si>
  <si>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</si>
  <si>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</si>
  <si>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</si>
  <si>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</si>
  <si>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</si>
  <si>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</si>
  <si>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</si>
  <si>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</si>
  <si>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</si>
  <si>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ELETRODUTO EM ACO GALVANIZADO ELETROLITICO, LEVE, DIAMETRO 1", PAREDE DE 0,90 MM</t>
  </si>
  <si>
    <t>LUVA PARA ELETRODUTO, EM ACO GALVANIZADO ELETROLITICO, DIAMETRO DE 15 MM (1/2")</t>
  </si>
  <si>
    <t>CURVA 90 GRAUS, PARA ELETRODUTO, EM ACO GALVANIZADO ELETROLITICO, DIAMETRO DE 15 MM (1/2")</t>
  </si>
  <si>
    <t>CONECTOR RETO DE ALUMINIO PARA ELETRODUTO DE 3/4", PARA ADAPTAR ENTRADA DE ELETRODUTO METALICO FLEXIVEL EM QUADROS</t>
  </si>
  <si>
    <t>CONECTOR CURVO 90 GRAUS DE ALUMINIO, BITOLA 3/4", PARA ADAPTAR ENTRADA DE ELETRODUTO METALICO FLEXIVEL EM QUADROS</t>
  </si>
  <si>
    <t>LUVA PARA ELETRODUTO, EM ACO GALVANIZADO ELETROLITICO, DIAMETRO DE 20 MM (3/4")</t>
  </si>
  <si>
    <t>CURVA 90 GRAUS, PARA ELETRODUTO, EM ACO GALVANIZADO ELETROLITICO, DIAMETRO DE 20 MM (3/4")</t>
  </si>
  <si>
    <t>CONECTOR RETO DE ALUMINIO PARA ELETRODUTO DE 1", PARA ADAPTAR ENTRADA DE ELETRODUTO METALICO FLEXIVEL EM QUADROS</t>
  </si>
  <si>
    <t>CONECTOR CURVO 90 GRAUS DE ALUMINIO, BITOLA 1", PARA ADAPTAR ENTRADA DE ELETRODUTO METALICO FLEXIVEL EM QUADROS</t>
  </si>
  <si>
    <t>LUVA PARA ELETRODUTO, EM ACO GALVANIZADO ELETROLITICO, DIAMETRO DE 25 MM (1")</t>
  </si>
  <si>
    <t>CURVA 90 GRAUS, PARA ELETRODUTO, EM ACO GALVANIZADO ELETROLITICO, DIAMETRO DE 25 MM (1")</t>
  </si>
  <si>
    <t>CONECTOR RETO DE ALUMINIO PARA ELETRODUTO DE 1 1/4", PARA ADAPTAR ENTRADA DE ELETRODUTO METALICO FLEXIVEL EM QUADROS</t>
  </si>
  <si>
    <t>CONECTOR CURVO 90 GRAUS DE ALUMINIO, BITOLA 1 1/4", PARA ADAPTAR ENTRADA DE ELETRODUTO METALICO FLEXIVEL EM QUADROS</t>
  </si>
  <si>
    <t>LUVA PARA ELETRODUTO, EM ACO GALVANIZADO ELETROLITICO, DIAMETRO DE 32 MM (1 1/4")</t>
  </si>
  <si>
    <t>CURVA 90 GRAUS, PARA ELETRODUTO, EM ACO GALVANIZADO ELETROLITICO, DIAMETRO DE 32 MM (1 1/4")</t>
  </si>
  <si>
    <t>CONECTOR RETO DE ALUMINIO PARA ELETRODUTO DE 1 1/2", PARA ADAPTAR ENTRADA DE ELETRODUTO METALICO FLEXIVEL EM QUADROS</t>
  </si>
  <si>
    <t>CONECTOR CURVO 90 GRAUS DE ALUMINIO, BITOLA 1 1/2", PARA ADAPTAR ENTRADA DE ELETRODUTO METALICO FLEXIVEL EM QUADROS</t>
  </si>
  <si>
    <t>LUVA PARA ELETRODUTO, EM ACO GALVANIZADO ELETROLITICO, DIAMETRO DE 40 MM (1 1/2")</t>
  </si>
  <si>
    <t>CURVA 90 GRAUS, PARA ELETRODUTO, EM ACO GALVANIZADO ELETROLITICO, DIAMETRO DE 40 MM (1 1/2")</t>
  </si>
  <si>
    <t>CONECTOR RETO DE ALUMINIO PARA ELETRODUTO DE 2", PARA ADAPTAR ENTRADA DE ELETRODUTO METALICO FLEXIVEL EM QUADROS</t>
  </si>
  <si>
    <t>CONECTOR CURVO 90 GRAUS DE ALUMINIO, BITOLA 2", PARA ADAPTAR ENTRADA DE ELETRODUTO METALICO FLEXIVEL EM QUADROS</t>
  </si>
  <si>
    <t>LUVA PARA ELETRODUTO, EM ACO GALVANIZADO ELETROLITICO, DIAMETRO DE 50 MM (2")</t>
  </si>
  <si>
    <t>CURVA 90 GRAUS, PARA ELETRODUTO, EM ACO GALVANIZADO ELETROLITICO, DIAMETRO DE 50 MM (2")</t>
  </si>
  <si>
    <t>CONECTOR CURVO 90 GRAUS DE ALUMINIO, BITOLA 2 1/2", PARA ADAPTAR ENTRADA DE ELETRODUTO METALICO FLEXIVEL EM QUADROS</t>
  </si>
  <si>
    <t>LUVA PARA ELETRODUTO, EM ACO GALVANIZADO ELETROLITICO, DIAMETRO DE 65 MM (2 1/2")</t>
  </si>
  <si>
    <t>CURVA 90 GRAUS, PARA ELETRODUTO, EM ACO GALVANIZADO ELETROLITICO, DIAMETRO DE 65 MM (2 1/2")</t>
  </si>
  <si>
    <t>CONECTOR RETO DE ALUMINIO PARA ELETRODUTO DE 3", PARA ADAPTAR ENTRADA DE ELETRODUTO METALICO FLEXIVEL EM QUADROS</t>
  </si>
  <si>
    <t>CONECTOR CURVO 90 GRAUS DE ALUMINIO, BITOLA 3", PARA ADAPTAR ENTRADA DE ELETRODUTO METALICO FLEXIVEL EM QUADROS</t>
  </si>
  <si>
    <t>LUVA PARA ELETRODUTO, EM ACO GALVANIZADO ELETROLITICO, DIAMETRO DE 80 MM (3")</t>
  </si>
  <si>
    <t>CURVA 90 GRAUS, PARA ELETRODUTO, EM ACO GALVANIZADO ELETROLITICO,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</si>
  <si>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</si>
  <si>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</si>
  <si>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DIAMETRO DE 100 MM (4")</t>
  </si>
  <si>
    <t>CURVA 90 GRAUS, PARA ELETRODUTO, EM ACO GALVANIZADO ELETROLITICO, DIAMETRO DE 100 MM (4")</t>
  </si>
  <si>
    <t>ELETRODUTO FLEXIVEL, EM ACO GALVANIZADO, REVESTIDO EXTERNAMENTE COM PVC PRETO, DIAMETRO EXTERNO DE 40 MM (1 1/4"), TIPO SEALTUBO</t>
  </si>
  <si>
    <t>ELETRODUTO FLEXIVEL, EM ACO GALVANIZADO, REVESTIDO EXTERNAMENTE COM PVC PRETO, DIAMETRO EXTERNO DE 60 MM (2"), TIPO SEALTUBO</t>
  </si>
  <si>
    <t>TAMPAO / TERMINAL / PLUG, D = 1 1/4" , PARA DUTO CORRUGADO PEAD (CABEAMENTO SUBTERRANEO)</t>
  </si>
  <si>
    <t>TAMPAO / TERMINAL / PLUG, D = 2" , PARA DUTO CORRUGADO PEAD (CABEAMENTO SUBTERRANEO)</t>
  </si>
  <si>
    <t>TAMPAO / TERMINAL / PLUG, D = 3" ,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</si>
  <si>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</si>
  <si>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</si>
  <si>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</si>
  <si>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</si>
  <si>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</si>
  <si>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</si>
  <si>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</si>
  <si>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</si>
  <si>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</si>
  <si>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</si>
  <si>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</si>
  <si>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</si>
  <si>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</si>
  <si>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</si>
  <si>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</si>
  <si>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</si>
  <si>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</si>
  <si>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</si>
  <si>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NOMIMNAL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</si>
  <si>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</si>
  <si>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</si>
  <si>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</si>
  <si>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</si>
  <si>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CHUMBADOR, DIAMETRO 1/4" COM PARAFUSO 1/4" X 40 MM</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</si>
  <si>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</si>
  <si>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</si>
  <si>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</si>
  <si>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</si>
  <si>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</si>
  <si>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</si>
  <si>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</si>
  <si>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</si>
  <si>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MASTRO SIMPLES GALVANIZADO DIAMETRO NOMINAL 2"</t>
  </si>
  <si>
    <t>TAMPAO FOFO ARTICULADO, CLASSE B125 CARGA MAX 12,5 T, REDONDO, TAMPA 600 MM (COM INSCRICAO EM RELEVO DO TIPO DE REDE)</t>
  </si>
  <si>
    <t>TAMPAO FOFO SIMPLES COM BASE, CLASSE A15 CARGA MAX 1,5 T, 400 X 600 MM (COM INSCRICAO EM RELEVO DO TIPO DE REDE)</t>
  </si>
  <si>
    <t>REGUA DE ALUMINIO PARA PEDREIRO 2 X 1 "</t>
  </si>
  <si>
    <t>CONE DE SINALIZACAO EM PVC RIGIDO COM FAIXA REFLETIVA, H = 70 / 76 CM</t>
  </si>
  <si>
    <t>ALICATE DE CRIMPAR RJ11, RJ12 E RJ45</t>
  </si>
  <si>
    <t>PO DE PEDRA (POSTO PEDREIRA/FORNECEDOR, SEM FRETE)</t>
  </si>
  <si>
    <t>MARTELO DEMOLIDOR ELÉTRICO, COM POTÊNCIA DE 2.000 W, 1.000 IMPACTOS POR MINUTO, PESO DE 30 KG -  CHI DIURNO. AF_01/2021</t>
  </si>
  <si>
    <t>MARTELO DEMOLIDOR ELÉTRICO, COM POTÊNCIA DE 2.000 W, 1.000 IMPACTOS POR MINUTO, PESO DE 30 KG - CHP DIURNO. AF_01/2021</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</si>
  <si>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</si>
  <si>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</si>
  <si>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</si>
  <si>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</si>
  <si>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</si>
  <si>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</si>
  <si>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</si>
  <si>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</si>
  <si>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</si>
  <si>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</si>
  <si>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</si>
  <si>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</si>
  <si>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</si>
  <si>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</si>
  <si>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</si>
  <si>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</si>
  <si>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</si>
  <si>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</si>
  <si>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TIPO DIN/IEC, TRIPOLAR DE 10 ATE 50A</t>
  </si>
  <si>
    <t>CHUMBADOR DE ACO, DIAMETRO 5/8", COMPRIMENTO 6", COM PORCA</t>
  </si>
  <si>
    <t>ANEL BORRACHA PARA TUBO ESGOTO PREDIAL, DN 100 MM (NBR 5688)</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</si>
  <si>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</si>
  <si>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</si>
  <si>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</si>
  <si>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1.1/2 " (40 MM)</t>
  </si>
  <si>
    <t>BRACO / CANO PARA CHUVEIRO ELETRICO, EM ALUMINIO, 30 CM X 1/2 "</t>
  </si>
  <si>
    <t>CAIXA DE DESCARGA DE PLASTICO EXTERNA, DE *9* L, PUXADOR FIO DE NYLON, NAO INCLUSO CANO, BOLSA, ENGATE</t>
  </si>
  <si>
    <t>CAIXA DE GORDURA EM PVC, DIAMETRO MINIMO 300 MM, DIAMETRO DE SAIDA 100 MM, CAPACIDADE APROXIMADA 18 LITROS, COM TAMPA E CESTO</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</si>
  <si>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</si>
  <si>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</si>
  <si>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CUBA ACO INOX (AISI 304) DE EMBUTIR COM VALVULA 3 1/2 ", DE *40 X 34 X 12* CM</t>
  </si>
  <si>
    <t>MANOMETRO COM CAIXA EM ACO PINTADO, ESCALA *10* KGF/CM2 (*10* BAR), DIAMETRO NOMINAL DE *63* MM, CONEXAO DE 1/4"</t>
  </si>
  <si>
    <t>MISTURADOR METALICO, BASE PARA CHUVEIRO/BANHEIRA, 1/2 " OU 3/4 ", SOLDAVEL OU ROSCAVEL (NAO INCLUI ACABAMENTOS)</t>
  </si>
  <si>
    <t>RALO FOFO SEMIESFERICO, 100 MM, PARA LAJES/ CALHAS</t>
  </si>
  <si>
    <t>VALVULA DE ESFERA BRUTA EM BRONZE, BITOLA 2 " (REF 1552-B)</t>
  </si>
  <si>
    <t>REGISTRO GAVETA BRUTO EM LATAO FORJADO, BITOLA 1 1/2 " (REF 1509)</t>
  </si>
  <si>
    <t>REGISTRO GAVETA BRUTO EM LATAO FORJADO, BITOLA 1 1/4 " (REF 1509)</t>
  </si>
  <si>
    <t>REGISTRO GAVETA BRUTO EM LATAO FORJADO, BITOLA 1 " (REF 1509)</t>
  </si>
  <si>
    <t>REGISTRO GAVETA BRUTO EM LATAO FORJADO, BITOLA 1/2 " (REF 1509)</t>
  </si>
  <si>
    <t>REGISTRO GAVETA BRUTO EM LATAO FORJADO, BITOLA 2 1/2 " (REF 1509)</t>
  </si>
  <si>
    <t>REGISTRO GAVETA BRUTO EM LATAO FORJADO, BITOLA 2 " (REF 1509)</t>
  </si>
  <si>
    <t>REGISTRO GAVETA BRUTO EM LATAO FORJADO, BITOLA 3 " (REF 1509)</t>
  </si>
  <si>
    <t>REGISTRO GAVETA BRUTO EM LATAO FORJADO, BITOLA 3/4 " (REF 1509)</t>
  </si>
  <si>
    <t>REGISTRO GAVETA BRUTO EM LATAO FORJADO, BITOLA 4 " (REF 1509)</t>
  </si>
  <si>
    <t>REGISTRO PRESSAO BRUTO EM LATAO FORJADO, BITOLA 1/2 " (REF 1400)</t>
  </si>
  <si>
    <t>REGISTRO PRESSAO BRUTO EM LATAO FORJADO, BITOLA 3/4 " (REF 1400)</t>
  </si>
  <si>
    <t>REGISTRO DE ESFERA, PVC, COM VOLANTE, VS, ROSCAVEL, DN 1/2", COM CORPO DIVIDIDO</t>
  </si>
  <si>
    <t>REGISTRO DE ESFERA, PVC, COM VOLANTE, VS, ROSCAVEL, DN 1 1/2", COM CORPO DIVIDIDO</t>
  </si>
  <si>
    <t>REGISTRO DE ESFERA, PVC, COM VOLANTE, VS, SOLDAVEL, DN 60 MM, COM CORPO DIVIDIDO</t>
  </si>
  <si>
    <t>REGISTRO OU VALVULA GLOBO ANGULAR EM LATAO, PARA HIDRANTES EM INSTALACAO PREDIAL DE INCENDIO, 45 GRAUS, DIAMETRO DE 2 1/2", COM VOLANTE, CLASSE DE PRESSAO DE ATE 200 PSI</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</si>
  <si>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</si>
  <si>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</si>
  <si>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</si>
  <si>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</si>
  <si>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</si>
  <si>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</si>
  <si>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</si>
  <si>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CONVENCIONAL PARA CAIXA D'AGUA, AGUA FRIA, 3/4", COM HASTE E TORNEIRA METALICOS E BALAO PLASTICO</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</si>
  <si>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</si>
  <si>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</si>
  <si>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</si>
  <si>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</si>
  <si>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"E", DN = 104 MM, PARA INSTALACAO HIDRAULICA PREDIAL</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</si>
  <si>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</si>
  <si>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</si>
  <si>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</si>
  <si>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</si>
  <si>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</si>
  <si>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</si>
  <si>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</si>
  <si>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NIPLE DE FERRO GALVANIZADO, COM ROSCA BSP, DE 2"</t>
  </si>
  <si>
    <t>NIPLE DE FERRO GALVANIZADO, COM ROSCA BSP, DE 2 1/2"</t>
  </si>
  <si>
    <t>NIPLE DE FERRO GALVANIZADO, COM ROSCA BSP, DE 3"</t>
  </si>
  <si>
    <t>TUBO COLETOR DE ESGOTO PVC, JEI, DN 300 MM (NBR 7362)</t>
  </si>
  <si>
    <t>TUBO PVC SERIE NORMAL, DN 100 MM, PARA ESGOTO PREDIAL (NBR 5688)</t>
  </si>
  <si>
    <t>TUBO PVC SERIE NORMAL, DN 150 MM, PARA ESGOTO PREDIAL (NBR 5688)</t>
  </si>
  <si>
    <t>TUBO PVC SERIE NORMAL, DN 40 MM, PARA ESGOTO PREDIAL (NBR 5688)</t>
  </si>
  <si>
    <t>TUBO PVC SERIE NORMAL, DN 50 MM, PARA ESGOTO PREDIAL (NBR 5688)</t>
  </si>
  <si>
    <t>TUBO PVC SERIE NORMAL, DN 75 MM, PARA ESGOTO PREDIAL (NBR 5688)</t>
  </si>
  <si>
    <t>TUBO PVC, ROSCAVEL, 1 1/2", AGUA FRIA PREDIAL</t>
  </si>
  <si>
    <t>TUBO PVC, ROSCAVEL, 1", AGUA FRIA PREDIAL</t>
  </si>
  <si>
    <t>TUBO PVC, ROSCAVEL, 2 1/2", AGUA FRIA PREDIAL</t>
  </si>
  <si>
    <t>TUBO PVC, ROSCAVEL, 2", PARA AGUA FRIA PREDIAL</t>
  </si>
  <si>
    <t>TUBO PVC ROSCAVEL, 3/4", AGUA FRIA PREDIAL</t>
  </si>
  <si>
    <t>TUBO PVC, SOLDAVEL, DE 20 MM, AGUA FRIA (NBR-5648)</t>
  </si>
  <si>
    <t>TUBO PVC, SOLDAVEL, DE 60 MM, AGUA FRIA (NBR-5648)</t>
  </si>
  <si>
    <t>TUBO PVC, SOLDAVEL, DE 75 MM, AGUA FRIA (NBR-5648)</t>
  </si>
  <si>
    <t>TUBO PVC, SOLDAVEL, DE 85 MM, AGUA FRIA (NBR-5648)</t>
  </si>
  <si>
    <t>TUBO PVC, SOLDAVEL, DE 110 MM, AGUA FRIA (NBR-5648)</t>
  </si>
  <si>
    <t>VALVULA EM METAL CROMADO PARA PIA AMERICANA 3.1/2 X 1.1/2 "</t>
  </si>
  <si>
    <t>VALVULA DE RETENCAO DE BRONZE, PE COM CRIVOS, EXTREMIDADE COM ROSCA, DE 1", PARA FUNDO DE POCO</t>
  </si>
  <si>
    <t>VALVULA DE RETENCAO DE BRONZE, PE COM CRIVOS, EXTREMIDADE COM ROSCA, DE 2", PARA FUNDO DE POCO</t>
  </si>
  <si>
    <t>VALVULA DE RETENCAO HORIZONTAL, DE BRONZE (PN-25), 3/4", 400 PSI, TAMPA DE PORCA DE UNIAO, EXTREMIDADES COM ROSCA</t>
  </si>
  <si>
    <t>VALVULA DE RETENCAO HORIZONTAL, DE BRONZE (PN-25), 2", 400 PSI, TAMPA DE PORCA DE UNIAO, EXTREMIDADES COM ROSCA</t>
  </si>
  <si>
    <t>VALVULA DE RETENCAO VERTICAL, DE BRONZE (PN-16), 3", 200 PSI, EXTREMIDADES COM ROSCA</t>
  </si>
  <si>
    <t>VALVULA DE RETENCAO VERTICAL, DE BRONZE (PN-16), 4", 200 PSI, EXTREMIDADES COM ROSCA</t>
  </si>
  <si>
    <t>VALVULA DE RETENCAO VERTICAL, DE BRONZE (PN-16), 2", 200 PSI, EXTREMIDADES COM ROSCA</t>
  </si>
  <si>
    <t>VALVULA DE RETENCAO VERTICAL, DE BRONZE (PN-16), 2 1/2", 200 PSI, EXTREMIDADES COM ROSCA</t>
  </si>
  <si>
    <t>ADAPTADOR PVC SOLDAVEL, COM FLANGES LIVRES, 85 MM X 3", PARA CAIXA D' AGUA</t>
  </si>
  <si>
    <t>ADAPTADOR PVC SOLDAVEL CURTO COM BOLSA E ROSCA, 60 MM X 2", PARA AGUA FRIA</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</si>
  <si>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</si>
  <si>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</si>
  <si>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BUCHA DE REDUCAO, CPVC, SOLDAVEL, 28 X 22 MM, PARA AGUA QUENTE</t>
  </si>
  <si>
    <t>PLUG OU BUJAO DE FERRO GALVANIZADO, DE 4"</t>
  </si>
  <si>
    <t>CAIXA D'AGUA / RESERVATORIO EM POLIETILENO, 1000 LITROS, COM TAMPA</t>
  </si>
  <si>
    <t>CANOPLA ACABAMENTO CROMADO PARA INSTALACAO DE SPRINKLER, SOB FORRO, 15 MM</t>
  </si>
  <si>
    <t>SPRINKLER TIPO PENDENTE, BULBO VERMELHO DE RESPOSTA RAPIDA, 68 GRAUS CELSIUS, ACABAMENTO CROMADO, D = 15 MM (1/2")</t>
  </si>
  <si>
    <t>CAP PVC, SOLDAVEL, 60 MM, PARA AGUA FRIA PREDIAL</t>
  </si>
  <si>
    <t>TE DE COBRE (REF 611) SEM ANEL DE SOLDA, BOLSA X BOLSA X BOLSA, 22 MM</t>
  </si>
  <si>
    <t>CONECTOR BRONZE/LATAO (REF 603) SEM ANEL DE SOLDA, BOLSA X ROSCA F, 22 MM X 3/4"</t>
  </si>
  <si>
    <t>CURVA 90 GRAUS DE FERRO GALVANIZADO, COM ROSCA BSP FEMEA, DE 2"</t>
  </si>
  <si>
    <t>CURVA 90 GRAUS DE FERRO GALVANIZADO, COM ROSCA BSP FEMEA, DE 3"</t>
  </si>
  <si>
    <t>CURVA DE PVC, 90 GRAUS, SERIE R, DN 100 MM, PARA ESGOTO PREDIAL</t>
  </si>
  <si>
    <t>FITA METALICA PERFURADA, L = 17 MM, ROLO DE 30 M, CARGA RECOMENDADA = *19* KGF</t>
  </si>
  <si>
    <t>ADAPTADOR PVC SOLDAVEL, COM FLANGES E ANEL DE VEDACAO, 60 MM X 2", PARA CAIXA D' AGUA</t>
  </si>
  <si>
    <t>ADAPTADOR PVC SOLDAVEL, COM FLANGE E ANEL DE VEDACAO, 25 MM X 3/4", PARA CAIXA D'AGUA</t>
  </si>
  <si>
    <t>JOELHO CPVC, SOLDAVEL, 45 GRAUS, 28 MM, PARA AGUA QUENTE</t>
  </si>
  <si>
    <t>JOELHO, PVC SOLDAVEL, 45 GRAUS, 60 MM, COR MARROM, PARA AGUA FRIA PREDIAL</t>
  </si>
  <si>
    <t>JOELHO CPVC, SOLDAVEL, 45 GRAUS, 22 MM, PARA AGUA QUENTE</t>
  </si>
  <si>
    <t>JOELHO PVC, SOLDAVEL, PB, 45 GRAUS, DN 50 MM, PARA ESGOTO PREDIAL</t>
  </si>
  <si>
    <t>JOELHO CPVC, SOLDAVEL, 90 GRAUS, 22 MM, PARA AGUA QUENTE</t>
  </si>
  <si>
    <t>JOELHO CPVC, SOLDAVEL, 90 GRAUS, 28 MM, PARA AGUA QUENTE</t>
  </si>
  <si>
    <t>JOELHO PVC, SOLDAVEL, 90 GRAUS, 60 MM, COR MARROM, PARA AGUA FRIA PREDIAL</t>
  </si>
  <si>
    <t>TE SOLDAVEL, PVC, 90 GRAUS, 60 MM, PARA AGUA FRIA PREDIAL (NBR 5648)</t>
  </si>
  <si>
    <t>CONDUTOR PLUVIAL, PVC, CIRCULAR, DIAMETRO ENTRE 80 E 100 MM, PARA DRENAGEM PLUVIAL PREDIAL</t>
  </si>
  <si>
    <t>LUVA DE CORRER, PVC SERIE R, 100 MM, PARA ESGOTO PREDIAL</t>
  </si>
  <si>
    <t>LUVA DE TRANSICAO, CPVC, 22 MM X 1/2", PARA AGUA QUENTE</t>
  </si>
  <si>
    <t>TE 45 GRAUS DE FERRO GALVANIZADO, COM ROSCA BSP, DE 2 1/2"</t>
  </si>
  <si>
    <t>TE 45 GRAUS DE FERRO GALVANIZADO, COM ROSCA BSP, DE 2"</t>
  </si>
  <si>
    <t>TE 45 GRAUS DE FERRO GALVANIZADO, COM ROSCA BSP, DE 3"</t>
  </si>
  <si>
    <t>JUNCAO SIMPLES, PVC SERIE R, DN 75 X 75 MM, PARA ESGOTO PREDIAL</t>
  </si>
  <si>
    <t>UNIAO, CPVC, SOLDAVEL, 22 MM, PARA AGUA QUENTE PREDIAL</t>
  </si>
  <si>
    <t>UNIAO, CPVC, SOLDAVEL, 28 MM, PARA AGUA QUENTE PREDIAL</t>
  </si>
  <si>
    <t>UNIAO DE FERRO GALVANIZADO, COM ROSCA BSP, COM ASSENTO PLANO, DE 1 1/2"</t>
  </si>
  <si>
    <t>UNIAO DE FERRO GALVANIZADO, COM ASSENTO CONICO DE BRONZE, DE 1 1/4"</t>
  </si>
  <si>
    <t>UNIAO DE FERRO GALVANIZADO, COM ROSCA BSP, COM ASSENTO PLANO, DE 2"</t>
  </si>
  <si>
    <t>UNIAO DE FERRO GALVANIZADO, COM ROSCA BSP, COM ASSENTO PLANO, DE 3"</t>
  </si>
  <si>
    <t>UNIAO DE FERRO GALVANIZADO, COM ROSCA BSP, COM ASSENTO PLANO, DE 4"</t>
  </si>
  <si>
    <t>UNIAO DE FERRO GALVANIZADO, COM ROSCA BSP, COM ASSENTO PLANO, DE 2 1/2"</t>
  </si>
  <si>
    <t>TE DE FERRO GALVANIZADO, DE 1 1/2"</t>
  </si>
  <si>
    <t>TE DE FERRO GALVANIZADO, DE 1/2"</t>
  </si>
  <si>
    <t>TE DE FERRO GALVANIZADO, DE 2 1/2"</t>
  </si>
  <si>
    <t>TE DE FERRO GALVANIZADO, DE 2"</t>
  </si>
  <si>
    <t>TE DE REDUCAO DE FERRO GALVANIZADO, COM ROSCA BSP, DE 2" X 1 1/2"</t>
  </si>
  <si>
    <t>TE CPVC, SOLDAVEL, 90 GRAUS, 22 MM, PARA AGUA QUENTE PREDIAL</t>
  </si>
  <si>
    <t>TE CPVC, SOLDAVEL, 90 GRAUS, 28 MM, PARA AGUA QUENTE PREDIAL</t>
  </si>
  <si>
    <t>LUVA CPVC, SOLDAVEL, 22 MM, PARA AGUA QUENTE PREDIAL</t>
  </si>
  <si>
    <t>LUVA CPVC, SOLDAVEL, 28 MM, PARA AGUA QUENTE PREDIAL</t>
  </si>
  <si>
    <t>LUVA PVC, ROSCAVEL, 1 1/2", AGUA FRIA PREDIAL</t>
  </si>
  <si>
    <t>LUVA PVC SOLDAVEL, 60 MM, PARA AGUA FRIA PREDIAL</t>
  </si>
  <si>
    <t>UNIAO PVC, SOLDAVEL, 60 MM, PARA AGUA FRIA PREDIAL</t>
  </si>
  <si>
    <t>UNIAO PVC, SOLDAVEL, 85 MM, PARA AGUA FRIA PREDIAL</t>
  </si>
  <si>
    <t>ENCARREGADO GERAL COM ENCARGOS COMPLEMENTARES</t>
  </si>
  <si>
    <t>INSTALADOR DE TUBULACOES (TUBOS/EQUIPAMENTOS)</t>
  </si>
  <si>
    <t>MANGUEIRA DE INCENDIO, TIPO 2, DE 2 1/2", COMPRIMENTO = 15 M, TECIDO EM FIO DE POLIESTER E TUBO INTERNO EM BORRACHA SINTETICA, COM UNIOES ENGATE RAPIDO</t>
  </si>
  <si>
    <t>MANOMETRO COM CAIXA EM ACO PINTADO, ESCALA *10* KGF/CM2 (*10* BAR), DIAMETRO NOMINAL DE 100 MM, CONEXAO DE 1/2"</t>
  </si>
  <si>
    <t>BUCHA DE REDUCAO DE FERRO GALVANIZADO, COM ROSCA BSP, DE 3" X 2 1/2"</t>
  </si>
  <si>
    <t>TUBO ACO GALVANIZADO COM COSTURA, CLASSE LEVE, DN 40 MM ( 1 1/2"), E = 3,00 MM, *3,48* KG/M (NBR 5580)</t>
  </si>
  <si>
    <t>COTOVELO 90 GRAUS DE FERRO GALVANIZADO, COM ROSCA BSP MACHO/FEMEA, DE 1 1/2"</t>
  </si>
  <si>
    <t>DESEMPENADEIRA DE ACO LISA 12 X *25* CM COM CABO FECHADO DE MADEIRA</t>
  </si>
  <si>
    <t>ESPATULA DE ACO INOX COM CABO DE MADEIRA, LARGURA 8 CM</t>
  </si>
  <si>
    <t>DESEMPENADEIRA PLASTICA LISA *14 X 27* CM</t>
  </si>
  <si>
    <t>PÁ CARREGADEIRA SOBRE RODAS, POTÊNCIA 197 HP, CAPACIDADE DA CAÇAMBA 2,5 A 3,5 M3, PESO OPERACIONAL 18338 KG - CHI DIURNO. AF_06/2014</t>
  </si>
  <si>
    <t>ROLO COMPACTADOR DE PNEUS, ESTATICO, PRESSAO VARIAVEL, POTENCIA 110 HP, PESO SEM/COM LASTRO 10,8/27 T, LARGURA DE ROLAGEM 2,30 M - CHP DIURNO. AF_06/2017</t>
  </si>
  <si>
    <t>ELETRODUTO/DUTO PEAD FLEXIVEL PAREDE SIMPLES, CORRUGACAO HELICOIDAL, COR PRETA, SEM ROSCA, DE 4",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</si>
  <si>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</si>
  <si>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</si>
  <si>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</si>
  <si>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PARA CABEAMENTO SUBTERRANEO (NBR 15715)</t>
  </si>
  <si>
    <t>LUMINARIA DE LED PARA ILUMINACAO PUBLICA, DE 138 W ATE 180 W, INVOLUCRO EM ALUMINIO OU ACO INOX</t>
  </si>
  <si>
    <t>CONDULETE DE ALUMINIO TIPO X, PARA ELETRODUTO ROSCAVEL DE 3/4", COM TAMPA CEGA</t>
  </si>
  <si>
    <t>CURVA DE PVC 90 GRAUS, SOLDAVEL, 25 MM, COR MARROM, PARA AGUA FRIA PREDIAL</t>
  </si>
  <si>
    <t>LIXA D'AGUA EM FOLHA, GRAO 100</t>
  </si>
  <si>
    <t>ALICATE DE CORTE DIAGONAL 6 " COM ISOLAMENTO</t>
  </si>
  <si>
    <t>PRUMO DE CENTRO EM ACO *400* G</t>
  </si>
  <si>
    <t>ROLO COMPACTADOR VIBRATORIO TANDEM, ACO LISO, POTENCIA 125 HP, PESO SEM/COM LASTRO 10,20/11,65 T, LARGURA DE TRABALHO 1,73 M - CHP DIURNO. AF_11/2016</t>
  </si>
  <si>
    <t>TERMINAL A COMPRESSAO EM COBRE ESTANHADO PARA CABO 2,5 MM2, 1 FURO E 1 COMPRESSAO, PARA PARAFUSO DE FIXACAO M5</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</si>
  <si>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</si>
  <si>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</si>
  <si>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MECÂNICO DE REFRIGERAÇÃO COM ENCARGOS COMPLEMENTARES</t>
  </si>
  <si>
    <t>CURVA DE TRANSPOSICAO, PVC, SOLDAVEL, 25 MM, COR MARROM, PARA AGUA FRIA PREDIAL</t>
  </si>
  <si>
    <t>JOELHO PVC, SOLDAVEL, 90 GRAUS, 25 MM, COR MARROM, PARA AGUA FRIA PREDIAL</t>
  </si>
  <si>
    <t>JOELHO, PVC SOLDAVEL, 45 GRAUS, 25 MM, COR MARROM, PARA AGUA FRIA PREDIAL</t>
  </si>
  <si>
    <t>JOELHO PVC, SOLDAVEL COM ROSCA, 90 GRAUS, 25 MM X 3/4", COR MARROM, PARA AGUA FRIA PREDIAL</t>
  </si>
  <si>
    <t>JOELHO PVC, SOLDAVEL, COM BUCHA DE LATAO, 90 GRAUS, 25 MM X 1/2", PARA AGUA FRIA PREDIAL</t>
  </si>
  <si>
    <t>JOELHO PVC, SOLDAVEL, COM BUCHA DE LATAO, 90 GRAUS, 25 MM X 3/4", PARA AGUA FRIA PREDIAL</t>
  </si>
  <si>
    <t>TE SOLDAVEL, PVC, 90 GRAUS, 25 MM, PARA AGUA FRIA PREDIAL (NBR 5648)</t>
  </si>
  <si>
    <t>TE PVC, SOLDAVEL, COM ROSCA NA BOLSA CENTRAL, 90 GRAUS, 25 MM X 3/4", PARA AGUA FRIA PREDIAL</t>
  </si>
  <si>
    <t>TE PVC, SOLDAVEL, COM ROSCA NA BOLSA CENTRAL, 90 GRAUS, 25 MM X 1/2", PARA AGUA FRIA PREDIAL</t>
  </si>
  <si>
    <t>CAP PVC, SOLDAVEL, 25 MM, PARA AGUA FRIA PREDIAL</t>
  </si>
  <si>
    <t>LUVA SOLDAVEL COM ROSCA, PVC, 25 MM X 1/2", PARA AGUA FRIA PREDIAL</t>
  </si>
  <si>
    <t>LUVA SOLDAVEL COM BUCHA DE LATAO, PVC, 25 MM X 1/2"</t>
  </si>
  <si>
    <t>LUVA SOLDAVEL COM BUCHA DE LATAO, PVC, 25 MM X 3/4"</t>
  </si>
  <si>
    <t>LUVA DE CORRER PARA TUBO SOLDAVEL, PVC, 25 MM, PARA AGUA FRIA PREDIAL</t>
  </si>
  <si>
    <t>LUVA PVC SOLDAVEL, 25 MM, PARA AGUA FRIA PREDIAL</t>
  </si>
  <si>
    <t>UNIAO PVC, SOLDAVEL, 25 MM, PARA AGUA FRIA PREDIAL</t>
  </si>
  <si>
    <t>ADAPTADOR PVC SOLDAVEL CURTO COM BOLSA E ROSCA, 25 MM X 3/4", PARA AGUA FRIA</t>
  </si>
  <si>
    <t>JOELHO PVC, SOLDAVEL, 90 GRAUS, 32 MM, COR MARROM, PARA AGUA FRIA PREDIAL</t>
  </si>
  <si>
    <t>JOELHO, PVC SOLDAVEL, 45 GRAUS, 32 MM, COR MARROM, PARA AGUA FRIA PREDIAL</t>
  </si>
  <si>
    <t>CAP PVC, SOLDAVEL, 32 MM, PARA AGUA FRIA PREDIAL</t>
  </si>
  <si>
    <t>CURVA DE PVC 90 GRAUS, SOLDAVEL, 32 MM, COR MARROM, PARA AGUA FRIA PREDIAL</t>
  </si>
  <si>
    <t>TE SOLDAVEL, PVC, 90 GRAUS, 32 MM, PARA AGUA FRIA PREDIAL (NBR 5648)</t>
  </si>
  <si>
    <t>LUVA PVC SOLDAVEL, 32 MM, PARA AGUA FRIA PREDIAL</t>
  </si>
  <si>
    <t>LUVA DE CORRER PARA TUBO SOLDAVEL, PVC, 32 MM, PARA AGUA FRIA PREDIAL</t>
  </si>
  <si>
    <t>UNIAO PVC, SOLDAVEL, 32 MM, PARA AGUA FRIA PREDIAL</t>
  </si>
  <si>
    <t>BUCHA DE REDUCAO DE PVC, SOLDAVEL, LONGA, COM 32 X 20 MM, PARA AGUA FRIA PREDIAL</t>
  </si>
  <si>
    <t>BUCHA DE REDUCAO DE PVC, SOLDAVEL, CURTA, COM 32 X 25 MM, PARA AGUA FRIA PREDIAL</t>
  </si>
  <si>
    <t>ADAPTADOR PVC SOLDAVEL CURTO COM BOLSA E ROSCA, 32 MM X 1", PARA AGUA FRIA</t>
  </si>
  <si>
    <t>ADAPTADOR PVC SOLDAVEL, COM FLANGE E ANEL DE VEDACAO, 32 MM X 1", PARA CAIXA D'AGUA</t>
  </si>
  <si>
    <t>JOELHO PVC, SOLDAVEL, 90 GRAUS, 40 MM, COR MARROM, PARA AGUA FRIA PREDIAL</t>
  </si>
  <si>
    <t>CAP PVC, SOLDAVEL, 40 MM, PARA AGUA FRIA PREDIAL</t>
  </si>
  <si>
    <t>CURVA DE PVC 90 GRAUS, SOLDAVEL, 40 MM, COR MARROM, PARA AGUA FRIA PREDIAL</t>
  </si>
  <si>
    <t>JOELHO, PVC SOLDAVEL, 45 GRAUS, 40 MM, COR MARROM, PARA AGUA FRIA PREDIAL</t>
  </si>
  <si>
    <t>TE SOLDAVEL, PVC, 90 GRAUS, 40 MM, PARA AGUA FRIA PREDIAL (NBR 5648)</t>
  </si>
  <si>
    <t>LUVA PVC SOLDAVEL, 40 MM, PARA AGUA FRIA PREDIAL</t>
  </si>
  <si>
    <t>LUVA DE CORRER PARA TUBO SOLDAVEL, PVC, 40 MM, PARA AGUA FRIA PREDIAL</t>
  </si>
  <si>
    <t>UNIAO PVC, SOLDAVEL, 40 MM, PARA AGUA FRIA PREDIAL</t>
  </si>
  <si>
    <t>BUCHA DE REDUCAO DE PVC, SOLDAVEL, CURTA, COM 40 X 32 MM, PARA AGUA FRIA PREDIAL</t>
  </si>
  <si>
    <t>ADAPTADOR PVC SOLDAVEL CURTO COM BOLSA E ROSCA, 40 MM X 1 1/4", PARA AGUA FRIA</t>
  </si>
  <si>
    <t>ADAPTADOR PVC SOLDAVEL, COM FLANGE E ANEL DE VEDACAO, 40 MM X 1 1/4", PARA CAIXA D'AGUA</t>
  </si>
  <si>
    <t>JOELHO PVC, SOLDAVEL, 90 GRAUS, 50 MM, COR MARROM, PARA AGUA FRIA PREDIAL</t>
  </si>
  <si>
    <t>CAP PVC, SOLDAVEL, 50 MM, PARA AGUA FRIA PREDIAL</t>
  </si>
  <si>
    <t>CURVA DE PVC 90 GRAUS, SOLDAVEL, 50 MM, COR MARROM, PARA AGUA FRIA PREDIAL</t>
  </si>
  <si>
    <t>JOELHO, PVC SOLDAVEL, 45 GRAUS, 50 MM, COR MARROM, PARA AGUA FRIA PREDIAL</t>
  </si>
  <si>
    <t>TE SOLDAVEL, PVC, 90 GRAUS,50 MM, PARA AGUA FRIA PREDIAL (NBR 5648)</t>
  </si>
  <si>
    <t>LUVA PVC SOLDAVEL, 50 MM, PARA AGUA FRIA PREDIAL</t>
  </si>
  <si>
    <t>LUVA DE CORRER PARA TUBO SOLDAVEL, PVC, 50 MM, PARA AGUA FRIA PREDIAL</t>
  </si>
  <si>
    <t>UNIAO PVC, SOLDAVEL, 50 MM, PARA AGUA FRIA PREDIAL</t>
  </si>
  <si>
    <t>BUCHA DE REDUCAO DE PVC, SOLDAVEL, CURTA, COM 50 X 40 MM, PARA AGUA FRIA PREDIAL</t>
  </si>
  <si>
    <t>ADAPTADOR PVC SOLDAVEL CURTO COM BOLSA E ROSCA, 50 MM X1 1/2", PARA AGUA FRIA</t>
  </si>
  <si>
    <t>ADAPTADOR PVC SOLDAVEL, COM FLANGE E ANEL DE VEDACAO, 50 MM X 1 1/2", PARA CAIXA D'AGUA</t>
  </si>
  <si>
    <t>CURVA DE PVC 90 GRAUS, SOLDAVEL, 60 MM, COR MARROM, PARA AGUA FRIA PREDIAL</t>
  </si>
  <si>
    <t>LUVA DE CORRER PARA TUBO SOLDAVEL, PVC, 60 MM, PARA AGUA FRIA PREDIAL</t>
  </si>
  <si>
    <t>BUCHA DE REDUCAO DE PVC, SOLDAVEL, CURTA, COM 60 X 50 MM, PARA AGUA FRIA PREDIAL</t>
  </si>
  <si>
    <t>JOELHO, PVC SOLDAVEL, 90 GRAUS, 75 MM, COR MARROM, PARA AGUA FRIA PREDIAL</t>
  </si>
  <si>
    <t>CAP PVC, SOLDAVEL, 75 MM, PARA AGUA FRIA PREDIAL</t>
  </si>
  <si>
    <t>JOELHO, PVC SOLDAVEL, 45 GRAUS, 75 MM, COR MARROM, PARA AGUA FRIA PREDIAL</t>
  </si>
  <si>
    <t>CURVA DE PVC 90 GRAUS, SOLDAVEL, 75 MM, COR MARROM, PARA AGUA FRIA PREDIAL</t>
  </si>
  <si>
    <t>TE SOLDAVEL, PVC, 90 GRAUS, 75 MM, PARA AGUA FRIA PREDIAL (NBR 5648)</t>
  </si>
  <si>
    <t>LUVA PVC SOLDAVEL, 75 MM, PARA AGUA FRIA PREDIAL</t>
  </si>
  <si>
    <t>LUVA DE CORRER, PVC PBA, JE, DN 75 / DE 85 MM, PARA REDE AGUA (NBR 10351)</t>
  </si>
  <si>
    <t>UNIAO PVC, SOLDAVEL, 75 MM, PARA AGUA FRIA PREDIAL</t>
  </si>
  <si>
    <t>ADAPTADOR PVC SOLDAVEL CURTO COM BOLSA E ROSCA, 75 MM X 2 1/2", PARA AGUA FRIA</t>
  </si>
  <si>
    <t>ADAPTADOR PVC SOLDAVEL, COM FLANGES LIVRES, 75 MM X 2 1/2", PARA CAIXA D' AGUA</t>
  </si>
  <si>
    <t>JOELHO PVC, SOLDAVEL, 90 GRAUS, 85 MM, COR MARROM, PARA AGUA FRIA PREDIAL</t>
  </si>
  <si>
    <t>CAP, PVC PBA, JE, DN 75 / DE 85 MM, PARA REDE DE AGUA (NBR 10351)</t>
  </si>
  <si>
    <t>JOELHO, PVC SOLDAVEL, 45 GRAUS, 85 MM, COR MARROM, PARA AGUA FRIA PREDIAL</t>
  </si>
  <si>
    <t>CURVA DE PVC 90 GRAUS, SOLDAVEL, 85 MM, COR MARROM, PARA AGUA FRIA PREDIAL</t>
  </si>
  <si>
    <t>TE SOLDAVEL, PVC, 90 GRAUS, 85 MM, PARA AGUA FRIA PREDIAL (NBR 5648)</t>
  </si>
  <si>
    <t>LUVA PVC SOLDAVEL, 85 MM, PARA AGUA FRIA PREDIAL</t>
  </si>
  <si>
    <t>ADAPTADOR PVC SOLDAVEL CURTO COM BOLSA E ROSCA, 85 MM X 3", PARA AGUA FRIA</t>
  </si>
  <si>
    <t>JOELHO PVC, SOLDAVEL, 90 GRAUS, 110 MM, COR MARROM, PARA AGUA FRIA PREDIAL</t>
  </si>
  <si>
    <t>CAP, PVC PBA, JE, DN 100 / DE 110 MM, PARA REDE DE AGUA (NBR 10351)</t>
  </si>
  <si>
    <t>CURVA PVC PBA, JE, PB, 90 GRAUS, DN 100 / DE 110 MM, PARA REDE AGUA (NBR 10351)</t>
  </si>
  <si>
    <t>LUVA PVC SOLDAVEL, 110 MM, PARA AGUA FRIA PREDIAL</t>
  </si>
  <si>
    <t>LUVA DE CORRER, PVC PBA, JE, DN 100 / DE 110 MM, PARA REDE AGUA (NBR 10351)</t>
  </si>
  <si>
    <t>UNIAO PVC, SOLDAVEL, 110 MM, PARA AGUA FRIA PREDIAL</t>
  </si>
  <si>
    <t>ADAPTADOR PVC SOLDAVEL CURTO COM BOLSA E ROSCA, 110 MM X 4", PARA AGUA FRIA</t>
  </si>
  <si>
    <t>ADAPTADOR PVC SOLDAVEL, COM FLANGES LIVRES, 110 MM X 4", PARA CAIXA D' AGUA</t>
  </si>
  <si>
    <t>JUNCAO SIMPLES, PVC, 45 GRAUS, DN 40 X 40 MM, SERIE NORMAL PARA ESGOTO PREDIAL</t>
  </si>
  <si>
    <t>TE PVC SOLDAVEL, BBB, 90 GRAUS, DN 40 MM, PARA ESGOTO SECUNDARIO PREDIAL</t>
  </si>
  <si>
    <t>JOELHO PVC, COM BOLSA E ANEL, 90 GRAUS, DN 40 X *38* MM, SERIE NORMAL, PARA ESGOTO PREDIAL</t>
  </si>
  <si>
    <t>JOELHO PVC, SOLDAVEL, PB, 90 GRAUS, DN 40 MM, PARA ESGOTO PREDIAL</t>
  </si>
  <si>
    <t>JOELHO PVC, SOLDAVEL, PB, 45 GRAUS, DN 40 MM, PARA ESGOTO PREDIAL</t>
  </si>
  <si>
    <t>CURVA PVC LONGA 90 GRAUS, DN 40 MM, PARA ESGOTO PREDIAL</t>
  </si>
  <si>
    <t>LUVA SIMPLES, PVC, SOLDAVEL, DN 50 MM, SERIE NORMAL, PARA ESGOTO PREDIAL</t>
  </si>
  <si>
    <t>LUVA DE CORRER, PVC, DN 50 MM, PARA ESGOTO PREDIAL</t>
  </si>
  <si>
    <t>JUNCAO SIMPLES, PVC, 45 GRAUS, DN 50 X 50 MM, SERIE NORMAL PARA ESGOTO PREDIAL</t>
  </si>
  <si>
    <t>TE SANITARIO, PVC, DN 50 X 50 MM, SERIE NORMAL, PARA ESGOTO PREDIAL</t>
  </si>
  <si>
    <t>JOELHO PVC, SOLDAVEL, PB, 90 GRAUS, DN 50 MM, PARA ESGOTO PREDIAL</t>
  </si>
  <si>
    <t>CAP PVC, SOLDAVEL, DN 50 MM, SERIE NORMAL, PARA ESGOTO PREDIAL</t>
  </si>
  <si>
    <t>BUCHA DE REDUCAO, PVC, LONGA, SERIE R, DN 50 X 40 MM, PARA ESGOTO PREDIAL</t>
  </si>
  <si>
    <t>CURVA PVC LONGA 90 GRAUS, DN 50 MM, PARA ESGOTO PREDIAL</t>
  </si>
  <si>
    <t>LUVA SIMPLES, PVC, SOLDAVEL, DN 75 MM, SERIE NORMAL, PARA ESGOTO PREDIAL</t>
  </si>
  <si>
    <t>JOELHO PVC, SOLDAVEL, PB, 90 GRAUS, DN 75 MM, PARA ESGOTO PREDIAL</t>
  </si>
  <si>
    <t>CURVA PVC LONGA 90 GRAUS, DN 75 MM, PARA ESGOTO PREDIAL</t>
  </si>
  <si>
    <t>JOELHO PVC, SOLDAVEL, PB, 45 GRAUS, DN 75 MM, PARA ESGOTO PREDIAL</t>
  </si>
  <si>
    <t>LUVA DE CORRER, PVC, DN 75 MM, PARA ESGOTO PREDIAL</t>
  </si>
  <si>
    <t>TE, PVC, SERIE R, 75 X 75 MM, PARA ESGOTO PREDIAL</t>
  </si>
  <si>
    <t>CAP PVC, SERIE R, DN 75 MM, PARA ESGOTO PREDIAL</t>
  </si>
  <si>
    <t>REDUCAO EXCENTRICA PVC, DN 75 X 50 MM, PARA ESGOTO PREDIAL</t>
  </si>
  <si>
    <t>LUVA SIMPLES, PVC, SOLDAVEL, DN 100 MM, SERIE NORMAL, PARA ESGOTO PREDIAL</t>
  </si>
  <si>
    <t>JOELHO PVC, SOLDAVEL, PB, 90 GRAUS, DN 100 MM, PARA ESGOTO PREDIAL</t>
  </si>
  <si>
    <t>CURVA PVC LONGA 90 GRAUS, DN 100 MM, PARA ESGOTO PREDIAL</t>
  </si>
  <si>
    <t>JOELHO PVC, SOLDAVEL, PB, 45 GRAUS, DN 100 MM, PARA ESGOTO PREDIAL</t>
  </si>
  <si>
    <t>JUNCAO DUPLA, PVC SOLDAVEL, DN 100 X 100 X 100 MM , SERIE NORMAL PARA ESGOTO PREDIAL</t>
  </si>
  <si>
    <t>JUNCAO SIMPLES, PVC, 45 GRAUS, DN 100 X 100 MM, SERIE NORMAL PARA ESGOTO PREDIAL</t>
  </si>
  <si>
    <t>CAP PVC, SERIE R, DN 100 MM, PARA ESGOTO PREDIAL</t>
  </si>
  <si>
    <t>TE, PVC, SERIE R, 100 X 100 MM, PARA ESGOTO PREDIAL</t>
  </si>
  <si>
    <t>TE DE INSPECAO, PVC, 100 X 75 MM, SERIE NORMAL PARA ESGOTO PREDIAL</t>
  </si>
  <si>
    <t>JOELHO PVC COM VISITA, 90 GRAUS, DN 100 X 50 MM, SERIE NORMAL, PARA ESGOTO PREDIAL</t>
  </si>
  <si>
    <t>REDUCAO EXCENTRICA PVC, DN 100 X 75 MM, PARA ESGOTO PREDIAL</t>
  </si>
  <si>
    <t>LUVA SIMPLES, PVC, SOLDAVEL, DN 150 MM, SERIE NORMAL, PARA ESGOTO PREDIAL</t>
  </si>
  <si>
    <t>LUVA DE CORRER, PVC SERIE R, 150 MM, PARA ESGOTO PREDIAL</t>
  </si>
  <si>
    <t>JUNCAO SIMPLES, PVC SERIE R, DN 150 X 150 MM, PARA ESGOTO PREDIAL</t>
  </si>
  <si>
    <t>TE, PVC, SERIE R, 150 X 150 MM, PARA ESGOTO PREDIAL</t>
  </si>
  <si>
    <t>JOELHO PVC, SOLDAVEL, PB, 90 GRAUS, DN 150 MM, PARA ESGOTO PREDIAL</t>
  </si>
  <si>
    <t>JOELHO PVC, SOLDAVEL, PB, 45 GRAUS, DN 150 MM, PARA ESGOTO PREDIAL</t>
  </si>
  <si>
    <t>CURVA LONGA PVC, PB, JE, 90 GRAUS, DN 150 MM, PARA REDE COLETORA ESGOTO</t>
  </si>
  <si>
    <t>CAP PVC, SERIE R, DN 150 MM, PARA ESGOTO PREDIAL</t>
  </si>
  <si>
    <t>TE DE COBRE (REF 611) SEM ANEL DE SOLDA, BOLSA X BOLSA X BOLSA, 35 MM</t>
  </si>
  <si>
    <t>TE DE COBRE (REF 611) SEM ANEL DE SOLDA, BOLSA X BOLSA X BOLSA, 42 MM</t>
  </si>
  <si>
    <t>BUCHA DE REDUCAO DE COBRE (REF 600-2) SEM ANEL DE SOLDA, PONTA X BOLSA, 42 X 35 MM</t>
  </si>
  <si>
    <t>COTOVELO DE COBRE 90 GRAUS (REF 607) SEM ANEL DE SOLDA, BOLSA X BOLSA, 54 MM</t>
  </si>
  <si>
    <t>LUVA DE COBRE (REF 600) SEM ANEL DE SOLDA, BOLSA X BOLSA, 54 MM</t>
  </si>
  <si>
    <t>TE DE COBRE (REF 611) SEM ANEL DE SOLDA, BOLSA X BOLSA X BOLSA, 54 MM</t>
  </si>
  <si>
    <t>BUCHA DE REDUCAO DE COBRE (REF 600-2) SEM ANEL DE SOLDA, PONTA X BOLSA, 54 X 42 MM</t>
  </si>
  <si>
    <t>COTOVELO DE COBRE 90 GRAUS (REF 607) SEM ANEL DE SOLDA, BOLSA X BOLSA, 66 MM</t>
  </si>
  <si>
    <t>LUVA DE COBRE (REF 600) SEM ANEL DE SOLDA, BOLSA X BOLSA, 66 MM</t>
  </si>
  <si>
    <t>TE DE COBRE (REF 611) SEM ANEL DE SOLDA, BOLSA X BOLSA X BOLSA, 66 MM</t>
  </si>
  <si>
    <t>BUCHA DE REDUCAO DE COBRE (REF 600-2) SEM ANEL DE SOLDA, PONTA X BOLSA, 66 X 54 MM</t>
  </si>
  <si>
    <t>COTOVELO DE COBRE 90 GRAUS (REF 607) SEM ANEL DE SOLDA, BOLSA X BOLSA, 79 MM</t>
  </si>
  <si>
    <t>LUVA DE COBRE (REF 600) SEM ANEL DE SOLDA, BOLSA X BOLSA, 79 MM</t>
  </si>
  <si>
    <t>TE DE COBRE (REF 611) SEM ANEL DE SOLDA, BOLSA X BOLSA X BOLSA, 79 MM</t>
  </si>
  <si>
    <t>NIPLE SEXTAVADO EM ACO CARBONO, COM ROSCA BSP, PRESSAO 3.000 LBS, DN 1/2"</t>
  </si>
  <si>
    <t>NIPLE SEXTAVADO EM ACO CARBONO, COM ROSCA BSP, PRESSAO 3.000 LBS, DN 3/4"</t>
  </si>
  <si>
    <t>BUCHA DE REDUCAO DE FERRO GALVANIZADO, COM ROSCA BSP, DE 3/4" X 1/2"</t>
  </si>
  <si>
    <t>BUCHA DE REDUCAO PVC ROSCAVEL 3/4" X 1/2"</t>
  </si>
  <si>
    <t>LUVA DE CORRER PARA TUBO ROSCAVEL, PVC, 3/4", PARA AGUA FRIA PREDIAL</t>
  </si>
  <si>
    <t>LUVA DE CORRER PARA TUBO ROSCAVEL, PVC, 1 1/2", PARA AGUA FRIA PREDIAL</t>
  </si>
  <si>
    <t>LUVA DE CORRER, CPVC, SOLDAVEL, 22 MM, PARA AGUA QUENTE PREDIAL</t>
  </si>
  <si>
    <t>LUVA DE CORRER, CPVC, SOLDAVEL, 28 MM, PARA AGUA QUENTE PREDIAL</t>
  </si>
  <si>
    <t>ARAME GALVANIZADO 18 BWG, D = 1,24MM (0,009 KG/M)</t>
  </si>
  <si>
    <t>MANGUEIRA CRISTAL PARA NIVEL, LISA, PVC TRANSPARENTE, 5/16" X1 MM</t>
  </si>
  <si>
    <t>BETONEIRA CAPACIDADE NOMINAL DE 600 L, CAPACIDADE DE MISTURA 360 L, MOTOR ELÉTRICO TRIFÁSICO POTÊNCIA DE 4 CV, SEM CARREGADOR - CHI DIURNO. AF_05/2023</t>
  </si>
  <si>
    <t>MECÃNICO DE EQUIPAMENTOS PESADOS COM ENCARGOS COMPLEMENTARES</t>
  </si>
  <si>
    <t>ROLO COMPACTADOR VIBRATORIO TANDEM, ACO LISO, POTENCIA 125 HP, PESO SEM/COM LASTRO 10,20/11,65 T, LARGURA DE TRABALHO 1,73 M - CHI DIURNO. AF_11/2016</t>
  </si>
  <si>
    <t>TALHADEIRA COM PUNHO DE PROTECAO *20 X 250* MM</t>
  </si>
  <si>
    <t>LIXA EM FOLHA PARA FERRO, NUMERO 150</t>
  </si>
  <si>
    <t>ROLO COMPACTADOR DE PNEUS, ESTATICO, PRESSAO VARIAVEL, POTENCIA 110 HP, PESO SEM/COM LASTRO 10,8/27 T, LARGURA DE ROLAGEM 2,30 M - CHI DIURNO. AF_06/2017</t>
  </si>
  <si>
    <t>TRATOR DE PNEUS, POTÊNCIA 85 CV, TRAÇÃO 4X4, PESO COM LASTRO DE 4.675 KG - CHP DIURNO. AF_06/2014</t>
  </si>
  <si>
    <t>TRATOR DE PNEUS, POTÊNCIA 85 CV, TRAÇÃO 4X4, PESO COM LASTRO DE 4.675 KG - CHI DIURNO. AF_06/2014</t>
  </si>
  <si>
    <t>SISAL EM FIBRA / ESTOPA SISAL PARA GESSO</t>
  </si>
  <si>
    <t>DESMOLDANTE PROTETOR PARA FORMAS DE MADEIRA, DE BASE OLEOSA EMULSIONADA EM AGUA</t>
  </si>
  <si>
    <t>PLACA CIMENTICIA LISA E = 10 MM, DE 1,20 X *2,50* M (SEM AMIANTO)</t>
  </si>
  <si>
    <t>CORTADORA DE PISO COM MOTOR 4 TEMPOS A GASOLINA, POTÊNCIA DE 13 HP, COM DISCO DE CORTE DIAMANTADO SEGMENTADO PARA CONCRETO, DIÂMETRO DE 350 MM, FURO DE 1" (14 X 1") - CHI DIURNO. AF_08/2015</t>
  </si>
  <si>
    <t>ABRACADEIRA EM ACO PARA AMARRACAO DE ELETRODUTOS, TIPO D, COM 1/2" E PARAFUSO DE FIXACAO</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</si>
  <si>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</si>
  <si>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</si>
  <si>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</si>
  <si>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</si>
  <si>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</si>
  <si>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ABRACADEIRA EM ACO PARA AMARRACAO DE ELETRODUTOS, TIPO D, COM 1 1/2" E PARAFUSO DE FIXACAO</t>
  </si>
  <si>
    <t>PLACA VIBRATÓRIA REVERSÍVEL COM MOTOR 4 TEMPOS A GASOLINA, FORÇA CENTRÍFUGA DE 25 KN (2500 KGF), POTÊNCIA 5,5 CV - CHI DIURNO. AF_08/2015</t>
  </si>
  <si>
    <t>BATENTE / PORTAL / ADUELA / MARCO EM MADEIRA MACICA COM REBAIXO, E = *3* CM, L = *14* CM, PARA PORTAS DE GIRO DE *60 CM A 120* CM X *210* CM, CEDRINHO / ANGELIM COMERCIAL / TAURI / CURUPIXA / PEROBA / CUMARU OU EQUIVALENTE DA REGIAO (NAO INCLUI ALIZARES)</t>
  </si>
  <si>
    <t>VASSOURA MECÂNICA REBOCÁVEL COM ESCOVA CILÍNDRICA, LARGURA ÚTIL DE VARRIMENTO DE 2,44 M - CHI DIURNO. AF_06/2014</t>
  </si>
  <si>
    <t>VASSOURA MECÂNICA REBOCÁVEL COM ESCOVA CILÍNDRICA, LARGURA ÚTIL DE VARRIMENTO DE 2,44 M - CHP DIURNO. AF_06/2014</t>
  </si>
  <si>
    <t>ACO CA-25, 10,0 MM, OU 12,5 MM, OU 16,0 MM, OU 20,0 MM, OU 25,0 MM, VERGALHAO</t>
  </si>
  <si>
    <t>GUINDAUTO HIDRÁULICO, CAPACIDADE MÁXIMA DE CARGA 6200 KG, MOMENTO MÁXIMO DE CARGA 11,7 TM, ALCANCE MÁXIMO HORIZONTAL 9,70 M, INCLUSIVE CAMINHÃO TOCO PBT 16.000 KG, POTÊNCIA DE 189 CV - CHI DIURNO. AF_06/2014</t>
  </si>
  <si>
    <t>TRELICA NERVURADA (ESPACADOR), ALTURA = 120,0 MM, DIAMETRO DOS BANZOS INFERIORES E SUPERIOR = 6,0 MM, DIAMETRO DA DIAGONAL = 4,2 MM</t>
  </si>
  <si>
    <t>PREGO DE ACO POLIDO COM CABECA 17 X 24 (2 1/4 X 11)</t>
  </si>
  <si>
    <t>BATENTE PARA PORTA DE MADEIRA, PADRÃO MÉDIO - FORNECIMENTO E MONTAGEM. AF_12/2019</t>
  </si>
  <si>
    <t>ARMAÇÃO PARA EXECUÇÃO DE RADIER, PISO DE CONCRETO OU LAJE SOBRE SOLO, COM USO DE TELA Q-92. AF_09/2021</t>
  </si>
  <si>
    <t>LASTRO COM MATERIAL GRANULAR (PEDRA BRITADA N.1 E PEDRA BRITADA N.2), APLICADO EM PISOS OU LAJES SOBRE SOLO, ESPESSURA DE *10 CM*. AF_07/2019</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</si>
  <si>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</si>
  <si>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</si>
  <si>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</si>
  <si>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</si>
  <si>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FABRICAÇÃO, MONTAGEM E DESMONTAGEM DE FÔRMA PARA VIGA BALDRAME, EM MADEIRA SERRADA, E=25 MM, 2 UTILIZAÇÕES. AF_06/2017</t>
  </si>
  <si>
    <t>ARMAÇÃO VERTICAL DE ALVENARIA ESTRUTURAL; DIÂMETRO DE 10,0 MM. AF_09/2021</t>
  </si>
  <si>
    <t>ARMAÇÃO DE CINTA DE ALVENARIA ESTRUTURAL; DIÂMETRO DE 10,0 MM. AF_09/2021</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</si>
  <si>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</si>
  <si>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</si>
  <si>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</si>
  <si>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</si>
  <si>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</si>
  <si>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</si>
  <si>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</si>
  <si>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</si>
  <si>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MONTAGEM DE ARMADURA DE ESTACAS, DIÂMETRO = 16,0 MM. AF_09/2021_PS</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</si>
  <si>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</si>
  <si>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</si>
  <si>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</si>
  <si>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</si>
  <si>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CONCRETO MAGRO PARA LASTRO, TRAÇO 1:4,5:4,5 (EM MASSA SECA DE CIMENTO/ AREIA MÉDIA/ BRITA 1) - PREPARO MECÂNICO COM BETONEIRA 400 L. AF_05/2021</t>
  </si>
  <si>
    <t>CONCRETO FCK = 20MPA, TRAÇO 1:2,7:3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</si>
  <si>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</si>
  <si>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</si>
  <si>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</si>
  <si>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</si>
  <si>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</si>
  <si>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</si>
  <si>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LANÇAMENTO COM USO DE BALDES, ADENSAMENTO E ACABAMENTO DE CONCRETO EM ESTRUTURAS. AF_02/2022</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</si>
  <si>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</si>
  <si>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</si>
  <si>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</si>
  <si>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</si>
  <si>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</si>
  <si>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</si>
  <si>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TXKM</t>
  </si>
  <si>
    <t>TRANSPORTE COM CAMINHÃO BASCULANTE DE 6 M³, EM VIA URBANA PAVIMENTADA, DMT ATÉ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</si>
  <si>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</si>
  <si>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</si>
  <si>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</si>
  <si>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</si>
  <si>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UMIDIFICAÇÃO DE MATERIAL PARA VALAS COM CAMINHÃO PIPA 10000L. AF_11/2016</t>
  </si>
  <si>
    <t>ALVENARIA DE VEDAÇÃO DE BLOCOS CERÂMICOS FURADOS NA VERTICAL DE 9X19X39 CM (ESPESSURA 9 CM) E ARGAMASSA DE ASSENTAMENTO COM PREPARO EM BETONEIRA. AF_12/2021</t>
  </si>
  <si>
    <t>CONTRAPISO EM ARGAMASSA TRAÇO 1:4 (CIMENTO E AREIA), PREPARO MECÂNICO COM BETONEIRA 400 L, APLICADO EM ÁREAS SECAS SOBRE LAJE, ADERIDO, ACABAMENTO NÃO REFORÇADO, ESPESSURA 3CM. AF_07/2021</t>
  </si>
  <si>
    <t>CHAPISCO APLICADO EM ALVENARIAS E ESTRUTURAS DE CONCRETO INTERNAS, COM COLHER DE PEDREIRO.  ARGAMASSA TRAÇO 1:3 COM PREPARO EM BETONEIRA 400L. AF_10/2022</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</si>
  <si>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</si>
  <si>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</si>
  <si>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</si>
  <si>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</si>
  <si>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</si>
  <si>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1:4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</si>
  <si>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</si>
  <si>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1:4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</si>
  <si>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</si>
  <si>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</si>
  <si>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</si>
  <si>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1:3 (EM VOLUME DE CIMENTO E AREIA GROSSA ÚMIDA) PARA CHAPISCO CONVENCIONAL, PREPARO MANUAL. AF_08/2019</t>
  </si>
  <si>
    <t>ARGAMASSA INDUSTRIALIZADA PARA CHAPISCO COLANTE, PREPARO COM MISTURADOR DE EIXO HORIZONTAL DE 300 KG.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</si>
  <si>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</si>
  <si>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</si>
  <si>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</si>
  <si>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</si>
  <si>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</si>
  <si>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1:3 (EM VOLUME DE CIMENTO E AREIA MÉDIA ÚMIDA) COM ADIÇÃO DE IMPERMEABILIZANTE, PREPARO MECÂNICO COM BETONEIRA 400 L. AF_08/2019</t>
  </si>
  <si>
    <t>M3XKM</t>
  </si>
  <si>
    <t>MXKM</t>
  </si>
  <si>
    <t>TRANSPORTE HORIZONTAL MANUAL, DE TUBO DE AÇO CARBONO LEVE OU MÉDIO, PRETO OU GALVANIZADO, COM DIÂMETRO MAIOR QUE 32 MM E MENOR OU IGUAL A 65 MM (UNIDADE: MXKM). AF_07/2019</t>
  </si>
  <si>
    <t>MARCAÇÃO DE PONTOS EM GABARITO OU CAVALETE. AF_10/2018</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</si>
  <si>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</si>
  <si>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</si>
  <si>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</si>
  <si>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</si>
  <si>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</si>
  <si>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T</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</si>
  <si>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</si>
  <si>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</si>
  <si>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</si>
  <si>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CÓD SINFRA</t>
  </si>
  <si>
    <t>FATOR DE UTILIZAÇÃO²</t>
  </si>
  <si>
    <t>VIDA ÚTIL (Anos)³</t>
  </si>
  <si>
    <t>% DE DEPRECIAÇÃO MENSAL³</t>
  </si>
  <si>
    <r>
      <t>CUSTO UNITÁRIO</t>
    </r>
    <r>
      <rPr>
        <b/>
        <vertAlign val="superscript"/>
        <sz val="11"/>
        <rFont val="Arial"/>
        <family val="2"/>
      </rPr>
      <t>4</t>
    </r>
  </si>
  <si>
    <t>VALOR MENSAL DE DEPRECIAÇÃO³</t>
  </si>
  <si>
    <t>VALOR TOTAL DE DEPRECIAÇÃO PARA 60 MESES³</t>
  </si>
  <si>
    <t>02.00</t>
  </si>
  <si>
    <t>Serviços Sob Demanda</t>
  </si>
  <si>
    <t>02.01</t>
  </si>
  <si>
    <t>Serviços de Apoio</t>
  </si>
  <si>
    <t>02.01.01</t>
  </si>
  <si>
    <t>02.01.02</t>
  </si>
  <si>
    <t>02.01.03</t>
  </si>
  <si>
    <t>02.01.04</t>
  </si>
  <si>
    <t>02.01.05</t>
  </si>
  <si>
    <t>02.01.06</t>
  </si>
  <si>
    <t>02.01.07</t>
  </si>
  <si>
    <t>02.01.08</t>
  </si>
  <si>
    <t>02.01.09</t>
  </si>
  <si>
    <t>02.01.10</t>
  </si>
  <si>
    <t>02.01.11</t>
  </si>
  <si>
    <t>02.01.12</t>
  </si>
  <si>
    <t>02.01.13</t>
  </si>
  <si>
    <t>02.01.14</t>
  </si>
  <si>
    <t>02.01.15</t>
  </si>
  <si>
    <t>02.01.16</t>
  </si>
  <si>
    <t>02.01.17</t>
  </si>
  <si>
    <t>02.01.18</t>
  </si>
  <si>
    <t>02.01.19</t>
  </si>
  <si>
    <t>02.01.20</t>
  </si>
  <si>
    <t>02.01.21</t>
  </si>
  <si>
    <t>02.01.22</t>
  </si>
  <si>
    <t>02.01.23</t>
  </si>
  <si>
    <t>02.01.24</t>
  </si>
  <si>
    <t>02.01.25</t>
  </si>
  <si>
    <t>02.01.26</t>
  </si>
  <si>
    <t>02.01.27</t>
  </si>
  <si>
    <t>02.01.28</t>
  </si>
  <si>
    <t>02.02</t>
  </si>
  <si>
    <t>Serviços de Segurança do Trabalho</t>
  </si>
  <si>
    <t>02.02.01</t>
  </si>
  <si>
    <t>02.02.02</t>
  </si>
  <si>
    <t>02.02.03</t>
  </si>
  <si>
    <t>02.02.04</t>
  </si>
  <si>
    <t>02.02.05</t>
  </si>
  <si>
    <t>02.02.06</t>
  </si>
  <si>
    <t>02.02.07</t>
  </si>
  <si>
    <t>02.02.08</t>
  </si>
  <si>
    <t>02.02.09</t>
  </si>
  <si>
    <t>02.02.10</t>
  </si>
  <si>
    <t>02.02.11</t>
  </si>
  <si>
    <t>02.02.12</t>
  </si>
  <si>
    <t>02.02.13</t>
  </si>
  <si>
    <t>02.02.14</t>
  </si>
  <si>
    <t>02.02.15</t>
  </si>
  <si>
    <t>02.02.16</t>
  </si>
  <si>
    <t>02.02.17</t>
  </si>
  <si>
    <t>02.02.18</t>
  </si>
  <si>
    <t>02.02.19</t>
  </si>
  <si>
    <t>02.02.20</t>
  </si>
  <si>
    <t>02.02.21</t>
  </si>
  <si>
    <t>02.02.22</t>
  </si>
  <si>
    <t>02.02.23</t>
  </si>
  <si>
    <t>02.02.24</t>
  </si>
  <si>
    <t>02.02.25</t>
  </si>
  <si>
    <t>02.02.26</t>
  </si>
  <si>
    <t>02.03</t>
  </si>
  <si>
    <t>Serviços de Preparação da Base</t>
  </si>
  <si>
    <t>02.03.01</t>
  </si>
  <si>
    <t>02.03.02</t>
  </si>
  <si>
    <t>02.03.03</t>
  </si>
  <si>
    <t>02.03.04</t>
  </si>
  <si>
    <t>02.03.05</t>
  </si>
  <si>
    <t>02.03.06</t>
  </si>
  <si>
    <t>02.04</t>
  </si>
  <si>
    <t>Serviços de Manutenção de Revestimentos Pétreos e Cerâmicos</t>
  </si>
  <si>
    <t>02.04.01</t>
  </si>
  <si>
    <t>02.04.02</t>
  </si>
  <si>
    <t>02.04.03</t>
  </si>
  <si>
    <t>02.04.04</t>
  </si>
  <si>
    <t>02.04.05</t>
  </si>
  <si>
    <t>02.04.06</t>
  </si>
  <si>
    <t>02.04.07</t>
  </si>
  <si>
    <t>02.04.08</t>
  </si>
  <si>
    <t>02.04.09</t>
  </si>
  <si>
    <t>02.04.10</t>
  </si>
  <si>
    <t>02.04.11</t>
  </si>
  <si>
    <t>02.04.12</t>
  </si>
  <si>
    <t>02.04.13</t>
  </si>
  <si>
    <t>02.04.14</t>
  </si>
  <si>
    <t>02.04.15</t>
  </si>
  <si>
    <t>02.04.16</t>
  </si>
  <si>
    <t>02.04.17</t>
  </si>
  <si>
    <t>02.04.18</t>
  </si>
  <si>
    <t>02.04.19</t>
  </si>
  <si>
    <t>02.04.20</t>
  </si>
  <si>
    <t>02.04.21</t>
  </si>
  <si>
    <t>02.04.22</t>
  </si>
  <si>
    <t>02.04.23</t>
  </si>
  <si>
    <t>02.04.24</t>
  </si>
  <si>
    <t>02.04.25</t>
  </si>
  <si>
    <t>02.04.26</t>
  </si>
  <si>
    <t>02.05</t>
  </si>
  <si>
    <t>Serviços de Manutenção de Revestimentos Lígneos</t>
  </si>
  <si>
    <t>02.05.01</t>
  </si>
  <si>
    <t>02.05.02</t>
  </si>
  <si>
    <t>02.05.03</t>
  </si>
  <si>
    <t>02.06</t>
  </si>
  <si>
    <t>Serviços de Manutenção de Revestimentos Têxteis</t>
  </si>
  <si>
    <t>02.06.01</t>
  </si>
  <si>
    <t>02.06.02</t>
  </si>
  <si>
    <t>02.06.03</t>
  </si>
  <si>
    <t>02.07</t>
  </si>
  <si>
    <t>Serviços de Manutenção de Revestimentos Sintéticos</t>
  </si>
  <si>
    <t>02.07.01</t>
  </si>
  <si>
    <t>02.07.02</t>
  </si>
  <si>
    <t>02.07.03</t>
  </si>
  <si>
    <t>02.07.04</t>
  </si>
  <si>
    <t>02.07.05</t>
  </si>
  <si>
    <t>02.07.06</t>
  </si>
  <si>
    <t>02.07.07</t>
  </si>
  <si>
    <t>02.07.08</t>
  </si>
  <si>
    <t>02.07.09</t>
  </si>
  <si>
    <t>02.07.10</t>
  </si>
  <si>
    <t>02.07.11</t>
  </si>
  <si>
    <t>02.08</t>
  </si>
  <si>
    <t>Serviços de Manutenção de Forros de Gesso e Drywall</t>
  </si>
  <si>
    <t>02.08.01</t>
  </si>
  <si>
    <t>02.08.02</t>
  </si>
  <si>
    <t>02.08.03</t>
  </si>
  <si>
    <t>02.08.04</t>
  </si>
  <si>
    <t>02.08.05</t>
  </si>
  <si>
    <t>02.08.06</t>
  </si>
  <si>
    <t>02.08.07</t>
  </si>
  <si>
    <t>02.08.08</t>
  </si>
  <si>
    <t>02.09</t>
  </si>
  <si>
    <t>Serviços de Manutenção de Forros Sintéticos e Metálicos</t>
  </si>
  <si>
    <t>02.09.01</t>
  </si>
  <si>
    <t>02.09.02</t>
  </si>
  <si>
    <t>02.09.03</t>
  </si>
  <si>
    <t>02.09.04</t>
  </si>
  <si>
    <t>02.09.05</t>
  </si>
  <si>
    <t>02.09.06</t>
  </si>
  <si>
    <t>02.09.07</t>
  </si>
  <si>
    <t>02.09.08</t>
  </si>
  <si>
    <t>02.09.09</t>
  </si>
  <si>
    <t>02.10</t>
  </si>
  <si>
    <t>Serviços de Manutenção de Pintura</t>
  </si>
  <si>
    <t>02.10.01</t>
  </si>
  <si>
    <t>02.10.02</t>
  </si>
  <si>
    <t>02.10.03</t>
  </si>
  <si>
    <t>02.10.04</t>
  </si>
  <si>
    <t>02.10.05</t>
  </si>
  <si>
    <t>02.10.06</t>
  </si>
  <si>
    <t>02.10.07</t>
  </si>
  <si>
    <t>02.10.08</t>
  </si>
  <si>
    <t>02.10.09</t>
  </si>
  <si>
    <t>02.10.10</t>
  </si>
  <si>
    <t>02.10.11</t>
  </si>
  <si>
    <t>02.10.12</t>
  </si>
  <si>
    <t>02.10.13</t>
  </si>
  <si>
    <t>02.10.14</t>
  </si>
  <si>
    <t>02.10.15</t>
  </si>
  <si>
    <t>02.10.16</t>
  </si>
  <si>
    <t>02.10.17</t>
  </si>
  <si>
    <t>02.10.18</t>
  </si>
  <si>
    <t>02.10.19</t>
  </si>
  <si>
    <t>02.11</t>
  </si>
  <si>
    <t>Serviços de Manutenção de Pavimentação Viária</t>
  </si>
  <si>
    <t>02.11.01</t>
  </si>
  <si>
    <t>02.11.02</t>
  </si>
  <si>
    <t>02.11.03</t>
  </si>
  <si>
    <t>02.11.04</t>
  </si>
  <si>
    <t>02.11.05</t>
  </si>
  <si>
    <t>02.11.06</t>
  </si>
  <si>
    <t>02.11.07</t>
  </si>
  <si>
    <t>02.12</t>
  </si>
  <si>
    <t>Serviços de Manutenção de Telhados</t>
  </si>
  <si>
    <t>02.12.01</t>
  </si>
  <si>
    <t>02.12.02</t>
  </si>
  <si>
    <t>02.12.03</t>
  </si>
  <si>
    <t>02.12.04</t>
  </si>
  <si>
    <t>02.12.05</t>
  </si>
  <si>
    <t>02.12.06</t>
  </si>
  <si>
    <t>02.12.07</t>
  </si>
  <si>
    <t>02.12.08</t>
  </si>
  <si>
    <t>02.12.09</t>
  </si>
  <si>
    <t>02.12.10</t>
  </si>
  <si>
    <t>02.12.11</t>
  </si>
  <si>
    <t>02.12.12</t>
  </si>
  <si>
    <t>02.12.13</t>
  </si>
  <si>
    <t>02.12.14</t>
  </si>
  <si>
    <t>02.12.15</t>
  </si>
  <si>
    <t>02.13</t>
  </si>
  <si>
    <t>Serviços de Manutenção de Impermeabilização - Camadas Auxiliares</t>
  </si>
  <si>
    <t>02.13.01</t>
  </si>
  <si>
    <t>02.13.02</t>
  </si>
  <si>
    <t>02.13.03</t>
  </si>
  <si>
    <t>02.13.04</t>
  </si>
  <si>
    <t>02.13.05</t>
  </si>
  <si>
    <t>02.13.06</t>
  </si>
  <si>
    <t>02.13.07</t>
  </si>
  <si>
    <t>02.13.08</t>
  </si>
  <si>
    <t>02.14</t>
  </si>
  <si>
    <t>Serviços de Manutenção de Impermeabilização - Complementares</t>
  </si>
  <si>
    <t>02.14.01</t>
  </si>
  <si>
    <t>02.14.02</t>
  </si>
  <si>
    <t>02.14.03</t>
  </si>
  <si>
    <t>02.14.04</t>
  </si>
  <si>
    <t>02.14.05</t>
  </si>
  <si>
    <t>02.14.06</t>
  </si>
  <si>
    <t>02.14.07</t>
  </si>
  <si>
    <t>02.14.08</t>
  </si>
  <si>
    <t>02.14.09</t>
  </si>
  <si>
    <t>02.14.10</t>
  </si>
  <si>
    <t>02.14.11</t>
  </si>
  <si>
    <t>02.14.12</t>
  </si>
  <si>
    <t>02.14.13</t>
  </si>
  <si>
    <t>02.14.14</t>
  </si>
  <si>
    <t>02.14.15</t>
  </si>
  <si>
    <t>02.15</t>
  </si>
  <si>
    <t>Serviços de Manutenção de Impermeabilização - Camada Impermeabilizante</t>
  </si>
  <si>
    <t>02.15.01</t>
  </si>
  <si>
    <t>02.15.02</t>
  </si>
  <si>
    <t>02.15.03</t>
  </si>
  <si>
    <t>02.15.04</t>
  </si>
  <si>
    <t>02.15.05</t>
  </si>
  <si>
    <t>02.15.06</t>
  </si>
  <si>
    <t>02.15.07</t>
  </si>
  <si>
    <t>02.15.08</t>
  </si>
  <si>
    <t>02.15.09</t>
  </si>
  <si>
    <t>02.15.10</t>
  </si>
  <si>
    <t>02.15.11</t>
  </si>
  <si>
    <t>02.16</t>
  </si>
  <si>
    <t>Serviços de Manutenção de Vidraçaria - Geral</t>
  </si>
  <si>
    <t>02.16.01</t>
  </si>
  <si>
    <t>02.16.02</t>
  </si>
  <si>
    <t>02.16.03</t>
  </si>
  <si>
    <t>02.16.04</t>
  </si>
  <si>
    <t>02.16.05</t>
  </si>
  <si>
    <t>02.17</t>
  </si>
  <si>
    <t>Serviços de Manutenção de Vidraçaria - Fixação em Esquadrias Metálicas</t>
  </si>
  <si>
    <t>02.17.01</t>
  </si>
  <si>
    <t>02.17.02</t>
  </si>
  <si>
    <t>02.17.03</t>
  </si>
  <si>
    <t>02.17.04</t>
  </si>
  <si>
    <t>02.17.05</t>
  </si>
  <si>
    <t>02.18</t>
  </si>
  <si>
    <t>Serviços de Manutenção de Vidraçaria - Vidros Recozidos</t>
  </si>
  <si>
    <t>02.18.01</t>
  </si>
  <si>
    <t>02.18.02</t>
  </si>
  <si>
    <t>02.18.03</t>
  </si>
  <si>
    <t>02.18.04</t>
  </si>
  <si>
    <t>02.18.05</t>
  </si>
  <si>
    <t>02.18.06</t>
  </si>
  <si>
    <t>02.18.07</t>
  </si>
  <si>
    <t>02.18.08</t>
  </si>
  <si>
    <t>02.18.09</t>
  </si>
  <si>
    <t>02.18.10</t>
  </si>
  <si>
    <t>02.18.11</t>
  </si>
  <si>
    <t>02.18.12</t>
  </si>
  <si>
    <t>02.19</t>
  </si>
  <si>
    <t>Serviços de Manutenção de Vidraçaria - Vidros de Segurança</t>
  </si>
  <si>
    <t>02.19.01</t>
  </si>
  <si>
    <t>02.19.02</t>
  </si>
  <si>
    <t>02.19.03</t>
  </si>
  <si>
    <t>02.19.04</t>
  </si>
  <si>
    <t>02.19.05</t>
  </si>
  <si>
    <t>02.19.06</t>
  </si>
  <si>
    <t>02.19.07</t>
  </si>
  <si>
    <t>02.20</t>
  </si>
  <si>
    <t>Serviços de Manutenção de Vidraçaria - Ferragens</t>
  </si>
  <si>
    <t>02.20.01</t>
  </si>
  <si>
    <t>02.20.02</t>
  </si>
  <si>
    <t>02.20.03</t>
  </si>
  <si>
    <t>02.20.04</t>
  </si>
  <si>
    <t>02.20.05</t>
  </si>
  <si>
    <t>02.20.06</t>
  </si>
  <si>
    <t>02.20.07</t>
  </si>
  <si>
    <t>02.20.08</t>
  </si>
  <si>
    <t>02.20.09</t>
  </si>
  <si>
    <t>02.20.10</t>
  </si>
  <si>
    <t>02.20.11</t>
  </si>
  <si>
    <t>02.20.12</t>
  </si>
  <si>
    <t>02.20.13</t>
  </si>
  <si>
    <t>02.20.14</t>
  </si>
  <si>
    <t>02.20.15</t>
  </si>
  <si>
    <t>02.20.16</t>
  </si>
  <si>
    <t>02.20.17</t>
  </si>
  <si>
    <t>02.20.18</t>
  </si>
  <si>
    <t>02.20.19</t>
  </si>
  <si>
    <t>02.20.20</t>
  </si>
  <si>
    <t>02.20.21</t>
  </si>
  <si>
    <t>02.20.22</t>
  </si>
  <si>
    <t>02.20.23</t>
  </si>
  <si>
    <t>02.20.24</t>
  </si>
  <si>
    <t>02.20.25</t>
  </si>
  <si>
    <t>02.20.26</t>
  </si>
  <si>
    <t>02.20.27</t>
  </si>
  <si>
    <t>02.20.28</t>
  </si>
  <si>
    <t>02.20.29</t>
  </si>
  <si>
    <t>02.20.30</t>
  </si>
  <si>
    <t>02.20.31</t>
  </si>
  <si>
    <t>02.20.32</t>
  </si>
  <si>
    <t>02.20.33</t>
  </si>
  <si>
    <t>02.20.34</t>
  </si>
  <si>
    <t>02.20.35</t>
  </si>
  <si>
    <t>02.20.36</t>
  </si>
  <si>
    <t>02.20.37</t>
  </si>
  <si>
    <t>02.20.38</t>
  </si>
  <si>
    <t>02.20.39</t>
  </si>
  <si>
    <t>02.20.40</t>
  </si>
  <si>
    <t>02.20.41</t>
  </si>
  <si>
    <t>02.20.42</t>
  </si>
  <si>
    <t>02.20.43</t>
  </si>
  <si>
    <t>02.20.44</t>
  </si>
  <si>
    <t>02.20.45</t>
  </si>
  <si>
    <t>02.20.46</t>
  </si>
  <si>
    <t>02.20.47</t>
  </si>
  <si>
    <t>02.20.48</t>
  </si>
  <si>
    <t>02.20.49</t>
  </si>
  <si>
    <t>02.20.50</t>
  </si>
  <si>
    <t>02.20.51</t>
  </si>
  <si>
    <t>02.20.52</t>
  </si>
  <si>
    <t>02.20.53</t>
  </si>
  <si>
    <t>02.20.54</t>
  </si>
  <si>
    <t>02.20.55</t>
  </si>
  <si>
    <t>03.00</t>
  </si>
  <si>
    <t>Materiais e Insumos</t>
  </si>
  <si>
    <t>03.01</t>
  </si>
  <si>
    <t>03.01.01</t>
  </si>
  <si>
    <t>03.01.02</t>
  </si>
  <si>
    <t>03.01.03</t>
  </si>
  <si>
    <t>03.01.04</t>
  </si>
  <si>
    <t>03.01.05</t>
  </si>
  <si>
    <t>03.01.06</t>
  </si>
  <si>
    <t>03.01.07</t>
  </si>
  <si>
    <t>03.01.08</t>
  </si>
  <si>
    <t>03.01.09</t>
  </si>
  <si>
    <t>03.01.10</t>
  </si>
  <si>
    <t>03.01.11</t>
  </si>
  <si>
    <t>03.01.12</t>
  </si>
  <si>
    <t>03.01.13</t>
  </si>
  <si>
    <t>03.01.14</t>
  </si>
  <si>
    <t>03.01.15</t>
  </si>
  <si>
    <t>03.01.16</t>
  </si>
  <si>
    <t>03.01.17</t>
  </si>
  <si>
    <t>03.01.18</t>
  </si>
  <si>
    <t>03.01.19</t>
  </si>
  <si>
    <t>03.01.20</t>
  </si>
  <si>
    <t>03.01.21</t>
  </si>
  <si>
    <t>03.01.22</t>
  </si>
  <si>
    <t>03.01.23</t>
  </si>
  <si>
    <t>03.01.24</t>
  </si>
  <si>
    <t>03.01.25</t>
  </si>
  <si>
    <t>03.01.26</t>
  </si>
  <si>
    <t>03.01.27</t>
  </si>
  <si>
    <t>03.01.28</t>
  </si>
  <si>
    <t>03.01.29</t>
  </si>
  <si>
    <t>03.01.30</t>
  </si>
  <si>
    <t>03.01.31</t>
  </si>
  <si>
    <t>03.01.32</t>
  </si>
  <si>
    <t>03.01.33</t>
  </si>
  <si>
    <t>03.01.34</t>
  </si>
  <si>
    <t>03.01.35</t>
  </si>
  <si>
    <t>03.01.36</t>
  </si>
  <si>
    <t>03.01.37</t>
  </si>
  <si>
    <t>03.01.38</t>
  </si>
  <si>
    <t>03.01.39</t>
  </si>
  <si>
    <t>03.01.40</t>
  </si>
  <si>
    <t>03.01.41</t>
  </si>
  <si>
    <t>03.01.42</t>
  </si>
  <si>
    <t>03.01.43</t>
  </si>
  <si>
    <t>04.00</t>
  </si>
  <si>
    <t>Sistema de Ponto Biométrico</t>
  </si>
  <si>
    <t>04.01</t>
  </si>
  <si>
    <t>04.01.01</t>
  </si>
  <si>
    <t>05.00</t>
  </si>
  <si>
    <t>Ferramentas</t>
  </si>
  <si>
    <t>05.01</t>
  </si>
  <si>
    <t>Ferramentas Elétricas</t>
  </si>
  <si>
    <t>05.01.01</t>
  </si>
  <si>
    <t>05.01.02</t>
  </si>
  <si>
    <t>05.01.03</t>
  </si>
  <si>
    <t>05.01.04</t>
  </si>
  <si>
    <t>05.01.05</t>
  </si>
  <si>
    <t>05.01.06</t>
  </si>
  <si>
    <t>05.01.07</t>
  </si>
  <si>
    <t>05.01.08</t>
  </si>
  <si>
    <t>05.01.09</t>
  </si>
  <si>
    <t>05.01.10</t>
  </si>
  <si>
    <t>05.01.11</t>
  </si>
  <si>
    <t>05.01.12</t>
  </si>
  <si>
    <t>05.01.13</t>
  </si>
  <si>
    <t>05.01.14</t>
  </si>
  <si>
    <t>05.01.15</t>
  </si>
  <si>
    <t>05.01.16</t>
  </si>
  <si>
    <t>05.01.17</t>
  </si>
  <si>
    <t>05.01.18</t>
  </si>
  <si>
    <t>05.01.19</t>
  </si>
  <si>
    <t>05.01.20</t>
  </si>
  <si>
    <t>05.01.21</t>
  </si>
  <si>
    <t>05.02</t>
  </si>
  <si>
    <t>Ferramentas Manuais</t>
  </si>
  <si>
    <t>05.02.01</t>
  </si>
  <si>
    <t>05.02.02</t>
  </si>
  <si>
    <t>05.02.03</t>
  </si>
  <si>
    <t>05.02.04</t>
  </si>
  <si>
    <t>05.02.05</t>
  </si>
  <si>
    <t>05.02.06</t>
  </si>
  <si>
    <t>05.02.07</t>
  </si>
  <si>
    <t>05.02.08</t>
  </si>
  <si>
    <t>05.02.09</t>
  </si>
  <si>
    <t>05.02.10</t>
  </si>
  <si>
    <t>05.02.11</t>
  </si>
  <si>
    <t>05.02.12</t>
  </si>
  <si>
    <t>05.02.13</t>
  </si>
  <si>
    <t>05.02.14</t>
  </si>
  <si>
    <t>05.02.15</t>
  </si>
  <si>
    <t>05.02.16</t>
  </si>
  <si>
    <t>05.02.17</t>
  </si>
  <si>
    <t>05.02.18</t>
  </si>
  <si>
    <t>05.02.19</t>
  </si>
  <si>
    <t>05.02.20</t>
  </si>
  <si>
    <t>05.02.21</t>
  </si>
  <si>
    <t>05.02.22</t>
  </si>
  <si>
    <t>05.02.23</t>
  </si>
  <si>
    <t>05.02.24</t>
  </si>
  <si>
    <t>05.02.25</t>
  </si>
  <si>
    <t>05.02.26</t>
  </si>
  <si>
    <t>05.02.27</t>
  </si>
  <si>
    <t>05.02.28</t>
  </si>
  <si>
    <t>05.02.29</t>
  </si>
  <si>
    <t>05.02.30</t>
  </si>
  <si>
    <t>05.02.31</t>
  </si>
  <si>
    <t>05.02.32</t>
  </si>
  <si>
    <t>05.02.33</t>
  </si>
  <si>
    <t>05.02.34</t>
  </si>
  <si>
    <t>05.02.35</t>
  </si>
  <si>
    <t>05.02.36</t>
  </si>
  <si>
    <t>05.02.37</t>
  </si>
  <si>
    <t>05.02.38</t>
  </si>
  <si>
    <t>05.02.39</t>
  </si>
  <si>
    <t>05.02.40</t>
  </si>
  <si>
    <t>05.02.41</t>
  </si>
  <si>
    <t>05.02.42</t>
  </si>
  <si>
    <t>05.02.43</t>
  </si>
  <si>
    <t>05.02.44</t>
  </si>
  <si>
    <t>05.02.45</t>
  </si>
  <si>
    <t>05.02.46</t>
  </si>
  <si>
    <t>05.02.47</t>
  </si>
  <si>
    <t>05.02.48</t>
  </si>
  <si>
    <t>05.02.49</t>
  </si>
  <si>
    <t>05.02.50</t>
  </si>
  <si>
    <t>05.02.51</t>
  </si>
  <si>
    <t>05.02.52</t>
  </si>
  <si>
    <t>05.02.53</t>
  </si>
  <si>
    <t>05.02.54</t>
  </si>
  <si>
    <t>05.02.55</t>
  </si>
  <si>
    <t>05.02.56</t>
  </si>
  <si>
    <t>05.02.57</t>
  </si>
  <si>
    <t>05.02.58</t>
  </si>
  <si>
    <t>05.02.59</t>
  </si>
  <si>
    <t>05.02.60</t>
  </si>
  <si>
    <t>05.02.61</t>
  </si>
  <si>
    <t>05.02.62</t>
  </si>
  <si>
    <t>05.02.63</t>
  </si>
  <si>
    <t>05.02.64</t>
  </si>
  <si>
    <t>05.02.65</t>
  </si>
  <si>
    <t>05.02.66</t>
  </si>
  <si>
    <t>05.02.67</t>
  </si>
  <si>
    <t>05.02.68</t>
  </si>
  <si>
    <t>05.02.69</t>
  </si>
  <si>
    <t>05.02.70</t>
  </si>
  <si>
    <t>05.02.71</t>
  </si>
  <si>
    <t>05.02.72</t>
  </si>
  <si>
    <t>05.02.73</t>
  </si>
  <si>
    <t>05.02.74</t>
  </si>
  <si>
    <t>05.02.75</t>
  </si>
  <si>
    <t>05.02.76</t>
  </si>
  <si>
    <t>05.02.77</t>
  </si>
  <si>
    <t>05.02.78</t>
  </si>
  <si>
    <t>05.02.79</t>
  </si>
  <si>
    <t>05.02.80</t>
  </si>
  <si>
    <t>05.02.81</t>
  </si>
  <si>
    <t>05.02.82</t>
  </si>
  <si>
    <t>05.02.83</t>
  </si>
  <si>
    <t>05.02.84</t>
  </si>
  <si>
    <t>05.02.85</t>
  </si>
  <si>
    <t>05.02.86</t>
  </si>
  <si>
    <t>05.02.87</t>
  </si>
  <si>
    <t>05.02.88</t>
  </si>
  <si>
    <t>05.02.89</t>
  </si>
  <si>
    <t>05.02.90</t>
  </si>
  <si>
    <t>05.02.91</t>
  </si>
  <si>
    <t>06.00</t>
  </si>
  <si>
    <t>Veículos e Plataformas</t>
  </si>
  <si>
    <t>06.01</t>
  </si>
  <si>
    <t>06.01.01</t>
  </si>
  <si>
    <t>06.01.02</t>
  </si>
  <si>
    <t>06.01.03</t>
  </si>
  <si>
    <t>06.01.04</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</si>
</sst>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_(* #,##0.00_);_(* \(#,##0.00\);_(* \-??_);_(@_)"/>
    <numFmt numFmtId="167" formatCode="_-&quot;R$&quot;* #,##0.00_-;\-&quot;R$&quot;* #,##0.00_-;_-&quot;R$&quot;* &quot;-&quot;??_-;_-@_-"/>
    <numFmt numFmtId="168" formatCode="0.0000"/>
    <numFmt numFmtId="169" formatCode="#,##0.0000"/>
    <numFmt numFmtId="170" formatCode="#,##0.0000000"/>
    <numFmt numFmtId="171" formatCode="&quot;R$&quot;\ #,##0.00;[Red]&quot;R$&quot;\ #,##0.00"/>
    <numFmt numFmtId="172" formatCode="#,##0.00;;"/>
    <numFmt numFmtId="173" formatCode="#,##0;;"/>
    <numFmt numFmtId="174" formatCode="0.0000%"/>
  </numFmts>
  <fonts count="36"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u/>
      <sz val="11"/>
      <color theme="10"/>
      <name val="Calibri"/>
      <family val="2"/>
      <scheme val="minor"/>
    </font>
    <font>
      <b/>
      <sz val="10"/>
      <color theme="0"/>
      <name val="Arial"/>
      <family val="2"/>
    </font>
    <font>
      <b/>
      <sz val="10"/>
      <color rgb="FFFF0000"/>
      <name val="Arial"/>
      <family val="2"/>
    </font>
    <font>
      <b/>
      <sz val="11"/>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sz val="10"/>
      <color theme="1"/>
      <name val="Arial"/>
      <family val="2"/>
    </font>
    <font>
      <b/>
      <u/>
      <sz val="11"/>
      <color theme="10"/>
      <name val="Calibri"/>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
      <b/>
      <sz val="11"/>
      <color theme="1"/>
      <name val="Calibri"/>
      <family val="2"/>
      <scheme val="minor"/>
    </font>
    <font>
      <b/>
      <vertAlign val="superscript"/>
      <sz val="11"/>
      <name val="Arial"/>
      <family val="2"/>
    </font>
    <font>
      <i/>
      <sz val="11"/>
      <color theme="1"/>
      <name val="Calibri"/>
      <family val="2"/>
      <scheme val="minor"/>
    </font>
    <font>
      <b/>
      <sz val="12"/>
      <color theme="0"/>
      <name val="Arial"/>
      <family val="2"/>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33">
    <border>
      <left/>
      <right/>
      <top/>
      <bottom/>
      <diagonal/>
    </border>
    <border>
      <left/>
      <right/>
      <top/>
      <bottom style="medium">
        <color indexed="64"/>
      </bottom>
      <diagonal/>
    </border>
    <border>
      <left/>
      <right/>
      <top style="thin">
        <color auto="1"/>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thin">
        <color indexed="64"/>
      </bottom>
      <diagonal/>
    </border>
    <border>
      <left style="thin">
        <color indexed="64"/>
      </left>
      <right style="medium">
        <color indexed="64"/>
      </right>
      <top style="medium">
        <color indexed="64"/>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17">
    <xf numFmtId="0" fontId="0" fillId="0" borderId="0"/>
    <xf numFmtId="9" fontId="1" fillId="0" borderId="0" applyFont="0" applyFill="0" applyBorder="0" applyAlignment="0" applyProtection="0"/>
    <xf numFmtId="0" fontId="2" fillId="0" borderId="0"/>
    <xf numFmtId="0" fontId="6" fillId="0" borderId="0" applyNumberFormat="0" applyFill="0" applyBorder="0" applyAlignment="0" applyProtection="0"/>
    <xf numFmtId="0" fontId="2" fillId="0" borderId="0">
      <protection locked="0"/>
    </xf>
    <xf numFmtId="166" fontId="2" fillId="0" borderId="0" applyFont="0" applyFill="0" applyAlignment="0" applyProtection="0"/>
    <xf numFmtId="167" fontId="2" fillId="0" borderId="0" applyFont="0" applyFill="0" applyBorder="0" applyAlignment="0" applyProtection="0"/>
    <xf numFmtId="164" fontId="2" fillId="0" borderId="0" applyFont="0" applyFill="0" applyBorder="0" applyAlignment="0" applyProtection="0"/>
    <xf numFmtId="0" fontId="2" fillId="0" borderId="0">
      <protection locked="0"/>
    </xf>
    <xf numFmtId="167" fontId="1"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cellStyleXfs>
  <cellXfs count="275">
    <xf numFmtId="0" fontId="0" fillId="0" borderId="0" xfId="0"/>
    <xf numFmtId="0" fontId="2" fillId="0" borderId="0" xfId="0" applyFont="1"/>
    <xf numFmtId="164" fontId="0" fillId="0" borderId="0" xfId="0" applyNumberFormat="1"/>
    <xf numFmtId="0" fontId="0" fillId="0" borderId="0" xfId="0" applyAlignment="1">
      <alignment wrapText="1"/>
    </xf>
    <xf numFmtId="0" fontId="11" fillId="3" borderId="0" xfId="0" applyFont="1" applyFill="1" applyAlignment="1">
      <alignment horizontal="centerContinuous" vertical="distributed"/>
    </xf>
    <xf numFmtId="168" fontId="11" fillId="3" borderId="0" xfId="0" applyNumberFormat="1" applyFont="1" applyFill="1" applyAlignment="1">
      <alignment horizontal="centerContinuous" vertical="distributed"/>
    </xf>
    <xf numFmtId="0" fontId="11" fillId="0" borderId="0" xfId="0" applyFont="1" applyAlignment="1">
      <alignment horizontal="centerContinuous" vertical="distributed"/>
    </xf>
    <xf numFmtId="2" fontId="13" fillId="0" borderId="0" xfId="0" applyNumberFormat="1" applyFont="1" applyAlignment="1">
      <alignment horizontal="center" vertical="center" wrapText="1"/>
    </xf>
    <xf numFmtId="0" fontId="14" fillId="3" borderId="0" xfId="0" applyFont="1" applyFill="1" applyAlignment="1">
      <alignment horizontal="centerContinuous" vertical="center" wrapText="1"/>
    </xf>
    <xf numFmtId="0" fontId="15" fillId="3" borderId="0" xfId="0" applyFont="1" applyFill="1" applyAlignment="1">
      <alignment horizontal="centerContinuous" vertical="center" wrapText="1"/>
    </xf>
    <xf numFmtId="0" fontId="15" fillId="3" borderId="0" xfId="0" applyFont="1" applyFill="1" applyAlignment="1">
      <alignment horizontal="centerContinuous" vertical="center"/>
    </xf>
    <xf numFmtId="168" fontId="15" fillId="3" borderId="0" xfId="0" applyNumberFormat="1" applyFont="1" applyFill="1" applyAlignment="1">
      <alignment horizontal="centerContinuous" vertical="center" wrapText="1"/>
    </xf>
    <xf numFmtId="0" fontId="15" fillId="0" borderId="0" xfId="0" applyFont="1" applyAlignment="1">
      <alignment horizontal="centerContinuous" vertical="center" wrapText="1"/>
    </xf>
    <xf numFmtId="0" fontId="16" fillId="0" borderId="0" xfId="0" applyFont="1" applyAlignment="1">
      <alignment horizontal="centerContinuous" vertical="center" wrapText="1"/>
    </xf>
    <xf numFmtId="0" fontId="16" fillId="0" borderId="0" xfId="0" applyFont="1" applyAlignment="1">
      <alignment horizontal="centerContinuous" vertical="center"/>
    </xf>
    <xf numFmtId="168" fontId="16" fillId="0" borderId="0" xfId="0" applyNumberFormat="1" applyFont="1" applyAlignment="1">
      <alignment horizontal="centerContinuous" vertical="center" wrapText="1"/>
    </xf>
    <xf numFmtId="0" fontId="21" fillId="0" borderId="0" xfId="0" applyFont="1" applyAlignment="1">
      <alignment vertical="center" wrapText="1"/>
    </xf>
    <xf numFmtId="0" fontId="21" fillId="0" borderId="0" xfId="0" applyFont="1" applyAlignment="1">
      <alignment vertical="center"/>
    </xf>
    <xf numFmtId="168" fontId="21" fillId="0" borderId="0" xfId="0" applyNumberFormat="1" applyFont="1" applyAlignment="1">
      <alignment vertical="center" wrapText="1"/>
    </xf>
    <xf numFmtId="0" fontId="22" fillId="0" borderId="0" xfId="0" applyFont="1" applyAlignment="1">
      <alignment horizontal="center" vertical="center" wrapText="1"/>
    </xf>
    <xf numFmtId="2" fontId="21" fillId="0" borderId="0" xfId="0" applyNumberFormat="1" applyFont="1" applyAlignment="1">
      <alignment vertical="center" wrapText="1"/>
    </xf>
    <xf numFmtId="0" fontId="18" fillId="3" borderId="10"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3" borderId="11" xfId="0" applyFont="1" applyFill="1" applyBorder="1" applyAlignment="1">
      <alignment horizontal="center" vertical="center"/>
    </xf>
    <xf numFmtId="168" fontId="18" fillId="3" borderId="11" xfId="0" applyNumberFormat="1"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8" fillId="0" borderId="3" xfId="0" applyFont="1" applyBorder="1" applyAlignment="1">
      <alignment horizontal="center" vertical="center" wrapText="1"/>
    </xf>
    <xf numFmtId="2" fontId="23" fillId="3" borderId="11" xfId="0" applyNumberFormat="1" applyFont="1" applyFill="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168" fontId="3" fillId="0" borderId="7" xfId="2" applyNumberFormat="1" applyFont="1" applyBorder="1" applyAlignment="1">
      <alignment vertical="center" wrapText="1"/>
    </xf>
    <xf numFmtId="0" fontId="3" fillId="0" borderId="7" xfId="2" applyFont="1" applyBorder="1" applyAlignment="1">
      <alignment vertical="center" wrapText="1"/>
    </xf>
    <xf numFmtId="0" fontId="3" fillId="0" borderId="8" xfId="2" applyFont="1" applyBorder="1" applyAlignment="1">
      <alignment vertical="center" wrapText="1"/>
    </xf>
    <xf numFmtId="0" fontId="3" fillId="0" borderId="0" xfId="2" applyFont="1" applyAlignment="1">
      <alignment vertical="center" wrapText="1"/>
    </xf>
    <xf numFmtId="2" fontId="24" fillId="3" borderId="0" xfId="7" applyNumberFormat="1" applyFont="1" applyFill="1" applyBorder="1" applyAlignment="1" applyProtection="1">
      <alignment horizontal="center" vertical="center" wrapText="1"/>
    </xf>
    <xf numFmtId="164" fontId="2" fillId="0" borderId="0" xfId="7" applyFont="1" applyFill="1" applyBorder="1" applyAlignment="1" applyProtection="1">
      <alignment horizontal="center" vertical="center" wrapText="1"/>
    </xf>
    <xf numFmtId="0" fontId="2" fillId="0" borderId="0" xfId="2" applyAlignment="1">
      <alignment vertical="center" wrapText="1"/>
    </xf>
    <xf numFmtId="168" fontId="2" fillId="0" borderId="0" xfId="2" applyNumberFormat="1" applyAlignment="1">
      <alignment vertical="center" wrapText="1"/>
    </xf>
    <xf numFmtId="164" fontId="2" fillId="0" borderId="0" xfId="7" applyFont="1" applyBorder="1" applyAlignment="1" applyProtection="1">
      <alignment horizontal="center" vertical="center" wrapText="1"/>
    </xf>
    <xf numFmtId="164" fontId="2" fillId="0" borderId="18" xfId="7" applyFont="1" applyFill="1" applyBorder="1" applyAlignment="1" applyProtection="1">
      <alignment horizontal="center" vertical="center" wrapText="1"/>
    </xf>
    <xf numFmtId="0" fontId="2" fillId="0" borderId="0" xfId="0" applyFont="1" applyAlignment="1">
      <alignment horizontal="center" vertical="center" wrapText="1"/>
    </xf>
    <xf numFmtId="168"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4" fontId="7" fillId="4" borderId="18" xfId="7" applyFont="1" applyFill="1" applyBorder="1" applyAlignment="1" applyProtection="1">
      <alignment horizontal="center" vertical="center" wrapText="1"/>
    </xf>
    <xf numFmtId="164" fontId="7" fillId="0" borderId="0" xfId="7" applyFont="1" applyFill="1" applyBorder="1" applyAlignment="1" applyProtection="1">
      <alignment horizontal="center" vertical="center" wrapText="1"/>
    </xf>
    <xf numFmtId="164" fontId="3" fillId="0" borderId="7" xfId="2" applyNumberFormat="1" applyFont="1" applyBorder="1" applyAlignment="1">
      <alignment vertical="center" wrapText="1"/>
    </xf>
    <xf numFmtId="164" fontId="2" fillId="0" borderId="0" xfId="7" applyFont="1" applyFill="1" applyBorder="1" applyAlignment="1" applyProtection="1">
      <alignment vertical="center" wrapText="1"/>
    </xf>
    <xf numFmtId="164" fontId="7" fillId="0" borderId="18" xfId="7" applyFont="1" applyFill="1" applyBorder="1" applyAlignment="1" applyProtection="1">
      <alignment horizontal="center" vertical="center" wrapText="1"/>
    </xf>
    <xf numFmtId="164" fontId="3" fillId="0" borderId="18" xfId="7" applyFont="1" applyFill="1" applyBorder="1" applyAlignment="1" applyProtection="1">
      <alignment horizontal="center" vertical="center" wrapText="1"/>
    </xf>
    <xf numFmtId="164" fontId="3" fillId="0" borderId="0" xfId="7" applyFont="1" applyFill="1" applyBorder="1" applyAlignment="1" applyProtection="1">
      <alignment horizontal="center" vertical="center" wrapText="1"/>
    </xf>
    <xf numFmtId="0" fontId="3" fillId="0" borderId="0" xfId="0" applyFont="1" applyAlignment="1">
      <alignment horizontal="center" vertical="center" wrapText="1"/>
    </xf>
    <xf numFmtId="164" fontId="3" fillId="0" borderId="7" xfId="2" applyNumberFormat="1" applyFont="1" applyBorder="1" applyAlignment="1">
      <alignment horizontal="center" vertical="center" wrapText="1"/>
    </xf>
    <xf numFmtId="0" fontId="2" fillId="0" borderId="0" xfId="0" applyFont="1" applyAlignment="1">
      <alignment wrapText="1"/>
    </xf>
    <xf numFmtId="165" fontId="2" fillId="0" borderId="0" xfId="0" applyNumberFormat="1" applyFont="1" applyAlignment="1">
      <alignment horizontal="center" vertical="center" wrapText="1"/>
    </xf>
    <xf numFmtId="0" fontId="3" fillId="0" borderId="0" xfId="0" applyFont="1" applyAlignment="1">
      <alignment horizontal="left" vertical="center" wrapText="1"/>
    </xf>
    <xf numFmtId="168" fontId="3" fillId="0" borderId="0" xfId="0" applyNumberFormat="1" applyFont="1" applyAlignment="1">
      <alignment horizontal="left" vertical="center" wrapText="1"/>
    </xf>
    <xf numFmtId="0" fontId="6" fillId="0" borderId="0" xfId="3" applyNumberFormat="1" applyBorder="1" applyAlignment="1" applyProtection="1">
      <alignment horizontal="left" vertical="center" wrapText="1"/>
    </xf>
    <xf numFmtId="0" fontId="6" fillId="0" borderId="0" xfId="3" applyBorder="1" applyAlignment="1" applyProtection="1">
      <alignment wrapText="1"/>
    </xf>
    <xf numFmtId="0" fontId="2" fillId="0" borderId="0" xfId="0" applyFont="1" applyAlignment="1">
      <alignment horizontal="center" vertical="center"/>
    </xf>
    <xf numFmtId="164" fontId="2" fillId="0" borderId="0" xfId="7" applyFont="1" applyBorder="1" applyAlignment="1" applyProtection="1">
      <alignment horizontal="center" vertical="center"/>
    </xf>
    <xf numFmtId="0" fontId="2" fillId="0" borderId="1" xfId="0" applyFont="1" applyBorder="1" applyAlignment="1">
      <alignment horizontal="center" vertical="center" wrapText="1"/>
    </xf>
    <xf numFmtId="0" fontId="3" fillId="0" borderId="19" xfId="2" applyFont="1" applyBorder="1" applyAlignment="1">
      <alignment horizontal="center" vertical="center" wrapText="1"/>
    </xf>
    <xf numFmtId="164" fontId="2" fillId="0" borderId="18" xfId="7" applyFont="1" applyBorder="1" applyAlignment="1" applyProtection="1">
      <alignment horizontal="center" vertical="center"/>
    </xf>
    <xf numFmtId="164" fontId="2" fillId="0" borderId="0" xfId="7" applyFont="1" applyFill="1" applyBorder="1" applyAlignment="1" applyProtection="1">
      <alignment horizontal="center" vertical="center"/>
    </xf>
    <xf numFmtId="164" fontId="5" fillId="0" borderId="18" xfId="7" applyFont="1" applyBorder="1" applyAlignment="1" applyProtection="1">
      <alignment horizontal="center" vertical="center" wrapText="1"/>
    </xf>
    <xf numFmtId="164" fontId="5" fillId="0" borderId="0" xfId="7" applyFont="1" applyFill="1" applyBorder="1" applyAlignment="1" applyProtection="1">
      <alignment horizontal="center" vertical="center" wrapText="1"/>
    </xf>
    <xf numFmtId="0" fontId="3" fillId="0" borderId="0" xfId="0" applyFont="1" applyAlignment="1">
      <alignment vertical="center" wrapText="1"/>
    </xf>
    <xf numFmtId="168"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18" xfId="0" applyFont="1" applyBorder="1" applyAlignment="1">
      <alignment vertical="center" wrapText="1"/>
    </xf>
    <xf numFmtId="0" fontId="2" fillId="0" borderId="0" xfId="0" applyFont="1" applyFill="1" applyAlignment="1">
      <alignment horizontal="center" vertical="center" wrapText="1"/>
    </xf>
    <xf numFmtId="0" fontId="2" fillId="0" borderId="18" xfId="0" applyFont="1" applyBorder="1"/>
    <xf numFmtId="4" fontId="2" fillId="0" borderId="18"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8" fillId="0" borderId="6" xfId="2" applyFont="1" applyBorder="1" applyAlignment="1">
      <alignment horizontal="center" vertical="center" wrapText="1"/>
    </xf>
    <xf numFmtId="168" fontId="2" fillId="0" borderId="0" xfId="0" applyNumberFormat="1" applyFont="1" applyBorder="1" applyAlignment="1">
      <alignment horizontal="center" vertical="center" wrapText="1"/>
    </xf>
    <xf numFmtId="0" fontId="2" fillId="0" borderId="0" xfId="2" applyFont="1" applyBorder="1" applyAlignment="1">
      <alignment vertical="center" wrapText="1"/>
    </xf>
    <xf numFmtId="168" fontId="2" fillId="0" borderId="0" xfId="2" applyNumberFormat="1" applyFont="1" applyBorder="1" applyAlignment="1">
      <alignment vertical="center" wrapText="1"/>
    </xf>
    <xf numFmtId="165" fontId="2" fillId="0" borderId="1" xfId="0" applyNumberFormat="1" applyFont="1" applyBorder="1" applyAlignment="1">
      <alignment horizontal="center" vertical="center" wrapText="1"/>
    </xf>
    <xf numFmtId="168" fontId="2" fillId="0" borderId="1" xfId="0" applyNumberFormat="1" applyFont="1" applyBorder="1" applyAlignment="1">
      <alignment horizontal="center" vertical="center" wrapText="1"/>
    </xf>
    <xf numFmtId="164" fontId="2" fillId="0" borderId="1" xfId="7" applyFont="1" applyBorder="1" applyAlignment="1" applyProtection="1">
      <alignment horizontal="center" vertical="center"/>
    </xf>
    <xf numFmtId="164" fontId="2" fillId="0" borderId="20" xfId="7" applyFont="1" applyBorder="1" applyAlignment="1" applyProtection="1">
      <alignment horizontal="center" vertical="center"/>
    </xf>
    <xf numFmtId="0" fontId="3" fillId="0" borderId="0" xfId="0" applyFont="1" applyAlignment="1">
      <alignment wrapText="1"/>
    </xf>
    <xf numFmtId="0" fontId="2" fillId="0" borderId="0" xfId="0" applyFont="1" applyAlignment="1">
      <alignment horizontal="left" vertical="center"/>
    </xf>
    <xf numFmtId="49" fontId="2" fillId="0" borderId="0" xfId="0" applyNumberFormat="1" applyFont="1" applyAlignment="1">
      <alignment horizontal="center" vertical="center" wrapText="1"/>
    </xf>
    <xf numFmtId="0" fontId="25" fillId="0" borderId="0" xfId="3" applyFont="1" applyAlignment="1">
      <alignment horizontal="center" vertical="center" wrapText="1"/>
    </xf>
    <xf numFmtId="2" fontId="2" fillId="0" borderId="0" xfId="2" applyNumberFormat="1" applyAlignment="1">
      <alignment vertical="center" wrapText="1"/>
    </xf>
    <xf numFmtId="164" fontId="2" fillId="0" borderId="1" xfId="7" applyFont="1" applyFill="1" applyBorder="1" applyAlignment="1" applyProtection="1">
      <alignment horizontal="center" vertical="center" wrapText="1"/>
    </xf>
    <xf numFmtId="164" fontId="2" fillId="0" borderId="1" xfId="7" applyFont="1" applyBorder="1" applyAlignment="1" applyProtection="1">
      <alignment horizontal="center" vertical="center" wrapText="1"/>
    </xf>
    <xf numFmtId="164" fontId="2" fillId="0" borderId="20" xfId="7" applyFont="1" applyFill="1" applyBorder="1" applyAlignment="1" applyProtection="1">
      <alignment horizontal="center" vertical="center" wrapText="1"/>
    </xf>
    <xf numFmtId="0" fontId="2" fillId="0" borderId="0" xfId="0" applyFont="1" applyAlignment="1">
      <alignment horizontal="left" vertical="center" wrapText="1"/>
    </xf>
    <xf numFmtId="168" fontId="2" fillId="0" borderId="0" xfId="0" applyNumberFormat="1" applyFont="1" applyFill="1" applyAlignment="1">
      <alignment horizontal="center" vertical="center" wrapText="1"/>
    </xf>
    <xf numFmtId="164" fontId="2" fillId="0" borderId="0" xfId="0" applyNumberFormat="1" applyFont="1" applyAlignment="1">
      <alignment horizontal="center" vertical="center" wrapText="1"/>
    </xf>
    <xf numFmtId="0" fontId="26" fillId="0" borderId="0" xfId="3" applyNumberFormat="1" applyFont="1" applyFill="1" applyBorder="1" applyAlignment="1" applyProtection="1">
      <alignment horizontal="center" vertical="center" wrapText="1"/>
    </xf>
    <xf numFmtId="0" fontId="26" fillId="0" borderId="0" xfId="3" applyFont="1" applyBorder="1" applyAlignment="1" applyProtection="1">
      <alignment wrapText="1"/>
    </xf>
    <xf numFmtId="0" fontId="2" fillId="0" borderId="0" xfId="2" applyBorder="1" applyAlignment="1">
      <alignment vertical="center" wrapText="1"/>
    </xf>
    <xf numFmtId="168" fontId="2" fillId="0" borderId="0" xfId="2" applyNumberFormat="1" applyBorder="1" applyAlignment="1">
      <alignment vertical="center" wrapText="1"/>
    </xf>
    <xf numFmtId="0" fontId="2" fillId="0" borderId="0" xfId="2" applyFont="1" applyAlignment="1">
      <alignment vertical="center" wrapText="1"/>
    </xf>
    <xf numFmtId="168" fontId="2" fillId="0" borderId="0" xfId="2" applyNumberFormat="1" applyFont="1" applyAlignment="1">
      <alignment vertical="center" wrapText="1"/>
    </xf>
    <xf numFmtId="0" fontId="2" fillId="0" borderId="0" xfId="0" applyFont="1" applyBorder="1" applyAlignment="1">
      <alignment horizontal="center" vertical="center" wrapText="1"/>
    </xf>
    <xf numFmtId="0" fontId="3" fillId="0" borderId="7" xfId="2"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10" applyFont="1" applyFill="1" applyBorder="1" applyAlignment="1" applyProtection="1">
      <alignment horizontal="center" vertical="center" wrapText="1"/>
    </xf>
    <xf numFmtId="164" fontId="2" fillId="0" borderId="0" xfId="10" applyFont="1" applyFill="1" applyBorder="1" applyAlignment="1" applyProtection="1">
      <alignment vertical="center" wrapText="1"/>
    </xf>
    <xf numFmtId="164" fontId="2" fillId="0" borderId="18" xfId="10" applyFont="1" applyFill="1" applyBorder="1" applyAlignment="1" applyProtection="1">
      <alignment horizontal="center" vertical="center" wrapText="1"/>
    </xf>
    <xf numFmtId="164" fontId="2" fillId="0" borderId="0" xfId="10" applyFont="1" applyBorder="1" applyAlignment="1" applyProtection="1">
      <alignment horizontal="center" vertical="center" wrapText="1"/>
    </xf>
    <xf numFmtId="164" fontId="7" fillId="0" borderId="0" xfId="10" applyFont="1" applyFill="1" applyBorder="1" applyAlignment="1" applyProtection="1">
      <alignment horizontal="center" vertical="center" wrapText="1"/>
    </xf>
    <xf numFmtId="164" fontId="7" fillId="4" borderId="18" xfId="10" applyFont="1" applyFill="1" applyBorder="1" applyAlignment="1" applyProtection="1">
      <alignment horizontal="center" vertical="center" wrapText="1"/>
    </xf>
    <xf numFmtId="165" fontId="2" fillId="0" borderId="0" xfId="0" applyNumberFormat="1" applyFont="1" applyBorder="1" applyAlignment="1">
      <alignment horizontal="center" vertical="center" wrapText="1"/>
    </xf>
    <xf numFmtId="0" fontId="0" fillId="0" borderId="0" xfId="0" applyAlignment="1"/>
    <xf numFmtId="0" fontId="11" fillId="3" borderId="0" xfId="0" applyFont="1" applyFill="1" applyAlignment="1">
      <alignment horizontal="centerContinuous" vertical="center"/>
    </xf>
    <xf numFmtId="0" fontId="11" fillId="3" borderId="0" xfId="0" applyFont="1" applyFill="1" applyAlignment="1">
      <alignment horizontal="centerContinuous" vertical="center" wrapText="1"/>
    </xf>
    <xf numFmtId="0" fontId="11" fillId="0" borderId="0" xfId="0" applyFont="1" applyAlignment="1">
      <alignment horizontal="centerContinuous" vertical="center"/>
    </xf>
    <xf numFmtId="0" fontId="10" fillId="0" borderId="0" xfId="0" applyFont="1" applyAlignment="1">
      <alignment vertical="center"/>
    </xf>
    <xf numFmtId="169" fontId="10" fillId="0" borderId="0" xfId="0" applyNumberFormat="1" applyFont="1" applyAlignment="1">
      <alignment vertical="center" wrapText="1"/>
    </xf>
    <xf numFmtId="0" fontId="27" fillId="0" borderId="1" xfId="0" applyFont="1" applyBorder="1" applyAlignment="1">
      <alignment vertical="center" wrapText="1"/>
    </xf>
    <xf numFmtId="0" fontId="28" fillId="0" borderId="1" xfId="0" applyFont="1" applyBorder="1" applyAlignment="1">
      <alignment vertical="center" wrapText="1"/>
    </xf>
    <xf numFmtId="0" fontId="28" fillId="0" borderId="0" xfId="0" applyFont="1" applyAlignment="1">
      <alignment vertical="center" wrapText="1"/>
    </xf>
    <xf numFmtId="169" fontId="27" fillId="0" borderId="1" xfId="0" applyNumberFormat="1" applyFont="1" applyBorder="1" applyAlignment="1">
      <alignment vertical="center" wrapText="1"/>
    </xf>
    <xf numFmtId="169" fontId="23" fillId="3" borderId="11" xfId="0" applyNumberFormat="1" applyFont="1" applyFill="1" applyBorder="1" applyAlignment="1">
      <alignment horizontal="center" vertical="center" wrapText="1"/>
    </xf>
    <xf numFmtId="0" fontId="3" fillId="0" borderId="1" xfId="2" applyFont="1" applyBorder="1" applyAlignment="1">
      <alignment horizontal="center" vertical="center" wrapText="1"/>
    </xf>
    <xf numFmtId="170" fontId="3" fillId="0" borderId="1" xfId="2" applyNumberFormat="1" applyFont="1" applyBorder="1" applyAlignment="1">
      <alignment vertical="center" wrapText="1"/>
    </xf>
    <xf numFmtId="0" fontId="3" fillId="0" borderId="1" xfId="2" applyFont="1" applyBorder="1" applyAlignment="1">
      <alignment vertical="center" wrapText="1"/>
    </xf>
    <xf numFmtId="0" fontId="3" fillId="0" borderId="20" xfId="2" applyFont="1" applyBorder="1" applyAlignment="1">
      <alignment vertical="center" wrapText="1"/>
    </xf>
    <xf numFmtId="169" fontId="24" fillId="3" borderId="0" xfId="7" applyNumberFormat="1" applyFont="1" applyFill="1" applyBorder="1" applyAlignment="1" applyProtection="1">
      <alignment horizontal="center" vertical="center" wrapText="1"/>
    </xf>
    <xf numFmtId="170" fontId="2" fillId="0" borderId="0" xfId="2" applyNumberFormat="1" applyAlignment="1">
      <alignment vertical="center" wrapText="1"/>
    </xf>
    <xf numFmtId="170" fontId="2" fillId="0" borderId="0" xfId="0" applyNumberFormat="1" applyFont="1" applyAlignment="1">
      <alignment horizontal="center" vertical="center" wrapText="1"/>
    </xf>
    <xf numFmtId="170" fontId="3" fillId="0" borderId="7" xfId="2" applyNumberFormat="1" applyFont="1" applyBorder="1" applyAlignment="1">
      <alignment vertical="center" wrapText="1"/>
    </xf>
    <xf numFmtId="164" fontId="2" fillId="0" borderId="0" xfId="7" applyFont="1" applyFill="1" applyBorder="1" applyAlignment="1">
      <alignment vertical="center" wrapText="1"/>
    </xf>
    <xf numFmtId="164" fontId="2" fillId="0" borderId="0" xfId="7" applyFont="1" applyFill="1" applyBorder="1" applyAlignment="1">
      <alignment horizontal="center" vertical="center" wrapText="1"/>
    </xf>
    <xf numFmtId="170" fontId="2" fillId="0" borderId="1" xfId="0" applyNumberFormat="1" applyFont="1" applyBorder="1" applyAlignment="1">
      <alignment horizontal="center" vertical="center" wrapText="1"/>
    </xf>
    <xf numFmtId="164" fontId="0" fillId="0" borderId="0" xfId="0" applyNumberFormat="1" applyProtection="1">
      <protection locked="0"/>
    </xf>
    <xf numFmtId="164" fontId="0" fillId="0" borderId="0" xfId="0" applyNumberFormat="1" applyAlignment="1">
      <alignment horizontal="center" vertical="center"/>
    </xf>
    <xf numFmtId="164" fontId="2" fillId="0" borderId="18" xfId="7" applyFont="1" applyFill="1" applyBorder="1" applyAlignment="1">
      <alignment horizontal="center" vertical="center" wrapText="1"/>
    </xf>
    <xf numFmtId="0" fontId="2" fillId="0" borderId="0" xfId="2" applyAlignment="1">
      <alignment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165" fontId="2" fillId="0" borderId="0" xfId="0" applyNumberFormat="1" applyFont="1" applyAlignment="1">
      <alignment horizontal="center" vertical="center"/>
    </xf>
    <xf numFmtId="170" fontId="2" fillId="0" borderId="0" xfId="2" applyNumberFormat="1" applyBorder="1" applyAlignment="1">
      <alignment vertical="center" wrapText="1"/>
    </xf>
    <xf numFmtId="0" fontId="2" fillId="0" borderId="1" xfId="0" applyFont="1" applyBorder="1" applyAlignment="1">
      <alignment wrapText="1"/>
    </xf>
    <xf numFmtId="164" fontId="3" fillId="0" borderId="20" xfId="7" applyFont="1" applyFill="1" applyBorder="1" applyAlignment="1" applyProtection="1">
      <alignment horizontal="center" vertical="center" wrapText="1"/>
    </xf>
    <xf numFmtId="0" fontId="2" fillId="0" borderId="0" xfId="0" applyFont="1" applyBorder="1" applyAlignment="1">
      <alignment wrapText="1"/>
    </xf>
    <xf numFmtId="0" fontId="3" fillId="0" borderId="0" xfId="0" applyFont="1" applyBorder="1" applyAlignment="1">
      <alignment horizontal="center" vertical="center" wrapText="1"/>
    </xf>
    <xf numFmtId="0" fontId="28" fillId="0" borderId="1" xfId="0" applyFont="1" applyBorder="1" applyAlignment="1">
      <alignment vertical="center"/>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21" xfId="0" applyFont="1" applyFill="1" applyBorder="1" applyAlignment="1">
      <alignment horizontal="center" vertical="center"/>
    </xf>
    <xf numFmtId="0" fontId="2" fillId="0" borderId="0" xfId="0" applyFont="1" applyBorder="1" applyAlignment="1">
      <alignment horizontal="center" vertical="center"/>
    </xf>
    <xf numFmtId="170" fontId="2" fillId="0" borderId="0" xfId="0" applyNumberFormat="1" applyFont="1" applyBorder="1" applyAlignment="1">
      <alignment horizontal="center" vertical="center" wrapText="1"/>
    </xf>
    <xf numFmtId="0" fontId="11" fillId="3" borderId="0" xfId="0" applyFont="1" applyFill="1" applyAlignment="1" applyProtection="1">
      <alignment horizontal="centerContinuous" vertical="center" wrapText="1"/>
      <protection locked="0"/>
    </xf>
    <xf numFmtId="0" fontId="14" fillId="3" borderId="0" xfId="0" applyFont="1" applyFill="1" applyAlignment="1" applyProtection="1">
      <alignment horizontal="centerContinuous" vertical="center"/>
      <protection locked="0"/>
    </xf>
    <xf numFmtId="164" fontId="2" fillId="0" borderId="9" xfId="7" applyFont="1" applyFill="1" applyBorder="1" applyAlignment="1" applyProtection="1">
      <alignment vertical="center" wrapText="1"/>
    </xf>
    <xf numFmtId="164" fontId="2" fillId="0" borderId="9" xfId="7" applyFont="1" applyFill="1" applyBorder="1" applyAlignment="1" applyProtection="1">
      <alignment horizontal="right" vertical="center" wrapText="1"/>
    </xf>
    <xf numFmtId="164" fontId="2" fillId="0" borderId="9" xfId="7" applyFont="1" applyFill="1" applyBorder="1" applyAlignment="1" applyProtection="1">
      <alignment horizontal="center" vertical="center" wrapText="1"/>
    </xf>
    <xf numFmtId="4" fontId="2" fillId="0" borderId="9" xfId="5" applyNumberFormat="1" applyFont="1" applyFill="1" applyBorder="1" applyAlignment="1" applyProtection="1">
      <alignment horizontal="center" vertical="center" wrapText="1"/>
    </xf>
    <xf numFmtId="0" fontId="11" fillId="3" borderId="0" xfId="0" applyFont="1" applyFill="1" applyAlignment="1" applyProtection="1">
      <alignment horizontal="centerContinuous" vertical="center" wrapText="1"/>
    </xf>
    <xf numFmtId="0" fontId="19" fillId="5" borderId="1" xfId="0" applyFont="1" applyFill="1" applyBorder="1" applyAlignment="1" applyProtection="1">
      <alignment horizontal="center" vertical="center" wrapText="1"/>
      <protection locked="0"/>
    </xf>
    <xf numFmtId="0" fontId="19" fillId="5" borderId="0" xfId="0" applyFont="1" applyFill="1" applyAlignment="1" applyProtection="1">
      <alignment horizontal="center" vertical="center" wrapText="1"/>
      <protection locked="0"/>
    </xf>
    <xf numFmtId="0" fontId="2" fillId="0" borderId="24" xfId="0" applyFont="1" applyBorder="1" applyAlignment="1" applyProtection="1">
      <alignment vertical="center"/>
    </xf>
    <xf numFmtId="0" fontId="30" fillId="0" borderId="0" xfId="0" applyFont="1" applyAlignment="1" applyProtection="1">
      <alignment horizontal="center" vertical="center"/>
    </xf>
    <xf numFmtId="0" fontId="2" fillId="0" borderId="0" xfId="0" applyFont="1" applyAlignment="1" applyProtection="1">
      <alignment horizontal="center" vertical="center"/>
    </xf>
    <xf numFmtId="0" fontId="2" fillId="0" borderId="13" xfId="0" applyFont="1" applyBorder="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2" fillId="0" borderId="0" xfId="0" applyFont="1" applyBorder="1" applyAlignment="1" applyProtection="1">
      <alignment vertical="center"/>
    </xf>
    <xf numFmtId="0" fontId="23" fillId="0" borderId="26" xfId="0" applyFont="1" applyBorder="1" applyAlignment="1" applyProtection="1">
      <alignment horizontal="center" vertical="center"/>
    </xf>
    <xf numFmtId="0" fontId="23" fillId="0" borderId="27" xfId="0" applyFont="1" applyBorder="1" applyAlignment="1" applyProtection="1">
      <alignment horizontal="center" vertical="center"/>
    </xf>
    <xf numFmtId="0" fontId="31" fillId="0" borderId="28" xfId="0" applyFont="1" applyBorder="1" applyAlignment="1" applyProtection="1">
      <alignment horizontal="center" vertical="center"/>
    </xf>
    <xf numFmtId="0" fontId="22" fillId="0" borderId="29" xfId="0" applyFont="1" applyBorder="1" applyAlignment="1" applyProtection="1">
      <alignment horizontal="center" vertical="center"/>
    </xf>
    <xf numFmtId="0" fontId="12" fillId="0" borderId="29" xfId="0" applyFont="1" applyBorder="1" applyAlignment="1" applyProtection="1">
      <alignment horizontal="center" vertical="center"/>
    </xf>
    <xf numFmtId="10" fontId="2" fillId="0" borderId="29" xfId="0" applyNumberFormat="1" applyFont="1" applyBorder="1" applyAlignment="1" applyProtection="1">
      <alignment horizontal="center" vertical="center"/>
      <protection locked="0"/>
    </xf>
    <xf numFmtId="10" fontId="2" fillId="0" borderId="30" xfId="0" applyNumberFormat="1" applyFont="1" applyBorder="1" applyAlignment="1" applyProtection="1">
      <alignment horizontal="center" vertical="center"/>
      <protection locked="0"/>
    </xf>
    <xf numFmtId="0" fontId="3" fillId="3" borderId="14" xfId="0" applyFont="1" applyFill="1" applyBorder="1" applyAlignment="1" applyProtection="1">
      <alignment horizontal="center" vertical="center" wrapText="1"/>
    </xf>
    <xf numFmtId="10" fontId="3" fillId="3" borderId="15" xfId="0" applyNumberFormat="1" applyFont="1" applyFill="1" applyBorder="1" applyAlignment="1" applyProtection="1">
      <alignment horizontal="center" vertical="center"/>
    </xf>
    <xf numFmtId="0" fontId="3" fillId="3" borderId="31" xfId="0" applyFont="1" applyFill="1" applyBorder="1" applyAlignment="1" applyProtection="1">
      <alignment horizontal="center" vertical="center"/>
    </xf>
    <xf numFmtId="10" fontId="3" fillId="3" borderId="32" xfId="0" applyNumberFormat="1" applyFont="1" applyFill="1" applyBorder="1" applyAlignment="1" applyProtection="1">
      <alignment horizontal="center" vertical="center"/>
    </xf>
    <xf numFmtId="0" fontId="11" fillId="3" borderId="0" xfId="4" applyFont="1" applyFill="1" applyAlignment="1" applyProtection="1">
      <alignment horizontal="centerContinuous" vertical="center"/>
    </xf>
    <xf numFmtId="0" fontId="14" fillId="3" borderId="0" xfId="4" applyFont="1" applyFill="1" applyAlignment="1" applyProtection="1">
      <alignment horizontal="centerContinuous" vertical="center"/>
    </xf>
    <xf numFmtId="0" fontId="29" fillId="5" borderId="0" xfId="4" applyFont="1" applyFill="1" applyAlignment="1" applyProtection="1">
      <alignment horizontal="centerContinuous" vertical="center" wrapText="1"/>
    </xf>
    <xf numFmtId="0" fontId="3" fillId="6" borderId="9" xfId="4" applyFont="1" applyFill="1" applyBorder="1" applyAlignment="1" applyProtection="1">
      <alignment horizontal="center" vertical="center"/>
    </xf>
    <xf numFmtId="0" fontId="2" fillId="6" borderId="9" xfId="4" applyFill="1" applyBorder="1" applyAlignment="1" applyProtection="1">
      <alignment horizontal="center" vertical="center"/>
    </xf>
    <xf numFmtId="0" fontId="32" fillId="6" borderId="9" xfId="4" applyFont="1" applyFill="1" applyBorder="1" applyAlignment="1" applyProtection="1">
      <alignment horizontal="center" vertical="center"/>
    </xf>
    <xf numFmtId="0" fontId="2" fillId="6" borderId="9" xfId="4" applyFill="1" applyBorder="1" applyAlignment="1" applyProtection="1">
      <alignment horizontal="center"/>
    </xf>
    <xf numFmtId="1" fontId="2" fillId="6" borderId="9" xfId="4" applyNumberFormat="1" applyFill="1" applyBorder="1" applyAlignment="1" applyProtection="1">
      <alignment horizontal="center"/>
    </xf>
    <xf numFmtId="10" fontId="0" fillId="6" borderId="9" xfId="11" applyNumberFormat="1" applyFont="1" applyFill="1" applyBorder="1" applyAlignment="1" applyProtection="1">
      <alignment horizontal="center"/>
    </xf>
    <xf numFmtId="44" fontId="2" fillId="6" borderId="9" xfId="4" applyNumberFormat="1" applyFill="1" applyBorder="1" applyAlignment="1" applyProtection="1">
      <alignment horizontal="center"/>
    </xf>
    <xf numFmtId="0" fontId="2" fillId="7" borderId="9" xfId="4" applyFill="1" applyBorder="1" applyAlignment="1" applyProtection="1">
      <alignment horizontal="center" vertical="center"/>
    </xf>
    <xf numFmtId="0" fontId="34" fillId="7" borderId="9" xfId="4" applyFont="1" applyFill="1" applyBorder="1" applyAlignment="1" applyProtection="1">
      <alignment horizontal="center" vertical="center"/>
    </xf>
    <xf numFmtId="0" fontId="2" fillId="7" borderId="9" xfId="4" applyFill="1" applyBorder="1" applyAlignment="1" applyProtection="1">
      <alignment horizontal="center"/>
    </xf>
    <xf numFmtId="1" fontId="2" fillId="7" borderId="9" xfId="4" applyNumberFormat="1" applyFill="1" applyBorder="1" applyAlignment="1" applyProtection="1">
      <alignment horizontal="center"/>
    </xf>
    <xf numFmtId="10" fontId="0" fillId="7" borderId="9" xfId="11" applyNumberFormat="1" applyFont="1" applyFill="1" applyBorder="1" applyAlignment="1" applyProtection="1">
      <alignment horizontal="center"/>
    </xf>
    <xf numFmtId="44" fontId="2" fillId="7" borderId="9" xfId="4" applyNumberFormat="1" applyFill="1" applyBorder="1" applyAlignment="1" applyProtection="1">
      <alignment horizontal="center"/>
    </xf>
    <xf numFmtId="0" fontId="2" fillId="0" borderId="9" xfId="4" applyBorder="1" applyAlignment="1" applyProtection="1">
      <alignment horizontal="center" vertical="center"/>
    </xf>
    <xf numFmtId="0" fontId="2" fillId="0" borderId="9" xfId="4" applyBorder="1" applyAlignment="1" applyProtection="1">
      <alignment vertical="center"/>
    </xf>
    <xf numFmtId="1" fontId="2" fillId="0" borderId="9" xfId="5" applyNumberFormat="1" applyFont="1" applyFill="1" applyBorder="1" applyAlignment="1" applyProtection="1">
      <alignment horizontal="center" vertical="center" wrapText="1"/>
    </xf>
    <xf numFmtId="10" fontId="2" fillId="0" borderId="9" xfId="11" applyNumberFormat="1" applyFont="1" applyFill="1" applyBorder="1" applyAlignment="1" applyProtection="1">
      <alignment horizontal="center" vertical="center" wrapText="1"/>
    </xf>
    <xf numFmtId="2" fontId="2" fillId="6" borderId="9" xfId="4" applyNumberFormat="1" applyFill="1" applyBorder="1" applyAlignment="1" applyProtection="1">
      <alignment horizontal="center"/>
    </xf>
    <xf numFmtId="164" fontId="2" fillId="2" borderId="9" xfId="7" applyFont="1" applyFill="1" applyBorder="1" applyAlignment="1" applyProtection="1">
      <alignment vertical="center" wrapText="1"/>
    </xf>
    <xf numFmtId="171" fontId="35" fillId="2" borderId="1" xfId="12" applyNumberFormat="1" applyFont="1" applyFill="1" applyBorder="1" applyAlignment="1" applyProtection="1">
      <alignment horizontal="right" vertical="center" wrapText="1"/>
    </xf>
    <xf numFmtId="165" fontId="2" fillId="0" borderId="0" xfId="12" applyFont="1" applyAlignment="1" applyProtection="1">
      <alignment horizontal="right"/>
    </xf>
    <xf numFmtId="165" fontId="2" fillId="0" borderId="0" xfId="12" applyFont="1" applyProtection="1"/>
    <xf numFmtId="174" fontId="2" fillId="0" borderId="0" xfId="1" applyNumberFormat="1" applyFont="1" applyAlignment="1" applyProtection="1">
      <alignment horizontal="right"/>
    </xf>
    <xf numFmtId="1" fontId="11" fillId="3" borderId="0" xfId="4" applyNumberFormat="1" applyFont="1" applyFill="1" applyAlignment="1" applyProtection="1">
      <alignment horizontal="centerContinuous" vertical="center"/>
    </xf>
    <xf numFmtId="10" fontId="11" fillId="3" borderId="0" xfId="11" applyNumberFormat="1" applyFont="1" applyFill="1" applyBorder="1" applyAlignment="1" applyProtection="1">
      <alignment horizontal="centerContinuous" vertical="center"/>
    </xf>
    <xf numFmtId="0" fontId="2" fillId="5" borderId="0" xfId="4" applyFill="1" applyAlignment="1" applyProtection="1">
      <alignment vertical="center" wrapText="1"/>
    </xf>
    <xf numFmtId="0" fontId="2" fillId="0" borderId="0" xfId="4" applyProtection="1"/>
    <xf numFmtId="0" fontId="2" fillId="0" borderId="0" xfId="4" applyAlignment="1" applyProtection="1">
      <alignment vertical="center" wrapText="1"/>
    </xf>
    <xf numFmtId="1" fontId="14" fillId="3" borderId="0" xfId="4" applyNumberFormat="1" applyFont="1" applyFill="1" applyAlignment="1" applyProtection="1">
      <alignment horizontal="centerContinuous" vertical="center"/>
    </xf>
    <xf numFmtId="10" fontId="14" fillId="3" borderId="0" xfId="11" applyNumberFormat="1" applyFont="1" applyFill="1" applyBorder="1" applyAlignment="1" applyProtection="1">
      <alignment horizontal="centerContinuous" vertical="center"/>
    </xf>
    <xf numFmtId="1" fontId="29" fillId="5" borderId="0" xfId="4" applyNumberFormat="1" applyFont="1" applyFill="1" applyAlignment="1" applyProtection="1">
      <alignment horizontal="centerContinuous" vertical="center" wrapText="1"/>
    </xf>
    <xf numFmtId="10" fontId="29" fillId="5" borderId="0" xfId="11" applyNumberFormat="1" applyFont="1" applyFill="1" applyBorder="1" applyAlignment="1" applyProtection="1">
      <alignment horizontal="centerContinuous" vertical="center" wrapText="1"/>
    </xf>
    <xf numFmtId="0" fontId="30" fillId="5" borderId="1" xfId="4" applyFont="1" applyFill="1" applyBorder="1" applyAlignment="1" applyProtection="1">
      <alignment horizontal="center" vertical="center" wrapText="1"/>
    </xf>
    <xf numFmtId="0" fontId="30" fillId="5" borderId="1" xfId="4" applyFont="1" applyFill="1" applyBorder="1" applyAlignment="1" applyProtection="1">
      <alignment vertical="center" wrapText="1"/>
    </xf>
    <xf numFmtId="1" fontId="30" fillId="5" borderId="1" xfId="4" applyNumberFormat="1" applyFont="1" applyFill="1" applyBorder="1" applyAlignment="1" applyProtection="1">
      <alignment vertical="center" wrapText="1"/>
    </xf>
    <xf numFmtId="10" fontId="30" fillId="5" borderId="1" xfId="11" applyNumberFormat="1" applyFont="1" applyFill="1" applyBorder="1" applyAlignment="1" applyProtection="1">
      <alignment vertical="center" wrapText="1"/>
    </xf>
    <xf numFmtId="0" fontId="18" fillId="3" borderId="25" xfId="0" applyFont="1" applyFill="1" applyBorder="1" applyAlignment="1" applyProtection="1">
      <alignment horizontal="center" vertical="center" wrapText="1"/>
    </xf>
    <xf numFmtId="0" fontId="18" fillId="3" borderId="5" xfId="0" applyFont="1" applyFill="1" applyBorder="1" applyAlignment="1" applyProtection="1">
      <alignment horizontal="center" vertical="center" wrapText="1"/>
    </xf>
    <xf numFmtId="2" fontId="18" fillId="3" borderId="5" xfId="16" applyNumberFormat="1" applyFont="1" applyFill="1" applyBorder="1" applyAlignment="1" applyProtection="1">
      <alignment horizontal="center" vertical="center" wrapText="1"/>
    </xf>
    <xf numFmtId="43" fontId="18" fillId="3" borderId="5" xfId="16" applyFont="1" applyFill="1" applyBorder="1" applyAlignment="1" applyProtection="1">
      <alignment horizontal="center" vertical="center" wrapText="1"/>
    </xf>
    <xf numFmtId="2" fontId="18" fillId="3" borderId="28" xfId="16" applyNumberFormat="1" applyFont="1" applyFill="1" applyBorder="1" applyAlignment="1" applyProtection="1">
      <alignment horizontal="center" vertical="center" wrapText="1"/>
    </xf>
    <xf numFmtId="0" fontId="30" fillId="5" borderId="0" xfId="4" applyFont="1" applyFill="1" applyAlignment="1" applyProtection="1">
      <alignment horizontal="center" vertical="center" wrapText="1"/>
    </xf>
    <xf numFmtId="0" fontId="30" fillId="0" borderId="0" xfId="4" applyFont="1" applyAlignment="1" applyProtection="1">
      <alignment horizontal="center" vertical="center" wrapText="1"/>
    </xf>
    <xf numFmtId="0" fontId="2" fillId="0" borderId="0" xfId="4" applyAlignment="1" applyProtection="1">
      <alignment horizontal="center" vertical="center" wrapText="1"/>
    </xf>
    <xf numFmtId="172" fontId="22" fillId="2" borderId="31" xfId="4" applyNumberFormat="1" applyFont="1" applyFill="1" applyBorder="1" applyAlignment="1" applyProtection="1">
      <alignment vertical="center" wrapText="1"/>
    </xf>
    <xf numFmtId="173" fontId="9" fillId="2" borderId="22" xfId="0" applyNumberFormat="1" applyFont="1" applyFill="1" applyBorder="1" applyAlignment="1" applyProtection="1">
      <alignment horizontal="center" wrapText="1"/>
    </xf>
    <xf numFmtId="49" fontId="22" fillId="2" borderId="23" xfId="4" applyNumberFormat="1" applyFont="1" applyFill="1" applyBorder="1" applyAlignment="1" applyProtection="1">
      <alignment vertical="center" wrapText="1"/>
    </xf>
    <xf numFmtId="172" fontId="22" fillId="2" borderId="23" xfId="4" applyNumberFormat="1" applyFont="1" applyFill="1" applyBorder="1" applyAlignment="1" applyProtection="1">
      <alignment vertical="center" wrapText="1"/>
    </xf>
    <xf numFmtId="172" fontId="22" fillId="2" borderId="2" xfId="4" applyNumberFormat="1" applyFont="1" applyFill="1" applyBorder="1" applyAlignment="1" applyProtection="1">
      <alignment vertical="center" wrapText="1"/>
    </xf>
    <xf numFmtId="1" fontId="22" fillId="2" borderId="2" xfId="4" applyNumberFormat="1" applyFont="1" applyFill="1" applyBorder="1" applyAlignment="1" applyProtection="1">
      <alignment vertical="center" wrapText="1"/>
    </xf>
    <xf numFmtId="10" fontId="22" fillId="2" borderId="2" xfId="11" applyNumberFormat="1" applyFont="1" applyFill="1" applyBorder="1" applyAlignment="1" applyProtection="1">
      <alignment vertical="center" wrapText="1"/>
    </xf>
    <xf numFmtId="172" fontId="9" fillId="2" borderId="6" xfId="4" applyNumberFormat="1" applyFont="1" applyFill="1" applyBorder="1" applyAlignment="1" applyProtection="1">
      <alignment horizontal="centerContinuous" vertical="center" wrapText="1"/>
    </xf>
    <xf numFmtId="172" fontId="9" fillId="2" borderId="7" xfId="4" applyNumberFormat="1" applyFont="1" applyFill="1" applyBorder="1" applyAlignment="1" applyProtection="1">
      <alignment horizontal="centerContinuous" vertical="center" wrapText="1"/>
    </xf>
    <xf numFmtId="172" fontId="35" fillId="2" borderId="7" xfId="4" applyNumberFormat="1" applyFont="1" applyFill="1" applyBorder="1" applyAlignment="1" applyProtection="1">
      <alignment horizontal="centerContinuous" vertical="center" wrapText="1"/>
    </xf>
    <xf numFmtId="172" fontId="9" fillId="2" borderId="6" xfId="4" applyNumberFormat="1" applyFont="1" applyFill="1" applyBorder="1" applyAlignment="1" applyProtection="1">
      <alignment vertical="center" wrapText="1"/>
    </xf>
    <xf numFmtId="172" fontId="9" fillId="2" borderId="7" xfId="4" applyNumberFormat="1" applyFont="1" applyFill="1" applyBorder="1" applyAlignment="1" applyProtection="1">
      <alignment vertical="center" wrapText="1"/>
    </xf>
    <xf numFmtId="1" fontId="9" fillId="2" borderId="7" xfId="4" applyNumberFormat="1" applyFont="1" applyFill="1" applyBorder="1" applyAlignment="1" applyProtection="1">
      <alignment vertical="center" wrapText="1"/>
    </xf>
    <xf numFmtId="10" fontId="9" fillId="2" borderId="7" xfId="11" applyNumberFormat="1" applyFont="1" applyFill="1" applyBorder="1" applyAlignment="1" applyProtection="1">
      <alignment vertical="center" wrapText="1"/>
    </xf>
    <xf numFmtId="0" fontId="2" fillId="0" borderId="0" xfId="4" applyAlignment="1" applyProtection="1">
      <alignment horizontal="center" vertical="center"/>
    </xf>
    <xf numFmtId="0" fontId="2" fillId="0" borderId="0" xfId="4" applyAlignment="1" applyProtection="1">
      <alignment horizontal="left" vertical="center" wrapText="1"/>
    </xf>
    <xf numFmtId="2" fontId="3" fillId="0" borderId="0" xfId="12" applyNumberFormat="1" applyFont="1" applyAlignment="1" applyProtection="1">
      <alignment horizontal="right"/>
    </xf>
    <xf numFmtId="1" fontId="3" fillId="0" borderId="0" xfId="12" applyNumberFormat="1" applyFont="1" applyAlignment="1" applyProtection="1">
      <alignment horizontal="right"/>
    </xf>
    <xf numFmtId="10" fontId="3" fillId="0" borderId="0" xfId="11" applyNumberFormat="1" applyFont="1" applyAlignment="1" applyProtection="1">
      <alignment horizontal="right"/>
    </xf>
    <xf numFmtId="0" fontId="2" fillId="6" borderId="9" xfId="4" applyFill="1" applyBorder="1" applyAlignment="1" applyProtection="1">
      <alignment horizontal="center"/>
      <protection locked="0"/>
    </xf>
    <xf numFmtId="0" fontId="2" fillId="7" borderId="9" xfId="4" applyFill="1" applyBorder="1" applyAlignment="1" applyProtection="1">
      <alignment horizontal="center"/>
      <protection locked="0"/>
    </xf>
    <xf numFmtId="164" fontId="2" fillId="0" borderId="9" xfId="7" applyFont="1" applyFill="1" applyBorder="1" applyAlignment="1" applyProtection="1">
      <alignment vertical="center" wrapText="1"/>
      <protection locked="0"/>
    </xf>
    <xf numFmtId="3" fontId="3" fillId="0" borderId="16" xfId="2" applyNumberFormat="1" applyFont="1" applyBorder="1" applyAlignment="1">
      <alignment horizontal="center" vertical="center"/>
    </xf>
    <xf numFmtId="0" fontId="3" fillId="0" borderId="13" xfId="2" applyFont="1" applyBorder="1" applyAlignment="1">
      <alignment horizontal="center" vertical="center"/>
    </xf>
    <xf numFmtId="0" fontId="3" fillId="0" borderId="19" xfId="2" applyFont="1" applyBorder="1" applyAlignment="1">
      <alignment horizontal="center" vertical="center"/>
    </xf>
    <xf numFmtId="0" fontId="3" fillId="0" borderId="17" xfId="2" applyFont="1" applyBorder="1" applyAlignment="1">
      <alignment horizontal="center" vertical="center" wrapText="1"/>
    </xf>
    <xf numFmtId="0" fontId="3" fillId="0" borderId="0" xfId="2" applyFont="1" applyAlignment="1">
      <alignment horizontal="center" vertical="center" wrapText="1"/>
    </xf>
    <xf numFmtId="0" fontId="3" fillId="0" borderId="1" xfId="2" applyFont="1" applyBorder="1" applyAlignment="1">
      <alignment horizontal="center" vertical="center" wrapText="1"/>
    </xf>
    <xf numFmtId="3" fontId="3" fillId="0" borderId="16" xfId="2" applyNumberFormat="1" applyFont="1" applyBorder="1" applyAlignment="1">
      <alignment horizontal="center" vertical="center" wrapText="1"/>
    </xf>
    <xf numFmtId="0" fontId="3" fillId="0" borderId="13" xfId="2" applyFont="1" applyBorder="1" applyAlignment="1">
      <alignment horizontal="center" vertical="center" wrapText="1"/>
    </xf>
    <xf numFmtId="3" fontId="3" fillId="0" borderId="16" xfId="2" applyNumberFormat="1" applyFont="1" applyFill="1" applyBorder="1" applyAlignment="1">
      <alignment horizontal="center" vertical="center"/>
    </xf>
    <xf numFmtId="0" fontId="3" fillId="0" borderId="13" xfId="2" applyFont="1" applyFill="1" applyBorder="1" applyAlignment="1">
      <alignment horizontal="center" vertical="center"/>
    </xf>
    <xf numFmtId="0" fontId="3" fillId="0" borderId="19" xfId="2" applyFont="1" applyFill="1" applyBorder="1" applyAlignment="1">
      <alignment horizontal="center" vertical="center"/>
    </xf>
    <xf numFmtId="0" fontId="3" fillId="0" borderId="17" xfId="2" applyFont="1" applyFill="1" applyBorder="1" applyAlignment="1">
      <alignment horizontal="center" vertical="center" wrapText="1"/>
    </xf>
    <xf numFmtId="0" fontId="3" fillId="0" borderId="0" xfId="2" applyFont="1" applyFill="1" applyAlignment="1">
      <alignment horizontal="center" vertical="center" wrapText="1"/>
    </xf>
    <xf numFmtId="0" fontId="3" fillId="0" borderId="1" xfId="2" applyFont="1" applyFill="1" applyBorder="1" applyAlignment="1">
      <alignment horizontal="center" vertical="center" wrapText="1"/>
    </xf>
    <xf numFmtId="3" fontId="3" fillId="0" borderId="13" xfId="2" applyNumberFormat="1" applyFont="1" applyBorder="1" applyAlignment="1">
      <alignment horizontal="center" vertical="center"/>
    </xf>
    <xf numFmtId="3" fontId="3" fillId="0" borderId="19" xfId="2" applyNumberFormat="1" applyFont="1" applyBorder="1" applyAlignment="1">
      <alignment horizontal="center" vertical="center"/>
    </xf>
    <xf numFmtId="3" fontId="3" fillId="0" borderId="13" xfId="2" applyNumberFormat="1" applyFont="1" applyFill="1" applyBorder="1" applyAlignment="1">
      <alignment horizontal="center" vertical="center"/>
    </xf>
    <xf numFmtId="3" fontId="3" fillId="0" borderId="19" xfId="2" applyNumberFormat="1" applyFont="1" applyFill="1" applyBorder="1" applyAlignment="1">
      <alignment horizontal="center" vertical="center"/>
    </xf>
    <xf numFmtId="0" fontId="3" fillId="0" borderId="0" xfId="2" applyFont="1" applyBorder="1" applyAlignment="1">
      <alignment horizontal="center" vertical="center" wrapText="1"/>
    </xf>
    <xf numFmtId="0" fontId="3" fillId="0" borderId="0" xfId="2" applyFont="1" applyFill="1" applyBorder="1" applyAlignment="1">
      <alignment horizontal="center" vertical="center" wrapText="1"/>
    </xf>
    <xf numFmtId="0" fontId="3" fillId="0" borderId="16" xfId="2" applyFont="1" applyBorder="1" applyAlignment="1">
      <alignment horizontal="center" vertical="center" wrapText="1"/>
    </xf>
    <xf numFmtId="0" fontId="3" fillId="0" borderId="19" xfId="2" applyFont="1" applyBorder="1" applyAlignment="1">
      <alignment horizontal="center" vertical="center" wrapText="1"/>
    </xf>
    <xf numFmtId="0" fontId="12" fillId="0" borderId="25" xfId="0" applyFont="1" applyBorder="1" applyAlignment="1" applyProtection="1">
      <alignment horizontal="center" vertical="center" wrapText="1"/>
    </xf>
    <xf numFmtId="0" fontId="12" fillId="0" borderId="26" xfId="0" applyFont="1" applyBorder="1" applyAlignment="1" applyProtection="1">
      <alignment horizontal="center" vertical="center" wrapText="1"/>
    </xf>
    <xf numFmtId="0" fontId="17" fillId="0" borderId="0" xfId="0" applyFont="1" applyAlignment="1" applyProtection="1">
      <alignment horizontal="left"/>
    </xf>
    <xf numFmtId="0" fontId="18" fillId="3" borderId="6" xfId="0" applyFont="1" applyFill="1" applyBorder="1" applyAlignment="1" applyProtection="1">
      <alignment horizontal="center" vertical="center"/>
    </xf>
    <xf numFmtId="0" fontId="18" fillId="3" borderId="8" xfId="0" applyFont="1" applyFill="1" applyBorder="1" applyAlignment="1" applyProtection="1">
      <alignment horizontal="center" vertical="center"/>
    </xf>
  </cellXfs>
  <cellStyles count="17">
    <cellStyle name="Hiperlink" xfId="3" builtinId="8"/>
    <cellStyle name="Moeda 2" xfId="7"/>
    <cellStyle name="Moeda 2 2" xfId="10"/>
    <cellStyle name="Moeda 2 3" xfId="6"/>
    <cellStyle name="Moeda 3" xfId="9"/>
    <cellStyle name="Normal" xfId="0" builtinId="0"/>
    <cellStyle name="Normal 2" xfId="4"/>
    <cellStyle name="Normal 2 2" xfId="8"/>
    <cellStyle name="Normal 4" xfId="15"/>
    <cellStyle name="Normal_Composições" xfId="2"/>
    <cellStyle name="Porcentagem" xfId="1" builtinId="5"/>
    <cellStyle name="Porcentagem 2" xfId="11"/>
    <cellStyle name="Separador de milhares_MODELO CÂMARA" xfId="5"/>
    <cellStyle name="Vírgula 2" xfId="16"/>
    <cellStyle name="Vírgula 2 2 3" xfId="12"/>
    <cellStyle name="Vírgula 3" xfId="13"/>
    <cellStyle name="Vírgula 5" xfId="14"/>
  </cellStyles>
  <dxfs count="282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190547</xdr:colOff>
      <xdr:row>4</xdr:row>
      <xdr:rowOff>260350</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 xmlns:a16="http://schemas.microsoft.com/office/drawing/2014/main" id="{00000000-0008-0000-0400-00001C100000}"/>
            </a:ext>
          </a:extLst>
        </xdr:cNvPr>
        <xdr:cNvSpPr/>
      </xdr:nvSpPr>
      <xdr:spPr bwMode="auto">
        <a:xfrm>
          <a:off x="20545425" y="76200"/>
          <a:ext cx="1755822" cy="12668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485822</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 xmlns:a16="http://schemas.microsoft.com/office/drawing/2014/main" id="{00000000-0008-0000-0400-00001E100000}"/>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485822</xdr:colOff>
      <xdr:row>4</xdr:row>
      <xdr:rowOff>136525</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 xmlns:a16="http://schemas.microsoft.com/office/drawing/2014/main" id="{00000000-0008-0000-0400-00001F100000}"/>
            </a:ext>
          </a:extLst>
        </xdr:cNvPr>
        <xdr:cNvSpPr/>
      </xdr:nvSpPr>
      <xdr:spPr bwMode="auto">
        <a:xfrm>
          <a:off x="22631400" y="695325"/>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 xmlns:a16="http://schemas.microsoft.com/office/drawing/2014/main" id="{00000000-0008-0000-0500-00001C140000}"/>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165100</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 xmlns:a16="http://schemas.microsoft.com/office/drawing/2014/main" id="{00000000-0008-0000-0500-00001D140000}"/>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 xmlns:a16="http://schemas.microsoft.com/office/drawing/2014/main" id="{00000000-0008-0000-0600-00000A180000}"/>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88900</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 xmlns:a16="http://schemas.microsoft.com/office/drawing/2014/main" id="{00000000-0008-0000-0600-00000B180000}"/>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490421</xdr:colOff>
      <xdr:row>36</xdr:row>
      <xdr:rowOff>26769</xdr:rowOff>
    </xdr:to>
    <xdr:pic>
      <xdr:nvPicPr>
        <xdr:cNvPr id="2" name="Imagem 1">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SINFRA\SEORC\PESQUISAS%20DE%20PRE&#199;OS\2022\00200.006613-2022-18%20-%20Manuten&#231;&#227;o%20Hidrossanit&#225;ria\Mapa%20-%20manuten&#231;&#227;o%20hidrossanit&#225;ria=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SINFRA\COORC\PESQUISAS%20DE%20PRE&#199;OS\2023\00200.010143-2023-78%20-%20Manuten&#231;&#227;o%20Civil\Mapa%20-%20Manuten&#231;&#227;o%20Civil=4%20(EXPORTAR%20LICITANT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sheetName val="Equipe"/>
      <sheetName val="Serviços"/>
      <sheetName val="Insumos"/>
      <sheetName val="Composições"/>
      <sheetName val="Comp.Aux1"/>
      <sheetName val="Comp.Aux2"/>
      <sheetName val="Orçamentária-RESUMO"/>
      <sheetName val="Orçamentária-TR"/>
      <sheetName val="Orçamentária"/>
      <sheetName val="BDI"/>
      <sheetName val="Custos Unitários"/>
      <sheetName val="ABC Serviços"/>
      <sheetName val="ABC Insumos"/>
      <sheetName val="Outras Tab"/>
      <sheetName val="Lista CPU"/>
      <sheetName val="AUX"/>
      <sheetName val="Orçamentária-base"/>
      <sheetName val="Serviços SINAPI"/>
      <sheetName val="Insumos SINAPI"/>
      <sheetName val="planilha auxiliar"/>
    </sheetNames>
    <sheetDataSet>
      <sheetData sheetId="0"/>
      <sheetData sheetId="1"/>
      <sheetData sheetId="2"/>
      <sheetData sheetId="3"/>
      <sheetData sheetId="4"/>
      <sheetData sheetId="5"/>
      <sheetData sheetId="6"/>
      <sheetData sheetId="7"/>
      <sheetData sheetId="8">
        <row r="459">
          <cell r="Q459">
            <v>1947.9</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sheetName val="Equipe"/>
      <sheetName val="Serviços"/>
      <sheetName val="Insumos"/>
      <sheetName val="Composições"/>
      <sheetName val="Comp.Aux1"/>
      <sheetName val="Comp.Aux2"/>
      <sheetName val="Orçamentária"/>
      <sheetName val="Orçamentária-TR"/>
      <sheetName val="RESUMO"/>
      <sheetName val="BDI"/>
      <sheetName val="Custos Unitários"/>
      <sheetName val="ABC Serviços"/>
      <sheetName val="ABC Serv TR"/>
      <sheetName val="ABC Insumos"/>
      <sheetName val="ABC Ins TR"/>
      <sheetName val="Outras Tab"/>
      <sheetName val="Lista CPU"/>
      <sheetName val="AUX"/>
      <sheetName val="Quantitativo"/>
      <sheetName val="Serviços SINAPI"/>
      <sheetName val="Insumos SINAPI"/>
      <sheetName val="planilha auxiliar"/>
    </sheetNames>
    <sheetDataSet>
      <sheetData sheetId="0"/>
      <sheetData sheetId="1"/>
      <sheetData sheetId="2"/>
      <sheetData sheetId="3"/>
      <sheetData sheetId="4"/>
      <sheetData sheetId="5">
        <row r="667">
          <cell r="D667">
            <v>0.82399999999999995</v>
          </cell>
        </row>
      </sheetData>
      <sheetData sheetId="6"/>
      <sheetData sheetId="7"/>
      <sheetData sheetId="8"/>
      <sheetData sheetId="9"/>
      <sheetData sheetId="10"/>
      <sheetData sheetId="11"/>
      <sheetData sheetId="12"/>
      <sheetData sheetId="13"/>
      <sheetData sheetId="14"/>
      <sheetData sheetId="15"/>
      <sheetData sheetId="16"/>
      <sheetData sheetId="17"/>
      <sheetData sheetId="18">
        <row r="3375">
          <cell r="A3375" t="str">
            <v>SF-03370</v>
          </cell>
        </row>
        <row r="3376">
          <cell r="A3376" t="str">
            <v>SF-03371</v>
          </cell>
        </row>
      </sheetData>
      <sheetData sheetId="19"/>
      <sheetData sheetId="20"/>
      <sheetData sheetId="21"/>
      <sheetData sheetId="2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8390"/>
  <sheetViews>
    <sheetView zoomScale="80" zoomScaleNormal="80" zoomScaleSheetLayoutView="85" workbookViewId="0">
      <pane ySplit="5" topLeftCell="A18" activePane="bottomLeft" state="frozen"/>
      <selection pane="bottomLeft" activeCell="A18" sqref="A18:A22"/>
    </sheetView>
  </sheetViews>
  <sheetFormatPr defaultRowHeight="15" x14ac:dyDescent="0.25"/>
  <cols>
    <col min="1" max="1" width="14.7109375" customWidth="1"/>
    <col min="2" max="2" width="50.7109375" customWidth="1"/>
    <col min="3" max="3" width="65.7109375" style="109"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4" t="s">
        <v>2026</v>
      </c>
      <c r="B1" s="4"/>
      <c r="C1" s="4"/>
      <c r="D1" s="4"/>
      <c r="E1" s="5"/>
      <c r="F1" s="4"/>
      <c r="G1" s="4"/>
      <c r="H1" s="4"/>
      <c r="I1" s="6"/>
      <c r="J1" s="7"/>
    </row>
    <row r="2" spans="1:10" ht="24.95" customHeight="1" x14ac:dyDescent="0.25">
      <c r="A2" s="8" t="s">
        <v>12</v>
      </c>
      <c r="B2" s="9"/>
      <c r="C2" s="10"/>
      <c r="D2" s="9"/>
      <c r="E2" s="11"/>
      <c r="F2" s="9"/>
      <c r="G2" s="9"/>
      <c r="H2" s="9"/>
      <c r="I2" s="12"/>
      <c r="J2" s="7"/>
    </row>
    <row r="3" spans="1:10" ht="20.100000000000001" customHeight="1" x14ac:dyDescent="0.25">
      <c r="A3" s="13" t="s">
        <v>0</v>
      </c>
      <c r="B3" s="13"/>
      <c r="C3" s="14"/>
      <c r="D3" s="13"/>
      <c r="E3" s="15"/>
      <c r="F3" s="13"/>
      <c r="G3" s="13"/>
      <c r="H3" s="13"/>
      <c r="J3" s="7"/>
    </row>
    <row r="4" spans="1:10" ht="15.75" thickBot="1" x14ac:dyDescent="0.3">
      <c r="A4" s="16"/>
      <c r="B4" s="16"/>
      <c r="C4" s="17"/>
      <c r="D4" s="16"/>
      <c r="E4" s="18"/>
      <c r="F4" s="16"/>
      <c r="G4" s="19"/>
      <c r="H4" s="16"/>
      <c r="I4" s="16"/>
      <c r="J4" s="20"/>
    </row>
    <row r="5" spans="1:10" ht="30.75" thickBot="1" x14ac:dyDescent="0.3">
      <c r="A5" s="21" t="s">
        <v>13</v>
      </c>
      <c r="B5" s="22" t="s">
        <v>14</v>
      </c>
      <c r="C5" s="23" t="s">
        <v>15</v>
      </c>
      <c r="D5" s="22" t="s">
        <v>16</v>
      </c>
      <c r="E5" s="24" t="s">
        <v>17</v>
      </c>
      <c r="F5" s="22" t="s">
        <v>18</v>
      </c>
      <c r="G5" s="22" t="s">
        <v>19</v>
      </c>
      <c r="H5" s="25" t="s">
        <v>20</v>
      </c>
      <c r="I5" s="26"/>
      <c r="J5" s="27" t="s">
        <v>21</v>
      </c>
    </row>
    <row r="6" spans="1:10" ht="15.75" hidden="1" thickBot="1" x14ac:dyDescent="0.3">
      <c r="A6" s="248" t="s">
        <v>22</v>
      </c>
      <c r="B6" s="251" t="s">
        <v>2031</v>
      </c>
      <c r="C6" s="28"/>
      <c r="D6" s="29" t="s">
        <v>2032</v>
      </c>
      <c r="E6" s="30"/>
      <c r="F6" s="31" t="s">
        <v>23</v>
      </c>
      <c r="G6" s="31" t="str">
        <f t="shared" ref="G6:G69" si="0">IF(ISNUMBER(F6),E6*F6,"")</f>
        <v/>
      </c>
      <c r="H6" s="32"/>
      <c r="I6" s="33"/>
      <c r="J6" s="34">
        <v>0</v>
      </c>
    </row>
    <row r="7" spans="1:10" ht="15.75" hidden="1" thickBot="1" x14ac:dyDescent="0.3">
      <c r="A7" s="249"/>
      <c r="B7" s="252"/>
      <c r="C7" s="36"/>
      <c r="D7" s="36"/>
      <c r="E7" s="37"/>
      <c r="F7" s="35" t="s">
        <v>23</v>
      </c>
      <c r="G7" s="38" t="str">
        <f t="shared" si="0"/>
        <v/>
      </c>
      <c r="H7" s="39"/>
      <c r="I7" s="35"/>
      <c r="J7" s="34">
        <v>0</v>
      </c>
    </row>
    <row r="8" spans="1:10" ht="26.25" hidden="1" thickBot="1" x14ac:dyDescent="0.3">
      <c r="A8" s="249"/>
      <c r="B8" s="252"/>
      <c r="C8" s="40" t="s">
        <v>3751</v>
      </c>
      <c r="D8" s="40" t="s">
        <v>3752</v>
      </c>
      <c r="E8" s="41">
        <v>1</v>
      </c>
      <c r="F8" s="35">
        <v>105.488</v>
      </c>
      <c r="G8" s="38">
        <f t="shared" si="0"/>
        <v>105.488</v>
      </c>
      <c r="H8" s="43">
        <f>SUM(G8:G8)</f>
        <v>105.488</v>
      </c>
      <c r="I8" s="44"/>
      <c r="J8" s="34">
        <v>0</v>
      </c>
    </row>
    <row r="9" spans="1:10" ht="15.75" hidden="1" thickBot="1" x14ac:dyDescent="0.3">
      <c r="A9" s="250"/>
      <c r="B9" s="253"/>
      <c r="C9" s="40"/>
      <c r="D9" s="40"/>
      <c r="E9" s="41"/>
      <c r="F9" s="35" t="s">
        <v>23</v>
      </c>
      <c r="G9" s="38" t="str">
        <f t="shared" si="0"/>
        <v/>
      </c>
      <c r="H9" s="39"/>
      <c r="I9" s="35"/>
      <c r="J9" s="34">
        <v>0</v>
      </c>
    </row>
    <row r="10" spans="1:10" ht="15.75" hidden="1" thickBot="1" x14ac:dyDescent="0.3">
      <c r="A10" s="254" t="s">
        <v>24</v>
      </c>
      <c r="B10" s="251" t="s">
        <v>2033</v>
      </c>
      <c r="C10" s="28"/>
      <c r="D10" s="29" t="s">
        <v>2032</v>
      </c>
      <c r="E10" s="30"/>
      <c r="F10" s="45" t="s">
        <v>23</v>
      </c>
      <c r="G10" s="31" t="str">
        <f t="shared" si="0"/>
        <v/>
      </c>
      <c r="H10" s="32"/>
      <c r="I10" s="33"/>
      <c r="J10" s="34">
        <v>0</v>
      </c>
    </row>
    <row r="11" spans="1:10" ht="15.75" hidden="1" thickBot="1" x14ac:dyDescent="0.3">
      <c r="A11" s="255"/>
      <c r="B11" s="252"/>
      <c r="C11" s="36"/>
      <c r="D11" s="36"/>
      <c r="E11" s="37"/>
      <c r="F11" s="46" t="s">
        <v>23</v>
      </c>
      <c r="G11" s="35" t="str">
        <f t="shared" si="0"/>
        <v/>
      </c>
      <c r="H11" s="39"/>
      <c r="I11" s="35"/>
      <c r="J11" s="34">
        <v>0</v>
      </c>
    </row>
    <row r="12" spans="1:10" ht="15.75" hidden="1" thickBot="1" x14ac:dyDescent="0.3">
      <c r="A12" s="255"/>
      <c r="B12" s="252"/>
      <c r="C12" s="40" t="s">
        <v>4106</v>
      </c>
      <c r="D12" s="40" t="s">
        <v>3752</v>
      </c>
      <c r="E12" s="41">
        <v>1</v>
      </c>
      <c r="F12" s="35">
        <v>46.512</v>
      </c>
      <c r="G12" s="38">
        <f t="shared" si="0"/>
        <v>46.512</v>
      </c>
      <c r="H12" s="43">
        <f>SUM(G12:G12)</f>
        <v>46.512</v>
      </c>
      <c r="I12" s="44"/>
      <c r="J12" s="34">
        <v>0</v>
      </c>
    </row>
    <row r="13" spans="1:10" ht="15.75" hidden="1" thickBot="1" x14ac:dyDescent="0.3">
      <c r="A13" s="255"/>
      <c r="B13" s="252"/>
      <c r="C13" s="40"/>
      <c r="D13" s="40"/>
      <c r="E13" s="41"/>
      <c r="F13" s="35" t="s">
        <v>23</v>
      </c>
      <c r="G13" s="35" t="str">
        <f t="shared" si="0"/>
        <v/>
      </c>
      <c r="H13" s="39"/>
      <c r="I13" s="35"/>
      <c r="J13" s="34">
        <v>0</v>
      </c>
    </row>
    <row r="14" spans="1:10" ht="15.75" hidden="1" thickBot="1" x14ac:dyDescent="0.3">
      <c r="A14" s="248" t="s">
        <v>25</v>
      </c>
      <c r="B14" s="251" t="s">
        <v>2034</v>
      </c>
      <c r="C14" s="28"/>
      <c r="D14" s="29" t="s">
        <v>28</v>
      </c>
      <c r="E14" s="30"/>
      <c r="F14" s="45" t="s">
        <v>23</v>
      </c>
      <c r="G14" s="31" t="str">
        <f t="shared" si="0"/>
        <v/>
      </c>
      <c r="H14" s="32"/>
      <c r="I14" s="33"/>
      <c r="J14" s="34">
        <v>0</v>
      </c>
    </row>
    <row r="15" spans="1:10" ht="15.75" hidden="1" thickBot="1" x14ac:dyDescent="0.3">
      <c r="A15" s="249"/>
      <c r="B15" s="252"/>
      <c r="C15" s="36"/>
      <c r="D15" s="36"/>
      <c r="E15" s="37"/>
      <c r="F15" s="46" t="s">
        <v>23</v>
      </c>
      <c r="G15" s="35" t="str">
        <f t="shared" si="0"/>
        <v/>
      </c>
      <c r="H15" s="39"/>
      <c r="I15" s="35"/>
      <c r="J15" s="34">
        <v>0</v>
      </c>
    </row>
    <row r="16" spans="1:10" ht="26.25" hidden="1" thickBot="1" x14ac:dyDescent="0.3">
      <c r="A16" s="249"/>
      <c r="B16" s="252"/>
      <c r="C16" s="40" t="s">
        <v>4112</v>
      </c>
      <c r="D16" s="40" t="s">
        <v>3752</v>
      </c>
      <c r="E16" s="41">
        <v>16</v>
      </c>
      <c r="F16" s="35">
        <v>119.79499999999999</v>
      </c>
      <c r="G16" s="35">
        <f t="shared" si="0"/>
        <v>1916.7199999999998</v>
      </c>
      <c r="H16" s="43">
        <f>SUM(G16:G16)</f>
        <v>1916.7199999999998</v>
      </c>
      <c r="I16" s="44"/>
      <c r="J16" s="34">
        <v>0</v>
      </c>
    </row>
    <row r="17" spans="1:10" ht="15.75" hidden="1" thickBot="1" x14ac:dyDescent="0.3">
      <c r="A17" s="250"/>
      <c r="B17" s="253"/>
      <c r="C17" s="40"/>
      <c r="D17" s="40"/>
      <c r="E17" s="41"/>
      <c r="F17" s="35" t="s">
        <v>23</v>
      </c>
      <c r="G17" s="35" t="str">
        <f t="shared" si="0"/>
        <v/>
      </c>
      <c r="H17" s="39"/>
      <c r="I17" s="35"/>
      <c r="J17" s="34">
        <v>0</v>
      </c>
    </row>
    <row r="18" spans="1:10" ht="15.75" thickBot="1" x14ac:dyDescent="0.3">
      <c r="A18" s="248" t="s">
        <v>26</v>
      </c>
      <c r="B18" s="251" t="s">
        <v>2035</v>
      </c>
      <c r="C18" s="28"/>
      <c r="D18" s="29" t="s">
        <v>28</v>
      </c>
      <c r="E18" s="30"/>
      <c r="F18" s="45" t="s">
        <v>23</v>
      </c>
      <c r="G18" s="31" t="str">
        <f t="shared" si="0"/>
        <v/>
      </c>
      <c r="H18" s="32"/>
      <c r="I18" s="33"/>
      <c r="J18" s="34">
        <v>150</v>
      </c>
    </row>
    <row r="19" spans="1:10" x14ac:dyDescent="0.25">
      <c r="A19" s="249"/>
      <c r="B19" s="252"/>
      <c r="C19" s="36"/>
      <c r="D19" s="36"/>
      <c r="E19" s="37"/>
      <c r="F19" s="46" t="s">
        <v>23</v>
      </c>
      <c r="G19" s="35" t="str">
        <f t="shared" si="0"/>
        <v/>
      </c>
      <c r="H19" s="39"/>
      <c r="I19" s="35"/>
      <c r="J19" s="34">
        <v>150</v>
      </c>
    </row>
    <row r="20" spans="1:10" x14ac:dyDescent="0.25">
      <c r="A20" s="249"/>
      <c r="B20" s="252"/>
      <c r="C20" s="40" t="s">
        <v>3806</v>
      </c>
      <c r="D20" s="40" t="s">
        <v>3752</v>
      </c>
      <c r="E20" s="41">
        <v>20</v>
      </c>
      <c r="F20" s="35">
        <v>120.06099999999999</v>
      </c>
      <c r="G20" s="35">
        <f t="shared" si="0"/>
        <v>2401.2199999999998</v>
      </c>
      <c r="H20" s="43">
        <f>SUM(G20:G21)</f>
        <v>2655.81</v>
      </c>
      <c r="I20" s="44"/>
      <c r="J20" s="34">
        <v>150</v>
      </c>
    </row>
    <row r="21" spans="1:10" x14ac:dyDescent="0.25">
      <c r="A21" s="249"/>
      <c r="B21" s="252"/>
      <c r="C21" s="40" t="s">
        <v>27</v>
      </c>
      <c r="D21" s="40" t="s">
        <v>28</v>
      </c>
      <c r="E21" s="41">
        <v>1</v>
      </c>
      <c r="F21" s="38">
        <v>254.59</v>
      </c>
      <c r="G21" s="35">
        <f t="shared" si="0"/>
        <v>254.59</v>
      </c>
      <c r="H21" s="39"/>
      <c r="I21" s="35"/>
      <c r="J21" s="34">
        <v>150</v>
      </c>
    </row>
    <row r="22" spans="1:10" ht="15.75" thickBot="1" x14ac:dyDescent="0.3">
      <c r="A22" s="250"/>
      <c r="B22" s="253"/>
      <c r="C22" s="40"/>
      <c r="D22" s="40"/>
      <c r="E22" s="41"/>
      <c r="F22" s="35" t="s">
        <v>23</v>
      </c>
      <c r="G22" s="35" t="str">
        <f t="shared" si="0"/>
        <v/>
      </c>
      <c r="H22" s="39"/>
      <c r="I22" s="35"/>
      <c r="J22" s="34">
        <v>150</v>
      </c>
    </row>
    <row r="23" spans="1:10" ht="15.75" hidden="1" thickBot="1" x14ac:dyDescent="0.3">
      <c r="A23" s="248" t="s">
        <v>29</v>
      </c>
      <c r="B23" s="251" t="s">
        <v>2036</v>
      </c>
      <c r="C23" s="28"/>
      <c r="D23" s="29" t="s">
        <v>1748</v>
      </c>
      <c r="E23" s="30"/>
      <c r="F23" s="45" t="s">
        <v>23</v>
      </c>
      <c r="G23" s="31" t="str">
        <f t="shared" si="0"/>
        <v/>
      </c>
      <c r="H23" s="32"/>
      <c r="I23" s="33"/>
      <c r="J23" s="34">
        <v>0</v>
      </c>
    </row>
    <row r="24" spans="1:10" ht="15.75" hidden="1" thickBot="1" x14ac:dyDescent="0.3">
      <c r="A24" s="249"/>
      <c r="B24" s="252"/>
      <c r="C24" s="36"/>
      <c r="D24" s="36"/>
      <c r="E24" s="37"/>
      <c r="F24" s="46" t="s">
        <v>23</v>
      </c>
      <c r="G24" s="35" t="str">
        <f t="shared" si="0"/>
        <v/>
      </c>
      <c r="H24" s="39"/>
      <c r="I24" s="35"/>
      <c r="J24" s="34">
        <v>0</v>
      </c>
    </row>
    <row r="25" spans="1:10" ht="15.75" hidden="1" thickBot="1" x14ac:dyDescent="0.3">
      <c r="A25" s="249"/>
      <c r="B25" s="252"/>
      <c r="C25" s="40" t="s">
        <v>3757</v>
      </c>
      <c r="D25" s="40" t="s">
        <v>3752</v>
      </c>
      <c r="E25" s="41">
        <v>0.22500000000000001</v>
      </c>
      <c r="F25" s="35">
        <v>28.0535</v>
      </c>
      <c r="G25" s="38">
        <f t="shared" si="0"/>
        <v>6.3120374999999997</v>
      </c>
      <c r="H25" s="43">
        <f>SUM(G25:G26)</f>
        <v>54.701587100000005</v>
      </c>
      <c r="I25" s="44"/>
      <c r="J25" s="34">
        <v>0</v>
      </c>
    </row>
    <row r="26" spans="1:10" ht="15.75" hidden="1" thickBot="1" x14ac:dyDescent="0.3">
      <c r="A26" s="249"/>
      <c r="B26" s="252"/>
      <c r="C26" s="40" t="s">
        <v>3754</v>
      </c>
      <c r="D26" s="40" t="s">
        <v>3752</v>
      </c>
      <c r="E26" s="41">
        <v>2.3248000000000002</v>
      </c>
      <c r="F26" s="35">
        <v>20.814499999999999</v>
      </c>
      <c r="G26" s="38">
        <f t="shared" si="0"/>
        <v>48.389549600000002</v>
      </c>
      <c r="H26" s="47"/>
      <c r="I26" s="44"/>
      <c r="J26" s="34">
        <v>0</v>
      </c>
    </row>
    <row r="27" spans="1:10" ht="15.75" hidden="1" thickBot="1" x14ac:dyDescent="0.3">
      <c r="A27" s="250"/>
      <c r="B27" s="253"/>
      <c r="C27" s="40"/>
      <c r="D27" s="40"/>
      <c r="E27" s="41"/>
      <c r="F27" s="35" t="s">
        <v>23</v>
      </c>
      <c r="G27" s="35" t="str">
        <f t="shared" si="0"/>
        <v/>
      </c>
      <c r="H27" s="39"/>
      <c r="I27" s="35"/>
      <c r="J27" s="34">
        <v>0</v>
      </c>
    </row>
    <row r="28" spans="1:10" ht="15.75" hidden="1" thickBot="1" x14ac:dyDescent="0.3">
      <c r="A28" s="248" t="s">
        <v>30</v>
      </c>
      <c r="B28" s="251" t="s">
        <v>2037</v>
      </c>
      <c r="C28" s="28"/>
      <c r="D28" s="29" t="s">
        <v>1748</v>
      </c>
      <c r="E28" s="30"/>
      <c r="F28" s="45" t="s">
        <v>23</v>
      </c>
      <c r="G28" s="31" t="str">
        <f t="shared" si="0"/>
        <v/>
      </c>
      <c r="H28" s="32"/>
      <c r="I28" s="33"/>
      <c r="J28" s="34">
        <v>0</v>
      </c>
    </row>
    <row r="29" spans="1:10" ht="15.75" hidden="1" thickBot="1" x14ac:dyDescent="0.3">
      <c r="A29" s="249"/>
      <c r="B29" s="252"/>
      <c r="C29" s="36"/>
      <c r="D29" s="36"/>
      <c r="E29" s="37"/>
      <c r="F29" s="46" t="s">
        <v>23</v>
      </c>
      <c r="G29" s="35" t="str">
        <f t="shared" si="0"/>
        <v/>
      </c>
      <c r="H29" s="39"/>
      <c r="I29" s="35"/>
      <c r="J29" s="34">
        <v>0</v>
      </c>
    </row>
    <row r="30" spans="1:10" ht="15.75" hidden="1" thickBot="1" x14ac:dyDescent="0.3">
      <c r="A30" s="249"/>
      <c r="B30" s="252"/>
      <c r="C30" s="40" t="s">
        <v>3757</v>
      </c>
      <c r="D30" s="40" t="s">
        <v>3752</v>
      </c>
      <c r="E30" s="41">
        <v>1.3</v>
      </c>
      <c r="F30" s="35">
        <v>28.0535</v>
      </c>
      <c r="G30" s="38">
        <f t="shared" si="0"/>
        <v>36.469549999999998</v>
      </c>
      <c r="H30" s="43">
        <f>SUM(G30:G31)</f>
        <v>307.05804999999998</v>
      </c>
      <c r="I30" s="44"/>
      <c r="J30" s="34">
        <v>0</v>
      </c>
    </row>
    <row r="31" spans="1:10" ht="15.75" hidden="1" thickBot="1" x14ac:dyDescent="0.3">
      <c r="A31" s="249"/>
      <c r="B31" s="252"/>
      <c r="C31" s="40" t="s">
        <v>3754</v>
      </c>
      <c r="D31" s="40" t="s">
        <v>3752</v>
      </c>
      <c r="E31" s="41">
        <v>13</v>
      </c>
      <c r="F31" s="35">
        <v>20.814499999999999</v>
      </c>
      <c r="G31" s="38">
        <f t="shared" si="0"/>
        <v>270.58850000000001</v>
      </c>
      <c r="H31" s="39"/>
      <c r="I31" s="35"/>
      <c r="J31" s="34">
        <v>0</v>
      </c>
    </row>
    <row r="32" spans="1:10" ht="15.75" hidden="1" thickBot="1" x14ac:dyDescent="0.3">
      <c r="A32" s="250"/>
      <c r="B32" s="253"/>
      <c r="C32" s="40"/>
      <c r="D32" s="40"/>
      <c r="E32" s="41"/>
      <c r="F32" s="35" t="s">
        <v>23</v>
      </c>
      <c r="G32" s="35" t="str">
        <f t="shared" si="0"/>
        <v/>
      </c>
      <c r="H32" s="39"/>
      <c r="I32" s="35"/>
      <c r="J32" s="34">
        <v>0</v>
      </c>
    </row>
    <row r="33" spans="1:10" ht="15.75" hidden="1" thickBot="1" x14ac:dyDescent="0.3">
      <c r="A33" s="256" t="s">
        <v>31</v>
      </c>
      <c r="B33" s="259" t="s">
        <v>2038</v>
      </c>
      <c r="C33" s="28"/>
      <c r="D33" s="29" t="s">
        <v>78</v>
      </c>
      <c r="E33" s="30"/>
      <c r="F33" s="45" t="s">
        <v>23</v>
      </c>
      <c r="G33" s="31" t="str">
        <f t="shared" si="0"/>
        <v/>
      </c>
      <c r="H33" s="32"/>
      <c r="I33" s="33"/>
      <c r="J33" s="34">
        <v>0</v>
      </c>
    </row>
    <row r="34" spans="1:10" ht="15.75" hidden="1" thickBot="1" x14ac:dyDescent="0.3">
      <c r="A34" s="257"/>
      <c r="B34" s="260"/>
      <c r="C34" s="36"/>
      <c r="D34" s="36"/>
      <c r="E34" s="37"/>
      <c r="F34" s="46" t="s">
        <v>23</v>
      </c>
      <c r="G34" s="35" t="str">
        <f t="shared" si="0"/>
        <v/>
      </c>
      <c r="H34" s="39"/>
      <c r="I34" s="35"/>
      <c r="J34" s="34">
        <v>0</v>
      </c>
    </row>
    <row r="35" spans="1:10" ht="15.75" hidden="1" thickBot="1" x14ac:dyDescent="0.3">
      <c r="A35" s="257"/>
      <c r="B35" s="260"/>
      <c r="C35" s="40" t="s">
        <v>3754</v>
      </c>
      <c r="D35" s="40" t="s">
        <v>3752</v>
      </c>
      <c r="E35" s="41">
        <v>1</v>
      </c>
      <c r="F35" s="35">
        <v>20.814499999999999</v>
      </c>
      <c r="G35" s="38">
        <f t="shared" si="0"/>
        <v>20.814499999999999</v>
      </c>
      <c r="H35" s="43">
        <f>SUM(G35:G35)</f>
        <v>20.814499999999999</v>
      </c>
      <c r="I35" s="44"/>
      <c r="J35" s="34">
        <v>0</v>
      </c>
    </row>
    <row r="36" spans="1:10" ht="15.75" hidden="1" thickBot="1" x14ac:dyDescent="0.3">
      <c r="A36" s="258"/>
      <c r="B36" s="261"/>
      <c r="C36" s="40"/>
      <c r="D36" s="40"/>
      <c r="E36" s="41"/>
      <c r="F36" s="35" t="s">
        <v>23</v>
      </c>
      <c r="G36" s="35" t="str">
        <f t="shared" si="0"/>
        <v/>
      </c>
      <c r="H36" s="39"/>
      <c r="I36" s="35"/>
      <c r="J36" s="34">
        <v>0</v>
      </c>
    </row>
    <row r="37" spans="1:10" ht="15.75" hidden="1" thickBot="1" x14ac:dyDescent="0.3">
      <c r="A37" s="248" t="s">
        <v>32</v>
      </c>
      <c r="B37" s="251" t="s">
        <v>2039</v>
      </c>
      <c r="C37" s="28"/>
      <c r="D37" s="29" t="s">
        <v>78</v>
      </c>
      <c r="E37" s="30"/>
      <c r="F37" s="45" t="s">
        <v>23</v>
      </c>
      <c r="G37" s="31" t="str">
        <f t="shared" si="0"/>
        <v/>
      </c>
      <c r="H37" s="32"/>
      <c r="I37" s="33"/>
      <c r="J37" s="34">
        <v>0</v>
      </c>
    </row>
    <row r="38" spans="1:10" ht="15.75" hidden="1" thickBot="1" x14ac:dyDescent="0.3">
      <c r="A38" s="249"/>
      <c r="B38" s="252"/>
      <c r="C38" s="36"/>
      <c r="D38" s="36"/>
      <c r="E38" s="37"/>
      <c r="F38" s="46" t="s">
        <v>23</v>
      </c>
      <c r="G38" s="35" t="str">
        <f t="shared" si="0"/>
        <v/>
      </c>
      <c r="H38" s="39"/>
      <c r="I38" s="35"/>
      <c r="J38" s="34">
        <v>0</v>
      </c>
    </row>
    <row r="39" spans="1:10" ht="26.25" hidden="1" thickBot="1" x14ac:dyDescent="0.3">
      <c r="A39" s="249"/>
      <c r="B39" s="252"/>
      <c r="C39" s="40" t="s">
        <v>3800</v>
      </c>
      <c r="D39" s="40" t="s">
        <v>3752</v>
      </c>
      <c r="E39" s="41">
        <v>0.1186</v>
      </c>
      <c r="F39" s="35">
        <v>21.365499999999997</v>
      </c>
      <c r="G39" s="38">
        <f t="shared" si="0"/>
        <v>2.5339482999999996</v>
      </c>
      <c r="H39" s="43">
        <f>SUM(G39:G40)</f>
        <v>7.3816453499999994</v>
      </c>
      <c r="I39" s="44"/>
      <c r="J39" s="34">
        <v>0</v>
      </c>
    </row>
    <row r="40" spans="1:10" ht="15.75" hidden="1" thickBot="1" x14ac:dyDescent="0.3">
      <c r="A40" s="249"/>
      <c r="B40" s="252"/>
      <c r="C40" s="40" t="s">
        <v>3754</v>
      </c>
      <c r="D40" s="40" t="s">
        <v>3752</v>
      </c>
      <c r="E40" s="41">
        <v>0.2329</v>
      </c>
      <c r="F40" s="35">
        <v>20.814499999999999</v>
      </c>
      <c r="G40" s="38">
        <f t="shared" si="0"/>
        <v>4.8476970499999998</v>
      </c>
      <c r="H40" s="48"/>
      <c r="I40" s="49"/>
      <c r="J40" s="34">
        <v>0</v>
      </c>
    </row>
    <row r="41" spans="1:10" ht="15.75" hidden="1" thickBot="1" x14ac:dyDescent="0.3">
      <c r="A41" s="250"/>
      <c r="B41" s="253"/>
      <c r="C41" s="40"/>
      <c r="D41" s="40"/>
      <c r="E41" s="41"/>
      <c r="F41" s="35" t="s">
        <v>23</v>
      </c>
      <c r="G41" s="35" t="str">
        <f t="shared" si="0"/>
        <v/>
      </c>
      <c r="H41" s="39"/>
      <c r="I41" s="35"/>
      <c r="J41" s="34">
        <v>0</v>
      </c>
    </row>
    <row r="42" spans="1:10" ht="15.75" hidden="1" thickBot="1" x14ac:dyDescent="0.3">
      <c r="A42" s="248" t="s">
        <v>33</v>
      </c>
      <c r="B42" s="251" t="s">
        <v>2040</v>
      </c>
      <c r="C42" s="28"/>
      <c r="D42" s="29" t="s">
        <v>78</v>
      </c>
      <c r="E42" s="30"/>
      <c r="F42" s="45" t="s">
        <v>23</v>
      </c>
      <c r="G42" s="31" t="str">
        <f t="shared" si="0"/>
        <v/>
      </c>
      <c r="H42" s="32"/>
      <c r="I42" s="33"/>
      <c r="J42" s="34">
        <v>0</v>
      </c>
    </row>
    <row r="43" spans="1:10" ht="15.75" hidden="1" thickBot="1" x14ac:dyDescent="0.3">
      <c r="A43" s="249"/>
      <c r="B43" s="252"/>
      <c r="C43" s="36"/>
      <c r="D43" s="36"/>
      <c r="E43" s="37"/>
      <c r="F43" s="46" t="s">
        <v>23</v>
      </c>
      <c r="G43" s="35" t="str">
        <f t="shared" si="0"/>
        <v/>
      </c>
      <c r="H43" s="39"/>
      <c r="I43" s="35"/>
      <c r="J43" s="34">
        <v>0</v>
      </c>
    </row>
    <row r="44" spans="1:10" ht="26.25" hidden="1" thickBot="1" x14ac:dyDescent="0.3">
      <c r="A44" s="249"/>
      <c r="B44" s="252"/>
      <c r="C44" s="40" t="s">
        <v>3800</v>
      </c>
      <c r="D44" s="40" t="s">
        <v>3752</v>
      </c>
      <c r="E44" s="41">
        <v>2.58E-2</v>
      </c>
      <c r="F44" s="35">
        <v>21.365499999999997</v>
      </c>
      <c r="G44" s="38">
        <f t="shared" si="0"/>
        <v>0.55122989999999994</v>
      </c>
      <c r="H44" s="43">
        <f>SUM(G44:G45)</f>
        <v>1.6065250500000001</v>
      </c>
      <c r="I44" s="44"/>
      <c r="J44" s="34">
        <v>0</v>
      </c>
    </row>
    <row r="45" spans="1:10" ht="15.75" hidden="1" thickBot="1" x14ac:dyDescent="0.3">
      <c r="A45" s="249"/>
      <c r="B45" s="252"/>
      <c r="C45" s="40" t="s">
        <v>3754</v>
      </c>
      <c r="D45" s="40" t="s">
        <v>3752</v>
      </c>
      <c r="E45" s="41">
        <v>5.0700000000000002E-2</v>
      </c>
      <c r="F45" s="35">
        <v>20.814499999999999</v>
      </c>
      <c r="G45" s="38">
        <f t="shared" si="0"/>
        <v>1.0552951500000001</v>
      </c>
      <c r="H45" s="39"/>
      <c r="I45" s="35"/>
      <c r="J45" s="34">
        <v>0</v>
      </c>
    </row>
    <row r="46" spans="1:10" ht="15.75" hidden="1" thickBot="1" x14ac:dyDescent="0.3">
      <c r="A46" s="250"/>
      <c r="B46" s="253"/>
      <c r="C46" s="40"/>
      <c r="D46" s="40"/>
      <c r="E46" s="41"/>
      <c r="F46" s="35" t="s">
        <v>23</v>
      </c>
      <c r="G46" s="35" t="str">
        <f t="shared" si="0"/>
        <v/>
      </c>
      <c r="H46" s="39"/>
      <c r="I46" s="35"/>
      <c r="J46" s="34">
        <v>0</v>
      </c>
    </row>
    <row r="47" spans="1:10" ht="15.75" hidden="1" thickBot="1" x14ac:dyDescent="0.3">
      <c r="A47" s="248" t="s">
        <v>34</v>
      </c>
      <c r="B47" s="251" t="s">
        <v>2041</v>
      </c>
      <c r="C47" s="28"/>
      <c r="D47" s="29" t="s">
        <v>121</v>
      </c>
      <c r="E47" s="30"/>
      <c r="F47" s="45" t="s">
        <v>23</v>
      </c>
      <c r="G47" s="31" t="str">
        <f t="shared" si="0"/>
        <v/>
      </c>
      <c r="H47" s="32"/>
      <c r="I47" s="33"/>
      <c r="J47" s="34">
        <v>0</v>
      </c>
    </row>
    <row r="48" spans="1:10" ht="15.75" hidden="1" thickBot="1" x14ac:dyDescent="0.3">
      <c r="A48" s="249"/>
      <c r="B48" s="252"/>
      <c r="C48" s="36"/>
      <c r="D48" s="36"/>
      <c r="E48" s="37"/>
      <c r="F48" s="46" t="s">
        <v>23</v>
      </c>
      <c r="G48" s="35" t="str">
        <f t="shared" si="0"/>
        <v/>
      </c>
      <c r="H48" s="39"/>
      <c r="I48" s="35"/>
      <c r="J48" s="34">
        <v>0</v>
      </c>
    </row>
    <row r="49" spans="1:10" ht="15.75" hidden="1" thickBot="1" x14ac:dyDescent="0.3">
      <c r="A49" s="249"/>
      <c r="B49" s="252"/>
      <c r="C49" s="40" t="s">
        <v>3760</v>
      </c>
      <c r="D49" s="40" t="s">
        <v>3752</v>
      </c>
      <c r="E49" s="41">
        <f>ROUND(0.0096*5,4)</f>
        <v>4.8000000000000001E-2</v>
      </c>
      <c r="F49" s="35">
        <v>28.385999999999999</v>
      </c>
      <c r="G49" s="38">
        <f t="shared" si="0"/>
        <v>1.362528</v>
      </c>
      <c r="H49" s="43">
        <f>SUM(G49:G50)</f>
        <v>3.3190909999999998</v>
      </c>
      <c r="I49" s="44"/>
      <c r="J49" s="34">
        <v>0</v>
      </c>
    </row>
    <row r="50" spans="1:10" ht="15.75" hidden="1" thickBot="1" x14ac:dyDescent="0.3">
      <c r="A50" s="249"/>
      <c r="B50" s="252"/>
      <c r="C50" s="40" t="s">
        <v>3754</v>
      </c>
      <c r="D50" s="40" t="s">
        <v>3752</v>
      </c>
      <c r="E50" s="41">
        <f>ROUND(0.0188*5,4)</f>
        <v>9.4E-2</v>
      </c>
      <c r="F50" s="35">
        <v>20.814499999999999</v>
      </c>
      <c r="G50" s="38">
        <f t="shared" si="0"/>
        <v>1.9565629999999998</v>
      </c>
      <c r="H50" s="39"/>
      <c r="I50" s="35"/>
      <c r="J50" s="34">
        <v>0</v>
      </c>
    </row>
    <row r="51" spans="1:10" ht="15.75" hidden="1" thickBot="1" x14ac:dyDescent="0.3">
      <c r="A51" s="250"/>
      <c r="B51" s="253"/>
      <c r="C51" s="40"/>
      <c r="D51" s="40"/>
      <c r="E51" s="41"/>
      <c r="F51" s="35" t="s">
        <v>23</v>
      </c>
      <c r="G51" s="35" t="str">
        <f t="shared" si="0"/>
        <v/>
      </c>
      <c r="H51" s="39"/>
      <c r="I51" s="35"/>
      <c r="J51" s="34">
        <v>0</v>
      </c>
    </row>
    <row r="52" spans="1:10" ht="15.75" hidden="1" thickBot="1" x14ac:dyDescent="0.3">
      <c r="A52" s="248" t="s">
        <v>35</v>
      </c>
      <c r="B52" s="251" t="s">
        <v>2042</v>
      </c>
      <c r="C52" s="28"/>
      <c r="D52" s="29" t="s">
        <v>78</v>
      </c>
      <c r="E52" s="30"/>
      <c r="F52" s="45" t="s">
        <v>23</v>
      </c>
      <c r="G52" s="31" t="str">
        <f t="shared" si="0"/>
        <v/>
      </c>
      <c r="H52" s="32"/>
      <c r="I52" s="33"/>
      <c r="J52" s="34">
        <v>0</v>
      </c>
    </row>
    <row r="53" spans="1:10" ht="15.75" hidden="1" thickBot="1" x14ac:dyDescent="0.3">
      <c r="A53" s="249"/>
      <c r="B53" s="252"/>
      <c r="C53" s="36"/>
      <c r="D53" s="36"/>
      <c r="E53" s="37"/>
      <c r="F53" s="46" t="s">
        <v>23</v>
      </c>
      <c r="G53" s="35" t="str">
        <f t="shared" si="0"/>
        <v/>
      </c>
      <c r="H53" s="39"/>
      <c r="I53" s="35"/>
      <c r="J53" s="34">
        <v>0</v>
      </c>
    </row>
    <row r="54" spans="1:10" ht="26.25" hidden="1" thickBot="1" x14ac:dyDescent="0.3">
      <c r="A54" s="249"/>
      <c r="B54" s="252"/>
      <c r="C54" s="40" t="s">
        <v>3761</v>
      </c>
      <c r="D54" s="40" t="s">
        <v>1041</v>
      </c>
      <c r="E54" s="41">
        <v>6.9900000000000004E-2</v>
      </c>
      <c r="F54" s="38">
        <v>25.032499999999999</v>
      </c>
      <c r="G54" s="38">
        <f t="shared" si="0"/>
        <v>1.7497717500000001</v>
      </c>
      <c r="H54" s="43">
        <f>SUM(G54:G57)</f>
        <v>12.017045899999999</v>
      </c>
      <c r="I54" s="44"/>
      <c r="J54" s="34">
        <v>0</v>
      </c>
    </row>
    <row r="55" spans="1:10" ht="26.25" hidden="1" thickBot="1" x14ac:dyDescent="0.3">
      <c r="A55" s="249"/>
      <c r="B55" s="252"/>
      <c r="C55" s="40" t="s">
        <v>3762</v>
      </c>
      <c r="D55" s="40" t="s">
        <v>1052</v>
      </c>
      <c r="E55" s="41">
        <v>4.82E-2</v>
      </c>
      <c r="F55" s="38">
        <v>23.56</v>
      </c>
      <c r="G55" s="38">
        <f t="shared" si="0"/>
        <v>1.1355919999999999</v>
      </c>
      <c r="H55" s="39"/>
      <c r="I55" s="35"/>
      <c r="J55" s="34">
        <v>0</v>
      </c>
    </row>
    <row r="56" spans="1:10" ht="15.75" hidden="1" thickBot="1" x14ac:dyDescent="0.3">
      <c r="A56" s="249"/>
      <c r="B56" s="252"/>
      <c r="C56" s="40" t="s">
        <v>3808</v>
      </c>
      <c r="D56" s="40" t="s">
        <v>3752</v>
      </c>
      <c r="E56" s="41">
        <v>0.1055</v>
      </c>
      <c r="F56" s="35">
        <v>27.920500000000001</v>
      </c>
      <c r="G56" s="38">
        <f t="shared" si="0"/>
        <v>2.94561275</v>
      </c>
      <c r="H56" s="39"/>
      <c r="I56" s="35"/>
      <c r="J56" s="34">
        <v>0</v>
      </c>
    </row>
    <row r="57" spans="1:10" ht="15.75" hidden="1" thickBot="1" x14ac:dyDescent="0.3">
      <c r="A57" s="249"/>
      <c r="B57" s="252"/>
      <c r="C57" s="40" t="s">
        <v>3754</v>
      </c>
      <c r="D57" s="40" t="s">
        <v>3752</v>
      </c>
      <c r="E57" s="41">
        <v>0.29720000000000002</v>
      </c>
      <c r="F57" s="35">
        <v>20.814499999999999</v>
      </c>
      <c r="G57" s="38">
        <f t="shared" si="0"/>
        <v>6.1860694000000001</v>
      </c>
      <c r="H57" s="39"/>
      <c r="I57" s="35"/>
      <c r="J57" s="34">
        <v>0</v>
      </c>
    </row>
    <row r="58" spans="1:10" ht="15.75" hidden="1" thickBot="1" x14ac:dyDescent="0.3">
      <c r="A58" s="250"/>
      <c r="B58" s="253"/>
      <c r="C58" s="40"/>
      <c r="D58" s="40"/>
      <c r="E58" s="41"/>
      <c r="F58" s="35" t="s">
        <v>23</v>
      </c>
      <c r="G58" s="35" t="str">
        <f t="shared" si="0"/>
        <v/>
      </c>
      <c r="H58" s="39"/>
      <c r="I58" s="35"/>
      <c r="J58" s="34">
        <v>0</v>
      </c>
    </row>
    <row r="59" spans="1:10" ht="15.75" hidden="1" thickBot="1" x14ac:dyDescent="0.3">
      <c r="A59" s="248" t="s">
        <v>36</v>
      </c>
      <c r="B59" s="251" t="s">
        <v>2043</v>
      </c>
      <c r="C59" s="28"/>
      <c r="D59" s="29" t="s">
        <v>78</v>
      </c>
      <c r="E59" s="30"/>
      <c r="F59" s="45" t="s">
        <v>23</v>
      </c>
      <c r="G59" s="31" t="str">
        <f t="shared" si="0"/>
        <v/>
      </c>
      <c r="H59" s="32"/>
      <c r="I59" s="33"/>
      <c r="J59" s="34">
        <v>0</v>
      </c>
    </row>
    <row r="60" spans="1:10" ht="15.75" hidden="1" thickBot="1" x14ac:dyDescent="0.3">
      <c r="A60" s="249"/>
      <c r="B60" s="252"/>
      <c r="C60" s="36"/>
      <c r="D60" s="36"/>
      <c r="E60" s="37"/>
      <c r="F60" s="46" t="s">
        <v>23</v>
      </c>
      <c r="G60" s="35" t="str">
        <f t="shared" si="0"/>
        <v/>
      </c>
      <c r="H60" s="39"/>
      <c r="I60" s="35"/>
      <c r="J60" s="34">
        <v>0</v>
      </c>
    </row>
    <row r="61" spans="1:10" ht="15.75" hidden="1" thickBot="1" x14ac:dyDescent="0.3">
      <c r="A61" s="249"/>
      <c r="B61" s="252"/>
      <c r="C61" s="40" t="s">
        <v>3757</v>
      </c>
      <c r="D61" s="40" t="s">
        <v>3752</v>
      </c>
      <c r="E61" s="41">
        <v>3.7400000000000003E-2</v>
      </c>
      <c r="F61" s="35">
        <v>28.0535</v>
      </c>
      <c r="G61" s="38">
        <f t="shared" si="0"/>
        <v>1.0492009</v>
      </c>
      <c r="H61" s="43">
        <f>SUM(G61:G62)</f>
        <v>3.2409677500000003</v>
      </c>
      <c r="I61" s="44"/>
      <c r="J61" s="34">
        <v>0</v>
      </c>
    </row>
    <row r="62" spans="1:10" ht="15.75" hidden="1" thickBot="1" x14ac:dyDescent="0.3">
      <c r="A62" s="249"/>
      <c r="B62" s="252"/>
      <c r="C62" s="40" t="s">
        <v>3754</v>
      </c>
      <c r="D62" s="40" t="s">
        <v>3752</v>
      </c>
      <c r="E62" s="41">
        <v>0.1053</v>
      </c>
      <c r="F62" s="35">
        <v>20.814499999999999</v>
      </c>
      <c r="G62" s="38">
        <f t="shared" si="0"/>
        <v>2.19176685</v>
      </c>
      <c r="H62" s="39"/>
      <c r="I62" s="35"/>
      <c r="J62" s="34">
        <v>0</v>
      </c>
    </row>
    <row r="63" spans="1:10" ht="15.75" hidden="1" thickBot="1" x14ac:dyDescent="0.3">
      <c r="A63" s="250"/>
      <c r="B63" s="253"/>
      <c r="C63" s="40"/>
      <c r="D63" s="40"/>
      <c r="E63" s="41"/>
      <c r="F63" s="35" t="s">
        <v>23</v>
      </c>
      <c r="G63" s="35" t="str">
        <f t="shared" si="0"/>
        <v/>
      </c>
      <c r="H63" s="39"/>
      <c r="I63" s="35"/>
      <c r="J63" s="34">
        <v>0</v>
      </c>
    </row>
    <row r="64" spans="1:10" ht="15.75" hidden="1" thickBot="1" x14ac:dyDescent="0.3">
      <c r="A64" s="248" t="s">
        <v>37</v>
      </c>
      <c r="B64" s="251" t="s">
        <v>2044</v>
      </c>
      <c r="C64" s="28"/>
      <c r="D64" s="29" t="s">
        <v>121</v>
      </c>
      <c r="E64" s="30"/>
      <c r="F64" s="45" t="s">
        <v>23</v>
      </c>
      <c r="G64" s="31" t="str">
        <f t="shared" si="0"/>
        <v/>
      </c>
      <c r="H64" s="32"/>
      <c r="I64" s="33"/>
      <c r="J64" s="34">
        <v>0</v>
      </c>
    </row>
    <row r="65" spans="1:10" ht="15.75" hidden="1" thickBot="1" x14ac:dyDescent="0.3">
      <c r="A65" s="249"/>
      <c r="B65" s="252"/>
      <c r="C65" s="36"/>
      <c r="D65" s="36"/>
      <c r="E65" s="37"/>
      <c r="F65" s="46" t="s">
        <v>23</v>
      </c>
      <c r="G65" s="35" t="str">
        <f t="shared" si="0"/>
        <v/>
      </c>
      <c r="H65" s="39"/>
      <c r="I65" s="35"/>
      <c r="J65" s="34">
        <v>0</v>
      </c>
    </row>
    <row r="66" spans="1:10" ht="26.25" hidden="1" thickBot="1" x14ac:dyDescent="0.3">
      <c r="A66" s="249"/>
      <c r="B66" s="252"/>
      <c r="C66" s="40" t="s">
        <v>4110</v>
      </c>
      <c r="D66" s="40" t="s">
        <v>3752</v>
      </c>
      <c r="E66" s="41">
        <v>7.1000000000000004E-3</v>
      </c>
      <c r="F66" s="35">
        <v>27.341000000000001</v>
      </c>
      <c r="G66" s="38">
        <f t="shared" si="0"/>
        <v>0.19412110000000002</v>
      </c>
      <c r="H66" s="43">
        <f>SUM(G66:G67)</f>
        <v>0.48552410000000001</v>
      </c>
      <c r="I66" s="44"/>
      <c r="J66" s="34">
        <v>0</v>
      </c>
    </row>
    <row r="67" spans="1:10" ht="15.75" hidden="1" thickBot="1" x14ac:dyDescent="0.3">
      <c r="A67" s="249"/>
      <c r="B67" s="252"/>
      <c r="C67" s="40" t="s">
        <v>3754</v>
      </c>
      <c r="D67" s="40" t="s">
        <v>3752</v>
      </c>
      <c r="E67" s="41">
        <v>1.4E-2</v>
      </c>
      <c r="F67" s="35">
        <v>20.814499999999999</v>
      </c>
      <c r="G67" s="38">
        <f t="shared" si="0"/>
        <v>0.29140299999999997</v>
      </c>
      <c r="H67" s="39"/>
      <c r="I67" s="35"/>
      <c r="J67" s="34">
        <v>0</v>
      </c>
    </row>
    <row r="68" spans="1:10" ht="15.75" hidden="1" thickBot="1" x14ac:dyDescent="0.3">
      <c r="A68" s="250"/>
      <c r="B68" s="253"/>
      <c r="C68" s="40"/>
      <c r="D68" s="40"/>
      <c r="E68" s="41"/>
      <c r="F68" s="35" t="s">
        <v>23</v>
      </c>
      <c r="G68" s="35" t="str">
        <f t="shared" si="0"/>
        <v/>
      </c>
      <c r="H68" s="39"/>
      <c r="I68" s="35"/>
      <c r="J68" s="34">
        <v>0</v>
      </c>
    </row>
    <row r="69" spans="1:10" ht="15.75" hidden="1" thickBot="1" x14ac:dyDescent="0.3">
      <c r="A69" s="248" t="s">
        <v>38</v>
      </c>
      <c r="B69" s="251" t="s">
        <v>2045</v>
      </c>
      <c r="C69" s="28"/>
      <c r="D69" s="29" t="s">
        <v>1748</v>
      </c>
      <c r="E69" s="30"/>
      <c r="F69" s="45" t="s">
        <v>23</v>
      </c>
      <c r="G69" s="31" t="str">
        <f t="shared" si="0"/>
        <v/>
      </c>
      <c r="H69" s="32"/>
      <c r="I69" s="33"/>
      <c r="J69" s="34">
        <v>0</v>
      </c>
    </row>
    <row r="70" spans="1:10" ht="15.75" hidden="1" thickBot="1" x14ac:dyDescent="0.3">
      <c r="A70" s="249"/>
      <c r="B70" s="252"/>
      <c r="C70" s="36"/>
      <c r="D70" s="36"/>
      <c r="E70" s="37"/>
      <c r="F70" s="46" t="s">
        <v>23</v>
      </c>
      <c r="G70" s="35" t="str">
        <f t="shared" ref="G70:G133" si="1">IF(ISNUMBER(F70),E70*F70,"")</f>
        <v/>
      </c>
      <c r="H70" s="39"/>
      <c r="I70" s="35"/>
      <c r="J70" s="34">
        <v>0</v>
      </c>
    </row>
    <row r="71" spans="1:10" ht="26.25" hidden="1" thickBot="1" x14ac:dyDescent="0.3">
      <c r="A71" s="249"/>
      <c r="B71" s="252"/>
      <c r="C71" s="40" t="s">
        <v>3761</v>
      </c>
      <c r="D71" s="40" t="s">
        <v>1041</v>
      </c>
      <c r="E71" s="41">
        <v>3.2467999999999999</v>
      </c>
      <c r="F71" s="38">
        <v>25.032499999999999</v>
      </c>
      <c r="G71" s="38">
        <f t="shared" si="1"/>
        <v>81.275520999999998</v>
      </c>
      <c r="H71" s="43">
        <f>SUM(G71:G75)</f>
        <v>274.1093596</v>
      </c>
      <c r="I71" s="44"/>
      <c r="J71" s="34">
        <v>0</v>
      </c>
    </row>
    <row r="72" spans="1:10" ht="26.25" hidden="1" thickBot="1" x14ac:dyDescent="0.3">
      <c r="A72" s="249"/>
      <c r="B72" s="252"/>
      <c r="C72" s="40" t="s">
        <v>3762</v>
      </c>
      <c r="D72" s="40" t="s">
        <v>1052</v>
      </c>
      <c r="E72" s="41">
        <v>0.92020000000000002</v>
      </c>
      <c r="F72" s="38">
        <v>23.56</v>
      </c>
      <c r="G72" s="38">
        <f t="shared" si="1"/>
        <v>21.679911999999998</v>
      </c>
      <c r="H72" s="39"/>
      <c r="I72" s="35"/>
      <c r="J72" s="34">
        <v>0</v>
      </c>
    </row>
    <row r="73" spans="1:10" ht="26.25" hidden="1" thickBot="1" x14ac:dyDescent="0.3">
      <c r="A73" s="249"/>
      <c r="B73" s="252"/>
      <c r="C73" s="40" t="s">
        <v>3765</v>
      </c>
      <c r="D73" s="40" t="s">
        <v>1035</v>
      </c>
      <c r="E73" s="41">
        <v>0.28349999999999997</v>
      </c>
      <c r="F73" s="38">
        <v>57.731499999999997</v>
      </c>
      <c r="G73" s="35">
        <f t="shared" si="1"/>
        <v>16.366880249999998</v>
      </c>
      <c r="H73" s="39"/>
      <c r="I73" s="35"/>
      <c r="J73" s="34">
        <v>0</v>
      </c>
    </row>
    <row r="74" spans="1:10" ht="15.75" hidden="1" thickBot="1" x14ac:dyDescent="0.3">
      <c r="A74" s="249"/>
      <c r="B74" s="252"/>
      <c r="C74" s="40" t="s">
        <v>3757</v>
      </c>
      <c r="D74" s="40" t="s">
        <v>3752</v>
      </c>
      <c r="E74" s="41">
        <v>0.63660000000000005</v>
      </c>
      <c r="F74" s="35">
        <v>28.0535</v>
      </c>
      <c r="G74" s="38">
        <f t="shared" si="1"/>
        <v>17.858858100000003</v>
      </c>
      <c r="H74" s="39"/>
      <c r="I74" s="35"/>
      <c r="J74" s="34">
        <v>0</v>
      </c>
    </row>
    <row r="75" spans="1:10" ht="15.75" hidden="1" thickBot="1" x14ac:dyDescent="0.3">
      <c r="A75" s="249"/>
      <c r="B75" s="252"/>
      <c r="C75" s="40" t="s">
        <v>3754</v>
      </c>
      <c r="D75" s="40" t="s">
        <v>3752</v>
      </c>
      <c r="E75" s="41">
        <v>6.5785</v>
      </c>
      <c r="F75" s="35">
        <v>20.814499999999999</v>
      </c>
      <c r="G75" s="38">
        <f t="shared" si="1"/>
        <v>136.92818825000001</v>
      </c>
      <c r="H75" s="39"/>
      <c r="I75" s="35"/>
      <c r="J75" s="34">
        <v>0</v>
      </c>
    </row>
    <row r="76" spans="1:10" ht="15.75" hidden="1" thickBot="1" x14ac:dyDescent="0.3">
      <c r="A76" s="250"/>
      <c r="B76" s="253"/>
      <c r="C76" s="40"/>
      <c r="D76" s="40"/>
      <c r="E76" s="41"/>
      <c r="F76" s="35" t="s">
        <v>23</v>
      </c>
      <c r="G76" s="35" t="str">
        <f t="shared" si="1"/>
        <v/>
      </c>
      <c r="H76" s="39"/>
      <c r="I76" s="35"/>
      <c r="J76" s="34">
        <v>0</v>
      </c>
    </row>
    <row r="77" spans="1:10" ht="15.75" hidden="1" thickBot="1" x14ac:dyDescent="0.3">
      <c r="A77" s="254" t="s">
        <v>39</v>
      </c>
      <c r="B77" s="251" t="s">
        <v>2048</v>
      </c>
      <c r="C77" s="28"/>
      <c r="D77" s="29" t="s">
        <v>78</v>
      </c>
      <c r="E77" s="30"/>
      <c r="F77" s="45" t="s">
        <v>23</v>
      </c>
      <c r="G77" s="31" t="str">
        <f t="shared" si="1"/>
        <v/>
      </c>
      <c r="H77" s="32"/>
      <c r="I77" s="33"/>
      <c r="J77" s="34">
        <v>0</v>
      </c>
    </row>
    <row r="78" spans="1:10" ht="15.75" hidden="1" thickBot="1" x14ac:dyDescent="0.3">
      <c r="A78" s="255"/>
      <c r="B78" s="252"/>
      <c r="C78" s="36"/>
      <c r="D78" s="36"/>
      <c r="E78" s="37"/>
      <c r="F78" s="46" t="s">
        <v>23</v>
      </c>
      <c r="G78" s="35" t="str">
        <f t="shared" si="1"/>
        <v/>
      </c>
      <c r="H78" s="39"/>
      <c r="I78" s="35"/>
      <c r="J78" s="34">
        <v>0</v>
      </c>
    </row>
    <row r="79" spans="1:10" ht="15.75" hidden="1" thickBot="1" x14ac:dyDescent="0.3">
      <c r="A79" s="255"/>
      <c r="B79" s="252"/>
      <c r="C79" s="40" t="s">
        <v>3766</v>
      </c>
      <c r="D79" s="40" t="s">
        <v>3752</v>
      </c>
      <c r="E79" s="41">
        <v>0.35</v>
      </c>
      <c r="F79" s="35">
        <v>26.552499999999998</v>
      </c>
      <c r="G79" s="38">
        <f t="shared" si="1"/>
        <v>9.2933749999999993</v>
      </c>
      <c r="H79" s="43">
        <f>SUM(G79:G80)</f>
        <v>16.578449999999997</v>
      </c>
      <c r="I79" s="44"/>
      <c r="J79" s="34">
        <v>0</v>
      </c>
    </row>
    <row r="80" spans="1:10" ht="15.75" hidden="1" thickBot="1" x14ac:dyDescent="0.3">
      <c r="A80" s="255"/>
      <c r="B80" s="252"/>
      <c r="C80" s="40" t="s">
        <v>3754</v>
      </c>
      <c r="D80" s="40" t="s">
        <v>3752</v>
      </c>
      <c r="E80" s="41">
        <v>0.35</v>
      </c>
      <c r="F80" s="35">
        <v>20.814499999999999</v>
      </c>
      <c r="G80" s="38">
        <f t="shared" si="1"/>
        <v>7.2850749999999991</v>
      </c>
      <c r="H80" s="48"/>
      <c r="I80" s="49"/>
      <c r="J80" s="34">
        <v>0</v>
      </c>
    </row>
    <row r="81" spans="1:10" ht="15.75" hidden="1" thickBot="1" x14ac:dyDescent="0.3">
      <c r="A81" s="255"/>
      <c r="B81" s="252"/>
      <c r="C81" s="40"/>
      <c r="D81" s="40"/>
      <c r="E81" s="41"/>
      <c r="F81" s="35" t="s">
        <v>23</v>
      </c>
      <c r="G81" s="35" t="str">
        <f t="shared" si="1"/>
        <v/>
      </c>
      <c r="H81" s="39"/>
      <c r="I81" s="35"/>
      <c r="J81" s="34">
        <v>0</v>
      </c>
    </row>
    <row r="82" spans="1:10" ht="15.75" hidden="1" thickBot="1" x14ac:dyDescent="0.3">
      <c r="A82" s="248" t="s">
        <v>40</v>
      </c>
      <c r="B82" s="251" t="s">
        <v>2049</v>
      </c>
      <c r="C82" s="28"/>
      <c r="D82" s="29" t="s">
        <v>78</v>
      </c>
      <c r="E82" s="30"/>
      <c r="F82" s="45" t="s">
        <v>23</v>
      </c>
      <c r="G82" s="31" t="str">
        <f t="shared" si="1"/>
        <v/>
      </c>
      <c r="H82" s="32"/>
      <c r="I82" s="33"/>
      <c r="J82" s="34">
        <v>0</v>
      </c>
    </row>
    <row r="83" spans="1:10" ht="15.75" hidden="1" thickBot="1" x14ac:dyDescent="0.3">
      <c r="A83" s="249"/>
      <c r="B83" s="252"/>
      <c r="C83" s="36"/>
      <c r="D83" s="36"/>
      <c r="E83" s="37"/>
      <c r="F83" s="46" t="s">
        <v>23</v>
      </c>
      <c r="G83" s="35" t="str">
        <f t="shared" si="1"/>
        <v/>
      </c>
      <c r="H83" s="39"/>
      <c r="I83" s="35"/>
      <c r="J83" s="34">
        <v>0</v>
      </c>
    </row>
    <row r="84" spans="1:10" ht="15.75" hidden="1" thickBot="1" x14ac:dyDescent="0.3">
      <c r="A84" s="249"/>
      <c r="B84" s="252"/>
      <c r="C84" s="40" t="s">
        <v>3757</v>
      </c>
      <c r="D84" s="40" t="s">
        <v>3752</v>
      </c>
      <c r="E84" s="41">
        <v>0.15</v>
      </c>
      <c r="F84" s="35">
        <v>28.0535</v>
      </c>
      <c r="G84" s="38">
        <f t="shared" si="1"/>
        <v>4.2080250000000001</v>
      </c>
      <c r="H84" s="43">
        <f>SUM(G84:G85)</f>
        <v>25.022524999999998</v>
      </c>
      <c r="I84" s="44"/>
      <c r="J84" s="34">
        <v>0</v>
      </c>
    </row>
    <row r="85" spans="1:10" ht="15.75" hidden="1" thickBot="1" x14ac:dyDescent="0.3">
      <c r="A85" s="249"/>
      <c r="B85" s="252"/>
      <c r="C85" s="40" t="s">
        <v>3754</v>
      </c>
      <c r="D85" s="40" t="s">
        <v>3752</v>
      </c>
      <c r="E85" s="41">
        <v>1</v>
      </c>
      <c r="F85" s="35">
        <v>20.814499999999999</v>
      </c>
      <c r="G85" s="38">
        <f t="shared" si="1"/>
        <v>20.814499999999999</v>
      </c>
      <c r="H85" s="39"/>
      <c r="I85" s="35"/>
      <c r="J85" s="34">
        <v>0</v>
      </c>
    </row>
    <row r="86" spans="1:10" ht="15.75" hidden="1" thickBot="1" x14ac:dyDescent="0.3">
      <c r="A86" s="250"/>
      <c r="B86" s="253"/>
      <c r="C86" s="40"/>
      <c r="D86" s="40"/>
      <c r="E86" s="41"/>
      <c r="F86" s="35" t="s">
        <v>23</v>
      </c>
      <c r="G86" s="35" t="str">
        <f t="shared" si="1"/>
        <v/>
      </c>
      <c r="H86" s="39"/>
      <c r="I86" s="35"/>
      <c r="J86" s="34">
        <v>0</v>
      </c>
    </row>
    <row r="87" spans="1:10" ht="15.75" hidden="1" thickBot="1" x14ac:dyDescent="0.3">
      <c r="A87" s="248" t="s">
        <v>41</v>
      </c>
      <c r="B87" s="251" t="s">
        <v>2050</v>
      </c>
      <c r="C87" s="28"/>
      <c r="D87" s="29" t="s">
        <v>28</v>
      </c>
      <c r="E87" s="30"/>
      <c r="F87" s="45" t="s">
        <v>23</v>
      </c>
      <c r="G87" s="31" t="str">
        <f t="shared" si="1"/>
        <v/>
      </c>
      <c r="H87" s="32"/>
      <c r="I87" s="33"/>
      <c r="J87" s="34">
        <v>0</v>
      </c>
    </row>
    <row r="88" spans="1:10" ht="15.75" hidden="1" thickBot="1" x14ac:dyDescent="0.3">
      <c r="A88" s="249"/>
      <c r="B88" s="252"/>
      <c r="C88" s="36"/>
      <c r="D88" s="36"/>
      <c r="E88" s="37"/>
      <c r="F88" s="46" t="s">
        <v>23</v>
      </c>
      <c r="G88" s="35" t="str">
        <f t="shared" si="1"/>
        <v/>
      </c>
      <c r="H88" s="39"/>
      <c r="I88" s="35"/>
      <c r="J88" s="34">
        <v>0</v>
      </c>
    </row>
    <row r="89" spans="1:10" ht="15.75" hidden="1" thickBot="1" x14ac:dyDescent="0.3">
      <c r="A89" s="249"/>
      <c r="B89" s="252"/>
      <c r="C89" s="40" t="s">
        <v>3757</v>
      </c>
      <c r="D89" s="40" t="s">
        <v>3752</v>
      </c>
      <c r="E89" s="41">
        <f>0.08/2</f>
        <v>0.04</v>
      </c>
      <c r="F89" s="35">
        <v>28.0535</v>
      </c>
      <c r="G89" s="38">
        <f t="shared" si="1"/>
        <v>1.1221399999999999</v>
      </c>
      <c r="H89" s="43">
        <f>SUM(G89:G90)</f>
        <v>9.4479399999999991</v>
      </c>
      <c r="I89" s="44"/>
      <c r="J89" s="34">
        <v>0</v>
      </c>
    </row>
    <row r="90" spans="1:10" ht="15.75" hidden="1" thickBot="1" x14ac:dyDescent="0.3">
      <c r="A90" s="249"/>
      <c r="B90" s="252"/>
      <c r="C90" s="40" t="s">
        <v>3754</v>
      </c>
      <c r="D90" s="40" t="s">
        <v>3752</v>
      </c>
      <c r="E90" s="41">
        <f>0.8/2</f>
        <v>0.4</v>
      </c>
      <c r="F90" s="35">
        <v>20.814499999999999</v>
      </c>
      <c r="G90" s="38">
        <f t="shared" si="1"/>
        <v>8.3257999999999992</v>
      </c>
      <c r="H90" s="39"/>
      <c r="I90" s="35"/>
      <c r="J90" s="34">
        <v>0</v>
      </c>
    </row>
    <row r="91" spans="1:10" ht="15.75" hidden="1" thickBot="1" x14ac:dyDescent="0.3">
      <c r="A91" s="249"/>
      <c r="B91" s="252"/>
      <c r="C91" s="40"/>
      <c r="D91" s="40"/>
      <c r="E91" s="41"/>
      <c r="F91" s="38" t="s">
        <v>23</v>
      </c>
      <c r="G91" s="38" t="str">
        <f t="shared" si="1"/>
        <v/>
      </c>
      <c r="H91" s="39"/>
      <c r="I91" s="35"/>
      <c r="J91" s="34">
        <v>0</v>
      </c>
    </row>
    <row r="92" spans="1:10" ht="15.75" hidden="1" thickBot="1" x14ac:dyDescent="0.3">
      <c r="A92" s="248" t="s">
        <v>42</v>
      </c>
      <c r="B92" s="251" t="s">
        <v>2051</v>
      </c>
      <c r="C92" s="28"/>
      <c r="D92" s="29" t="s">
        <v>121</v>
      </c>
      <c r="E92" s="30"/>
      <c r="F92" s="45" t="s">
        <v>23</v>
      </c>
      <c r="G92" s="31" t="str">
        <f t="shared" si="1"/>
        <v/>
      </c>
      <c r="H92" s="32"/>
      <c r="I92" s="33"/>
      <c r="J92" s="34">
        <v>0</v>
      </c>
    </row>
    <row r="93" spans="1:10" ht="15.75" hidden="1" thickBot="1" x14ac:dyDescent="0.3">
      <c r="A93" s="249"/>
      <c r="B93" s="252"/>
      <c r="C93" s="36"/>
      <c r="D93" s="36"/>
      <c r="E93" s="37"/>
      <c r="F93" s="46" t="s">
        <v>23</v>
      </c>
      <c r="G93" s="35" t="str">
        <f t="shared" si="1"/>
        <v/>
      </c>
      <c r="H93" s="39"/>
      <c r="I93" s="35"/>
      <c r="J93" s="34">
        <v>0</v>
      </c>
    </row>
    <row r="94" spans="1:10" ht="15.75" hidden="1" thickBot="1" x14ac:dyDescent="0.3">
      <c r="A94" s="249"/>
      <c r="B94" s="252"/>
      <c r="C94" s="40" t="s">
        <v>3760</v>
      </c>
      <c r="D94" s="40" t="s">
        <v>3752</v>
      </c>
      <c r="E94" s="41">
        <f>0.75*0.1</f>
        <v>7.5000000000000011E-2</v>
      </c>
      <c r="F94" s="35">
        <v>28.385999999999999</v>
      </c>
      <c r="G94" s="38">
        <f t="shared" si="1"/>
        <v>2.1289500000000001</v>
      </c>
      <c r="H94" s="43">
        <f>SUM(G94:G95)</f>
        <v>5.251125</v>
      </c>
      <c r="I94" s="44"/>
      <c r="J94" s="34">
        <v>0</v>
      </c>
    </row>
    <row r="95" spans="1:10" ht="15.75" hidden="1" thickBot="1" x14ac:dyDescent="0.3">
      <c r="A95" s="249"/>
      <c r="B95" s="252"/>
      <c r="C95" s="40" t="s">
        <v>3754</v>
      </c>
      <c r="D95" s="40" t="s">
        <v>3752</v>
      </c>
      <c r="E95" s="41">
        <f>0.75*0.2</f>
        <v>0.15000000000000002</v>
      </c>
      <c r="F95" s="35">
        <v>20.814499999999999</v>
      </c>
      <c r="G95" s="38">
        <f t="shared" si="1"/>
        <v>3.1221750000000004</v>
      </c>
      <c r="H95" s="39"/>
      <c r="I95" s="35"/>
      <c r="J95" s="34">
        <v>0</v>
      </c>
    </row>
    <row r="96" spans="1:10" ht="15.75" hidden="1" thickBot="1" x14ac:dyDescent="0.3">
      <c r="A96" s="250"/>
      <c r="B96" s="253"/>
      <c r="C96" s="40"/>
      <c r="D96" s="40"/>
      <c r="E96" s="41"/>
      <c r="F96" s="35" t="s">
        <v>23</v>
      </c>
      <c r="G96" s="35" t="str">
        <f t="shared" si="1"/>
        <v/>
      </c>
      <c r="H96" s="39"/>
      <c r="I96" s="35"/>
      <c r="J96" s="34">
        <v>0</v>
      </c>
    </row>
    <row r="97" spans="1:10" ht="15.75" hidden="1" thickBot="1" x14ac:dyDescent="0.3">
      <c r="A97" s="248" t="s">
        <v>43</v>
      </c>
      <c r="B97" s="251" t="s">
        <v>2052</v>
      </c>
      <c r="C97" s="28"/>
      <c r="D97" s="29" t="s">
        <v>78</v>
      </c>
      <c r="E97" s="30"/>
      <c r="F97" s="45" t="s">
        <v>23</v>
      </c>
      <c r="G97" s="31" t="str">
        <f t="shared" si="1"/>
        <v/>
      </c>
      <c r="H97" s="32"/>
      <c r="I97" s="33"/>
      <c r="J97" s="34">
        <v>0</v>
      </c>
    </row>
    <row r="98" spans="1:10" ht="15.75" hidden="1" thickBot="1" x14ac:dyDescent="0.3">
      <c r="A98" s="249"/>
      <c r="B98" s="252"/>
      <c r="C98" s="36"/>
      <c r="D98" s="36"/>
      <c r="E98" s="37"/>
      <c r="F98" s="46" t="s">
        <v>23</v>
      </c>
      <c r="G98" s="35" t="str">
        <f t="shared" si="1"/>
        <v/>
      </c>
      <c r="H98" s="39"/>
      <c r="I98" s="35"/>
      <c r="J98" s="34">
        <v>0</v>
      </c>
    </row>
    <row r="99" spans="1:10" ht="15.75" hidden="1" thickBot="1" x14ac:dyDescent="0.3">
      <c r="A99" s="249"/>
      <c r="B99" s="252"/>
      <c r="C99" s="40" t="s">
        <v>3757</v>
      </c>
      <c r="D99" s="40" t="s">
        <v>3752</v>
      </c>
      <c r="E99" s="41">
        <v>0.01</v>
      </c>
      <c r="F99" s="35">
        <v>28.0535</v>
      </c>
      <c r="G99" s="38">
        <f t="shared" si="1"/>
        <v>0.28053499999999998</v>
      </c>
      <c r="H99" s="43">
        <f>SUM(G99:G100)</f>
        <v>2.3619849999999998</v>
      </c>
      <c r="I99" s="44"/>
      <c r="J99" s="34">
        <v>0</v>
      </c>
    </row>
    <row r="100" spans="1:10" ht="15.75" hidden="1" thickBot="1" x14ac:dyDescent="0.3">
      <c r="A100" s="249"/>
      <c r="B100" s="252"/>
      <c r="C100" s="40" t="s">
        <v>3754</v>
      </c>
      <c r="D100" s="40" t="s">
        <v>3752</v>
      </c>
      <c r="E100" s="41">
        <v>0.1</v>
      </c>
      <c r="F100" s="35">
        <v>20.814499999999999</v>
      </c>
      <c r="G100" s="38">
        <f t="shared" si="1"/>
        <v>2.0814499999999998</v>
      </c>
      <c r="H100" s="39"/>
      <c r="I100" s="35"/>
      <c r="J100" s="34">
        <v>0</v>
      </c>
    </row>
    <row r="101" spans="1:10" ht="15.75" hidden="1" thickBot="1" x14ac:dyDescent="0.3">
      <c r="A101" s="250"/>
      <c r="B101" s="253"/>
      <c r="C101" s="40"/>
      <c r="D101" s="40"/>
      <c r="E101" s="41"/>
      <c r="F101" s="35" t="s">
        <v>23</v>
      </c>
      <c r="G101" s="35" t="str">
        <f t="shared" si="1"/>
        <v/>
      </c>
      <c r="H101" s="39"/>
      <c r="I101" s="35"/>
      <c r="J101" s="34">
        <v>0</v>
      </c>
    </row>
    <row r="102" spans="1:10" ht="15.75" hidden="1" thickBot="1" x14ac:dyDescent="0.3">
      <c r="A102" s="248" t="s">
        <v>44</v>
      </c>
      <c r="B102" s="251" t="s">
        <v>2053</v>
      </c>
      <c r="C102" s="28"/>
      <c r="D102" s="29" t="s">
        <v>121</v>
      </c>
      <c r="E102" s="30"/>
      <c r="F102" s="45" t="s">
        <v>23</v>
      </c>
      <c r="G102" s="31" t="str">
        <f t="shared" si="1"/>
        <v/>
      </c>
      <c r="H102" s="32"/>
      <c r="I102" s="33"/>
      <c r="J102" s="34">
        <v>0</v>
      </c>
    </row>
    <row r="103" spans="1:10" ht="15.75" hidden="1" thickBot="1" x14ac:dyDescent="0.3">
      <c r="A103" s="249"/>
      <c r="B103" s="252"/>
      <c r="C103" s="36"/>
      <c r="D103" s="36"/>
      <c r="E103" s="37"/>
      <c r="F103" s="46" t="s">
        <v>23</v>
      </c>
      <c r="G103" s="35" t="str">
        <f t="shared" si="1"/>
        <v/>
      </c>
      <c r="H103" s="39"/>
      <c r="I103" s="35"/>
      <c r="J103" s="34">
        <v>0</v>
      </c>
    </row>
    <row r="104" spans="1:10" ht="15.75" hidden="1" thickBot="1" x14ac:dyDescent="0.3">
      <c r="A104" s="249"/>
      <c r="B104" s="252"/>
      <c r="C104" s="40" t="s">
        <v>3787</v>
      </c>
      <c r="D104" s="40" t="s">
        <v>3752</v>
      </c>
      <c r="E104" s="41">
        <f>ROUND(1/6,4)</f>
        <v>0.16669999999999999</v>
      </c>
      <c r="F104" s="35">
        <v>21.963999999999999</v>
      </c>
      <c r="G104" s="38">
        <f t="shared" si="1"/>
        <v>3.6613987999999993</v>
      </c>
      <c r="H104" s="43">
        <f>SUM(G104:G104)</f>
        <v>3.6613987999999993</v>
      </c>
      <c r="I104" s="44"/>
      <c r="J104" s="34">
        <v>0</v>
      </c>
    </row>
    <row r="105" spans="1:10" ht="15.75" hidden="1" thickBot="1" x14ac:dyDescent="0.3">
      <c r="A105" s="250"/>
      <c r="B105" s="253"/>
      <c r="C105" s="40"/>
      <c r="D105" s="40"/>
      <c r="E105" s="41"/>
      <c r="F105" s="35" t="s">
        <v>23</v>
      </c>
      <c r="G105" s="35" t="str">
        <f t="shared" si="1"/>
        <v/>
      </c>
      <c r="H105" s="39"/>
      <c r="I105" s="35"/>
      <c r="J105" s="34">
        <v>0</v>
      </c>
    </row>
    <row r="106" spans="1:10" ht="15.75" hidden="1" thickBot="1" x14ac:dyDescent="0.3">
      <c r="A106" s="248" t="s">
        <v>45</v>
      </c>
      <c r="B106" s="251" t="s">
        <v>2054</v>
      </c>
      <c r="C106" s="28"/>
      <c r="D106" s="29" t="s">
        <v>28</v>
      </c>
      <c r="E106" s="30"/>
      <c r="F106" s="45" t="s">
        <v>23</v>
      </c>
      <c r="G106" s="31" t="str">
        <f t="shared" si="1"/>
        <v/>
      </c>
      <c r="H106" s="32"/>
      <c r="I106" s="33"/>
      <c r="J106" s="34">
        <v>0</v>
      </c>
    </row>
    <row r="107" spans="1:10" ht="15.75" hidden="1" thickBot="1" x14ac:dyDescent="0.3">
      <c r="A107" s="249"/>
      <c r="B107" s="252"/>
      <c r="C107" s="36"/>
      <c r="D107" s="36"/>
      <c r="E107" s="37"/>
      <c r="F107" s="46" t="s">
        <v>23</v>
      </c>
      <c r="G107" s="35" t="str">
        <f t="shared" si="1"/>
        <v/>
      </c>
      <c r="H107" s="39"/>
      <c r="I107" s="35"/>
      <c r="J107" s="34">
        <v>0</v>
      </c>
    </row>
    <row r="108" spans="1:10" ht="26.25" hidden="1" thickBot="1" x14ac:dyDescent="0.3">
      <c r="A108" s="249"/>
      <c r="B108" s="252"/>
      <c r="C108" s="40" t="s">
        <v>3827</v>
      </c>
      <c r="D108" s="40" t="s">
        <v>3752</v>
      </c>
      <c r="E108" s="41">
        <v>0.6</v>
      </c>
      <c r="F108" s="35">
        <v>23.882999999999999</v>
      </c>
      <c r="G108" s="35">
        <f t="shared" si="1"/>
        <v>14.329799999999999</v>
      </c>
      <c r="H108" s="43">
        <f>SUM(G108:G109)</f>
        <v>26.8185</v>
      </c>
      <c r="I108" s="44"/>
      <c r="J108" s="34">
        <v>0</v>
      </c>
    </row>
    <row r="109" spans="1:10" ht="15.75" hidden="1" thickBot="1" x14ac:dyDescent="0.3">
      <c r="A109" s="249"/>
      <c r="B109" s="252"/>
      <c r="C109" s="40" t="s">
        <v>3754</v>
      </c>
      <c r="D109" s="40" t="s">
        <v>3752</v>
      </c>
      <c r="E109" s="41">
        <v>0.6</v>
      </c>
      <c r="F109" s="35">
        <v>20.814499999999999</v>
      </c>
      <c r="G109" s="35">
        <f t="shared" si="1"/>
        <v>12.4887</v>
      </c>
      <c r="H109" s="39"/>
      <c r="I109" s="35"/>
      <c r="J109" s="34">
        <v>0</v>
      </c>
    </row>
    <row r="110" spans="1:10" ht="15.75" hidden="1" thickBot="1" x14ac:dyDescent="0.3">
      <c r="A110" s="250"/>
      <c r="B110" s="253"/>
      <c r="C110" s="40"/>
      <c r="D110" s="40"/>
      <c r="E110" s="41"/>
      <c r="F110" s="35" t="s">
        <v>23</v>
      </c>
      <c r="G110" s="35" t="str">
        <f t="shared" si="1"/>
        <v/>
      </c>
      <c r="H110" s="39"/>
      <c r="I110" s="35"/>
      <c r="J110" s="34">
        <v>0</v>
      </c>
    </row>
    <row r="111" spans="1:10" ht="15.75" hidden="1" thickBot="1" x14ac:dyDescent="0.3">
      <c r="A111" s="248" t="s">
        <v>46</v>
      </c>
      <c r="B111" s="251" t="s">
        <v>2055</v>
      </c>
      <c r="C111" s="28"/>
      <c r="D111" s="29" t="s">
        <v>78</v>
      </c>
      <c r="E111" s="30"/>
      <c r="F111" s="45" t="s">
        <v>23</v>
      </c>
      <c r="G111" s="31" t="str">
        <f t="shared" si="1"/>
        <v/>
      </c>
      <c r="H111" s="32"/>
      <c r="I111" s="33"/>
      <c r="J111" s="34">
        <v>0</v>
      </c>
    </row>
    <row r="112" spans="1:10" ht="15.75" hidden="1" thickBot="1" x14ac:dyDescent="0.3">
      <c r="A112" s="249"/>
      <c r="B112" s="252"/>
      <c r="C112" s="36"/>
      <c r="D112" s="36"/>
      <c r="E112" s="37"/>
      <c r="F112" s="46" t="s">
        <v>23</v>
      </c>
      <c r="G112" s="35" t="str">
        <f t="shared" si="1"/>
        <v/>
      </c>
      <c r="H112" s="39"/>
      <c r="I112" s="35"/>
      <c r="J112" s="34">
        <v>0</v>
      </c>
    </row>
    <row r="113" spans="1:10" ht="15.75" hidden="1" thickBot="1" x14ac:dyDescent="0.3">
      <c r="A113" s="249"/>
      <c r="B113" s="252"/>
      <c r="C113" s="40" t="s">
        <v>3826</v>
      </c>
      <c r="D113" s="40" t="s">
        <v>3752</v>
      </c>
      <c r="E113" s="41">
        <v>0.6</v>
      </c>
      <c r="F113" s="35">
        <v>27.920500000000001</v>
      </c>
      <c r="G113" s="38">
        <f t="shared" si="1"/>
        <v>16.752299999999998</v>
      </c>
      <c r="H113" s="43">
        <f>SUM(G113:G114)</f>
        <v>41.729699999999994</v>
      </c>
      <c r="I113" s="44"/>
      <c r="J113" s="34">
        <v>0</v>
      </c>
    </row>
    <row r="114" spans="1:10" ht="15.75" hidden="1" thickBot="1" x14ac:dyDescent="0.3">
      <c r="A114" s="249"/>
      <c r="B114" s="252"/>
      <c r="C114" s="40" t="s">
        <v>3754</v>
      </c>
      <c r="D114" s="40" t="s">
        <v>3752</v>
      </c>
      <c r="E114" s="41">
        <v>1.2</v>
      </c>
      <c r="F114" s="35">
        <v>20.814499999999999</v>
      </c>
      <c r="G114" s="38">
        <f t="shared" si="1"/>
        <v>24.977399999999999</v>
      </c>
      <c r="H114" s="39"/>
      <c r="I114" s="35"/>
      <c r="J114" s="34">
        <v>0</v>
      </c>
    </row>
    <row r="115" spans="1:10" ht="15.75" hidden="1" thickBot="1" x14ac:dyDescent="0.3">
      <c r="A115" s="250"/>
      <c r="B115" s="253"/>
      <c r="C115" s="40"/>
      <c r="D115" s="40"/>
      <c r="E115" s="41"/>
      <c r="F115" s="35" t="s">
        <v>23</v>
      </c>
      <c r="G115" s="35" t="str">
        <f t="shared" si="1"/>
        <v/>
      </c>
      <c r="H115" s="39"/>
      <c r="I115" s="35"/>
      <c r="J115" s="34">
        <v>0</v>
      </c>
    </row>
    <row r="116" spans="1:10" ht="15.75" hidden="1" thickBot="1" x14ac:dyDescent="0.3">
      <c r="A116" s="248" t="s">
        <v>47</v>
      </c>
      <c r="B116" s="251" t="s">
        <v>2056</v>
      </c>
      <c r="C116" s="28"/>
      <c r="D116" s="29" t="s">
        <v>78</v>
      </c>
      <c r="E116" s="30"/>
      <c r="F116" s="45" t="s">
        <v>23</v>
      </c>
      <c r="G116" s="31" t="str">
        <f t="shared" si="1"/>
        <v/>
      </c>
      <c r="H116" s="32"/>
      <c r="I116" s="33"/>
      <c r="J116" s="34">
        <v>0</v>
      </c>
    </row>
    <row r="117" spans="1:10" ht="15.75" hidden="1" thickBot="1" x14ac:dyDescent="0.3">
      <c r="A117" s="249"/>
      <c r="B117" s="252"/>
      <c r="C117" s="36"/>
      <c r="D117" s="36"/>
      <c r="E117" s="37"/>
      <c r="F117" s="46" t="s">
        <v>23</v>
      </c>
      <c r="G117" s="35" t="str">
        <f t="shared" si="1"/>
        <v/>
      </c>
      <c r="H117" s="39"/>
      <c r="I117" s="35"/>
      <c r="J117" s="34">
        <v>0</v>
      </c>
    </row>
    <row r="118" spans="1:10" ht="26.25" hidden="1" thickBot="1" x14ac:dyDescent="0.3">
      <c r="A118" s="249"/>
      <c r="B118" s="252"/>
      <c r="C118" s="40" t="s">
        <v>3800</v>
      </c>
      <c r="D118" s="40" t="s">
        <v>3752</v>
      </c>
      <c r="E118" s="41">
        <v>0.1186</v>
      </c>
      <c r="F118" s="35">
        <v>21.365499999999997</v>
      </c>
      <c r="G118" s="35">
        <f t="shared" si="1"/>
        <v>2.5339482999999996</v>
      </c>
      <c r="H118" s="43">
        <f>SUM(G118:G119)</f>
        <v>7.3816453499999994</v>
      </c>
      <c r="I118" s="44"/>
      <c r="J118" s="34">
        <v>0</v>
      </c>
    </row>
    <row r="119" spans="1:10" ht="15.75" hidden="1" thickBot="1" x14ac:dyDescent="0.3">
      <c r="A119" s="249"/>
      <c r="B119" s="252"/>
      <c r="C119" s="40" t="s">
        <v>3754</v>
      </c>
      <c r="D119" s="40" t="s">
        <v>3752</v>
      </c>
      <c r="E119" s="41">
        <v>0.2329</v>
      </c>
      <c r="F119" s="35">
        <v>20.814499999999999</v>
      </c>
      <c r="G119" s="35">
        <f t="shared" si="1"/>
        <v>4.8476970499999998</v>
      </c>
      <c r="H119" s="39"/>
      <c r="I119" s="35"/>
      <c r="J119" s="34">
        <v>0</v>
      </c>
    </row>
    <row r="120" spans="1:10" ht="15.75" hidden="1" thickBot="1" x14ac:dyDescent="0.3">
      <c r="A120" s="250"/>
      <c r="B120" s="253"/>
      <c r="C120" s="40"/>
      <c r="D120" s="40"/>
      <c r="E120" s="41"/>
      <c r="F120" s="35" t="s">
        <v>23</v>
      </c>
      <c r="G120" s="35" t="str">
        <f t="shared" si="1"/>
        <v/>
      </c>
      <c r="H120" s="39"/>
      <c r="I120" s="35"/>
      <c r="J120" s="34">
        <v>0</v>
      </c>
    </row>
    <row r="121" spans="1:10" ht="15.75" hidden="1" thickBot="1" x14ac:dyDescent="0.3">
      <c r="A121" s="248" t="s">
        <v>48</v>
      </c>
      <c r="B121" s="251" t="s">
        <v>2057</v>
      </c>
      <c r="C121" s="28"/>
      <c r="D121" s="29" t="s">
        <v>121</v>
      </c>
      <c r="E121" s="30"/>
      <c r="F121" s="45" t="s">
        <v>23</v>
      </c>
      <c r="G121" s="31" t="str">
        <f t="shared" si="1"/>
        <v/>
      </c>
      <c r="H121" s="32"/>
      <c r="I121" s="33"/>
      <c r="J121" s="34">
        <v>0</v>
      </c>
    </row>
    <row r="122" spans="1:10" ht="15.75" hidden="1" thickBot="1" x14ac:dyDescent="0.3">
      <c r="A122" s="249"/>
      <c r="B122" s="252"/>
      <c r="C122" s="36"/>
      <c r="D122" s="36"/>
      <c r="E122" s="37"/>
      <c r="F122" s="46" t="s">
        <v>23</v>
      </c>
      <c r="G122" s="35" t="str">
        <f t="shared" si="1"/>
        <v/>
      </c>
      <c r="H122" s="39"/>
      <c r="I122" s="35"/>
      <c r="J122" s="34">
        <v>0</v>
      </c>
    </row>
    <row r="123" spans="1:10" ht="26.25" hidden="1" thickBot="1" x14ac:dyDescent="0.3">
      <c r="A123" s="249"/>
      <c r="B123" s="252"/>
      <c r="C123" s="40" t="s">
        <v>4110</v>
      </c>
      <c r="D123" s="40" t="s">
        <v>3752</v>
      </c>
      <c r="E123" s="41">
        <v>0.17499999999999999</v>
      </c>
      <c r="F123" s="35">
        <v>27.341000000000001</v>
      </c>
      <c r="G123" s="38">
        <f t="shared" si="1"/>
        <v>4.784675</v>
      </c>
      <c r="H123" s="43">
        <f>SUM(G123:G124)</f>
        <v>11.029025000000001</v>
      </c>
      <c r="I123" s="44"/>
      <c r="J123" s="34">
        <v>0</v>
      </c>
    </row>
    <row r="124" spans="1:10" ht="15.75" hidden="1" thickBot="1" x14ac:dyDescent="0.3">
      <c r="A124" s="249"/>
      <c r="B124" s="252"/>
      <c r="C124" s="40" t="s">
        <v>3754</v>
      </c>
      <c r="D124" s="40" t="s">
        <v>3752</v>
      </c>
      <c r="E124" s="41">
        <v>0.3</v>
      </c>
      <c r="F124" s="35">
        <v>20.814499999999999</v>
      </c>
      <c r="G124" s="38">
        <f t="shared" si="1"/>
        <v>6.2443499999999998</v>
      </c>
      <c r="H124" s="39"/>
      <c r="I124" s="35"/>
      <c r="J124" s="34">
        <v>0</v>
      </c>
    </row>
    <row r="125" spans="1:10" ht="15.75" hidden="1" thickBot="1" x14ac:dyDescent="0.3">
      <c r="A125" s="250"/>
      <c r="B125" s="253"/>
      <c r="C125" s="40"/>
      <c r="D125" s="40"/>
      <c r="E125" s="41"/>
      <c r="F125" s="35" t="s">
        <v>23</v>
      </c>
      <c r="G125" s="35" t="str">
        <f t="shared" si="1"/>
        <v/>
      </c>
      <c r="H125" s="39"/>
      <c r="I125" s="35"/>
      <c r="J125" s="34">
        <v>0</v>
      </c>
    </row>
    <row r="126" spans="1:10" ht="15.75" hidden="1" thickBot="1" x14ac:dyDescent="0.3">
      <c r="A126" s="248" t="s">
        <v>49</v>
      </c>
      <c r="B126" s="251" t="s">
        <v>2058</v>
      </c>
      <c r="C126" s="28"/>
      <c r="D126" s="29" t="s">
        <v>78</v>
      </c>
      <c r="E126" s="30"/>
      <c r="F126" s="45" t="s">
        <v>23</v>
      </c>
      <c r="G126" s="31" t="str">
        <f t="shared" si="1"/>
        <v/>
      </c>
      <c r="H126" s="32"/>
      <c r="I126" s="33"/>
      <c r="J126" s="34">
        <v>0</v>
      </c>
    </row>
    <row r="127" spans="1:10" ht="15.75" hidden="1" thickBot="1" x14ac:dyDescent="0.3">
      <c r="A127" s="249"/>
      <c r="B127" s="252"/>
      <c r="C127" s="36"/>
      <c r="D127" s="36"/>
      <c r="E127" s="37"/>
      <c r="F127" s="46" t="s">
        <v>23</v>
      </c>
      <c r="G127" s="35" t="str">
        <f t="shared" si="1"/>
        <v/>
      </c>
      <c r="H127" s="39"/>
      <c r="I127" s="35"/>
      <c r="J127" s="34">
        <v>0</v>
      </c>
    </row>
    <row r="128" spans="1:10" ht="15.75" hidden="1" thickBot="1" x14ac:dyDescent="0.3">
      <c r="A128" s="249"/>
      <c r="B128" s="252"/>
      <c r="C128" s="40" t="s">
        <v>3757</v>
      </c>
      <c r="D128" s="40" t="s">
        <v>3752</v>
      </c>
      <c r="E128" s="41">
        <v>0.05</v>
      </c>
      <c r="F128" s="35">
        <v>28.0535</v>
      </c>
      <c r="G128" s="38">
        <f t="shared" si="1"/>
        <v>1.4026750000000001</v>
      </c>
      <c r="H128" s="43">
        <f>SUM(G128:G129)</f>
        <v>11.809925</v>
      </c>
      <c r="I128" s="44"/>
      <c r="J128" s="34">
        <v>0</v>
      </c>
    </row>
    <row r="129" spans="1:10" ht="15.75" hidden="1" thickBot="1" x14ac:dyDescent="0.3">
      <c r="A129" s="249"/>
      <c r="B129" s="252"/>
      <c r="C129" s="40" t="s">
        <v>3754</v>
      </c>
      <c r="D129" s="40" t="s">
        <v>3752</v>
      </c>
      <c r="E129" s="41">
        <v>0.5</v>
      </c>
      <c r="F129" s="35">
        <v>20.814499999999999</v>
      </c>
      <c r="G129" s="38">
        <f t="shared" si="1"/>
        <v>10.407249999999999</v>
      </c>
      <c r="H129" s="48"/>
      <c r="I129" s="49"/>
      <c r="J129" s="34">
        <v>0</v>
      </c>
    </row>
    <row r="130" spans="1:10" ht="15.75" hidden="1" thickBot="1" x14ac:dyDescent="0.3">
      <c r="A130" s="250"/>
      <c r="B130" s="253"/>
      <c r="C130" s="40"/>
      <c r="D130" s="40"/>
      <c r="E130" s="41"/>
      <c r="F130" s="35" t="s">
        <v>23</v>
      </c>
      <c r="G130" s="35" t="str">
        <f t="shared" si="1"/>
        <v/>
      </c>
      <c r="H130" s="39"/>
      <c r="I130" s="35"/>
      <c r="J130" s="34">
        <v>0</v>
      </c>
    </row>
    <row r="131" spans="1:10" ht="15.75" hidden="1" thickBot="1" x14ac:dyDescent="0.3">
      <c r="A131" s="248" t="s">
        <v>50</v>
      </c>
      <c r="B131" s="251" t="s">
        <v>2059</v>
      </c>
      <c r="C131" s="28"/>
      <c r="D131" s="29" t="s">
        <v>28</v>
      </c>
      <c r="E131" s="30"/>
      <c r="F131" s="45" t="s">
        <v>23</v>
      </c>
      <c r="G131" s="31" t="str">
        <f t="shared" si="1"/>
        <v/>
      </c>
      <c r="H131" s="32"/>
      <c r="I131" s="33"/>
      <c r="J131" s="34">
        <v>0</v>
      </c>
    </row>
    <row r="132" spans="1:10" ht="15.75" hidden="1" thickBot="1" x14ac:dyDescent="0.3">
      <c r="A132" s="249"/>
      <c r="B132" s="252"/>
      <c r="C132" s="36"/>
      <c r="D132" s="36"/>
      <c r="E132" s="37"/>
      <c r="F132" s="46" t="s">
        <v>23</v>
      </c>
      <c r="G132" s="35" t="str">
        <f t="shared" si="1"/>
        <v/>
      </c>
      <c r="H132" s="39"/>
      <c r="I132" s="35"/>
      <c r="J132" s="34">
        <v>0</v>
      </c>
    </row>
    <row r="133" spans="1:10" ht="15.75" hidden="1" thickBot="1" x14ac:dyDescent="0.3">
      <c r="A133" s="249"/>
      <c r="B133" s="252"/>
      <c r="C133" s="40" t="s">
        <v>3760</v>
      </c>
      <c r="D133" s="40" t="s">
        <v>3752</v>
      </c>
      <c r="E133" s="41">
        <v>0.3</v>
      </c>
      <c r="F133" s="35">
        <v>28.385999999999999</v>
      </c>
      <c r="G133" s="35">
        <f t="shared" si="1"/>
        <v>8.5157999999999987</v>
      </c>
      <c r="H133" s="43">
        <f>SUM(G133:G133)</f>
        <v>8.5157999999999987</v>
      </c>
      <c r="I133" s="44"/>
      <c r="J133" s="34">
        <v>0</v>
      </c>
    </row>
    <row r="134" spans="1:10" ht="15.75" hidden="1" thickBot="1" x14ac:dyDescent="0.3">
      <c r="A134" s="250"/>
      <c r="B134" s="253"/>
      <c r="C134" s="40"/>
      <c r="D134" s="40"/>
      <c r="E134" s="41"/>
      <c r="F134" s="35" t="s">
        <v>23</v>
      </c>
      <c r="G134" s="35" t="str">
        <f t="shared" ref="G134:G197" si="2">IF(ISNUMBER(F134),E134*F134,"")</f>
        <v/>
      </c>
      <c r="H134" s="39"/>
      <c r="I134" s="35"/>
      <c r="J134" s="34">
        <v>0</v>
      </c>
    </row>
    <row r="135" spans="1:10" ht="15.75" hidden="1" thickBot="1" x14ac:dyDescent="0.3">
      <c r="A135" s="248" t="s">
        <v>51</v>
      </c>
      <c r="B135" s="251" t="s">
        <v>2060</v>
      </c>
      <c r="C135" s="28"/>
      <c r="D135" s="29" t="s">
        <v>28</v>
      </c>
      <c r="E135" s="30"/>
      <c r="F135" s="45" t="s">
        <v>23</v>
      </c>
      <c r="G135" s="31" t="str">
        <f t="shared" si="2"/>
        <v/>
      </c>
      <c r="H135" s="32"/>
      <c r="I135" s="33"/>
      <c r="J135" s="34">
        <v>0</v>
      </c>
    </row>
    <row r="136" spans="1:10" ht="15.75" hidden="1" thickBot="1" x14ac:dyDescent="0.3">
      <c r="A136" s="249"/>
      <c r="B136" s="252"/>
      <c r="C136" s="36"/>
      <c r="D136" s="36"/>
      <c r="E136" s="37"/>
      <c r="F136" s="46" t="s">
        <v>23</v>
      </c>
      <c r="G136" s="35" t="str">
        <f t="shared" si="2"/>
        <v/>
      </c>
      <c r="H136" s="39"/>
      <c r="I136" s="35"/>
      <c r="J136" s="34">
        <v>0</v>
      </c>
    </row>
    <row r="137" spans="1:10" ht="15.75" hidden="1" thickBot="1" x14ac:dyDescent="0.3">
      <c r="A137" s="249"/>
      <c r="B137" s="252"/>
      <c r="C137" s="40" t="s">
        <v>3766</v>
      </c>
      <c r="D137" s="40" t="s">
        <v>3752</v>
      </c>
      <c r="E137" s="41">
        <f>0.25</f>
        <v>0.25</v>
      </c>
      <c r="F137" s="35">
        <v>26.552499999999998</v>
      </c>
      <c r="G137" s="38">
        <f t="shared" si="2"/>
        <v>6.6381249999999996</v>
      </c>
      <c r="H137" s="43">
        <f>SUM(G137:G137)</f>
        <v>6.6381249999999996</v>
      </c>
      <c r="I137" s="44"/>
      <c r="J137" s="34">
        <v>0</v>
      </c>
    </row>
    <row r="138" spans="1:10" ht="15.75" hidden="1" thickBot="1" x14ac:dyDescent="0.3">
      <c r="A138" s="249"/>
      <c r="B138" s="252"/>
      <c r="C138" s="40"/>
      <c r="D138" s="40"/>
      <c r="E138" s="41"/>
      <c r="F138" s="35" t="s">
        <v>23</v>
      </c>
      <c r="G138" s="35" t="str">
        <f t="shared" si="2"/>
        <v/>
      </c>
      <c r="H138" s="39"/>
      <c r="I138" s="35"/>
      <c r="J138" s="34">
        <v>0</v>
      </c>
    </row>
    <row r="139" spans="1:10" ht="15.75" hidden="1" thickBot="1" x14ac:dyDescent="0.3">
      <c r="A139" s="248" t="s">
        <v>52</v>
      </c>
      <c r="B139" s="251" t="s">
        <v>2061</v>
      </c>
      <c r="C139" s="28"/>
      <c r="D139" s="29" t="s">
        <v>28</v>
      </c>
      <c r="E139" s="30"/>
      <c r="F139" s="45" t="s">
        <v>23</v>
      </c>
      <c r="G139" s="31" t="str">
        <f t="shared" si="2"/>
        <v/>
      </c>
      <c r="H139" s="32"/>
      <c r="I139" s="33"/>
      <c r="J139" s="34">
        <v>0</v>
      </c>
    </row>
    <row r="140" spans="1:10" ht="15.75" hidden="1" thickBot="1" x14ac:dyDescent="0.3">
      <c r="A140" s="249"/>
      <c r="B140" s="252"/>
      <c r="C140" s="36"/>
      <c r="D140" s="36"/>
      <c r="E140" s="37"/>
      <c r="F140" s="46" t="s">
        <v>23</v>
      </c>
      <c r="G140" s="35" t="str">
        <f t="shared" si="2"/>
        <v/>
      </c>
      <c r="H140" s="39"/>
      <c r="I140" s="35"/>
      <c r="J140" s="34">
        <v>0</v>
      </c>
    </row>
    <row r="141" spans="1:10" ht="15.75" hidden="1" thickBot="1" x14ac:dyDescent="0.3">
      <c r="A141" s="249"/>
      <c r="B141" s="252"/>
      <c r="C141" s="40" t="s">
        <v>3757</v>
      </c>
      <c r="D141" s="40" t="s">
        <v>3752</v>
      </c>
      <c r="E141" s="41">
        <v>0.13150000000000001</v>
      </c>
      <c r="F141" s="35">
        <v>28.0535</v>
      </c>
      <c r="G141" s="38">
        <f t="shared" si="2"/>
        <v>3.6890352500000003</v>
      </c>
      <c r="H141" s="43">
        <f>SUM(G141:G142)</f>
        <v>9.0633391499999991</v>
      </c>
      <c r="I141" s="44"/>
      <c r="J141" s="34">
        <v>0</v>
      </c>
    </row>
    <row r="142" spans="1:10" ht="15.75" hidden="1" thickBot="1" x14ac:dyDescent="0.3">
      <c r="A142" s="249"/>
      <c r="B142" s="252"/>
      <c r="C142" s="40" t="s">
        <v>3754</v>
      </c>
      <c r="D142" s="40" t="s">
        <v>3752</v>
      </c>
      <c r="E142" s="41">
        <v>0.25819999999999999</v>
      </c>
      <c r="F142" s="35">
        <v>20.814499999999999</v>
      </c>
      <c r="G142" s="38">
        <f t="shared" si="2"/>
        <v>5.3743038999999992</v>
      </c>
      <c r="H142" s="48"/>
      <c r="I142" s="49"/>
      <c r="J142" s="34">
        <v>0</v>
      </c>
    </row>
    <row r="143" spans="1:10" ht="15.75" hidden="1" thickBot="1" x14ac:dyDescent="0.3">
      <c r="A143" s="250"/>
      <c r="B143" s="253"/>
      <c r="C143" s="40"/>
      <c r="D143" s="40"/>
      <c r="E143" s="41"/>
      <c r="F143" s="35" t="s">
        <v>23</v>
      </c>
      <c r="G143" s="35" t="str">
        <f t="shared" si="2"/>
        <v/>
      </c>
      <c r="H143" s="39"/>
      <c r="I143" s="35"/>
      <c r="J143" s="34">
        <v>0</v>
      </c>
    </row>
    <row r="144" spans="1:10" ht="15.75" thickBot="1" x14ac:dyDescent="0.3">
      <c r="A144" s="248" t="s">
        <v>53</v>
      </c>
      <c r="B144" s="251" t="s">
        <v>2062</v>
      </c>
      <c r="C144" s="28"/>
      <c r="D144" s="29" t="s">
        <v>78</v>
      </c>
      <c r="E144" s="30"/>
      <c r="F144" s="45" t="s">
        <v>23</v>
      </c>
      <c r="G144" s="31" t="str">
        <f t="shared" si="2"/>
        <v/>
      </c>
      <c r="H144" s="32"/>
      <c r="I144" s="33"/>
      <c r="J144" s="34">
        <v>16740</v>
      </c>
    </row>
    <row r="145" spans="1:10" x14ac:dyDescent="0.25">
      <c r="A145" s="249"/>
      <c r="B145" s="252"/>
      <c r="C145" s="36"/>
      <c r="D145" s="36"/>
      <c r="E145" s="37"/>
      <c r="F145" s="46" t="s">
        <v>23</v>
      </c>
      <c r="G145" s="35" t="str">
        <f t="shared" si="2"/>
        <v/>
      </c>
      <c r="H145" s="39"/>
      <c r="I145" s="35"/>
      <c r="J145" s="34">
        <v>16740</v>
      </c>
    </row>
    <row r="146" spans="1:10" x14ac:dyDescent="0.25">
      <c r="A146" s="249"/>
      <c r="B146" s="252"/>
      <c r="C146" s="40" t="s">
        <v>3757</v>
      </c>
      <c r="D146" s="40" t="s">
        <v>3752</v>
      </c>
      <c r="E146" s="41">
        <v>0.09</v>
      </c>
      <c r="F146" s="35">
        <v>28.0535</v>
      </c>
      <c r="G146" s="38">
        <f t="shared" si="2"/>
        <v>2.5248149999999998</v>
      </c>
      <c r="H146" s="43">
        <f>SUM(G146:G147)</f>
        <v>21.257864999999999</v>
      </c>
      <c r="I146" s="44"/>
      <c r="J146" s="34">
        <v>16740</v>
      </c>
    </row>
    <row r="147" spans="1:10" x14ac:dyDescent="0.25">
      <c r="A147" s="249"/>
      <c r="B147" s="252"/>
      <c r="C147" s="40" t="s">
        <v>3754</v>
      </c>
      <c r="D147" s="40" t="s">
        <v>3752</v>
      </c>
      <c r="E147" s="41">
        <v>0.9</v>
      </c>
      <c r="F147" s="35">
        <v>20.814499999999999</v>
      </c>
      <c r="G147" s="38">
        <f t="shared" si="2"/>
        <v>18.733049999999999</v>
      </c>
      <c r="H147" s="39"/>
      <c r="I147" s="35"/>
      <c r="J147" s="34">
        <v>16740</v>
      </c>
    </row>
    <row r="148" spans="1:10" ht="15.75" thickBot="1" x14ac:dyDescent="0.3">
      <c r="A148" s="250"/>
      <c r="B148" s="253"/>
      <c r="C148" s="40"/>
      <c r="D148" s="40"/>
      <c r="E148" s="41"/>
      <c r="F148" s="35" t="s">
        <v>23</v>
      </c>
      <c r="G148" s="35" t="str">
        <f t="shared" si="2"/>
        <v/>
      </c>
      <c r="H148" s="39"/>
      <c r="I148" s="35"/>
      <c r="J148" s="34">
        <v>16740</v>
      </c>
    </row>
    <row r="149" spans="1:10" ht="15.75" hidden="1" thickBot="1" x14ac:dyDescent="0.3">
      <c r="A149" s="248" t="s">
        <v>54</v>
      </c>
      <c r="B149" s="251" t="s">
        <v>2063</v>
      </c>
      <c r="C149" s="28"/>
      <c r="D149" s="29" t="s">
        <v>28</v>
      </c>
      <c r="E149" s="30"/>
      <c r="F149" s="45" t="s">
        <v>23</v>
      </c>
      <c r="G149" s="31" t="str">
        <f t="shared" si="2"/>
        <v/>
      </c>
      <c r="H149" s="32"/>
      <c r="I149" s="33"/>
      <c r="J149" s="34">
        <v>0</v>
      </c>
    </row>
    <row r="150" spans="1:10" ht="15.75" hidden="1" thickBot="1" x14ac:dyDescent="0.3">
      <c r="A150" s="249"/>
      <c r="B150" s="252"/>
      <c r="C150" s="36"/>
      <c r="D150" s="36"/>
      <c r="E150" s="37"/>
      <c r="F150" s="46" t="s">
        <v>23</v>
      </c>
      <c r="G150" s="35" t="str">
        <f t="shared" si="2"/>
        <v/>
      </c>
      <c r="H150" s="39"/>
      <c r="I150" s="35"/>
      <c r="J150" s="34">
        <v>0</v>
      </c>
    </row>
    <row r="151" spans="1:10" ht="26.25" hidden="1" thickBot="1" x14ac:dyDescent="0.3">
      <c r="A151" s="249"/>
      <c r="B151" s="252"/>
      <c r="C151" s="40" t="s">
        <v>4110</v>
      </c>
      <c r="D151" s="40" t="s">
        <v>3752</v>
      </c>
      <c r="E151" s="41">
        <v>0.17549999999999999</v>
      </c>
      <c r="F151" s="35">
        <v>27.341000000000001</v>
      </c>
      <c r="G151" s="38">
        <f t="shared" si="2"/>
        <v>4.7983454999999999</v>
      </c>
      <c r="H151" s="43">
        <f>SUM(G151:G152)</f>
        <v>11.975185099999999</v>
      </c>
      <c r="I151" s="44"/>
      <c r="J151" s="34">
        <v>0</v>
      </c>
    </row>
    <row r="152" spans="1:10" ht="15.75" hidden="1" thickBot="1" x14ac:dyDescent="0.3">
      <c r="A152" s="249"/>
      <c r="B152" s="252"/>
      <c r="C152" s="40" t="s">
        <v>3754</v>
      </c>
      <c r="D152" s="40" t="s">
        <v>3752</v>
      </c>
      <c r="E152" s="41">
        <v>0.3448</v>
      </c>
      <c r="F152" s="35">
        <v>20.814499999999999</v>
      </c>
      <c r="G152" s="38">
        <f t="shared" si="2"/>
        <v>7.1768395999999992</v>
      </c>
      <c r="H152" s="47"/>
      <c r="I152" s="44"/>
      <c r="J152" s="34">
        <v>0</v>
      </c>
    </row>
    <row r="153" spans="1:10" ht="15.75" hidden="1" thickBot="1" x14ac:dyDescent="0.3">
      <c r="A153" s="250"/>
      <c r="B153" s="253"/>
      <c r="C153" s="40"/>
      <c r="D153" s="40"/>
      <c r="E153" s="41"/>
      <c r="F153" s="35" t="s">
        <v>23</v>
      </c>
      <c r="G153" s="35" t="str">
        <f t="shared" si="2"/>
        <v/>
      </c>
      <c r="H153" s="39"/>
      <c r="I153" s="35"/>
      <c r="J153" s="34">
        <v>0</v>
      </c>
    </row>
    <row r="154" spans="1:10" ht="15.75" hidden="1" thickBot="1" x14ac:dyDescent="0.3">
      <c r="A154" s="248" t="s">
        <v>55</v>
      </c>
      <c r="B154" s="251" t="s">
        <v>2064</v>
      </c>
      <c r="C154" s="28"/>
      <c r="D154" s="29" t="s">
        <v>28</v>
      </c>
      <c r="E154" s="30"/>
      <c r="F154" s="45" t="s">
        <v>23</v>
      </c>
      <c r="G154" s="31" t="str">
        <f t="shared" si="2"/>
        <v/>
      </c>
      <c r="H154" s="32"/>
      <c r="I154" s="33"/>
      <c r="J154" s="34">
        <v>0</v>
      </c>
    </row>
    <row r="155" spans="1:10" ht="15.75" hidden="1" thickBot="1" x14ac:dyDescent="0.3">
      <c r="A155" s="262"/>
      <c r="B155" s="252"/>
      <c r="C155" s="36"/>
      <c r="D155" s="36"/>
      <c r="E155" s="37"/>
      <c r="F155" s="46" t="s">
        <v>23</v>
      </c>
      <c r="G155" s="35" t="str">
        <f t="shared" si="2"/>
        <v/>
      </c>
      <c r="H155" s="39"/>
      <c r="I155" s="35"/>
      <c r="J155" s="34">
        <v>0</v>
      </c>
    </row>
    <row r="156" spans="1:10" ht="15.75" hidden="1" thickBot="1" x14ac:dyDescent="0.3">
      <c r="A156" s="262"/>
      <c r="B156" s="252"/>
      <c r="C156" s="40" t="s">
        <v>3760</v>
      </c>
      <c r="D156" s="40" t="s">
        <v>3752</v>
      </c>
      <c r="E156" s="41">
        <f>0.0183*5</f>
        <v>9.1499999999999998E-2</v>
      </c>
      <c r="F156" s="35">
        <v>28.385999999999999</v>
      </c>
      <c r="G156" s="38">
        <f t="shared" si="2"/>
        <v>2.5973189999999997</v>
      </c>
      <c r="H156" s="43">
        <f>SUM(G156:G157)</f>
        <v>6.3335217499999992</v>
      </c>
      <c r="I156" s="44"/>
      <c r="J156" s="34">
        <v>0</v>
      </c>
    </row>
    <row r="157" spans="1:10" ht="15.75" hidden="1" thickBot="1" x14ac:dyDescent="0.3">
      <c r="A157" s="262"/>
      <c r="B157" s="252"/>
      <c r="C157" s="40" t="s">
        <v>3754</v>
      </c>
      <c r="D157" s="40" t="s">
        <v>3752</v>
      </c>
      <c r="E157" s="41">
        <f>0.0359*5</f>
        <v>0.17949999999999999</v>
      </c>
      <c r="F157" s="35">
        <v>20.814499999999999</v>
      </c>
      <c r="G157" s="38">
        <f t="shared" si="2"/>
        <v>3.7362027499999995</v>
      </c>
      <c r="H157" s="48"/>
      <c r="I157" s="49"/>
      <c r="J157" s="34">
        <v>0</v>
      </c>
    </row>
    <row r="158" spans="1:10" ht="15.75" hidden="1" thickBot="1" x14ac:dyDescent="0.3">
      <c r="A158" s="262"/>
      <c r="B158" s="252"/>
      <c r="C158" s="40"/>
      <c r="D158" s="40"/>
      <c r="E158" s="41"/>
      <c r="F158" s="35" t="s">
        <v>23</v>
      </c>
      <c r="G158" s="35" t="str">
        <f t="shared" si="2"/>
        <v/>
      </c>
      <c r="H158" s="39"/>
      <c r="I158" s="35"/>
      <c r="J158" s="34">
        <v>0</v>
      </c>
    </row>
    <row r="159" spans="1:10" ht="15.75" hidden="1" thickBot="1" x14ac:dyDescent="0.3">
      <c r="A159" s="262"/>
      <c r="B159" s="252"/>
      <c r="C159" s="50" t="s">
        <v>56</v>
      </c>
      <c r="D159" s="40"/>
      <c r="E159" s="41"/>
      <c r="F159" s="35" t="s">
        <v>23</v>
      </c>
      <c r="G159" s="35" t="str">
        <f t="shared" si="2"/>
        <v/>
      </c>
      <c r="H159" s="39"/>
      <c r="I159" s="35"/>
      <c r="J159" s="34">
        <v>0</v>
      </c>
    </row>
    <row r="160" spans="1:10" ht="15.75" hidden="1" thickBot="1" x14ac:dyDescent="0.3">
      <c r="A160" s="263"/>
      <c r="B160" s="253"/>
      <c r="C160" s="40"/>
      <c r="D160" s="40"/>
      <c r="E160" s="41"/>
      <c r="F160" s="35" t="s">
        <v>23</v>
      </c>
      <c r="G160" s="35" t="str">
        <f t="shared" si="2"/>
        <v/>
      </c>
      <c r="H160" s="39"/>
      <c r="I160" s="35"/>
      <c r="J160" s="34">
        <v>0</v>
      </c>
    </row>
    <row r="161" spans="1:10" ht="15.75" hidden="1" thickBot="1" x14ac:dyDescent="0.3">
      <c r="A161" s="248" t="s">
        <v>57</v>
      </c>
      <c r="B161" s="251" t="s">
        <v>2065</v>
      </c>
      <c r="C161" s="28"/>
      <c r="D161" s="29" t="s">
        <v>28</v>
      </c>
      <c r="E161" s="30"/>
      <c r="F161" s="45" t="s">
        <v>23</v>
      </c>
      <c r="G161" s="31" t="str">
        <f t="shared" si="2"/>
        <v/>
      </c>
      <c r="H161" s="32"/>
      <c r="I161" s="33"/>
      <c r="J161" s="34">
        <v>0</v>
      </c>
    </row>
    <row r="162" spans="1:10" ht="15.75" hidden="1" thickBot="1" x14ac:dyDescent="0.3">
      <c r="A162" s="249"/>
      <c r="B162" s="252"/>
      <c r="C162" s="36"/>
      <c r="D162" s="36"/>
      <c r="E162" s="37"/>
      <c r="F162" s="46" t="s">
        <v>23</v>
      </c>
      <c r="G162" s="35" t="str">
        <f t="shared" si="2"/>
        <v/>
      </c>
      <c r="H162" s="39"/>
      <c r="I162" s="35"/>
      <c r="J162" s="34">
        <v>0</v>
      </c>
    </row>
    <row r="163" spans="1:10" ht="26.25" hidden="1" thickBot="1" x14ac:dyDescent="0.3">
      <c r="A163" s="249"/>
      <c r="B163" s="252"/>
      <c r="C163" s="40" t="s">
        <v>4110</v>
      </c>
      <c r="D163" s="40" t="s">
        <v>3752</v>
      </c>
      <c r="E163" s="41">
        <v>0.128</v>
      </c>
      <c r="F163" s="35">
        <v>27.341000000000001</v>
      </c>
      <c r="G163" s="38">
        <f t="shared" si="2"/>
        <v>3.4996480000000001</v>
      </c>
      <c r="H163" s="43">
        <f>SUM(G163:G164)</f>
        <v>8.7324132999999993</v>
      </c>
      <c r="I163" s="44"/>
      <c r="J163" s="34">
        <v>0</v>
      </c>
    </row>
    <row r="164" spans="1:10" ht="15.75" hidden="1" thickBot="1" x14ac:dyDescent="0.3">
      <c r="A164" s="249"/>
      <c r="B164" s="252"/>
      <c r="C164" s="40" t="s">
        <v>3754</v>
      </c>
      <c r="D164" s="40" t="s">
        <v>3752</v>
      </c>
      <c r="E164" s="41">
        <v>0.25140000000000001</v>
      </c>
      <c r="F164" s="35">
        <v>20.814499999999999</v>
      </c>
      <c r="G164" s="38">
        <f t="shared" si="2"/>
        <v>5.2327652999999996</v>
      </c>
      <c r="H164" s="47"/>
      <c r="I164" s="44"/>
      <c r="J164" s="34">
        <v>0</v>
      </c>
    </row>
    <row r="165" spans="1:10" ht="15.75" hidden="1" thickBot="1" x14ac:dyDescent="0.3">
      <c r="A165" s="250"/>
      <c r="B165" s="253"/>
      <c r="C165" s="40"/>
      <c r="D165" s="40"/>
      <c r="E165" s="41"/>
      <c r="F165" s="35" t="s">
        <v>23</v>
      </c>
      <c r="G165" s="35" t="str">
        <f t="shared" si="2"/>
        <v/>
      </c>
      <c r="H165" s="39"/>
      <c r="I165" s="35"/>
      <c r="J165" s="34">
        <v>0</v>
      </c>
    </row>
    <row r="166" spans="1:10" ht="15.75" thickBot="1" x14ac:dyDescent="0.3">
      <c r="A166" s="248" t="s">
        <v>58</v>
      </c>
      <c r="B166" s="251" t="s">
        <v>2066</v>
      </c>
      <c r="C166" s="28"/>
      <c r="D166" s="29" t="s">
        <v>78</v>
      </c>
      <c r="E166" s="30"/>
      <c r="F166" s="45" t="s">
        <v>23</v>
      </c>
      <c r="G166" s="31" t="str">
        <f t="shared" si="2"/>
        <v/>
      </c>
      <c r="H166" s="32"/>
      <c r="I166" s="33"/>
      <c r="J166" s="34">
        <v>12000</v>
      </c>
    </row>
    <row r="167" spans="1:10" x14ac:dyDescent="0.25">
      <c r="A167" s="249"/>
      <c r="B167" s="252"/>
      <c r="C167" s="36"/>
      <c r="D167" s="36"/>
      <c r="E167" s="37"/>
      <c r="F167" s="46" t="s">
        <v>23</v>
      </c>
      <c r="G167" s="35" t="str">
        <f t="shared" si="2"/>
        <v/>
      </c>
      <c r="H167" s="39"/>
      <c r="I167" s="35"/>
      <c r="J167" s="34">
        <v>12000</v>
      </c>
    </row>
    <row r="168" spans="1:10" x14ac:dyDescent="0.25">
      <c r="A168" s="249"/>
      <c r="B168" s="252"/>
      <c r="C168" s="40" t="s">
        <v>3754</v>
      </c>
      <c r="D168" s="40" t="s">
        <v>3752</v>
      </c>
      <c r="E168" s="41">
        <v>0.33800000000000002</v>
      </c>
      <c r="F168" s="35">
        <v>20.814499999999999</v>
      </c>
      <c r="G168" s="38">
        <f t="shared" si="2"/>
        <v>7.0353010000000005</v>
      </c>
      <c r="H168" s="43">
        <f>SUM(G168:G169)</f>
        <v>16.040844999999997</v>
      </c>
      <c r="I168" s="44"/>
      <c r="J168" s="34">
        <v>12000</v>
      </c>
    </row>
    <row r="169" spans="1:10" x14ac:dyDescent="0.25">
      <c r="A169" s="249"/>
      <c r="B169" s="252"/>
      <c r="C169" s="40" t="s">
        <v>3767</v>
      </c>
      <c r="D169" s="40" t="s">
        <v>3752</v>
      </c>
      <c r="E169" s="41">
        <v>0.34799999999999998</v>
      </c>
      <c r="F169" s="35">
        <v>25.877999999999997</v>
      </c>
      <c r="G169" s="38">
        <f t="shared" si="2"/>
        <v>9.0055439999999987</v>
      </c>
      <c r="H169" s="39"/>
      <c r="I169" s="35"/>
      <c r="J169" s="34">
        <v>12000</v>
      </c>
    </row>
    <row r="170" spans="1:10" ht="15.75" thickBot="1" x14ac:dyDescent="0.3">
      <c r="A170" s="250"/>
      <c r="B170" s="253"/>
      <c r="C170" s="40"/>
      <c r="D170" s="40"/>
      <c r="E170" s="41"/>
      <c r="F170" s="35" t="s">
        <v>23</v>
      </c>
      <c r="G170" s="35" t="str">
        <f t="shared" si="2"/>
        <v/>
      </c>
      <c r="H170" s="39"/>
      <c r="I170" s="35"/>
      <c r="J170" s="34">
        <v>12000</v>
      </c>
    </row>
    <row r="171" spans="1:10" ht="15.75" thickBot="1" x14ac:dyDescent="0.3">
      <c r="A171" s="248" t="s">
        <v>59</v>
      </c>
      <c r="B171" s="251" t="s">
        <v>2067</v>
      </c>
      <c r="C171" s="28"/>
      <c r="D171" s="29" t="s">
        <v>78</v>
      </c>
      <c r="E171" s="30"/>
      <c r="F171" s="45" t="s">
        <v>23</v>
      </c>
      <c r="G171" s="31" t="str">
        <f t="shared" si="2"/>
        <v/>
      </c>
      <c r="H171" s="32"/>
      <c r="I171" s="33"/>
      <c r="J171" s="34">
        <v>6700</v>
      </c>
    </row>
    <row r="172" spans="1:10" x14ac:dyDescent="0.25">
      <c r="A172" s="249"/>
      <c r="B172" s="252"/>
      <c r="C172" s="36"/>
      <c r="D172" s="36"/>
      <c r="E172" s="37"/>
      <c r="F172" s="46" t="s">
        <v>23</v>
      </c>
      <c r="G172" s="35" t="str">
        <f t="shared" si="2"/>
        <v/>
      </c>
      <c r="H172" s="39"/>
      <c r="I172" s="35"/>
      <c r="J172" s="34">
        <v>6700</v>
      </c>
    </row>
    <row r="173" spans="1:10" x14ac:dyDescent="0.25">
      <c r="A173" s="249"/>
      <c r="B173" s="252"/>
      <c r="C173" s="40" t="s">
        <v>3767</v>
      </c>
      <c r="D173" s="40" t="s">
        <v>3752</v>
      </c>
      <c r="E173" s="41">
        <v>0.4</v>
      </c>
      <c r="F173" s="35">
        <v>25.877999999999997</v>
      </c>
      <c r="G173" s="38">
        <f t="shared" si="2"/>
        <v>10.351199999999999</v>
      </c>
      <c r="H173" s="43">
        <f>SUM(G173:G173)</f>
        <v>10.351199999999999</v>
      </c>
      <c r="I173" s="44"/>
      <c r="J173" s="34">
        <v>6700</v>
      </c>
    </row>
    <row r="174" spans="1:10" ht="15.75" thickBot="1" x14ac:dyDescent="0.3">
      <c r="A174" s="250"/>
      <c r="B174" s="253"/>
      <c r="C174" s="40"/>
      <c r="D174" s="40"/>
      <c r="E174" s="41"/>
      <c r="F174" s="35" t="s">
        <v>23</v>
      </c>
      <c r="G174" s="35" t="str">
        <f t="shared" si="2"/>
        <v/>
      </c>
      <c r="H174" s="39"/>
      <c r="I174" s="35"/>
      <c r="J174" s="34">
        <v>6700</v>
      </c>
    </row>
    <row r="175" spans="1:10" ht="15.75" hidden="1" thickBot="1" x14ac:dyDescent="0.3">
      <c r="A175" s="248" t="s">
        <v>60</v>
      </c>
      <c r="B175" s="251" t="s">
        <v>2068</v>
      </c>
      <c r="C175" s="28"/>
      <c r="D175" s="29" t="s">
        <v>121</v>
      </c>
      <c r="E175" s="30"/>
      <c r="F175" s="45" t="s">
        <v>23</v>
      </c>
      <c r="G175" s="31" t="str">
        <f t="shared" si="2"/>
        <v/>
      </c>
      <c r="H175" s="32"/>
      <c r="I175" s="33"/>
      <c r="J175" s="34">
        <v>0</v>
      </c>
    </row>
    <row r="176" spans="1:10" ht="15.75" hidden="1" thickBot="1" x14ac:dyDescent="0.3">
      <c r="A176" s="249"/>
      <c r="B176" s="252"/>
      <c r="C176" s="36"/>
      <c r="D176" s="36"/>
      <c r="E176" s="37"/>
      <c r="F176" s="46" t="s">
        <v>23</v>
      </c>
      <c r="G176" s="35" t="str">
        <f t="shared" si="2"/>
        <v/>
      </c>
      <c r="H176" s="39"/>
      <c r="I176" s="35"/>
      <c r="J176" s="34">
        <v>0</v>
      </c>
    </row>
    <row r="177" spans="1:10" ht="15.75" hidden="1" thickBot="1" x14ac:dyDescent="0.3">
      <c r="A177" s="249"/>
      <c r="B177" s="252"/>
      <c r="C177" s="40" t="s">
        <v>3787</v>
      </c>
      <c r="D177" s="40" t="s">
        <v>3752</v>
      </c>
      <c r="E177" s="41">
        <f>ROUND(1/6,4)</f>
        <v>0.16669999999999999</v>
      </c>
      <c r="F177" s="35">
        <v>21.963999999999999</v>
      </c>
      <c r="G177" s="38">
        <f t="shared" si="2"/>
        <v>3.6613987999999993</v>
      </c>
      <c r="H177" s="43">
        <f>SUM(G177:G177)</f>
        <v>3.6613987999999993</v>
      </c>
      <c r="I177" s="44"/>
      <c r="J177" s="34">
        <v>0</v>
      </c>
    </row>
    <row r="178" spans="1:10" ht="15.75" hidden="1" thickBot="1" x14ac:dyDescent="0.3">
      <c r="A178" s="250"/>
      <c r="B178" s="253"/>
      <c r="C178" s="40"/>
      <c r="D178" s="40"/>
      <c r="E178" s="41"/>
      <c r="F178" s="35" t="s">
        <v>23</v>
      </c>
      <c r="G178" s="35" t="str">
        <f t="shared" si="2"/>
        <v/>
      </c>
      <c r="H178" s="39"/>
      <c r="I178" s="35"/>
      <c r="J178" s="34">
        <v>0</v>
      </c>
    </row>
    <row r="179" spans="1:10" ht="15.75" thickBot="1" x14ac:dyDescent="0.3">
      <c r="A179" s="248" t="s">
        <v>61</v>
      </c>
      <c r="B179" s="251" t="s">
        <v>2069</v>
      </c>
      <c r="C179" s="28"/>
      <c r="D179" s="29" t="s">
        <v>78</v>
      </c>
      <c r="E179" s="30"/>
      <c r="F179" s="45" t="s">
        <v>23</v>
      </c>
      <c r="G179" s="31" t="str">
        <f t="shared" si="2"/>
        <v/>
      </c>
      <c r="H179" s="32"/>
      <c r="I179" s="33"/>
      <c r="J179" s="34">
        <v>85980</v>
      </c>
    </row>
    <row r="180" spans="1:10" x14ac:dyDescent="0.25">
      <c r="A180" s="249"/>
      <c r="B180" s="252"/>
      <c r="C180" s="36"/>
      <c r="D180" s="36"/>
      <c r="E180" s="37"/>
      <c r="F180" s="46" t="s">
        <v>23</v>
      </c>
      <c r="G180" s="35" t="str">
        <f t="shared" si="2"/>
        <v/>
      </c>
      <c r="H180" s="39"/>
      <c r="I180" s="35"/>
      <c r="J180" s="34">
        <v>85980</v>
      </c>
    </row>
    <row r="181" spans="1:10" x14ac:dyDescent="0.25">
      <c r="A181" s="249"/>
      <c r="B181" s="252"/>
      <c r="C181" s="40" t="s">
        <v>3754</v>
      </c>
      <c r="D181" s="40" t="s">
        <v>3752</v>
      </c>
      <c r="E181" s="41">
        <v>0.4</v>
      </c>
      <c r="F181" s="35">
        <v>20.814499999999999</v>
      </c>
      <c r="G181" s="38">
        <f t="shared" si="2"/>
        <v>8.3257999999999992</v>
      </c>
      <c r="H181" s="43">
        <f>SUM(G181:G181)</f>
        <v>8.3257999999999992</v>
      </c>
      <c r="I181" s="44"/>
      <c r="J181" s="34">
        <v>85980</v>
      </c>
    </row>
    <row r="182" spans="1:10" ht="15.75" thickBot="1" x14ac:dyDescent="0.3">
      <c r="A182" s="250"/>
      <c r="B182" s="253"/>
      <c r="C182" s="40"/>
      <c r="D182" s="40"/>
      <c r="E182" s="41"/>
      <c r="F182" s="35" t="s">
        <v>23</v>
      </c>
      <c r="G182" s="35" t="str">
        <f t="shared" si="2"/>
        <v/>
      </c>
      <c r="H182" s="39"/>
      <c r="I182" s="35"/>
      <c r="J182" s="34">
        <v>85980</v>
      </c>
    </row>
    <row r="183" spans="1:10" ht="15.75" thickBot="1" x14ac:dyDescent="0.3">
      <c r="A183" s="248" t="s">
        <v>62</v>
      </c>
      <c r="B183" s="251" t="s">
        <v>2070</v>
      </c>
      <c r="C183" s="28"/>
      <c r="D183" s="29" t="s">
        <v>78</v>
      </c>
      <c r="E183" s="30"/>
      <c r="F183" s="45" t="s">
        <v>23</v>
      </c>
      <c r="G183" s="31" t="str">
        <f t="shared" si="2"/>
        <v/>
      </c>
      <c r="H183" s="32"/>
      <c r="I183" s="33"/>
      <c r="J183" s="34">
        <v>25600</v>
      </c>
    </row>
    <row r="184" spans="1:10" x14ac:dyDescent="0.25">
      <c r="A184" s="249"/>
      <c r="B184" s="252"/>
      <c r="C184" s="36"/>
      <c r="D184" s="36"/>
      <c r="E184" s="37"/>
      <c r="F184" s="46" t="s">
        <v>23</v>
      </c>
      <c r="G184" s="35" t="str">
        <f t="shared" si="2"/>
        <v/>
      </c>
      <c r="H184" s="39"/>
      <c r="I184" s="35"/>
      <c r="J184" s="34">
        <v>25600</v>
      </c>
    </row>
    <row r="185" spans="1:10" ht="25.5" x14ac:dyDescent="0.25">
      <c r="A185" s="249"/>
      <c r="B185" s="252"/>
      <c r="C185" s="40" t="s">
        <v>3800</v>
      </c>
      <c r="D185" s="40" t="s">
        <v>3752</v>
      </c>
      <c r="E185" s="41">
        <f>0.0258*3</f>
        <v>7.7399999999999997E-2</v>
      </c>
      <c r="F185" s="35">
        <v>21.365499999999997</v>
      </c>
      <c r="G185" s="38">
        <f t="shared" si="2"/>
        <v>1.6536896999999997</v>
      </c>
      <c r="H185" s="43">
        <f>SUM(G185:G186)</f>
        <v>4.8195751500000004</v>
      </c>
      <c r="I185" s="44"/>
      <c r="J185" s="34">
        <v>25600</v>
      </c>
    </row>
    <row r="186" spans="1:10" x14ac:dyDescent="0.25">
      <c r="A186" s="249"/>
      <c r="B186" s="252"/>
      <c r="C186" s="40" t="s">
        <v>3754</v>
      </c>
      <c r="D186" s="40" t="s">
        <v>3752</v>
      </c>
      <c r="E186" s="41">
        <f>0.0507*3</f>
        <v>0.15210000000000001</v>
      </c>
      <c r="F186" s="35">
        <v>20.814499999999999</v>
      </c>
      <c r="G186" s="38">
        <f t="shared" si="2"/>
        <v>3.1658854500000002</v>
      </c>
      <c r="H186" s="39"/>
      <c r="I186" s="35"/>
      <c r="J186" s="34">
        <v>25600</v>
      </c>
    </row>
    <row r="187" spans="1:10" x14ac:dyDescent="0.25">
      <c r="A187" s="249"/>
      <c r="B187" s="252"/>
      <c r="C187" s="40"/>
      <c r="D187" s="40"/>
      <c r="E187" s="41"/>
      <c r="F187" s="35" t="s">
        <v>23</v>
      </c>
      <c r="G187" s="38" t="str">
        <f t="shared" si="2"/>
        <v/>
      </c>
      <c r="H187" s="39"/>
      <c r="I187" s="35"/>
      <c r="J187" s="34">
        <v>25600</v>
      </c>
    </row>
    <row r="188" spans="1:10" x14ac:dyDescent="0.25">
      <c r="A188" s="249"/>
      <c r="B188" s="252"/>
      <c r="C188" s="50" t="s">
        <v>63</v>
      </c>
      <c r="D188" s="40"/>
      <c r="E188" s="41"/>
      <c r="F188" s="35" t="s">
        <v>23</v>
      </c>
      <c r="G188" s="38" t="str">
        <f t="shared" si="2"/>
        <v/>
      </c>
      <c r="H188" s="39"/>
      <c r="I188" s="35"/>
      <c r="J188" s="34">
        <v>25600</v>
      </c>
    </row>
    <row r="189" spans="1:10" ht="15.75" thickBot="1" x14ac:dyDescent="0.3">
      <c r="A189" s="250"/>
      <c r="B189" s="253"/>
      <c r="C189" s="40"/>
      <c r="D189" s="40"/>
      <c r="E189" s="41"/>
      <c r="F189" s="35" t="s">
        <v>23</v>
      </c>
      <c r="G189" s="35" t="str">
        <f t="shared" si="2"/>
        <v/>
      </c>
      <c r="H189" s="39"/>
      <c r="I189" s="35"/>
      <c r="J189" s="34">
        <v>25600</v>
      </c>
    </row>
    <row r="190" spans="1:10" ht="15.75" hidden="1" thickBot="1" x14ac:dyDescent="0.3">
      <c r="A190" s="248" t="s">
        <v>64</v>
      </c>
      <c r="B190" s="251" t="s">
        <v>2071</v>
      </c>
      <c r="C190" s="28"/>
      <c r="D190" s="29" t="s">
        <v>28</v>
      </c>
      <c r="E190" s="30"/>
      <c r="F190" s="45" t="s">
        <v>23</v>
      </c>
      <c r="G190" s="31" t="str">
        <f t="shared" si="2"/>
        <v/>
      </c>
      <c r="H190" s="32"/>
      <c r="I190" s="33"/>
      <c r="J190" s="34">
        <v>0</v>
      </c>
    </row>
    <row r="191" spans="1:10" ht="15.75" hidden="1" thickBot="1" x14ac:dyDescent="0.3">
      <c r="A191" s="249"/>
      <c r="B191" s="252"/>
      <c r="C191" s="36"/>
      <c r="D191" s="36"/>
      <c r="E191" s="37"/>
      <c r="F191" s="46" t="s">
        <v>23</v>
      </c>
      <c r="G191" s="35" t="str">
        <f t="shared" si="2"/>
        <v/>
      </c>
      <c r="H191" s="39"/>
      <c r="I191" s="35"/>
      <c r="J191" s="34">
        <v>0</v>
      </c>
    </row>
    <row r="192" spans="1:10" ht="15.75" hidden="1" thickBot="1" x14ac:dyDescent="0.3">
      <c r="A192" s="249"/>
      <c r="B192" s="252"/>
      <c r="C192" s="40" t="s">
        <v>3770</v>
      </c>
      <c r="D192" s="40" t="s">
        <v>3752</v>
      </c>
      <c r="E192" s="41">
        <v>0.5</v>
      </c>
      <c r="F192" s="35">
        <v>21.954499999999999</v>
      </c>
      <c r="G192" s="38">
        <f t="shared" si="2"/>
        <v>10.97725</v>
      </c>
      <c r="H192" s="43">
        <f>SUM(G192:G195)</f>
        <v>74.038249999999991</v>
      </c>
      <c r="I192" s="44"/>
      <c r="J192" s="34">
        <v>0</v>
      </c>
    </row>
    <row r="193" spans="1:10" ht="15.75" hidden="1" thickBot="1" x14ac:dyDescent="0.3">
      <c r="A193" s="249"/>
      <c r="B193" s="252"/>
      <c r="C193" s="40" t="s">
        <v>3760</v>
      </c>
      <c r="D193" s="40" t="s">
        <v>3752</v>
      </c>
      <c r="E193" s="41">
        <v>0.5</v>
      </c>
      <c r="F193" s="35">
        <v>28.385999999999999</v>
      </c>
      <c r="G193" s="38">
        <f t="shared" si="2"/>
        <v>14.193</v>
      </c>
      <c r="H193" s="39"/>
      <c r="I193" s="35"/>
      <c r="J193" s="34">
        <v>0</v>
      </c>
    </row>
    <row r="194" spans="1:10" ht="15.75" hidden="1" thickBot="1" x14ac:dyDescent="0.3">
      <c r="A194" s="249"/>
      <c r="B194" s="252"/>
      <c r="C194" s="40" t="s">
        <v>3757</v>
      </c>
      <c r="D194" s="40" t="s">
        <v>3752</v>
      </c>
      <c r="E194" s="41">
        <v>1</v>
      </c>
      <c r="F194" s="35">
        <v>28.0535</v>
      </c>
      <c r="G194" s="38">
        <f t="shared" si="2"/>
        <v>28.0535</v>
      </c>
      <c r="H194" s="39"/>
      <c r="I194" s="35"/>
      <c r="J194" s="34">
        <v>0</v>
      </c>
    </row>
    <row r="195" spans="1:10" ht="15.75" hidden="1" thickBot="1" x14ac:dyDescent="0.3">
      <c r="A195" s="249"/>
      <c r="B195" s="252"/>
      <c r="C195" s="40" t="s">
        <v>3754</v>
      </c>
      <c r="D195" s="40" t="s">
        <v>3752</v>
      </c>
      <c r="E195" s="41">
        <v>1</v>
      </c>
      <c r="F195" s="35">
        <v>20.814499999999999</v>
      </c>
      <c r="G195" s="38">
        <f t="shared" si="2"/>
        <v>20.814499999999999</v>
      </c>
      <c r="H195" s="39"/>
      <c r="I195" s="35"/>
      <c r="J195" s="34">
        <v>0</v>
      </c>
    </row>
    <row r="196" spans="1:10" ht="15.75" hidden="1" thickBot="1" x14ac:dyDescent="0.3">
      <c r="A196" s="250"/>
      <c r="B196" s="253"/>
      <c r="C196" s="40"/>
      <c r="D196" s="40"/>
      <c r="E196" s="41"/>
      <c r="F196" s="35" t="s">
        <v>23</v>
      </c>
      <c r="G196" s="35" t="str">
        <f t="shared" si="2"/>
        <v/>
      </c>
      <c r="H196" s="39"/>
      <c r="I196" s="35"/>
      <c r="J196" s="34">
        <v>0</v>
      </c>
    </row>
    <row r="197" spans="1:10" ht="15.75" thickBot="1" x14ac:dyDescent="0.3">
      <c r="A197" s="248" t="s">
        <v>65</v>
      </c>
      <c r="B197" s="251" t="s">
        <v>2072</v>
      </c>
      <c r="C197" s="28"/>
      <c r="D197" s="29" t="s">
        <v>78</v>
      </c>
      <c r="E197" s="30"/>
      <c r="F197" s="45" t="s">
        <v>23</v>
      </c>
      <c r="G197" s="31" t="str">
        <f t="shared" si="2"/>
        <v/>
      </c>
      <c r="H197" s="32"/>
      <c r="I197" s="33"/>
      <c r="J197" s="34">
        <v>6000</v>
      </c>
    </row>
    <row r="198" spans="1:10" x14ac:dyDescent="0.25">
      <c r="A198" s="249"/>
      <c r="B198" s="252"/>
      <c r="C198" s="36"/>
      <c r="D198" s="36"/>
      <c r="E198" s="37"/>
      <c r="F198" s="46" t="s">
        <v>23</v>
      </c>
      <c r="G198" s="35" t="str">
        <f t="shared" ref="G198:G261" si="3">IF(ISNUMBER(F198),E198*F198,"")</f>
        <v/>
      </c>
      <c r="H198" s="39"/>
      <c r="I198" s="35"/>
      <c r="J198" s="34">
        <v>6000</v>
      </c>
    </row>
    <row r="199" spans="1:10" x14ac:dyDescent="0.25">
      <c r="A199" s="249"/>
      <c r="B199" s="252"/>
      <c r="C199" s="40" t="s">
        <v>3754</v>
      </c>
      <c r="D199" s="40" t="s">
        <v>3752</v>
      </c>
      <c r="E199" s="41">
        <v>0.2</v>
      </c>
      <c r="F199" s="35">
        <v>20.814499999999999</v>
      </c>
      <c r="G199" s="38">
        <f t="shared" si="3"/>
        <v>4.1628999999999996</v>
      </c>
      <c r="H199" s="43">
        <f>SUM(G199:G199)</f>
        <v>4.1628999999999996</v>
      </c>
      <c r="I199" s="44"/>
      <c r="J199" s="34">
        <v>6000</v>
      </c>
    </row>
    <row r="200" spans="1:10" ht="15.75" thickBot="1" x14ac:dyDescent="0.3">
      <c r="A200" s="250"/>
      <c r="B200" s="253"/>
      <c r="C200" s="40"/>
      <c r="D200" s="40"/>
      <c r="E200" s="41"/>
      <c r="F200" s="35" t="s">
        <v>23</v>
      </c>
      <c r="G200" s="35" t="str">
        <f t="shared" si="3"/>
        <v/>
      </c>
      <c r="H200" s="39"/>
      <c r="I200" s="35"/>
      <c r="J200" s="34">
        <v>6000</v>
      </c>
    </row>
    <row r="201" spans="1:10" ht="15.75" hidden="1" thickBot="1" x14ac:dyDescent="0.3">
      <c r="A201" s="248" t="s">
        <v>66</v>
      </c>
      <c r="B201" s="251" t="s">
        <v>2073</v>
      </c>
      <c r="C201" s="28"/>
      <c r="D201" s="29" t="s">
        <v>121</v>
      </c>
      <c r="E201" s="30"/>
      <c r="F201" s="45" t="s">
        <v>23</v>
      </c>
      <c r="G201" s="31" t="str">
        <f t="shared" si="3"/>
        <v/>
      </c>
      <c r="H201" s="32"/>
      <c r="I201" s="33"/>
      <c r="J201" s="34">
        <v>0</v>
      </c>
    </row>
    <row r="202" spans="1:10" ht="15.75" hidden="1" thickBot="1" x14ac:dyDescent="0.3">
      <c r="A202" s="249"/>
      <c r="B202" s="252"/>
      <c r="C202" s="36"/>
      <c r="D202" s="36"/>
      <c r="E202" s="37"/>
      <c r="F202" s="46" t="s">
        <v>23</v>
      </c>
      <c r="G202" s="35" t="str">
        <f t="shared" si="3"/>
        <v/>
      </c>
      <c r="H202" s="39"/>
      <c r="I202" s="35"/>
      <c r="J202" s="34">
        <v>0</v>
      </c>
    </row>
    <row r="203" spans="1:10" ht="15.75" hidden="1" thickBot="1" x14ac:dyDescent="0.3">
      <c r="A203" s="249"/>
      <c r="B203" s="252"/>
      <c r="C203" s="40" t="s">
        <v>3754</v>
      </c>
      <c r="D203" s="40" t="s">
        <v>3752</v>
      </c>
      <c r="E203" s="41">
        <f>0.437*0.6</f>
        <v>0.26219999999999999</v>
      </c>
      <c r="F203" s="35">
        <v>20.814499999999999</v>
      </c>
      <c r="G203" s="38">
        <f t="shared" si="3"/>
        <v>5.4575618999999991</v>
      </c>
      <c r="H203" s="43">
        <f>SUM(G203:G203)</f>
        <v>5.4575618999999991</v>
      </c>
      <c r="I203" s="44"/>
      <c r="J203" s="34">
        <v>0</v>
      </c>
    </row>
    <row r="204" spans="1:10" ht="15.75" hidden="1" thickBot="1" x14ac:dyDescent="0.3">
      <c r="A204" s="249"/>
      <c r="B204" s="252"/>
      <c r="C204" s="40"/>
      <c r="D204" s="40"/>
      <c r="E204" s="41"/>
      <c r="F204" s="35" t="s">
        <v>23</v>
      </c>
      <c r="G204" s="38" t="str">
        <f t="shared" si="3"/>
        <v/>
      </c>
      <c r="H204" s="39"/>
      <c r="I204" s="35"/>
      <c r="J204" s="34">
        <v>0</v>
      </c>
    </row>
    <row r="205" spans="1:10" ht="15.75" hidden="1" thickBot="1" x14ac:dyDescent="0.3">
      <c r="A205" s="248" t="s">
        <v>67</v>
      </c>
      <c r="B205" s="251" t="s">
        <v>2074</v>
      </c>
      <c r="C205" s="28"/>
      <c r="D205" s="29" t="s">
        <v>78</v>
      </c>
      <c r="E205" s="30"/>
      <c r="F205" s="45" t="s">
        <v>23</v>
      </c>
      <c r="G205" s="31" t="str">
        <f t="shared" si="3"/>
        <v/>
      </c>
      <c r="H205" s="32"/>
      <c r="I205" s="33"/>
      <c r="J205" s="34">
        <v>0</v>
      </c>
    </row>
    <row r="206" spans="1:10" ht="15.75" hidden="1" thickBot="1" x14ac:dyDescent="0.3">
      <c r="A206" s="249"/>
      <c r="B206" s="252"/>
      <c r="C206" s="36"/>
      <c r="D206" s="36"/>
      <c r="E206" s="37"/>
      <c r="F206" s="46" t="s">
        <v>23</v>
      </c>
      <c r="G206" s="35" t="str">
        <f t="shared" si="3"/>
        <v/>
      </c>
      <c r="H206" s="39"/>
      <c r="I206" s="35"/>
      <c r="J206" s="34">
        <v>0</v>
      </c>
    </row>
    <row r="207" spans="1:10" ht="15.75" hidden="1" thickBot="1" x14ac:dyDescent="0.3">
      <c r="A207" s="249"/>
      <c r="B207" s="252"/>
      <c r="C207" s="40" t="s">
        <v>3823</v>
      </c>
      <c r="D207" s="40" t="s">
        <v>3752</v>
      </c>
      <c r="E207" s="41">
        <v>0.25</v>
      </c>
      <c r="F207" s="35">
        <v>27.683</v>
      </c>
      <c r="G207" s="35">
        <f t="shared" si="3"/>
        <v>6.92075</v>
      </c>
      <c r="H207" s="43">
        <f>SUM(G207:G208)</f>
        <v>7.4411125</v>
      </c>
      <c r="I207" s="44"/>
      <c r="J207" s="34">
        <v>0</v>
      </c>
    </row>
    <row r="208" spans="1:10" ht="15.75" hidden="1" thickBot="1" x14ac:dyDescent="0.3">
      <c r="A208" s="249"/>
      <c r="B208" s="252"/>
      <c r="C208" s="40" t="s">
        <v>3754</v>
      </c>
      <c r="D208" s="40" t="s">
        <v>3752</v>
      </c>
      <c r="E208" s="41">
        <v>2.5000000000000001E-2</v>
      </c>
      <c r="F208" s="35">
        <v>20.814499999999999</v>
      </c>
      <c r="G208" s="38">
        <f t="shared" si="3"/>
        <v>0.52036249999999995</v>
      </c>
      <c r="H208" s="39"/>
      <c r="I208" s="35"/>
      <c r="J208" s="34">
        <v>0</v>
      </c>
    </row>
    <row r="209" spans="1:10" ht="15.75" hidden="1" thickBot="1" x14ac:dyDescent="0.3">
      <c r="A209" s="250"/>
      <c r="B209" s="253"/>
      <c r="C209" s="40"/>
      <c r="D209" s="40"/>
      <c r="E209" s="41"/>
      <c r="F209" s="35" t="s">
        <v>23</v>
      </c>
      <c r="G209" s="35" t="str">
        <f t="shared" si="3"/>
        <v/>
      </c>
      <c r="H209" s="39"/>
      <c r="I209" s="35"/>
      <c r="J209" s="34">
        <v>0</v>
      </c>
    </row>
    <row r="210" spans="1:10" ht="15.75" hidden="1" thickBot="1" x14ac:dyDescent="0.3">
      <c r="A210" s="248" t="s">
        <v>68</v>
      </c>
      <c r="B210" s="251" t="s">
        <v>2075</v>
      </c>
      <c r="C210" s="28"/>
      <c r="D210" s="29" t="s">
        <v>121</v>
      </c>
      <c r="E210" s="30"/>
      <c r="F210" s="45" t="s">
        <v>23</v>
      </c>
      <c r="G210" s="31" t="str">
        <f t="shared" si="3"/>
        <v/>
      </c>
      <c r="H210" s="32"/>
      <c r="I210" s="33"/>
      <c r="J210" s="34">
        <v>0</v>
      </c>
    </row>
    <row r="211" spans="1:10" ht="15.75" hidden="1" thickBot="1" x14ac:dyDescent="0.3">
      <c r="A211" s="249"/>
      <c r="B211" s="252"/>
      <c r="C211" s="36"/>
      <c r="D211" s="36"/>
      <c r="E211" s="37"/>
      <c r="F211" s="46" t="s">
        <v>23</v>
      </c>
      <c r="G211" s="35" t="str">
        <f t="shared" si="3"/>
        <v/>
      </c>
      <c r="H211" s="39"/>
      <c r="I211" s="35"/>
      <c r="J211" s="34">
        <v>0</v>
      </c>
    </row>
    <row r="212" spans="1:10" ht="15.75" hidden="1" thickBot="1" x14ac:dyDescent="0.3">
      <c r="A212" s="249"/>
      <c r="B212" s="252"/>
      <c r="C212" s="40" t="s">
        <v>3754</v>
      </c>
      <c r="D212" s="40" t="s">
        <v>3752</v>
      </c>
      <c r="E212" s="41">
        <v>0.55000000000000004</v>
      </c>
      <c r="F212" s="35">
        <v>20.814499999999999</v>
      </c>
      <c r="G212" s="38">
        <f t="shared" si="3"/>
        <v>11.447975</v>
      </c>
      <c r="H212" s="43">
        <f>SUM(G212:G212)</f>
        <v>11.447975</v>
      </c>
      <c r="I212" s="44"/>
      <c r="J212" s="34">
        <v>0</v>
      </c>
    </row>
    <row r="213" spans="1:10" ht="15.75" hidden="1" thickBot="1" x14ac:dyDescent="0.3">
      <c r="A213" s="250"/>
      <c r="B213" s="253"/>
      <c r="C213" s="40"/>
      <c r="D213" s="40"/>
      <c r="E213" s="41"/>
      <c r="F213" s="35" t="s">
        <v>23</v>
      </c>
      <c r="G213" s="35" t="str">
        <f t="shared" si="3"/>
        <v/>
      </c>
      <c r="H213" s="39"/>
      <c r="I213" s="35"/>
      <c r="J213" s="34">
        <v>0</v>
      </c>
    </row>
    <row r="214" spans="1:10" ht="15.75" hidden="1" thickBot="1" x14ac:dyDescent="0.3">
      <c r="A214" s="248" t="s">
        <v>69</v>
      </c>
      <c r="B214" s="251" t="s">
        <v>2076</v>
      </c>
      <c r="C214" s="28"/>
      <c r="D214" s="29" t="s">
        <v>28</v>
      </c>
      <c r="E214" s="30"/>
      <c r="F214" s="45" t="s">
        <v>23</v>
      </c>
      <c r="G214" s="31" t="str">
        <f t="shared" si="3"/>
        <v/>
      </c>
      <c r="H214" s="32"/>
      <c r="I214" s="33"/>
      <c r="J214" s="34">
        <v>0</v>
      </c>
    </row>
    <row r="215" spans="1:10" ht="15.75" hidden="1" thickBot="1" x14ac:dyDescent="0.3">
      <c r="A215" s="249"/>
      <c r="B215" s="252"/>
      <c r="C215" s="36"/>
      <c r="D215" s="36"/>
      <c r="E215" s="37"/>
      <c r="F215" s="46" t="s">
        <v>23</v>
      </c>
      <c r="G215" s="35" t="str">
        <f t="shared" si="3"/>
        <v/>
      </c>
      <c r="H215" s="39"/>
      <c r="I215" s="35"/>
      <c r="J215" s="34">
        <v>0</v>
      </c>
    </row>
    <row r="216" spans="1:10" ht="26.25" hidden="1" thickBot="1" x14ac:dyDescent="0.3">
      <c r="A216" s="249"/>
      <c r="B216" s="252"/>
      <c r="C216" s="40" t="s">
        <v>3772</v>
      </c>
      <c r="D216" s="40" t="s">
        <v>3752</v>
      </c>
      <c r="E216" s="41">
        <v>1</v>
      </c>
      <c r="F216" s="35">
        <v>29.801500000000001</v>
      </c>
      <c r="G216" s="35">
        <f t="shared" si="3"/>
        <v>29.801500000000001</v>
      </c>
      <c r="H216" s="43">
        <f>SUM(G216:G217)</f>
        <v>53.6845</v>
      </c>
      <c r="I216" s="44"/>
      <c r="J216" s="34">
        <v>0</v>
      </c>
    </row>
    <row r="217" spans="1:10" ht="26.25" hidden="1" thickBot="1" x14ac:dyDescent="0.3">
      <c r="A217" s="249"/>
      <c r="B217" s="252"/>
      <c r="C217" s="40" t="s">
        <v>3827</v>
      </c>
      <c r="D217" s="40" t="s">
        <v>3752</v>
      </c>
      <c r="E217" s="41">
        <v>1</v>
      </c>
      <c r="F217" s="35">
        <v>23.882999999999999</v>
      </c>
      <c r="G217" s="38">
        <f t="shared" si="3"/>
        <v>23.882999999999999</v>
      </c>
      <c r="H217" s="39"/>
      <c r="I217" s="35"/>
      <c r="J217" s="34">
        <v>0</v>
      </c>
    </row>
    <row r="218" spans="1:10" ht="15.75" hidden="1" thickBot="1" x14ac:dyDescent="0.3">
      <c r="A218" s="250"/>
      <c r="B218" s="253"/>
      <c r="C218" s="40"/>
      <c r="D218" s="40"/>
      <c r="E218" s="41"/>
      <c r="F218" s="35" t="s">
        <v>23</v>
      </c>
      <c r="G218" s="35" t="str">
        <f t="shared" si="3"/>
        <v/>
      </c>
      <c r="H218" s="39"/>
      <c r="I218" s="35"/>
      <c r="J218" s="34">
        <v>0</v>
      </c>
    </row>
    <row r="219" spans="1:10" ht="15.75" thickBot="1" x14ac:dyDescent="0.3">
      <c r="A219" s="248" t="s">
        <v>70</v>
      </c>
      <c r="B219" s="251" t="s">
        <v>2077</v>
      </c>
      <c r="C219" s="28"/>
      <c r="D219" s="29" t="s">
        <v>78</v>
      </c>
      <c r="E219" s="30"/>
      <c r="F219" s="45" t="s">
        <v>23</v>
      </c>
      <c r="G219" s="31" t="str">
        <f t="shared" si="3"/>
        <v/>
      </c>
      <c r="H219" s="32"/>
      <c r="I219" s="33"/>
      <c r="J219" s="34">
        <v>10000</v>
      </c>
    </row>
    <row r="220" spans="1:10" x14ac:dyDescent="0.25">
      <c r="A220" s="249"/>
      <c r="B220" s="252"/>
      <c r="C220" s="36"/>
      <c r="D220" s="36"/>
      <c r="E220" s="37"/>
      <c r="F220" s="46" t="s">
        <v>23</v>
      </c>
      <c r="G220" s="35" t="str">
        <f t="shared" si="3"/>
        <v/>
      </c>
      <c r="H220" s="39"/>
      <c r="I220" s="35"/>
      <c r="J220" s="34">
        <v>10000</v>
      </c>
    </row>
    <row r="221" spans="1:10" x14ac:dyDescent="0.25">
      <c r="A221" s="249"/>
      <c r="B221" s="252"/>
      <c r="C221" s="40" t="s">
        <v>3754</v>
      </c>
      <c r="D221" s="40" t="s">
        <v>3752</v>
      </c>
      <c r="E221" s="41">
        <v>0.39</v>
      </c>
      <c r="F221" s="35">
        <v>20.814499999999999</v>
      </c>
      <c r="G221" s="38">
        <f t="shared" si="3"/>
        <v>8.1176549999999992</v>
      </c>
      <c r="H221" s="43">
        <f>SUM(G221:G222)</f>
        <v>18.494732999999997</v>
      </c>
      <c r="I221" s="44"/>
      <c r="J221" s="34">
        <v>10000</v>
      </c>
    </row>
    <row r="222" spans="1:10" x14ac:dyDescent="0.25">
      <c r="A222" s="249"/>
      <c r="B222" s="252"/>
      <c r="C222" s="40" t="s">
        <v>3767</v>
      </c>
      <c r="D222" s="40" t="s">
        <v>3752</v>
      </c>
      <c r="E222" s="41">
        <v>0.40100000000000002</v>
      </c>
      <c r="F222" s="35">
        <v>25.877999999999997</v>
      </c>
      <c r="G222" s="38">
        <f t="shared" si="3"/>
        <v>10.377077999999999</v>
      </c>
      <c r="H222" s="39"/>
      <c r="I222" s="35"/>
      <c r="J222" s="34">
        <v>10000</v>
      </c>
    </row>
    <row r="223" spans="1:10" ht="15.75" thickBot="1" x14ac:dyDescent="0.3">
      <c r="A223" s="250"/>
      <c r="B223" s="253"/>
      <c r="C223" s="40"/>
      <c r="D223" s="40"/>
      <c r="E223" s="41"/>
      <c r="F223" s="35" t="s">
        <v>23</v>
      </c>
      <c r="G223" s="35" t="str">
        <f t="shared" si="3"/>
        <v/>
      </c>
      <c r="H223" s="39"/>
      <c r="I223" s="35"/>
      <c r="J223" s="34">
        <v>10000</v>
      </c>
    </row>
    <row r="224" spans="1:10" ht="15.75" hidden="1" thickBot="1" x14ac:dyDescent="0.3">
      <c r="A224" s="254" t="s">
        <v>71</v>
      </c>
      <c r="B224" s="251" t="s">
        <v>2078</v>
      </c>
      <c r="C224" s="28"/>
      <c r="D224" s="29" t="s">
        <v>1748</v>
      </c>
      <c r="E224" s="30"/>
      <c r="F224" s="45" t="s">
        <v>23</v>
      </c>
      <c r="G224" s="31" t="str">
        <f t="shared" si="3"/>
        <v/>
      </c>
      <c r="H224" s="32"/>
      <c r="I224" s="33"/>
      <c r="J224" s="34">
        <v>0</v>
      </c>
    </row>
    <row r="225" spans="1:10" ht="15.75" hidden="1" thickBot="1" x14ac:dyDescent="0.3">
      <c r="A225" s="255"/>
      <c r="B225" s="252"/>
      <c r="C225" s="36"/>
      <c r="D225" s="36"/>
      <c r="E225" s="37"/>
      <c r="F225" s="46" t="s">
        <v>23</v>
      </c>
      <c r="G225" s="35" t="str">
        <f t="shared" si="3"/>
        <v/>
      </c>
      <c r="H225" s="39"/>
      <c r="I225" s="35"/>
      <c r="J225" s="34">
        <v>0</v>
      </c>
    </row>
    <row r="226" spans="1:10" ht="15.75" hidden="1" thickBot="1" x14ac:dyDescent="0.3">
      <c r="A226" s="255"/>
      <c r="B226" s="252"/>
      <c r="C226" s="40" t="s">
        <v>3754</v>
      </c>
      <c r="D226" s="40" t="s">
        <v>3752</v>
      </c>
      <c r="E226" s="41">
        <v>1</v>
      </c>
      <c r="F226" s="35">
        <v>20.814499999999999</v>
      </c>
      <c r="G226" s="38">
        <f t="shared" si="3"/>
        <v>20.814499999999999</v>
      </c>
      <c r="H226" s="43">
        <f>SUM(G226:G226)</f>
        <v>20.814499999999999</v>
      </c>
      <c r="I226" s="44"/>
      <c r="J226" s="34">
        <v>0</v>
      </c>
    </row>
    <row r="227" spans="1:10" ht="15.75" hidden="1" thickBot="1" x14ac:dyDescent="0.3">
      <c r="A227" s="255"/>
      <c r="B227" s="252"/>
      <c r="C227" s="40"/>
      <c r="D227" s="40"/>
      <c r="E227" s="41"/>
      <c r="F227" s="35" t="s">
        <v>23</v>
      </c>
      <c r="G227" s="35" t="str">
        <f t="shared" si="3"/>
        <v/>
      </c>
      <c r="H227" s="39"/>
      <c r="I227" s="35"/>
      <c r="J227" s="34">
        <v>0</v>
      </c>
    </row>
    <row r="228" spans="1:10" ht="15.75" thickBot="1" x14ac:dyDescent="0.3">
      <c r="A228" s="254" t="s">
        <v>72</v>
      </c>
      <c r="B228" s="251" t="s">
        <v>2081</v>
      </c>
      <c r="C228" s="28"/>
      <c r="D228" s="29" t="s">
        <v>2082</v>
      </c>
      <c r="E228" s="30"/>
      <c r="F228" s="45" t="s">
        <v>23</v>
      </c>
      <c r="G228" s="31" t="str">
        <f t="shared" si="3"/>
        <v/>
      </c>
      <c r="H228" s="32"/>
      <c r="I228" s="33"/>
      <c r="J228" s="34">
        <v>5000</v>
      </c>
    </row>
    <row r="229" spans="1:10" x14ac:dyDescent="0.25">
      <c r="A229" s="255"/>
      <c r="B229" s="252"/>
      <c r="C229" s="36"/>
      <c r="D229" s="36"/>
      <c r="E229" s="37"/>
      <c r="F229" s="46" t="s">
        <v>23</v>
      </c>
      <c r="G229" s="35" t="str">
        <f t="shared" si="3"/>
        <v/>
      </c>
      <c r="H229" s="39"/>
      <c r="I229" s="35"/>
      <c r="J229" s="34">
        <v>5000</v>
      </c>
    </row>
    <row r="230" spans="1:10" ht="63.75" x14ac:dyDescent="0.25">
      <c r="A230" s="255"/>
      <c r="B230" s="252"/>
      <c r="C230" s="40" t="s">
        <v>3987</v>
      </c>
      <c r="D230" s="40" t="s">
        <v>3988</v>
      </c>
      <c r="E230" s="41">
        <v>1</v>
      </c>
      <c r="F230" s="35">
        <v>14.25</v>
      </c>
      <c r="G230" s="38">
        <f t="shared" si="3"/>
        <v>14.25</v>
      </c>
      <c r="H230" s="43">
        <f>SUM(G230:G230)</f>
        <v>14.25</v>
      </c>
      <c r="I230" s="44"/>
      <c r="J230" s="34">
        <v>5000</v>
      </c>
    </row>
    <row r="231" spans="1:10" ht="15.75" thickBot="1" x14ac:dyDescent="0.3">
      <c r="A231" s="255"/>
      <c r="B231" s="252"/>
      <c r="C231" s="40"/>
      <c r="D231" s="40"/>
      <c r="E231" s="41"/>
      <c r="F231" s="35" t="s">
        <v>23</v>
      </c>
      <c r="G231" s="35" t="str">
        <f t="shared" si="3"/>
        <v/>
      </c>
      <c r="H231" s="39"/>
      <c r="I231" s="35"/>
      <c r="J231" s="34">
        <v>5000</v>
      </c>
    </row>
    <row r="232" spans="1:10" ht="15.75" thickBot="1" x14ac:dyDescent="0.3">
      <c r="A232" s="248" t="s">
        <v>73</v>
      </c>
      <c r="B232" s="251" t="s">
        <v>2083</v>
      </c>
      <c r="C232" s="28"/>
      <c r="D232" s="29" t="s">
        <v>2084</v>
      </c>
      <c r="E232" s="30"/>
      <c r="F232" s="45" t="s">
        <v>23</v>
      </c>
      <c r="G232" s="31" t="str">
        <f t="shared" si="3"/>
        <v/>
      </c>
      <c r="H232" s="32"/>
      <c r="I232" s="33"/>
      <c r="J232" s="34">
        <v>2000</v>
      </c>
    </row>
    <row r="233" spans="1:10" x14ac:dyDescent="0.25">
      <c r="A233" s="249"/>
      <c r="B233" s="252"/>
      <c r="C233" s="36"/>
      <c r="D233" s="36"/>
      <c r="E233" s="37"/>
      <c r="F233" s="46" t="s">
        <v>23</v>
      </c>
      <c r="G233" s="35" t="str">
        <f t="shared" si="3"/>
        <v/>
      </c>
      <c r="H233" s="39"/>
      <c r="I233" s="35"/>
      <c r="J233" s="34">
        <v>2000</v>
      </c>
    </row>
    <row r="234" spans="1:10" ht="63.75" x14ac:dyDescent="0.25">
      <c r="A234" s="249"/>
      <c r="B234" s="252"/>
      <c r="C234" s="40" t="s">
        <v>4010</v>
      </c>
      <c r="D234" s="40" t="s">
        <v>4011</v>
      </c>
      <c r="E234" s="41">
        <v>1</v>
      </c>
      <c r="F234" s="35">
        <v>19</v>
      </c>
      <c r="G234" s="35">
        <f t="shared" si="3"/>
        <v>19</v>
      </c>
      <c r="H234" s="43">
        <f>SUM(G234:G234)</f>
        <v>19</v>
      </c>
      <c r="I234" s="44"/>
      <c r="J234" s="34">
        <v>2000</v>
      </c>
    </row>
    <row r="235" spans="1:10" ht="15.75" thickBot="1" x14ac:dyDescent="0.3">
      <c r="A235" s="250"/>
      <c r="B235" s="253"/>
      <c r="C235" s="40"/>
      <c r="D235" s="40"/>
      <c r="E235" s="41"/>
      <c r="F235" s="35" t="s">
        <v>23</v>
      </c>
      <c r="G235" s="35" t="str">
        <f t="shared" si="3"/>
        <v/>
      </c>
      <c r="H235" s="39"/>
      <c r="I235" s="35"/>
      <c r="J235" s="34">
        <v>2000</v>
      </c>
    </row>
    <row r="236" spans="1:10" ht="15.75" thickBot="1" x14ac:dyDescent="0.3">
      <c r="A236" s="254" t="s">
        <v>74</v>
      </c>
      <c r="B236" s="251" t="s">
        <v>2087</v>
      </c>
      <c r="C236" s="28"/>
      <c r="D236" s="29" t="s">
        <v>121</v>
      </c>
      <c r="E236" s="30"/>
      <c r="F236" s="45" t="s">
        <v>23</v>
      </c>
      <c r="G236" s="31" t="str">
        <f t="shared" si="3"/>
        <v/>
      </c>
      <c r="H236" s="32"/>
      <c r="I236" s="33"/>
      <c r="J236" s="34">
        <v>4000</v>
      </c>
    </row>
    <row r="237" spans="1:10" x14ac:dyDescent="0.25">
      <c r="A237" s="255"/>
      <c r="B237" s="252"/>
      <c r="C237" s="36"/>
      <c r="D237" s="36"/>
      <c r="E237" s="37"/>
      <c r="F237" s="46" t="s">
        <v>23</v>
      </c>
      <c r="G237" s="35" t="str">
        <f t="shared" si="3"/>
        <v/>
      </c>
      <c r="H237" s="39"/>
      <c r="I237" s="35"/>
      <c r="J237" s="34">
        <v>4000</v>
      </c>
    </row>
    <row r="238" spans="1:10" ht="25.5" x14ac:dyDescent="0.25">
      <c r="A238" s="255"/>
      <c r="B238" s="252"/>
      <c r="C238" s="40" t="s">
        <v>4042</v>
      </c>
      <c r="D238" s="40" t="s">
        <v>4043</v>
      </c>
      <c r="E238" s="41">
        <v>0.01</v>
      </c>
      <c r="F238" s="35">
        <v>605.79599999999994</v>
      </c>
      <c r="G238" s="38">
        <f t="shared" si="3"/>
        <v>6.0579599999999996</v>
      </c>
      <c r="H238" s="43">
        <f>SUM(G238:G238)</f>
        <v>6.0579599999999996</v>
      </c>
      <c r="I238" s="44"/>
      <c r="J238" s="34">
        <v>4000</v>
      </c>
    </row>
    <row r="239" spans="1:10" ht="15.75" thickBot="1" x14ac:dyDescent="0.3">
      <c r="A239" s="255"/>
      <c r="B239" s="252"/>
      <c r="C239" s="40"/>
      <c r="D239" s="40"/>
      <c r="E239" s="41"/>
      <c r="F239" s="35" t="s">
        <v>23</v>
      </c>
      <c r="G239" s="35" t="str">
        <f t="shared" si="3"/>
        <v/>
      </c>
      <c r="H239" s="39"/>
      <c r="I239" s="35"/>
      <c r="J239" s="34">
        <v>4000</v>
      </c>
    </row>
    <row r="240" spans="1:10" ht="15.75" thickBot="1" x14ac:dyDescent="0.3">
      <c r="A240" s="248" t="s">
        <v>75</v>
      </c>
      <c r="B240" s="251" t="s">
        <v>2094</v>
      </c>
      <c r="C240" s="28"/>
      <c r="D240" s="29" t="s">
        <v>78</v>
      </c>
      <c r="E240" s="30"/>
      <c r="F240" s="51" t="s">
        <v>23</v>
      </c>
      <c r="G240" s="31" t="str">
        <f t="shared" si="3"/>
        <v/>
      </c>
      <c r="H240" s="32"/>
      <c r="I240" s="33"/>
      <c r="J240" s="34">
        <v>9600</v>
      </c>
    </row>
    <row r="241" spans="1:10" x14ac:dyDescent="0.25">
      <c r="A241" s="249"/>
      <c r="B241" s="252"/>
      <c r="C241" s="36"/>
      <c r="D241" s="36"/>
      <c r="E241" s="37"/>
      <c r="F241" s="35" t="s">
        <v>23</v>
      </c>
      <c r="G241" s="35" t="str">
        <f t="shared" si="3"/>
        <v/>
      </c>
      <c r="H241" s="39"/>
      <c r="I241" s="35"/>
      <c r="J241" s="34">
        <v>9600</v>
      </c>
    </row>
    <row r="242" spans="1:10" x14ac:dyDescent="0.25">
      <c r="A242" s="249"/>
      <c r="B242" s="252"/>
      <c r="C242" s="40" t="s">
        <v>3754</v>
      </c>
      <c r="D242" s="40" t="s">
        <v>3752</v>
      </c>
      <c r="E242" s="41">
        <v>0.15</v>
      </c>
      <c r="F242" s="35">
        <v>20.814499999999999</v>
      </c>
      <c r="G242" s="35">
        <f t="shared" si="3"/>
        <v>3.1221749999999999</v>
      </c>
      <c r="H242" s="43">
        <f>SUM(G242:G246)</f>
        <v>27.833100000000002</v>
      </c>
      <c r="I242" s="44"/>
      <c r="J242" s="34">
        <v>9600</v>
      </c>
    </row>
    <row r="243" spans="1:10" x14ac:dyDescent="0.25">
      <c r="A243" s="249"/>
      <c r="B243" s="252"/>
      <c r="C243" s="40" t="s">
        <v>3823</v>
      </c>
      <c r="D243" s="40" t="s">
        <v>3752</v>
      </c>
      <c r="E243" s="41">
        <v>0.3</v>
      </c>
      <c r="F243" s="35">
        <v>27.683</v>
      </c>
      <c r="G243" s="35">
        <f t="shared" si="3"/>
        <v>8.3048999999999999</v>
      </c>
      <c r="H243" s="39"/>
      <c r="I243" s="35"/>
      <c r="J243" s="34">
        <v>9600</v>
      </c>
    </row>
    <row r="244" spans="1:10" ht="25.5" x14ac:dyDescent="0.25">
      <c r="A244" s="249"/>
      <c r="B244" s="252"/>
      <c r="C244" s="40" t="s">
        <v>3840</v>
      </c>
      <c r="D244" s="40" t="s">
        <v>1286</v>
      </c>
      <c r="E244" s="41">
        <v>1.5</v>
      </c>
      <c r="F244" s="38">
        <v>7.7330000000000005</v>
      </c>
      <c r="G244" s="35">
        <f t="shared" si="3"/>
        <v>11.599500000000001</v>
      </c>
      <c r="H244" s="39"/>
      <c r="I244" s="35"/>
      <c r="J244" s="34">
        <v>9600</v>
      </c>
    </row>
    <row r="245" spans="1:10" x14ac:dyDescent="0.25">
      <c r="A245" s="249"/>
      <c r="B245" s="252"/>
      <c r="C245" s="40" t="s">
        <v>4039</v>
      </c>
      <c r="D245" s="40" t="s">
        <v>1035</v>
      </c>
      <c r="E245" s="41">
        <v>0.1</v>
      </c>
      <c r="F245" s="38">
        <v>20.425000000000001</v>
      </c>
      <c r="G245" s="35">
        <f t="shared" si="3"/>
        <v>2.0425</v>
      </c>
      <c r="H245" s="39"/>
      <c r="I245" s="35"/>
      <c r="J245" s="34">
        <v>9600</v>
      </c>
    </row>
    <row r="246" spans="1:10" ht="25.5" x14ac:dyDescent="0.25">
      <c r="A246" s="249"/>
      <c r="B246" s="252"/>
      <c r="C246" s="40" t="s">
        <v>4036</v>
      </c>
      <c r="D246" s="40" t="s">
        <v>1286</v>
      </c>
      <c r="E246" s="41">
        <v>1.1499999999999999</v>
      </c>
      <c r="F246" s="38">
        <v>2.4034999999999997</v>
      </c>
      <c r="G246" s="35">
        <f t="shared" si="3"/>
        <v>2.7640249999999993</v>
      </c>
      <c r="H246" s="39"/>
      <c r="I246" s="35"/>
      <c r="J246" s="34">
        <v>9600</v>
      </c>
    </row>
    <row r="247" spans="1:10" ht="15.75" thickBot="1" x14ac:dyDescent="0.3">
      <c r="A247" s="250"/>
      <c r="B247" s="253"/>
      <c r="C247" s="40"/>
      <c r="D247" s="40"/>
      <c r="E247" s="41"/>
      <c r="F247" s="35" t="s">
        <v>23</v>
      </c>
      <c r="G247" s="35" t="str">
        <f t="shared" si="3"/>
        <v/>
      </c>
      <c r="H247" s="39"/>
      <c r="I247" s="35"/>
      <c r="J247" s="34">
        <v>9600</v>
      </c>
    </row>
    <row r="248" spans="1:10" ht="15.75" thickBot="1" x14ac:dyDescent="0.3">
      <c r="A248" s="248" t="s">
        <v>76</v>
      </c>
      <c r="B248" s="251" t="s">
        <v>2115</v>
      </c>
      <c r="C248" s="28"/>
      <c r="D248" s="29" t="s">
        <v>78</v>
      </c>
      <c r="E248" s="30"/>
      <c r="F248" s="45" t="s">
        <v>23</v>
      </c>
      <c r="G248" s="31" t="str">
        <f t="shared" si="3"/>
        <v/>
      </c>
      <c r="H248" s="32"/>
      <c r="I248" s="33"/>
      <c r="J248" s="34">
        <v>8910</v>
      </c>
    </row>
    <row r="249" spans="1:10" x14ac:dyDescent="0.25">
      <c r="A249" s="249"/>
      <c r="B249" s="252"/>
      <c r="C249" s="36"/>
      <c r="D249" s="36"/>
      <c r="E249" s="37"/>
      <c r="F249" s="46" t="s">
        <v>23</v>
      </c>
      <c r="G249" s="35" t="str">
        <f t="shared" si="3"/>
        <v/>
      </c>
      <c r="H249" s="39"/>
      <c r="I249" s="35"/>
      <c r="J249" s="34">
        <v>8910</v>
      </c>
    </row>
    <row r="250" spans="1:10" x14ac:dyDescent="0.25">
      <c r="A250" s="249"/>
      <c r="B250" s="252"/>
      <c r="C250" s="40" t="s">
        <v>3823</v>
      </c>
      <c r="D250" s="40" t="s">
        <v>3752</v>
      </c>
      <c r="E250" s="41">
        <v>0.4</v>
      </c>
      <c r="F250" s="35">
        <v>27.683</v>
      </c>
      <c r="G250" s="35">
        <f t="shared" si="3"/>
        <v>11.0732</v>
      </c>
      <c r="H250" s="43">
        <f>SUM(G250:G261)</f>
        <v>108.85594475000001</v>
      </c>
      <c r="I250" s="44"/>
      <c r="J250" s="34">
        <v>8910</v>
      </c>
    </row>
    <row r="251" spans="1:10" x14ac:dyDescent="0.25">
      <c r="A251" s="249"/>
      <c r="B251" s="252"/>
      <c r="C251" s="40" t="s">
        <v>3754</v>
      </c>
      <c r="D251" s="40" t="s">
        <v>3752</v>
      </c>
      <c r="E251" s="41">
        <v>0.4</v>
      </c>
      <c r="F251" s="35">
        <v>20.814499999999999</v>
      </c>
      <c r="G251" s="35">
        <f t="shared" si="3"/>
        <v>8.3257999999999992</v>
      </c>
      <c r="H251" s="39"/>
      <c r="I251" s="35"/>
      <c r="J251" s="34">
        <v>8910</v>
      </c>
    </row>
    <row r="252" spans="1:10" x14ac:dyDescent="0.25">
      <c r="A252" s="249"/>
      <c r="B252" s="252"/>
      <c r="C252" s="40" t="s">
        <v>77</v>
      </c>
      <c r="D252" s="40" t="s">
        <v>78</v>
      </c>
      <c r="E252" s="41">
        <v>1.1000000000000001</v>
      </c>
      <c r="F252" s="35">
        <v>23.522000000000002</v>
      </c>
      <c r="G252" s="35">
        <f t="shared" si="3"/>
        <v>25.874200000000005</v>
      </c>
      <c r="H252" s="39"/>
      <c r="I252" s="35"/>
      <c r="J252" s="34">
        <v>8910</v>
      </c>
    </row>
    <row r="253" spans="1:10" ht="25.5" x14ac:dyDescent="0.25">
      <c r="A253" s="249"/>
      <c r="B253" s="252"/>
      <c r="C253" s="40" t="s">
        <v>3840</v>
      </c>
      <c r="D253" s="40" t="s">
        <v>1286</v>
      </c>
      <c r="E253" s="41">
        <v>1.6</v>
      </c>
      <c r="F253" s="38">
        <v>7.7330000000000005</v>
      </c>
      <c r="G253" s="35">
        <f t="shared" si="3"/>
        <v>12.372800000000002</v>
      </c>
      <c r="H253" s="39"/>
      <c r="I253" s="35"/>
      <c r="J253" s="34">
        <v>8910</v>
      </c>
    </row>
    <row r="254" spans="1:10" ht="25.5" x14ac:dyDescent="0.25">
      <c r="A254" s="249"/>
      <c r="B254" s="252"/>
      <c r="C254" s="40" t="s">
        <v>3868</v>
      </c>
      <c r="D254" s="40" t="s">
        <v>1286</v>
      </c>
      <c r="E254" s="41">
        <v>1.65</v>
      </c>
      <c r="F254" s="38">
        <v>11.190999999999999</v>
      </c>
      <c r="G254" s="35">
        <f t="shared" si="3"/>
        <v>18.465149999999998</v>
      </c>
      <c r="H254" s="39"/>
      <c r="I254" s="35"/>
      <c r="J254" s="34">
        <v>8910</v>
      </c>
    </row>
    <row r="255" spans="1:10" ht="25.5" x14ac:dyDescent="0.25">
      <c r="A255" s="249"/>
      <c r="B255" s="252"/>
      <c r="C255" s="40" t="s">
        <v>3856</v>
      </c>
      <c r="D255" s="40" t="s">
        <v>1286</v>
      </c>
      <c r="E255" s="41">
        <v>0.5</v>
      </c>
      <c r="F255" s="38">
        <v>32.717999999999996</v>
      </c>
      <c r="G255" s="35">
        <f t="shared" si="3"/>
        <v>16.358999999999998</v>
      </c>
      <c r="H255" s="39"/>
      <c r="I255" s="35"/>
      <c r="J255" s="34">
        <v>8910</v>
      </c>
    </row>
    <row r="256" spans="1:10" x14ac:dyDescent="0.25">
      <c r="A256" s="249"/>
      <c r="B256" s="252"/>
      <c r="C256" s="40" t="s">
        <v>4101</v>
      </c>
      <c r="D256" s="40" t="s">
        <v>1035</v>
      </c>
      <c r="E256" s="41">
        <v>0.1</v>
      </c>
      <c r="F256" s="38">
        <v>20.776499999999999</v>
      </c>
      <c r="G256" s="35">
        <f t="shared" si="3"/>
        <v>2.0776499999999998</v>
      </c>
      <c r="H256" s="39"/>
      <c r="I256" s="35"/>
      <c r="J256" s="34">
        <v>8910</v>
      </c>
    </row>
    <row r="257" spans="1:10" x14ac:dyDescent="0.25">
      <c r="A257" s="249"/>
      <c r="B257" s="252"/>
      <c r="C257" s="40" t="s">
        <v>4100</v>
      </c>
      <c r="D257" s="40" t="s">
        <v>3752</v>
      </c>
      <c r="E257" s="41">
        <v>1.5E-3</v>
      </c>
      <c r="F257" s="38">
        <v>23.436499999999999</v>
      </c>
      <c r="G257" s="35">
        <f t="shared" si="3"/>
        <v>3.5154749999999998E-2</v>
      </c>
      <c r="H257" s="39"/>
      <c r="I257" s="35"/>
      <c r="J257" s="34">
        <v>8910</v>
      </c>
    </row>
    <row r="258" spans="1:10" x14ac:dyDescent="0.25">
      <c r="A258" s="249"/>
      <c r="B258" s="252"/>
      <c r="C258" s="40" t="s">
        <v>3753</v>
      </c>
      <c r="D258" s="40" t="s">
        <v>3752</v>
      </c>
      <c r="E258" s="41">
        <v>0.4</v>
      </c>
      <c r="F258" s="38">
        <v>29.202999999999996</v>
      </c>
      <c r="G258" s="35">
        <f t="shared" si="3"/>
        <v>11.681199999999999</v>
      </c>
      <c r="H258" s="39"/>
      <c r="I258" s="35"/>
      <c r="J258" s="34">
        <v>8910</v>
      </c>
    </row>
    <row r="259" spans="1:10" x14ac:dyDescent="0.25">
      <c r="A259" s="249"/>
      <c r="B259" s="252"/>
      <c r="C259" s="40" t="s">
        <v>79</v>
      </c>
      <c r="D259" s="40" t="s">
        <v>80</v>
      </c>
      <c r="E259" s="41">
        <v>2.2499999999999999E-2</v>
      </c>
      <c r="F259" s="38">
        <v>27.283999999999999</v>
      </c>
      <c r="G259" s="35">
        <f t="shared" si="3"/>
        <v>0.61388999999999994</v>
      </c>
      <c r="H259" s="39"/>
      <c r="I259" s="35"/>
      <c r="J259" s="34">
        <v>8910</v>
      </c>
    </row>
    <row r="260" spans="1:10" x14ac:dyDescent="0.25">
      <c r="A260" s="249"/>
      <c r="B260" s="252"/>
      <c r="C260" s="40" t="s">
        <v>4114</v>
      </c>
      <c r="D260" s="40" t="s">
        <v>1035</v>
      </c>
      <c r="E260" s="41">
        <v>0.6</v>
      </c>
      <c r="F260" s="38">
        <v>2.1374999999999997</v>
      </c>
      <c r="G260" s="35">
        <f t="shared" si="3"/>
        <v>1.2824999999999998</v>
      </c>
      <c r="H260" s="39"/>
      <c r="I260" s="35"/>
      <c r="J260" s="34">
        <v>8910</v>
      </c>
    </row>
    <row r="261" spans="1:10" x14ac:dyDescent="0.25">
      <c r="A261" s="249"/>
      <c r="B261" s="252"/>
      <c r="C261" s="40" t="s">
        <v>81</v>
      </c>
      <c r="D261" s="40" t="s">
        <v>82</v>
      </c>
      <c r="E261" s="41">
        <v>1.4999999999999999E-2</v>
      </c>
      <c r="F261" s="38">
        <v>46.359999999999992</v>
      </c>
      <c r="G261" s="35">
        <f t="shared" si="3"/>
        <v>0.69539999999999991</v>
      </c>
      <c r="H261" s="39"/>
      <c r="I261" s="35"/>
      <c r="J261" s="34">
        <v>8910</v>
      </c>
    </row>
    <row r="262" spans="1:10" ht="15.75" thickBot="1" x14ac:dyDescent="0.3">
      <c r="A262" s="250"/>
      <c r="B262" s="253"/>
      <c r="C262" s="40"/>
      <c r="D262" s="40"/>
      <c r="E262" s="41"/>
      <c r="F262" s="35" t="s">
        <v>23</v>
      </c>
      <c r="G262" s="35" t="str">
        <f t="shared" ref="G262:G325" si="4">IF(ISNUMBER(F262),E262*F262,"")</f>
        <v/>
      </c>
      <c r="H262" s="39"/>
      <c r="I262" s="35"/>
      <c r="J262" s="34">
        <v>8910</v>
      </c>
    </row>
    <row r="263" spans="1:10" ht="15.75" hidden="1" thickBot="1" x14ac:dyDescent="0.3">
      <c r="A263" s="248" t="s">
        <v>83</v>
      </c>
      <c r="B263" s="251" t="s">
        <v>2120</v>
      </c>
      <c r="C263" s="28"/>
      <c r="D263" s="29" t="s">
        <v>78</v>
      </c>
      <c r="E263" s="30"/>
      <c r="F263" s="45" t="s">
        <v>23</v>
      </c>
      <c r="G263" s="31" t="str">
        <f t="shared" si="4"/>
        <v/>
      </c>
      <c r="H263" s="32"/>
      <c r="I263" s="33"/>
      <c r="J263" s="34">
        <v>0</v>
      </c>
    </row>
    <row r="264" spans="1:10" ht="15.75" hidden="1" thickBot="1" x14ac:dyDescent="0.3">
      <c r="A264" s="249"/>
      <c r="B264" s="252"/>
      <c r="C264" s="36"/>
      <c r="D264" s="36"/>
      <c r="E264" s="37"/>
      <c r="F264" s="46" t="s">
        <v>23</v>
      </c>
      <c r="G264" s="35" t="str">
        <f t="shared" si="4"/>
        <v/>
      </c>
      <c r="H264" s="39"/>
      <c r="I264" s="35"/>
      <c r="J264" s="34">
        <v>0</v>
      </c>
    </row>
    <row r="265" spans="1:10" ht="15.75" hidden="1" thickBot="1" x14ac:dyDescent="0.3">
      <c r="A265" s="249"/>
      <c r="B265" s="252"/>
      <c r="C265" s="40" t="s">
        <v>3754</v>
      </c>
      <c r="D265" s="40" t="s">
        <v>3752</v>
      </c>
      <c r="E265" s="41">
        <v>2.5000000000000001E-2</v>
      </c>
      <c r="F265" s="35">
        <v>20.814499999999999</v>
      </c>
      <c r="G265" s="35">
        <f t="shared" si="4"/>
        <v>0.52036249999999995</v>
      </c>
      <c r="H265" s="43">
        <f>SUM(G265:G266)</f>
        <v>2.5393690000000002</v>
      </c>
      <c r="I265" s="44"/>
      <c r="J265" s="34">
        <v>0</v>
      </c>
    </row>
    <row r="266" spans="1:10" ht="15.75" hidden="1" thickBot="1" x14ac:dyDescent="0.3">
      <c r="A266" s="249"/>
      <c r="B266" s="252"/>
      <c r="C266" s="40" t="s">
        <v>3754</v>
      </c>
      <c r="D266" s="40" t="s">
        <v>3752</v>
      </c>
      <c r="E266" s="41">
        <v>9.7000000000000003E-2</v>
      </c>
      <c r="F266" s="35">
        <v>20.814499999999999</v>
      </c>
      <c r="G266" s="35">
        <f t="shared" si="4"/>
        <v>2.0190065000000001</v>
      </c>
      <c r="H266" s="39"/>
      <c r="I266" s="44"/>
      <c r="J266" s="34">
        <v>0</v>
      </c>
    </row>
    <row r="267" spans="1:10" ht="15.75" hidden="1" thickBot="1" x14ac:dyDescent="0.3">
      <c r="A267" s="250"/>
      <c r="B267" s="253"/>
      <c r="C267" s="40"/>
      <c r="D267" s="40"/>
      <c r="E267" s="41"/>
      <c r="F267" s="35" t="s">
        <v>23</v>
      </c>
      <c r="G267" s="35" t="str">
        <f t="shared" si="4"/>
        <v/>
      </c>
      <c r="H267" s="39"/>
      <c r="I267" s="35"/>
      <c r="J267" s="34">
        <v>0</v>
      </c>
    </row>
    <row r="268" spans="1:10" ht="15.75" hidden="1" thickBot="1" x14ac:dyDescent="0.3">
      <c r="A268" s="248" t="s">
        <v>84</v>
      </c>
      <c r="B268" s="251" t="s">
        <v>2121</v>
      </c>
      <c r="C268" s="28"/>
      <c r="D268" s="29" t="s">
        <v>121</v>
      </c>
      <c r="E268" s="30"/>
      <c r="F268" s="45" t="s">
        <v>23</v>
      </c>
      <c r="G268" s="31" t="str">
        <f t="shared" si="4"/>
        <v/>
      </c>
      <c r="H268" s="32"/>
      <c r="I268" s="33"/>
      <c r="J268" s="34">
        <v>0</v>
      </c>
    </row>
    <row r="269" spans="1:10" ht="15.75" hidden="1" thickBot="1" x14ac:dyDescent="0.3">
      <c r="A269" s="249"/>
      <c r="B269" s="252"/>
      <c r="C269" s="36"/>
      <c r="D269" s="36"/>
      <c r="E269" s="37"/>
      <c r="F269" s="46" t="s">
        <v>23</v>
      </c>
      <c r="G269" s="35" t="str">
        <f t="shared" si="4"/>
        <v/>
      </c>
      <c r="H269" s="39"/>
      <c r="I269" s="35"/>
      <c r="J269" s="34">
        <v>0</v>
      </c>
    </row>
    <row r="270" spans="1:10" ht="15.75" hidden="1" thickBot="1" x14ac:dyDescent="0.3">
      <c r="A270" s="249"/>
      <c r="B270" s="252"/>
      <c r="C270" s="40" t="s">
        <v>3770</v>
      </c>
      <c r="D270" s="40" t="s">
        <v>3752</v>
      </c>
      <c r="E270" s="41">
        <v>3.4000000000000002E-2</v>
      </c>
      <c r="F270" s="35">
        <v>21.954499999999999</v>
      </c>
      <c r="G270" s="35">
        <f t="shared" si="4"/>
        <v>0.74645300000000003</v>
      </c>
      <c r="H270" s="43">
        <f>SUM(G270:G274)</f>
        <v>21.0444334768125</v>
      </c>
      <c r="I270" s="44"/>
      <c r="J270" s="34">
        <v>0</v>
      </c>
    </row>
    <row r="271" spans="1:10" ht="15.75" hidden="1" thickBot="1" x14ac:dyDescent="0.3">
      <c r="A271" s="249"/>
      <c r="B271" s="252"/>
      <c r="C271" s="40" t="s">
        <v>3760</v>
      </c>
      <c r="D271" s="40" t="s">
        <v>3752</v>
      </c>
      <c r="E271" s="41">
        <v>0.216</v>
      </c>
      <c r="F271" s="35">
        <v>28.385999999999999</v>
      </c>
      <c r="G271" s="35">
        <f t="shared" si="4"/>
        <v>6.1313759999999995</v>
      </c>
      <c r="H271" s="39"/>
      <c r="I271" s="35"/>
      <c r="J271" s="34">
        <v>0</v>
      </c>
    </row>
    <row r="272" spans="1:10" ht="26.25" hidden="1" thickBot="1" x14ac:dyDescent="0.3">
      <c r="A272" s="249"/>
      <c r="B272" s="252"/>
      <c r="C272" s="40" t="s">
        <v>4119</v>
      </c>
      <c r="D272" s="40" t="s">
        <v>3752</v>
      </c>
      <c r="E272" s="41">
        <v>5.5E-2</v>
      </c>
      <c r="F272" s="35">
        <v>21.555499999999999</v>
      </c>
      <c r="G272" s="35">
        <f t="shared" si="4"/>
        <v>1.1855525</v>
      </c>
      <c r="H272" s="39"/>
      <c r="I272" s="35"/>
      <c r="J272" s="34">
        <v>0</v>
      </c>
    </row>
    <row r="273" spans="1:10" ht="26.25" hidden="1" thickBot="1" x14ac:dyDescent="0.3">
      <c r="A273" s="249"/>
      <c r="B273" s="252"/>
      <c r="C273" s="40" t="s">
        <v>4110</v>
      </c>
      <c r="D273" s="40" t="s">
        <v>3752</v>
      </c>
      <c r="E273" s="41">
        <v>0.39100000000000001</v>
      </c>
      <c r="F273" s="35">
        <v>27.341000000000001</v>
      </c>
      <c r="G273" s="35">
        <f t="shared" si="4"/>
        <v>10.690331</v>
      </c>
      <c r="H273" s="39"/>
      <c r="I273" s="35"/>
      <c r="J273" s="34">
        <v>0</v>
      </c>
    </row>
    <row r="274" spans="1:10" ht="26.25" hidden="1" thickBot="1" x14ac:dyDescent="0.3">
      <c r="A274" s="249"/>
      <c r="B274" s="252"/>
      <c r="C274" s="40" t="s">
        <v>4740</v>
      </c>
      <c r="D274" s="40" t="s">
        <v>3764</v>
      </c>
      <c r="E274" s="41">
        <v>3.0000000000000001E-3</v>
      </c>
      <c r="F274" s="38">
        <v>763.57365893749989</v>
      </c>
      <c r="G274" s="38">
        <f t="shared" si="4"/>
        <v>2.2907209768124996</v>
      </c>
      <c r="H274" s="39"/>
      <c r="I274" s="35"/>
      <c r="J274" s="34">
        <v>0</v>
      </c>
    </row>
    <row r="275" spans="1:10" ht="15.75" hidden="1" thickBot="1" x14ac:dyDescent="0.3">
      <c r="A275" s="250"/>
      <c r="B275" s="253"/>
      <c r="C275" s="40"/>
      <c r="D275" s="40"/>
      <c r="E275" s="41"/>
      <c r="F275" s="35" t="s">
        <v>23</v>
      </c>
      <c r="G275" s="35" t="str">
        <f t="shared" si="4"/>
        <v/>
      </c>
      <c r="H275" s="39"/>
      <c r="I275" s="35"/>
      <c r="J275" s="34">
        <v>0</v>
      </c>
    </row>
    <row r="276" spans="1:10" ht="15.75" hidden="1" thickBot="1" x14ac:dyDescent="0.3">
      <c r="A276" s="248" t="s">
        <v>85</v>
      </c>
      <c r="B276" s="251" t="s">
        <v>2122</v>
      </c>
      <c r="C276" s="28"/>
      <c r="D276" s="29" t="s">
        <v>28</v>
      </c>
      <c r="E276" s="30"/>
      <c r="F276" s="45" t="s">
        <v>23</v>
      </c>
      <c r="G276" s="31" t="str">
        <f t="shared" si="4"/>
        <v/>
      </c>
      <c r="H276" s="32"/>
      <c r="I276" s="33"/>
      <c r="J276" s="34">
        <v>0</v>
      </c>
    </row>
    <row r="277" spans="1:10" ht="15.75" hidden="1" thickBot="1" x14ac:dyDescent="0.3">
      <c r="A277" s="249"/>
      <c r="B277" s="252"/>
      <c r="C277" s="36"/>
      <c r="D277" s="36"/>
      <c r="E277" s="37"/>
      <c r="F277" s="46" t="s">
        <v>23</v>
      </c>
      <c r="G277" s="35" t="str">
        <f t="shared" si="4"/>
        <v/>
      </c>
      <c r="H277" s="39"/>
      <c r="I277" s="35"/>
      <c r="J277" s="34">
        <v>0</v>
      </c>
    </row>
    <row r="278" spans="1:10" ht="26.25" hidden="1" thickBot="1" x14ac:dyDescent="0.3">
      <c r="A278" s="249"/>
      <c r="B278" s="252"/>
      <c r="C278" s="40" t="s">
        <v>3761</v>
      </c>
      <c r="D278" s="40" t="s">
        <v>1041</v>
      </c>
      <c r="E278" s="41">
        <v>0.58699999999999997</v>
      </c>
      <c r="F278" s="38">
        <v>25.032499999999999</v>
      </c>
      <c r="G278" s="38">
        <f t="shared" si="4"/>
        <v>14.694077499999999</v>
      </c>
      <c r="H278" s="43">
        <f>SUM(G278:G281)</f>
        <v>102.721296</v>
      </c>
      <c r="I278" s="44"/>
      <c r="J278" s="34">
        <v>0</v>
      </c>
    </row>
    <row r="279" spans="1:10" ht="26.25" hidden="1" thickBot="1" x14ac:dyDescent="0.3">
      <c r="A279" s="249"/>
      <c r="B279" s="252"/>
      <c r="C279" s="40" t="s">
        <v>3762</v>
      </c>
      <c r="D279" s="40" t="s">
        <v>1052</v>
      </c>
      <c r="E279" s="41">
        <v>1.29</v>
      </c>
      <c r="F279" s="38">
        <v>23.56</v>
      </c>
      <c r="G279" s="38">
        <f t="shared" si="4"/>
        <v>30.392399999999999</v>
      </c>
      <c r="H279" s="39"/>
      <c r="I279" s="35"/>
      <c r="J279" s="34">
        <v>0</v>
      </c>
    </row>
    <row r="280" spans="1:10" ht="26.25" hidden="1" thickBot="1" x14ac:dyDescent="0.3">
      <c r="A280" s="249"/>
      <c r="B280" s="252"/>
      <c r="C280" s="40" t="s">
        <v>4119</v>
      </c>
      <c r="D280" s="40" t="s">
        <v>3752</v>
      </c>
      <c r="E280" s="41">
        <v>0.29299999999999998</v>
      </c>
      <c r="F280" s="35">
        <v>21.555499999999999</v>
      </c>
      <c r="G280" s="38">
        <f t="shared" si="4"/>
        <v>6.3157614999999989</v>
      </c>
      <c r="H280" s="39"/>
      <c r="I280" s="35"/>
      <c r="J280" s="34">
        <v>0</v>
      </c>
    </row>
    <row r="281" spans="1:10" ht="26.25" hidden="1" thickBot="1" x14ac:dyDescent="0.3">
      <c r="A281" s="249"/>
      <c r="B281" s="252"/>
      <c r="C281" s="40" t="s">
        <v>4110</v>
      </c>
      <c r="D281" s="40" t="s">
        <v>3752</v>
      </c>
      <c r="E281" s="41">
        <v>1.877</v>
      </c>
      <c r="F281" s="35">
        <v>27.341000000000001</v>
      </c>
      <c r="G281" s="38">
        <f t="shared" si="4"/>
        <v>51.319057000000001</v>
      </c>
      <c r="H281" s="39"/>
      <c r="I281" s="35"/>
      <c r="J281" s="34">
        <v>0</v>
      </c>
    </row>
    <row r="282" spans="1:10" ht="15.75" hidden="1" thickBot="1" x14ac:dyDescent="0.3">
      <c r="A282" s="250"/>
      <c r="B282" s="253"/>
      <c r="C282" s="40"/>
      <c r="D282" s="40"/>
      <c r="E282" s="41"/>
      <c r="F282" s="35" t="s">
        <v>23</v>
      </c>
      <c r="G282" s="35" t="str">
        <f t="shared" si="4"/>
        <v/>
      </c>
      <c r="H282" s="39"/>
      <c r="I282" s="35"/>
      <c r="J282" s="34">
        <v>0</v>
      </c>
    </row>
    <row r="283" spans="1:10" ht="15.75" hidden="1" thickBot="1" x14ac:dyDescent="0.3">
      <c r="A283" s="248" t="s">
        <v>86</v>
      </c>
      <c r="B283" s="251" t="s">
        <v>2123</v>
      </c>
      <c r="C283" s="28"/>
      <c r="D283" s="29" t="s">
        <v>28</v>
      </c>
      <c r="E283" s="30"/>
      <c r="F283" s="45" t="s">
        <v>23</v>
      </c>
      <c r="G283" s="31" t="str">
        <f t="shared" si="4"/>
        <v/>
      </c>
      <c r="H283" s="32"/>
      <c r="I283" s="33"/>
      <c r="J283" s="34">
        <v>0</v>
      </c>
    </row>
    <row r="284" spans="1:10" ht="15.75" hidden="1" thickBot="1" x14ac:dyDescent="0.3">
      <c r="A284" s="249"/>
      <c r="B284" s="252"/>
      <c r="C284" s="36"/>
      <c r="D284" s="36"/>
      <c r="E284" s="37"/>
      <c r="F284" s="46" t="s">
        <v>23</v>
      </c>
      <c r="G284" s="35" t="str">
        <f t="shared" si="4"/>
        <v/>
      </c>
      <c r="H284" s="39"/>
      <c r="I284" s="35"/>
      <c r="J284" s="34">
        <v>0</v>
      </c>
    </row>
    <row r="285" spans="1:10" ht="26.25" hidden="1" thickBot="1" x14ac:dyDescent="0.3">
      <c r="A285" s="249"/>
      <c r="B285" s="252"/>
      <c r="C285" s="40" t="s">
        <v>3761</v>
      </c>
      <c r="D285" s="40" t="s">
        <v>1041</v>
      </c>
      <c r="E285" s="41">
        <v>0.75</v>
      </c>
      <c r="F285" s="38">
        <v>25.032499999999999</v>
      </c>
      <c r="G285" s="38">
        <f t="shared" si="4"/>
        <v>18.774374999999999</v>
      </c>
      <c r="H285" s="43">
        <f>SUM(G285:G288)</f>
        <v>131.1973845</v>
      </c>
      <c r="I285" s="44"/>
      <c r="J285" s="34">
        <v>0</v>
      </c>
    </row>
    <row r="286" spans="1:10" ht="26.25" hidden="1" thickBot="1" x14ac:dyDescent="0.3">
      <c r="A286" s="249"/>
      <c r="B286" s="252"/>
      <c r="C286" s="40" t="s">
        <v>3762</v>
      </c>
      <c r="D286" s="40" t="s">
        <v>1052</v>
      </c>
      <c r="E286" s="41">
        <v>1.647</v>
      </c>
      <c r="F286" s="38">
        <v>23.56</v>
      </c>
      <c r="G286" s="38">
        <f t="shared" si="4"/>
        <v>38.803319999999999</v>
      </c>
      <c r="H286" s="39"/>
      <c r="I286" s="35"/>
      <c r="J286" s="34">
        <v>0</v>
      </c>
    </row>
    <row r="287" spans="1:10" ht="26.25" hidden="1" thickBot="1" x14ac:dyDescent="0.3">
      <c r="A287" s="249"/>
      <c r="B287" s="252"/>
      <c r="C287" s="40" t="s">
        <v>4119</v>
      </c>
      <c r="D287" s="40" t="s">
        <v>3752</v>
      </c>
      <c r="E287" s="41">
        <v>0.375</v>
      </c>
      <c r="F287" s="35">
        <v>21.555499999999999</v>
      </c>
      <c r="G287" s="38">
        <f t="shared" si="4"/>
        <v>8.0833124999999999</v>
      </c>
      <c r="H287" s="39"/>
      <c r="I287" s="35"/>
      <c r="J287" s="34">
        <v>0</v>
      </c>
    </row>
    <row r="288" spans="1:10" ht="26.25" hidden="1" thickBot="1" x14ac:dyDescent="0.3">
      <c r="A288" s="249"/>
      <c r="B288" s="252"/>
      <c r="C288" s="40" t="s">
        <v>4110</v>
      </c>
      <c r="D288" s="40" t="s">
        <v>3752</v>
      </c>
      <c r="E288" s="41">
        <v>2.3969999999999998</v>
      </c>
      <c r="F288" s="35">
        <v>27.341000000000001</v>
      </c>
      <c r="G288" s="38">
        <f t="shared" si="4"/>
        <v>65.536377000000002</v>
      </c>
      <c r="H288" s="39"/>
      <c r="I288" s="35"/>
      <c r="J288" s="34">
        <v>0</v>
      </c>
    </row>
    <row r="289" spans="1:10" ht="15.75" hidden="1" thickBot="1" x14ac:dyDescent="0.3">
      <c r="A289" s="250"/>
      <c r="B289" s="253"/>
      <c r="C289" s="40"/>
      <c r="D289" s="40"/>
      <c r="E289" s="41"/>
      <c r="F289" s="35" t="s">
        <v>23</v>
      </c>
      <c r="G289" s="35" t="str">
        <f t="shared" si="4"/>
        <v/>
      </c>
      <c r="H289" s="39"/>
      <c r="I289" s="35"/>
      <c r="J289" s="34">
        <v>0</v>
      </c>
    </row>
    <row r="290" spans="1:10" ht="15.75" hidden="1" thickBot="1" x14ac:dyDescent="0.3">
      <c r="A290" s="248" t="s">
        <v>87</v>
      </c>
      <c r="B290" s="251" t="s">
        <v>2124</v>
      </c>
      <c r="C290" s="28"/>
      <c r="D290" s="29" t="s">
        <v>1748</v>
      </c>
      <c r="E290" s="30"/>
      <c r="F290" s="45" t="s">
        <v>23</v>
      </c>
      <c r="G290" s="31" t="str">
        <f t="shared" si="4"/>
        <v/>
      </c>
      <c r="H290" s="32"/>
      <c r="I290" s="33"/>
      <c r="J290" s="34">
        <v>0</v>
      </c>
    </row>
    <row r="291" spans="1:10" ht="15.75" hidden="1" thickBot="1" x14ac:dyDescent="0.3">
      <c r="A291" s="249"/>
      <c r="B291" s="252"/>
      <c r="C291" s="36"/>
      <c r="D291" s="36"/>
      <c r="E291" s="37"/>
      <c r="F291" s="46" t="s">
        <v>23</v>
      </c>
      <c r="G291" s="35" t="str">
        <f t="shared" si="4"/>
        <v/>
      </c>
      <c r="H291" s="39"/>
      <c r="I291" s="35"/>
      <c r="J291" s="34">
        <v>0</v>
      </c>
    </row>
    <row r="292" spans="1:10" ht="26.25" hidden="1" thickBot="1" x14ac:dyDescent="0.3">
      <c r="A292" s="249"/>
      <c r="B292" s="252"/>
      <c r="C292" s="40" t="s">
        <v>4708</v>
      </c>
      <c r="D292" s="40" t="s">
        <v>3764</v>
      </c>
      <c r="E292" s="41">
        <v>1</v>
      </c>
      <c r="F292" s="35">
        <v>292.45567599999998</v>
      </c>
      <c r="G292" s="38">
        <f t="shared" si="4"/>
        <v>292.45567599999998</v>
      </c>
      <c r="H292" s="43">
        <f>SUM(G292:G301)</f>
        <v>889.72767486374994</v>
      </c>
      <c r="I292" s="44"/>
      <c r="J292" s="34">
        <v>0</v>
      </c>
    </row>
    <row r="293" spans="1:10" ht="26.25" hidden="1" thickBot="1" x14ac:dyDescent="0.3">
      <c r="A293" s="249"/>
      <c r="B293" s="252"/>
      <c r="C293" s="40" t="s">
        <v>3763</v>
      </c>
      <c r="D293" s="40" t="s">
        <v>3764</v>
      </c>
      <c r="E293" s="41">
        <v>0.80459999999999998</v>
      </c>
      <c r="F293" s="38">
        <v>204.23099999999999</v>
      </c>
      <c r="G293" s="38">
        <f t="shared" si="4"/>
        <v>164.3242626</v>
      </c>
      <c r="H293" s="39"/>
      <c r="I293" s="35"/>
      <c r="J293" s="34">
        <v>0</v>
      </c>
    </row>
    <row r="294" spans="1:10" ht="15.75" hidden="1" thickBot="1" x14ac:dyDescent="0.3">
      <c r="A294" s="249"/>
      <c r="B294" s="252"/>
      <c r="C294" s="40" t="s">
        <v>3759</v>
      </c>
      <c r="D294" s="40" t="s">
        <v>1035</v>
      </c>
      <c r="E294" s="41">
        <v>273.06299999999999</v>
      </c>
      <c r="F294" s="38">
        <v>0.627</v>
      </c>
      <c r="G294" s="38">
        <f t="shared" si="4"/>
        <v>171.21050099999999</v>
      </c>
      <c r="H294" s="39"/>
      <c r="I294" s="35"/>
      <c r="J294" s="34">
        <v>0</v>
      </c>
    </row>
    <row r="295" spans="1:10" ht="26.25" hidden="1" thickBot="1" x14ac:dyDescent="0.3">
      <c r="A295" s="249"/>
      <c r="B295" s="252"/>
      <c r="C295" s="40" t="s">
        <v>4016</v>
      </c>
      <c r="D295" s="40" t="s">
        <v>3764</v>
      </c>
      <c r="E295" s="41">
        <v>0.57920000000000005</v>
      </c>
      <c r="F295" s="38">
        <v>170.107</v>
      </c>
      <c r="G295" s="38">
        <f t="shared" si="4"/>
        <v>98.52597440000001</v>
      </c>
      <c r="H295" s="39"/>
      <c r="I295" s="35"/>
      <c r="J295" s="34">
        <v>0</v>
      </c>
    </row>
    <row r="296" spans="1:10" ht="15.75" hidden="1" thickBot="1" x14ac:dyDescent="0.3">
      <c r="A296" s="249"/>
      <c r="B296" s="252"/>
      <c r="C296" s="40" t="s">
        <v>3754</v>
      </c>
      <c r="D296" s="40" t="s">
        <v>3752</v>
      </c>
      <c r="E296" s="41">
        <v>2.3275000000000001</v>
      </c>
      <c r="F296" s="35">
        <v>20.814499999999999</v>
      </c>
      <c r="G296" s="38">
        <f t="shared" si="4"/>
        <v>48.44574875</v>
      </c>
      <c r="H296" s="39"/>
      <c r="I296" s="35"/>
      <c r="J296" s="34">
        <v>0</v>
      </c>
    </row>
    <row r="297" spans="1:10" ht="26.25" hidden="1" thickBot="1" x14ac:dyDescent="0.3">
      <c r="A297" s="249"/>
      <c r="B297" s="252"/>
      <c r="C297" s="40" t="s">
        <v>3805</v>
      </c>
      <c r="D297" s="40" t="s">
        <v>3752</v>
      </c>
      <c r="E297" s="41">
        <v>1.4695</v>
      </c>
      <c r="F297" s="35">
        <v>20.918999999999997</v>
      </c>
      <c r="G297" s="38">
        <f t="shared" si="4"/>
        <v>30.740470499999997</v>
      </c>
      <c r="H297" s="39"/>
      <c r="I297" s="35"/>
      <c r="J297" s="34">
        <v>0</v>
      </c>
    </row>
    <row r="298" spans="1:10" ht="39" hidden="1" thickBot="1" x14ac:dyDescent="0.3">
      <c r="A298" s="249"/>
      <c r="B298" s="252"/>
      <c r="C298" s="40" t="s">
        <v>4115</v>
      </c>
      <c r="D298" s="40" t="s">
        <v>1041</v>
      </c>
      <c r="E298" s="41">
        <v>0.75629999999999997</v>
      </c>
      <c r="F298" s="38">
        <v>1.5579999999999998</v>
      </c>
      <c r="G298" s="38">
        <f t="shared" si="4"/>
        <v>1.1783153999999998</v>
      </c>
      <c r="H298" s="39"/>
      <c r="I298" s="35"/>
      <c r="J298" s="34">
        <v>0</v>
      </c>
    </row>
    <row r="299" spans="1:10" ht="39" hidden="1" thickBot="1" x14ac:dyDescent="0.3">
      <c r="A299" s="249"/>
      <c r="B299" s="252"/>
      <c r="C299" s="40" t="s">
        <v>4121</v>
      </c>
      <c r="D299" s="40" t="s">
        <v>1052</v>
      </c>
      <c r="E299" s="41">
        <v>0.71309999999999996</v>
      </c>
      <c r="F299" s="38">
        <v>0.38</v>
      </c>
      <c r="G299" s="38">
        <f t="shared" si="4"/>
        <v>0.270978</v>
      </c>
      <c r="H299" s="39"/>
      <c r="I299" s="35"/>
      <c r="J299" s="34">
        <v>0</v>
      </c>
    </row>
    <row r="300" spans="1:10" ht="51.75" hidden="1" thickBot="1" x14ac:dyDescent="0.3">
      <c r="A300" s="249"/>
      <c r="B300" s="252"/>
      <c r="C300" s="40" t="s">
        <v>4752</v>
      </c>
      <c r="D300" s="40" t="s">
        <v>3764</v>
      </c>
      <c r="E300" s="41">
        <f>1*(E293+E295)</f>
        <v>1.3837999999999999</v>
      </c>
      <c r="F300" s="38">
        <v>7.75243225</v>
      </c>
      <c r="G300" s="38">
        <f t="shared" si="4"/>
        <v>10.72781574755</v>
      </c>
      <c r="H300" s="39"/>
      <c r="I300" s="35"/>
      <c r="J300" s="34">
        <v>0</v>
      </c>
    </row>
    <row r="301" spans="1:10" ht="39" hidden="1" thickBot="1" x14ac:dyDescent="0.3">
      <c r="A301" s="249"/>
      <c r="B301" s="252"/>
      <c r="C301" s="40" t="s">
        <v>4749</v>
      </c>
      <c r="D301" s="40" t="s">
        <v>4744</v>
      </c>
      <c r="E301" s="41">
        <f>(E293+E295)*20</f>
        <v>27.675999999999998</v>
      </c>
      <c r="F301" s="38">
        <v>2.5960374499999999</v>
      </c>
      <c r="G301" s="38">
        <f t="shared" si="4"/>
        <v>71.847932466199993</v>
      </c>
      <c r="H301" s="39"/>
      <c r="I301" s="35"/>
      <c r="J301" s="34">
        <v>0</v>
      </c>
    </row>
    <row r="302" spans="1:10" ht="15.75" hidden="1" thickBot="1" x14ac:dyDescent="0.3">
      <c r="A302" s="249"/>
      <c r="B302" s="252"/>
      <c r="C302" s="52"/>
      <c r="D302" s="53"/>
      <c r="E302" s="41"/>
      <c r="F302" s="38" t="s">
        <v>23</v>
      </c>
      <c r="G302" s="38" t="str">
        <f t="shared" si="4"/>
        <v/>
      </c>
      <c r="H302" s="39"/>
      <c r="I302" s="35"/>
      <c r="J302" s="34">
        <v>0</v>
      </c>
    </row>
    <row r="303" spans="1:10" ht="26.25" hidden="1" thickBot="1" x14ac:dyDescent="0.3">
      <c r="A303" s="249"/>
      <c r="B303" s="252"/>
      <c r="C303" s="50" t="s">
        <v>88</v>
      </c>
      <c r="D303" s="53"/>
      <c r="E303" s="41"/>
      <c r="F303" s="38" t="s">
        <v>23</v>
      </c>
      <c r="G303" s="38" t="str">
        <f t="shared" si="4"/>
        <v/>
      </c>
      <c r="H303" s="39"/>
      <c r="I303" s="35"/>
      <c r="J303" s="34">
        <v>0</v>
      </c>
    </row>
    <row r="304" spans="1:10" ht="15.75" hidden="1" thickBot="1" x14ac:dyDescent="0.3">
      <c r="A304" s="250"/>
      <c r="B304" s="253"/>
      <c r="C304" s="40"/>
      <c r="D304" s="40"/>
      <c r="E304" s="41"/>
      <c r="F304" s="35" t="s">
        <v>23</v>
      </c>
      <c r="G304" s="35" t="str">
        <f t="shared" si="4"/>
        <v/>
      </c>
      <c r="H304" s="39"/>
      <c r="I304" s="35"/>
      <c r="J304" s="34">
        <v>0</v>
      </c>
    </row>
    <row r="305" spans="1:10" ht="15.75" hidden="1" thickBot="1" x14ac:dyDescent="0.3">
      <c r="A305" s="248" t="s">
        <v>89</v>
      </c>
      <c r="B305" s="251" t="s">
        <v>2125</v>
      </c>
      <c r="C305" s="28"/>
      <c r="D305" s="29" t="s">
        <v>1748</v>
      </c>
      <c r="E305" s="30"/>
      <c r="F305" s="45" t="s">
        <v>23</v>
      </c>
      <c r="G305" s="31" t="str">
        <f t="shared" si="4"/>
        <v/>
      </c>
      <c r="H305" s="32"/>
      <c r="I305" s="33"/>
      <c r="J305" s="34">
        <v>0</v>
      </c>
    </row>
    <row r="306" spans="1:10" ht="15.75" hidden="1" thickBot="1" x14ac:dyDescent="0.3">
      <c r="A306" s="249"/>
      <c r="B306" s="252"/>
      <c r="C306" s="36"/>
      <c r="D306" s="36"/>
      <c r="E306" s="37"/>
      <c r="F306" s="46" t="s">
        <v>23</v>
      </c>
      <c r="G306" s="35" t="str">
        <f t="shared" si="4"/>
        <v/>
      </c>
      <c r="H306" s="39"/>
      <c r="I306" s="35"/>
      <c r="J306" s="34">
        <v>0</v>
      </c>
    </row>
    <row r="307" spans="1:10" ht="26.25" hidden="1" thickBot="1" x14ac:dyDescent="0.3">
      <c r="A307" s="249"/>
      <c r="B307" s="252"/>
      <c r="C307" s="40" t="s">
        <v>4708</v>
      </c>
      <c r="D307" s="40" t="s">
        <v>3764</v>
      </c>
      <c r="E307" s="41">
        <v>1</v>
      </c>
      <c r="F307" s="35">
        <v>292.45567599999998</v>
      </c>
      <c r="G307" s="38">
        <f t="shared" si="4"/>
        <v>292.45567599999998</v>
      </c>
      <c r="H307" s="43">
        <f>SUM(G307:G316)</f>
        <v>927.14980262937479</v>
      </c>
      <c r="I307" s="44"/>
      <c r="J307" s="34">
        <v>0</v>
      </c>
    </row>
    <row r="308" spans="1:10" ht="26.25" hidden="1" thickBot="1" x14ac:dyDescent="0.3">
      <c r="A308" s="249"/>
      <c r="B308" s="252"/>
      <c r="C308" s="40" t="s">
        <v>3763</v>
      </c>
      <c r="D308" s="40" t="s">
        <v>3764</v>
      </c>
      <c r="E308" s="41">
        <v>0.72289999999999999</v>
      </c>
      <c r="F308" s="38">
        <v>204.23099999999999</v>
      </c>
      <c r="G308" s="35">
        <f t="shared" si="4"/>
        <v>147.6385899</v>
      </c>
      <c r="H308" s="39"/>
      <c r="I308" s="35"/>
      <c r="J308" s="34">
        <v>0</v>
      </c>
    </row>
    <row r="309" spans="1:10" ht="15.75" hidden="1" thickBot="1" x14ac:dyDescent="0.3">
      <c r="A309" s="249"/>
      <c r="B309" s="252"/>
      <c r="C309" s="40" t="s">
        <v>3759</v>
      </c>
      <c r="D309" s="40" t="s">
        <v>1035</v>
      </c>
      <c r="E309" s="41">
        <v>362.65789999999998</v>
      </c>
      <c r="F309" s="38">
        <v>0.627</v>
      </c>
      <c r="G309" s="35">
        <f t="shared" si="4"/>
        <v>227.38650329999999</v>
      </c>
      <c r="H309" s="39"/>
      <c r="I309" s="35"/>
      <c r="J309" s="34">
        <v>0</v>
      </c>
    </row>
    <row r="310" spans="1:10" ht="26.25" hidden="1" thickBot="1" x14ac:dyDescent="0.3">
      <c r="A310" s="249"/>
      <c r="B310" s="252"/>
      <c r="C310" s="40" t="s">
        <v>4016</v>
      </c>
      <c r="D310" s="40" t="s">
        <v>3764</v>
      </c>
      <c r="E310" s="41">
        <v>0.59340000000000004</v>
      </c>
      <c r="F310" s="38">
        <v>170.107</v>
      </c>
      <c r="G310" s="35">
        <f t="shared" si="4"/>
        <v>100.9414938</v>
      </c>
      <c r="H310" s="39"/>
      <c r="I310" s="35"/>
      <c r="J310" s="34">
        <v>0</v>
      </c>
    </row>
    <row r="311" spans="1:10" ht="15.75" hidden="1" thickBot="1" x14ac:dyDescent="0.3">
      <c r="A311" s="249"/>
      <c r="B311" s="252"/>
      <c r="C311" s="40" t="s">
        <v>3754</v>
      </c>
      <c r="D311" s="40" t="s">
        <v>3752</v>
      </c>
      <c r="E311" s="41">
        <v>2.3117000000000001</v>
      </c>
      <c r="F311" s="35">
        <v>20.814499999999999</v>
      </c>
      <c r="G311" s="35">
        <f t="shared" si="4"/>
        <v>48.116879650000001</v>
      </c>
      <c r="H311" s="39"/>
      <c r="I311" s="35"/>
      <c r="J311" s="34">
        <v>0</v>
      </c>
    </row>
    <row r="312" spans="1:10" ht="26.25" hidden="1" thickBot="1" x14ac:dyDescent="0.3">
      <c r="A312" s="249"/>
      <c r="B312" s="252"/>
      <c r="C312" s="40" t="s">
        <v>3805</v>
      </c>
      <c r="D312" s="40" t="s">
        <v>3752</v>
      </c>
      <c r="E312" s="41">
        <v>1.4637</v>
      </c>
      <c r="F312" s="35">
        <v>20.918999999999997</v>
      </c>
      <c r="G312" s="35">
        <f t="shared" si="4"/>
        <v>30.619140299999994</v>
      </c>
      <c r="H312" s="39"/>
      <c r="I312" s="35"/>
      <c r="J312" s="34">
        <v>0</v>
      </c>
    </row>
    <row r="313" spans="1:10" ht="39" hidden="1" thickBot="1" x14ac:dyDescent="0.3">
      <c r="A313" s="249"/>
      <c r="B313" s="252"/>
      <c r="C313" s="40" t="s">
        <v>4115</v>
      </c>
      <c r="D313" s="40" t="s">
        <v>1041</v>
      </c>
      <c r="E313" s="41">
        <v>0.75339999999999996</v>
      </c>
      <c r="F313" s="38">
        <v>1.5579999999999998</v>
      </c>
      <c r="G313" s="35">
        <f t="shared" si="4"/>
        <v>1.1737971999999999</v>
      </c>
      <c r="H313" s="39"/>
      <c r="I313" s="35"/>
      <c r="J313" s="34">
        <v>0</v>
      </c>
    </row>
    <row r="314" spans="1:10" ht="39" hidden="1" thickBot="1" x14ac:dyDescent="0.3">
      <c r="A314" s="249"/>
      <c r="B314" s="252"/>
      <c r="C314" s="40" t="s">
        <v>4121</v>
      </c>
      <c r="D314" s="40" t="s">
        <v>1052</v>
      </c>
      <c r="E314" s="41">
        <v>0.71030000000000004</v>
      </c>
      <c r="F314" s="38">
        <v>0.38</v>
      </c>
      <c r="G314" s="35">
        <f t="shared" si="4"/>
        <v>0.26991400000000004</v>
      </c>
      <c r="H314" s="39"/>
      <c r="I314" s="35"/>
      <c r="J314" s="34">
        <v>0</v>
      </c>
    </row>
    <row r="315" spans="1:10" ht="51.75" hidden="1" thickBot="1" x14ac:dyDescent="0.3">
      <c r="A315" s="249"/>
      <c r="B315" s="252"/>
      <c r="C315" s="40" t="s">
        <v>4752</v>
      </c>
      <c r="D315" s="40" t="s">
        <v>3764</v>
      </c>
      <c r="E315" s="41">
        <f>1*(E308+E310)</f>
        <v>1.3163</v>
      </c>
      <c r="F315" s="38">
        <v>7.75243225</v>
      </c>
      <c r="G315" s="38">
        <f t="shared" si="4"/>
        <v>10.204526570675</v>
      </c>
      <c r="H315" s="39"/>
      <c r="I315" s="35"/>
      <c r="J315" s="34">
        <v>0</v>
      </c>
    </row>
    <row r="316" spans="1:10" ht="39" hidden="1" thickBot="1" x14ac:dyDescent="0.3">
      <c r="A316" s="249"/>
      <c r="B316" s="252"/>
      <c r="C316" s="40" t="s">
        <v>4749</v>
      </c>
      <c r="D316" s="40" t="s">
        <v>4744</v>
      </c>
      <c r="E316" s="41">
        <f>(E308+E310)*20</f>
        <v>26.326000000000001</v>
      </c>
      <c r="F316" s="38">
        <v>2.5960374499999999</v>
      </c>
      <c r="G316" s="38">
        <f t="shared" si="4"/>
        <v>68.343281908699993</v>
      </c>
      <c r="H316" s="39"/>
      <c r="I316" s="35"/>
      <c r="J316" s="34">
        <v>0</v>
      </c>
    </row>
    <row r="317" spans="1:10" ht="15.75" hidden="1" thickBot="1" x14ac:dyDescent="0.3">
      <c r="A317" s="249"/>
      <c r="B317" s="252"/>
      <c r="C317" s="52"/>
      <c r="D317" s="53"/>
      <c r="E317" s="41"/>
      <c r="F317" s="38" t="s">
        <v>23</v>
      </c>
      <c r="G317" s="38" t="str">
        <f t="shared" si="4"/>
        <v/>
      </c>
      <c r="H317" s="39"/>
      <c r="I317" s="35"/>
      <c r="J317" s="34">
        <v>0</v>
      </c>
    </row>
    <row r="318" spans="1:10" ht="26.25" hidden="1" thickBot="1" x14ac:dyDescent="0.3">
      <c r="A318" s="249"/>
      <c r="B318" s="252"/>
      <c r="C318" s="50" t="s">
        <v>88</v>
      </c>
      <c r="D318" s="53"/>
      <c r="E318" s="41"/>
      <c r="F318" s="38" t="s">
        <v>23</v>
      </c>
      <c r="G318" s="38" t="str">
        <f t="shared" si="4"/>
        <v/>
      </c>
      <c r="H318" s="39"/>
      <c r="I318" s="35"/>
      <c r="J318" s="34">
        <v>0</v>
      </c>
    </row>
    <row r="319" spans="1:10" ht="15.75" hidden="1" thickBot="1" x14ac:dyDescent="0.3">
      <c r="A319" s="250"/>
      <c r="B319" s="253"/>
      <c r="C319" s="40"/>
      <c r="D319" s="40"/>
      <c r="E319" s="41"/>
      <c r="F319" s="35" t="s">
        <v>23</v>
      </c>
      <c r="G319" s="35" t="str">
        <f t="shared" si="4"/>
        <v/>
      </c>
      <c r="H319" s="39"/>
      <c r="I319" s="35"/>
      <c r="J319" s="34">
        <v>0</v>
      </c>
    </row>
    <row r="320" spans="1:10" ht="15.75" hidden="1" thickBot="1" x14ac:dyDescent="0.3">
      <c r="A320" s="248" t="s">
        <v>90</v>
      </c>
      <c r="B320" s="251" t="s">
        <v>2126</v>
      </c>
      <c r="C320" s="28"/>
      <c r="D320" s="29" t="s">
        <v>2082</v>
      </c>
      <c r="E320" s="30"/>
      <c r="F320" s="45" t="s">
        <v>23</v>
      </c>
      <c r="G320" s="31" t="str">
        <f t="shared" si="4"/>
        <v/>
      </c>
      <c r="H320" s="32"/>
      <c r="I320" s="33"/>
      <c r="J320" s="34">
        <v>0</v>
      </c>
    </row>
    <row r="321" spans="1:10" ht="15.75" hidden="1" thickBot="1" x14ac:dyDescent="0.3">
      <c r="A321" s="249"/>
      <c r="B321" s="252"/>
      <c r="C321" s="36"/>
      <c r="D321" s="36"/>
      <c r="E321" s="37"/>
      <c r="F321" s="35" t="s">
        <v>23</v>
      </c>
      <c r="G321" s="35" t="str">
        <f t="shared" si="4"/>
        <v/>
      </c>
      <c r="H321" s="39"/>
      <c r="I321" s="35"/>
      <c r="J321" s="34">
        <v>0</v>
      </c>
    </row>
    <row r="322" spans="1:10" ht="39" hidden="1" thickBot="1" x14ac:dyDescent="0.3">
      <c r="A322" s="249"/>
      <c r="B322" s="252"/>
      <c r="C322" s="40" t="s">
        <v>3785</v>
      </c>
      <c r="D322" s="40" t="s">
        <v>3778</v>
      </c>
      <c r="E322" s="41">
        <v>0.85</v>
      </c>
      <c r="F322" s="35">
        <v>16.862500000000001</v>
      </c>
      <c r="G322" s="35">
        <f t="shared" si="4"/>
        <v>14.333125000000001</v>
      </c>
      <c r="H322" s="43">
        <f>SUM(G322:G324)</f>
        <v>27.236025000000005</v>
      </c>
      <c r="I322" s="44"/>
      <c r="J322" s="34">
        <v>0</v>
      </c>
    </row>
    <row r="323" spans="1:10" ht="15.75" hidden="1" thickBot="1" x14ac:dyDescent="0.3">
      <c r="A323" s="249"/>
      <c r="B323" s="252"/>
      <c r="C323" s="40" t="s">
        <v>4111</v>
      </c>
      <c r="D323" s="40" t="s">
        <v>3752</v>
      </c>
      <c r="E323" s="41">
        <v>0.2</v>
      </c>
      <c r="F323" s="35">
        <v>21.983000000000001</v>
      </c>
      <c r="G323" s="35">
        <f t="shared" si="4"/>
        <v>4.3966000000000003</v>
      </c>
      <c r="H323" s="39"/>
      <c r="I323" s="35"/>
      <c r="J323" s="34">
        <v>0</v>
      </c>
    </row>
    <row r="324" spans="1:10" ht="26.25" hidden="1" thickBot="1" x14ac:dyDescent="0.3">
      <c r="A324" s="249"/>
      <c r="B324" s="252"/>
      <c r="C324" s="40" t="s">
        <v>3840</v>
      </c>
      <c r="D324" s="40" t="s">
        <v>1286</v>
      </c>
      <c r="E324" s="41">
        <v>1.1000000000000001</v>
      </c>
      <c r="F324" s="35">
        <v>7.7330000000000005</v>
      </c>
      <c r="G324" s="35">
        <f t="shared" si="4"/>
        <v>8.5063000000000013</v>
      </c>
      <c r="H324" s="39"/>
      <c r="I324" s="35"/>
      <c r="J324" s="34">
        <v>0</v>
      </c>
    </row>
    <row r="325" spans="1:10" ht="15.75" hidden="1" thickBot="1" x14ac:dyDescent="0.3">
      <c r="A325" s="249"/>
      <c r="B325" s="252"/>
      <c r="C325" s="40"/>
      <c r="D325" s="40"/>
      <c r="E325" s="41"/>
      <c r="F325" s="35" t="s">
        <v>23</v>
      </c>
      <c r="G325" s="35" t="str">
        <f t="shared" si="4"/>
        <v/>
      </c>
      <c r="H325" s="39"/>
      <c r="I325" s="35"/>
      <c r="J325" s="34">
        <v>0</v>
      </c>
    </row>
    <row r="326" spans="1:10" ht="15.75" hidden="1" thickBot="1" x14ac:dyDescent="0.3">
      <c r="A326" s="248" t="s">
        <v>91</v>
      </c>
      <c r="B326" s="251" t="s">
        <v>2127</v>
      </c>
      <c r="C326" s="28"/>
      <c r="D326" s="29" t="s">
        <v>82</v>
      </c>
      <c r="E326" s="30"/>
      <c r="F326" s="45" t="s">
        <v>23</v>
      </c>
      <c r="G326" s="31" t="str">
        <f t="shared" ref="G326:G389" si="5">IF(ISNUMBER(F326),E326*F326,"")</f>
        <v/>
      </c>
      <c r="H326" s="32"/>
      <c r="I326" s="33"/>
      <c r="J326" s="34">
        <v>0</v>
      </c>
    </row>
    <row r="327" spans="1:10" ht="15.75" hidden="1" thickBot="1" x14ac:dyDescent="0.3">
      <c r="A327" s="249"/>
      <c r="B327" s="252"/>
      <c r="C327" s="36"/>
      <c r="D327" s="36"/>
      <c r="E327" s="37"/>
      <c r="F327" s="46" t="s">
        <v>23</v>
      </c>
      <c r="G327" s="35" t="str">
        <f t="shared" si="5"/>
        <v/>
      </c>
      <c r="H327" s="39"/>
      <c r="I327" s="35"/>
      <c r="J327" s="34">
        <v>0</v>
      </c>
    </row>
    <row r="328" spans="1:10" ht="39" hidden="1" thickBot="1" x14ac:dyDescent="0.3">
      <c r="A328" s="249"/>
      <c r="B328" s="252"/>
      <c r="C328" s="40" t="s">
        <v>3786</v>
      </c>
      <c r="D328" s="40" t="s">
        <v>1035</v>
      </c>
      <c r="E328" s="41">
        <v>0.01</v>
      </c>
      <c r="F328" s="38">
        <v>74.575000000000003</v>
      </c>
      <c r="G328" s="38">
        <f t="shared" si="5"/>
        <v>0.74575000000000002</v>
      </c>
      <c r="H328" s="43">
        <f>SUM(G328:G339)</f>
        <v>15.728484999999999</v>
      </c>
      <c r="I328" s="44"/>
      <c r="J328" s="34">
        <v>0</v>
      </c>
    </row>
    <row r="329" spans="1:10" ht="26.25" hidden="1" thickBot="1" x14ac:dyDescent="0.3">
      <c r="A329" s="249"/>
      <c r="B329" s="252"/>
      <c r="C329" s="40" t="s">
        <v>3981</v>
      </c>
      <c r="D329" s="40" t="s">
        <v>1035</v>
      </c>
      <c r="E329" s="41">
        <v>0.27</v>
      </c>
      <c r="F329" s="38">
        <v>9.5854999999999997</v>
      </c>
      <c r="G329" s="38">
        <f t="shared" si="5"/>
        <v>2.588085</v>
      </c>
      <c r="H329" s="39"/>
      <c r="I329" s="35"/>
      <c r="J329" s="34">
        <v>0</v>
      </c>
    </row>
    <row r="330" spans="1:10" ht="15.75" hidden="1" thickBot="1" x14ac:dyDescent="0.3">
      <c r="A330" s="249"/>
      <c r="B330" s="252"/>
      <c r="C330" s="40" t="s">
        <v>92</v>
      </c>
      <c r="D330" s="53" t="s">
        <v>82</v>
      </c>
      <c r="E330" s="41">
        <v>0.33</v>
      </c>
      <c r="F330" s="38">
        <v>0</v>
      </c>
      <c r="G330" s="38">
        <f t="shared" si="5"/>
        <v>0</v>
      </c>
      <c r="H330" s="39"/>
      <c r="I330" s="35"/>
      <c r="J330" s="34">
        <v>0</v>
      </c>
    </row>
    <row r="331" spans="1:10" ht="15.75" hidden="1" thickBot="1" x14ac:dyDescent="0.3">
      <c r="A331" s="249"/>
      <c r="B331" s="252"/>
      <c r="C331" s="40" t="s">
        <v>4141</v>
      </c>
      <c r="D331" s="40" t="s">
        <v>1035</v>
      </c>
      <c r="E331" s="41">
        <v>2.5000000000000001E-2</v>
      </c>
      <c r="F331" s="38">
        <v>38</v>
      </c>
      <c r="G331" s="38">
        <f t="shared" si="5"/>
        <v>0.95000000000000007</v>
      </c>
      <c r="H331" s="39"/>
      <c r="I331" s="35"/>
      <c r="J331" s="34">
        <v>0</v>
      </c>
    </row>
    <row r="332" spans="1:10" ht="26.25" hidden="1" thickBot="1" x14ac:dyDescent="0.3">
      <c r="A332" s="249"/>
      <c r="B332" s="252"/>
      <c r="C332" s="40" t="s">
        <v>3790</v>
      </c>
      <c r="D332" s="40" t="s">
        <v>3764</v>
      </c>
      <c r="E332" s="41">
        <v>0.05</v>
      </c>
      <c r="F332" s="38">
        <v>16.34</v>
      </c>
      <c r="G332" s="38">
        <f t="shared" si="5"/>
        <v>0.81700000000000006</v>
      </c>
      <c r="H332" s="39"/>
      <c r="I332" s="35"/>
      <c r="J332" s="34">
        <v>0</v>
      </c>
    </row>
    <row r="333" spans="1:10" ht="15.75" hidden="1" thickBot="1" x14ac:dyDescent="0.3">
      <c r="A333" s="249"/>
      <c r="B333" s="252"/>
      <c r="C333" s="40" t="s">
        <v>93</v>
      </c>
      <c r="D333" s="53" t="s">
        <v>82</v>
      </c>
      <c r="E333" s="41">
        <v>0.4</v>
      </c>
      <c r="F333" s="38">
        <v>0</v>
      </c>
      <c r="G333" s="38">
        <f t="shared" si="5"/>
        <v>0</v>
      </c>
      <c r="H333" s="39"/>
      <c r="I333" s="35"/>
      <c r="J333" s="34">
        <v>0</v>
      </c>
    </row>
    <row r="334" spans="1:10" ht="26.25" hidden="1" thickBot="1" x14ac:dyDescent="0.3">
      <c r="A334" s="249"/>
      <c r="B334" s="252"/>
      <c r="C334" s="40" t="s">
        <v>3800</v>
      </c>
      <c r="D334" s="40" t="s">
        <v>3752</v>
      </c>
      <c r="E334" s="41">
        <f>0.2+0.2</f>
        <v>0.4</v>
      </c>
      <c r="F334" s="35">
        <v>21.365499999999997</v>
      </c>
      <c r="G334" s="38">
        <f t="shared" si="5"/>
        <v>8.5461999999999989</v>
      </c>
      <c r="H334" s="39"/>
      <c r="I334" s="35"/>
      <c r="J334" s="34">
        <v>0</v>
      </c>
    </row>
    <row r="335" spans="1:10" ht="15.75" hidden="1" thickBot="1" x14ac:dyDescent="0.3">
      <c r="A335" s="249"/>
      <c r="B335" s="252"/>
      <c r="C335" s="40" t="s">
        <v>3754</v>
      </c>
      <c r="D335" s="40" t="s">
        <v>3752</v>
      </c>
      <c r="E335" s="41">
        <v>0.1</v>
      </c>
      <c r="F335" s="35">
        <v>20.814499999999999</v>
      </c>
      <c r="G335" s="38">
        <f t="shared" si="5"/>
        <v>2.0814499999999998</v>
      </c>
      <c r="H335" s="39"/>
      <c r="I335" s="35"/>
      <c r="J335" s="34">
        <v>0</v>
      </c>
    </row>
    <row r="336" spans="1:10" ht="26.25" hidden="1" thickBot="1" x14ac:dyDescent="0.3">
      <c r="A336" s="249"/>
      <c r="B336" s="252"/>
      <c r="C336" s="40" t="s">
        <v>94</v>
      </c>
      <c r="D336" s="53" t="s">
        <v>82</v>
      </c>
      <c r="E336" s="41">
        <v>0.05</v>
      </c>
      <c r="F336" s="38">
        <v>0</v>
      </c>
      <c r="G336" s="38">
        <f t="shared" si="5"/>
        <v>0</v>
      </c>
      <c r="H336" s="39"/>
      <c r="I336" s="35"/>
      <c r="J336" s="34">
        <v>0</v>
      </c>
    </row>
    <row r="337" spans="1:10" ht="39" hidden="1" thickBot="1" x14ac:dyDescent="0.3">
      <c r="A337" s="249"/>
      <c r="B337" s="252"/>
      <c r="C337" s="40" t="s">
        <v>95</v>
      </c>
      <c r="D337" s="53" t="s">
        <v>78</v>
      </c>
      <c r="E337" s="41">
        <v>0.05</v>
      </c>
      <c r="F337" s="38">
        <v>0</v>
      </c>
      <c r="G337" s="38">
        <f t="shared" si="5"/>
        <v>0</v>
      </c>
      <c r="H337" s="39"/>
      <c r="I337" s="35"/>
      <c r="J337" s="34">
        <v>0</v>
      </c>
    </row>
    <row r="338" spans="1:10" ht="15.75" hidden="1" thickBot="1" x14ac:dyDescent="0.3">
      <c r="A338" s="249"/>
      <c r="B338" s="252"/>
      <c r="C338" s="40" t="s">
        <v>96</v>
      </c>
      <c r="D338" s="53" t="s">
        <v>97</v>
      </c>
      <c r="E338" s="41">
        <v>2.5000000000000001E-2</v>
      </c>
      <c r="F338" s="38">
        <v>0</v>
      </c>
      <c r="G338" s="38">
        <f t="shared" si="5"/>
        <v>0</v>
      </c>
      <c r="H338" s="39"/>
      <c r="I338" s="35"/>
      <c r="J338" s="34">
        <v>0</v>
      </c>
    </row>
    <row r="339" spans="1:10" ht="51.75" hidden="1" thickBot="1" x14ac:dyDescent="0.3">
      <c r="A339" s="249"/>
      <c r="B339" s="252"/>
      <c r="C339" s="40" t="s">
        <v>98</v>
      </c>
      <c r="D339" s="53" t="s">
        <v>97</v>
      </c>
      <c r="E339" s="41">
        <v>0.5</v>
      </c>
      <c r="F339" s="38">
        <v>0</v>
      </c>
      <c r="G339" s="38">
        <f t="shared" si="5"/>
        <v>0</v>
      </c>
      <c r="H339" s="39"/>
      <c r="I339" s="35"/>
      <c r="J339" s="34">
        <v>0</v>
      </c>
    </row>
    <row r="340" spans="1:10" ht="15.75" hidden="1" thickBot="1" x14ac:dyDescent="0.3">
      <c r="A340" s="250"/>
      <c r="B340" s="253"/>
      <c r="C340" s="40"/>
      <c r="D340" s="40"/>
      <c r="E340" s="41"/>
      <c r="F340" s="35" t="s">
        <v>23</v>
      </c>
      <c r="G340" s="35" t="str">
        <f t="shared" si="5"/>
        <v/>
      </c>
      <c r="H340" s="39"/>
      <c r="I340" s="35"/>
      <c r="J340" s="34">
        <v>0</v>
      </c>
    </row>
    <row r="341" spans="1:10" ht="15.75" thickBot="1" x14ac:dyDescent="0.3">
      <c r="A341" s="248" t="s">
        <v>99</v>
      </c>
      <c r="B341" s="251" t="s">
        <v>2128</v>
      </c>
      <c r="C341" s="28"/>
      <c r="D341" s="29" t="s">
        <v>78</v>
      </c>
      <c r="E341" s="30"/>
      <c r="F341" s="45" t="s">
        <v>23</v>
      </c>
      <c r="G341" s="31" t="str">
        <f t="shared" si="5"/>
        <v/>
      </c>
      <c r="H341" s="32"/>
      <c r="I341" s="33"/>
      <c r="J341" s="34">
        <v>500</v>
      </c>
    </row>
    <row r="342" spans="1:10" x14ac:dyDescent="0.25">
      <c r="A342" s="249"/>
      <c r="B342" s="252"/>
      <c r="C342" s="36"/>
      <c r="D342" s="36"/>
      <c r="E342" s="37"/>
      <c r="F342" s="46" t="s">
        <v>23</v>
      </c>
      <c r="G342" s="35" t="str">
        <f t="shared" si="5"/>
        <v/>
      </c>
      <c r="H342" s="39"/>
      <c r="I342" s="35"/>
      <c r="J342" s="34">
        <v>500</v>
      </c>
    </row>
    <row r="343" spans="1:10" ht="25.5" x14ac:dyDescent="0.25">
      <c r="A343" s="249"/>
      <c r="B343" s="252"/>
      <c r="C343" s="40" t="s">
        <v>4659</v>
      </c>
      <c r="D343" s="40" t="s">
        <v>80</v>
      </c>
      <c r="E343" s="41">
        <v>0.01</v>
      </c>
      <c r="F343" s="38">
        <v>7.9229999999999992</v>
      </c>
      <c r="G343" s="38">
        <f t="shared" si="5"/>
        <v>7.9229999999999995E-2</v>
      </c>
      <c r="H343" s="43">
        <f>SUM(G343:G349)</f>
        <v>183.91630900299998</v>
      </c>
      <c r="I343" s="44"/>
      <c r="J343" s="34">
        <v>500</v>
      </c>
    </row>
    <row r="344" spans="1:10" ht="25.5" x14ac:dyDescent="0.25">
      <c r="A344" s="249"/>
      <c r="B344" s="252"/>
      <c r="C344" s="40" t="s">
        <v>4137</v>
      </c>
      <c r="D344" s="40" t="s">
        <v>1286</v>
      </c>
      <c r="E344" s="41">
        <v>0.47399999999999998</v>
      </c>
      <c r="F344" s="38">
        <v>22.42</v>
      </c>
      <c r="G344" s="38">
        <f t="shared" si="5"/>
        <v>10.627079999999999</v>
      </c>
      <c r="H344" s="39"/>
      <c r="I344" s="35"/>
      <c r="J344" s="34">
        <v>500</v>
      </c>
    </row>
    <row r="345" spans="1:10" x14ac:dyDescent="0.25">
      <c r="A345" s="249"/>
      <c r="B345" s="252"/>
      <c r="C345" s="40" t="s">
        <v>4185</v>
      </c>
      <c r="D345" s="40" t="s">
        <v>1035</v>
      </c>
      <c r="E345" s="41">
        <v>4.9000000000000002E-2</v>
      </c>
      <c r="F345" s="38">
        <v>25.640499999999996</v>
      </c>
      <c r="G345" s="38">
        <f t="shared" si="5"/>
        <v>1.2563844999999998</v>
      </c>
      <c r="H345" s="39"/>
      <c r="I345" s="35"/>
      <c r="J345" s="34">
        <v>500</v>
      </c>
    </row>
    <row r="346" spans="1:10" x14ac:dyDescent="0.25">
      <c r="A346" s="249"/>
      <c r="B346" s="252"/>
      <c r="C346" s="40" t="s">
        <v>4111</v>
      </c>
      <c r="D346" s="40" t="s">
        <v>3752</v>
      </c>
      <c r="E346" s="41">
        <v>0.20499999999999999</v>
      </c>
      <c r="F346" s="35">
        <v>21.983000000000001</v>
      </c>
      <c r="G346" s="38">
        <f t="shared" si="5"/>
        <v>4.5065150000000003</v>
      </c>
      <c r="H346" s="39"/>
      <c r="I346" s="35"/>
      <c r="J346" s="34">
        <v>500</v>
      </c>
    </row>
    <row r="347" spans="1:10" x14ac:dyDescent="0.25">
      <c r="A347" s="249"/>
      <c r="B347" s="252"/>
      <c r="C347" s="40" t="s">
        <v>3823</v>
      </c>
      <c r="D347" s="40" t="s">
        <v>3752</v>
      </c>
      <c r="E347" s="41">
        <v>1.1200000000000001</v>
      </c>
      <c r="F347" s="35">
        <v>27.683</v>
      </c>
      <c r="G347" s="38">
        <f t="shared" si="5"/>
        <v>31.004960000000004</v>
      </c>
      <c r="H347" s="39"/>
      <c r="I347" s="35"/>
      <c r="J347" s="34">
        <v>500</v>
      </c>
    </row>
    <row r="348" spans="1:10" ht="25.5" x14ac:dyDescent="0.25">
      <c r="A348" s="249"/>
      <c r="B348" s="252"/>
      <c r="C348" s="40" t="s">
        <v>4680</v>
      </c>
      <c r="D348" s="40" t="s">
        <v>177</v>
      </c>
      <c r="E348" s="41">
        <v>0.621</v>
      </c>
      <c r="F348" s="38">
        <v>116.54601899999997</v>
      </c>
      <c r="G348" s="38">
        <f t="shared" si="5"/>
        <v>72.375077798999982</v>
      </c>
      <c r="H348" s="39"/>
      <c r="I348" s="35"/>
      <c r="J348" s="34">
        <v>500</v>
      </c>
    </row>
    <row r="349" spans="1:10" ht="25.5" x14ac:dyDescent="0.25">
      <c r="A349" s="249"/>
      <c r="B349" s="252"/>
      <c r="C349" s="40" t="s">
        <v>4682</v>
      </c>
      <c r="D349" s="40" t="s">
        <v>1286</v>
      </c>
      <c r="E349" s="41">
        <v>1.8160000000000001</v>
      </c>
      <c r="F349" s="38">
        <v>35.279218999999998</v>
      </c>
      <c r="G349" s="38">
        <f t="shared" si="5"/>
        <v>64.067061703999997</v>
      </c>
      <c r="H349" s="39"/>
      <c r="I349" s="35"/>
      <c r="J349" s="34">
        <v>500</v>
      </c>
    </row>
    <row r="350" spans="1:10" ht="15.75" thickBot="1" x14ac:dyDescent="0.3">
      <c r="A350" s="250"/>
      <c r="B350" s="253"/>
      <c r="C350" s="40"/>
      <c r="D350" s="40"/>
      <c r="E350" s="41"/>
      <c r="F350" s="35" t="s">
        <v>23</v>
      </c>
      <c r="G350" s="35" t="str">
        <f t="shared" si="5"/>
        <v/>
      </c>
      <c r="H350" s="39"/>
      <c r="I350" s="35"/>
      <c r="J350" s="34">
        <v>500</v>
      </c>
    </row>
    <row r="351" spans="1:10" ht="15.75" hidden="1" thickBot="1" x14ac:dyDescent="0.3">
      <c r="A351" s="248" t="s">
        <v>100</v>
      </c>
      <c r="B351" s="251" t="s">
        <v>2129</v>
      </c>
      <c r="C351" s="28"/>
      <c r="D351" s="29" t="s">
        <v>121</v>
      </c>
      <c r="E351" s="30"/>
      <c r="F351" s="45" t="s">
        <v>23</v>
      </c>
      <c r="G351" s="31" t="str">
        <f t="shared" si="5"/>
        <v/>
      </c>
      <c r="H351" s="32"/>
      <c r="I351" s="33"/>
      <c r="J351" s="34">
        <v>0</v>
      </c>
    </row>
    <row r="352" spans="1:10" ht="15.75" hidden="1" thickBot="1" x14ac:dyDescent="0.3">
      <c r="A352" s="262"/>
      <c r="B352" s="252"/>
      <c r="C352" s="36"/>
      <c r="D352" s="36"/>
      <c r="E352" s="37"/>
      <c r="F352" s="46" t="s">
        <v>23</v>
      </c>
      <c r="G352" s="35" t="str">
        <f t="shared" si="5"/>
        <v/>
      </c>
      <c r="H352" s="39"/>
      <c r="I352" s="35"/>
      <c r="J352" s="34">
        <v>0</v>
      </c>
    </row>
    <row r="353" spans="1:10" ht="15.75" hidden="1" thickBot="1" x14ac:dyDescent="0.3">
      <c r="A353" s="262"/>
      <c r="B353" s="252"/>
      <c r="C353" s="40" t="s">
        <v>3754</v>
      </c>
      <c r="D353" s="40" t="s">
        <v>3752</v>
      </c>
      <c r="E353" s="41">
        <v>0.4</v>
      </c>
      <c r="F353" s="35">
        <v>20.814499999999999</v>
      </c>
      <c r="G353" s="38">
        <f t="shared" si="5"/>
        <v>8.3257999999999992</v>
      </c>
      <c r="H353" s="43">
        <f>SUM(G353:G361)</f>
        <v>28.011393624999997</v>
      </c>
      <c r="I353" s="44"/>
      <c r="J353" s="34">
        <v>0</v>
      </c>
    </row>
    <row r="354" spans="1:10" ht="15.75" hidden="1" thickBot="1" x14ac:dyDescent="0.3">
      <c r="A354" s="262"/>
      <c r="B354" s="252"/>
      <c r="C354" s="40" t="s">
        <v>3757</v>
      </c>
      <c r="D354" s="40" t="s">
        <v>3752</v>
      </c>
      <c r="E354" s="41">
        <v>0.3</v>
      </c>
      <c r="F354" s="35">
        <v>28.0535</v>
      </c>
      <c r="G354" s="38">
        <f t="shared" si="5"/>
        <v>8.4160500000000003</v>
      </c>
      <c r="H354" s="39"/>
      <c r="I354" s="35"/>
      <c r="J354" s="34">
        <v>0</v>
      </c>
    </row>
    <row r="355" spans="1:10" ht="26.25" hidden="1" thickBot="1" x14ac:dyDescent="0.3">
      <c r="A355" s="262"/>
      <c r="B355" s="252"/>
      <c r="C355" s="40" t="s">
        <v>3763</v>
      </c>
      <c r="D355" s="40" t="s">
        <v>3764</v>
      </c>
      <c r="E355" s="41">
        <v>0.01</v>
      </c>
      <c r="F355" s="38">
        <v>204.23099999999999</v>
      </c>
      <c r="G355" s="38">
        <f t="shared" si="5"/>
        <v>2.0423100000000001</v>
      </c>
      <c r="H355" s="39"/>
      <c r="I355" s="35"/>
      <c r="J355" s="34">
        <v>0</v>
      </c>
    </row>
    <row r="356" spans="1:10" ht="26.25" hidden="1" thickBot="1" x14ac:dyDescent="0.3">
      <c r="A356" s="262"/>
      <c r="B356" s="252"/>
      <c r="C356" s="40" t="s">
        <v>3994</v>
      </c>
      <c r="D356" s="40" t="s">
        <v>3764</v>
      </c>
      <c r="E356" s="41">
        <v>0.01</v>
      </c>
      <c r="F356" s="38">
        <v>171</v>
      </c>
      <c r="G356" s="38">
        <f t="shared" si="5"/>
        <v>1.71</v>
      </c>
      <c r="H356" s="39"/>
      <c r="I356" s="35"/>
      <c r="J356" s="34">
        <v>0</v>
      </c>
    </row>
    <row r="357" spans="1:10" ht="15.75" hidden="1" thickBot="1" x14ac:dyDescent="0.3">
      <c r="A357" s="262"/>
      <c r="B357" s="252"/>
      <c r="C357" s="40" t="s">
        <v>3759</v>
      </c>
      <c r="D357" s="40" t="s">
        <v>1035</v>
      </c>
      <c r="E357" s="41">
        <v>2.0099999999999998</v>
      </c>
      <c r="F357" s="38">
        <v>0.627</v>
      </c>
      <c r="G357" s="38">
        <f t="shared" si="5"/>
        <v>1.2602699999999998</v>
      </c>
      <c r="H357" s="39"/>
      <c r="I357" s="35"/>
      <c r="J357" s="34">
        <v>0</v>
      </c>
    </row>
    <row r="358" spans="1:10" ht="15.75" hidden="1" thickBot="1" x14ac:dyDescent="0.3">
      <c r="A358" s="262"/>
      <c r="B358" s="252"/>
      <c r="C358" s="40" t="s">
        <v>101</v>
      </c>
      <c r="D358" s="53" t="s">
        <v>102</v>
      </c>
      <c r="E358" s="41">
        <v>2.5</v>
      </c>
      <c r="F358" s="35">
        <v>0</v>
      </c>
      <c r="G358" s="38">
        <f t="shared" si="5"/>
        <v>0</v>
      </c>
      <c r="H358" s="39"/>
      <c r="I358" s="35"/>
      <c r="J358" s="34">
        <v>0</v>
      </c>
    </row>
    <row r="359" spans="1:10" ht="15.75" hidden="1" thickBot="1" x14ac:dyDescent="0.3">
      <c r="A359" s="262"/>
      <c r="B359" s="252"/>
      <c r="C359" s="40" t="s">
        <v>4150</v>
      </c>
      <c r="D359" s="40" t="s">
        <v>1035</v>
      </c>
      <c r="E359" s="41">
        <v>0.5</v>
      </c>
      <c r="F359" s="38">
        <v>10.126999999999999</v>
      </c>
      <c r="G359" s="38">
        <f t="shared" si="5"/>
        <v>5.0634999999999994</v>
      </c>
      <c r="H359" s="39"/>
      <c r="I359" s="35"/>
      <c r="J359" s="34">
        <v>0</v>
      </c>
    </row>
    <row r="360" spans="1:10" ht="51.75" hidden="1" thickBot="1" x14ac:dyDescent="0.3">
      <c r="A360" s="262"/>
      <c r="B360" s="252"/>
      <c r="C360" s="40" t="s">
        <v>4752</v>
      </c>
      <c r="D360" s="40" t="s">
        <v>3764</v>
      </c>
      <c r="E360" s="41">
        <f>1*(E355+E356)</f>
        <v>0.02</v>
      </c>
      <c r="F360" s="38">
        <v>7.75243225</v>
      </c>
      <c r="G360" s="38">
        <f t="shared" si="5"/>
        <v>0.15504864500000001</v>
      </c>
      <c r="H360" s="39"/>
      <c r="I360" s="35"/>
      <c r="J360" s="34">
        <v>0</v>
      </c>
    </row>
    <row r="361" spans="1:10" ht="39" hidden="1" thickBot="1" x14ac:dyDescent="0.3">
      <c r="A361" s="262"/>
      <c r="B361" s="252"/>
      <c r="C361" s="40" t="s">
        <v>4749</v>
      </c>
      <c r="D361" s="40" t="s">
        <v>4744</v>
      </c>
      <c r="E361" s="41">
        <f>(E355+E356)*20</f>
        <v>0.4</v>
      </c>
      <c r="F361" s="38">
        <v>2.5960374499999999</v>
      </c>
      <c r="G361" s="38">
        <f t="shared" si="5"/>
        <v>1.03841498</v>
      </c>
      <c r="H361" s="39"/>
      <c r="I361" s="35"/>
      <c r="J361" s="34">
        <v>0</v>
      </c>
    </row>
    <row r="362" spans="1:10" ht="15.75" hidden="1" thickBot="1" x14ac:dyDescent="0.3">
      <c r="A362" s="262"/>
      <c r="B362" s="252"/>
      <c r="C362" s="52"/>
      <c r="D362" s="53"/>
      <c r="E362" s="41"/>
      <c r="F362" s="38" t="s">
        <v>23</v>
      </c>
      <c r="G362" s="38" t="str">
        <f t="shared" si="5"/>
        <v/>
      </c>
      <c r="H362" s="39"/>
      <c r="I362" s="35"/>
      <c r="J362" s="34">
        <v>0</v>
      </c>
    </row>
    <row r="363" spans="1:10" ht="26.25" hidden="1" thickBot="1" x14ac:dyDescent="0.3">
      <c r="A363" s="262"/>
      <c r="B363" s="252"/>
      <c r="C363" s="50" t="s">
        <v>88</v>
      </c>
      <c r="D363" s="53"/>
      <c r="E363" s="41"/>
      <c r="F363" s="38" t="s">
        <v>23</v>
      </c>
      <c r="G363" s="38" t="str">
        <f t="shared" si="5"/>
        <v/>
      </c>
      <c r="H363" s="39"/>
      <c r="I363" s="35"/>
      <c r="J363" s="34">
        <v>0</v>
      </c>
    </row>
    <row r="364" spans="1:10" ht="15.75" hidden="1" thickBot="1" x14ac:dyDescent="0.3">
      <c r="A364" s="263"/>
      <c r="B364" s="253"/>
      <c r="C364" s="40"/>
      <c r="D364" s="40"/>
      <c r="E364" s="41"/>
      <c r="F364" s="35" t="s">
        <v>23</v>
      </c>
      <c r="G364" s="35" t="str">
        <f t="shared" si="5"/>
        <v/>
      </c>
      <c r="H364" s="39"/>
      <c r="I364" s="35"/>
      <c r="J364" s="34">
        <v>0</v>
      </c>
    </row>
    <row r="365" spans="1:10" ht="15.75" thickBot="1" x14ac:dyDescent="0.3">
      <c r="A365" s="248" t="s">
        <v>103</v>
      </c>
      <c r="B365" s="251" t="s">
        <v>2130</v>
      </c>
      <c r="C365" s="28"/>
      <c r="D365" s="29" t="s">
        <v>78</v>
      </c>
      <c r="E365" s="30"/>
      <c r="F365" s="45" t="s">
        <v>23</v>
      </c>
      <c r="G365" s="31" t="str">
        <f t="shared" si="5"/>
        <v/>
      </c>
      <c r="H365" s="32"/>
      <c r="I365" s="33"/>
      <c r="J365" s="34">
        <v>10320</v>
      </c>
    </row>
    <row r="366" spans="1:10" x14ac:dyDescent="0.25">
      <c r="A366" s="249"/>
      <c r="B366" s="252"/>
      <c r="C366" s="36"/>
      <c r="D366" s="36"/>
      <c r="E366" s="37"/>
      <c r="F366" s="46" t="s">
        <v>23</v>
      </c>
      <c r="G366" s="35" t="str">
        <f t="shared" si="5"/>
        <v/>
      </c>
      <c r="H366" s="39"/>
      <c r="I366" s="35"/>
      <c r="J366" s="34">
        <v>10320</v>
      </c>
    </row>
    <row r="367" spans="1:10" ht="25.5" x14ac:dyDescent="0.25">
      <c r="A367" s="249"/>
      <c r="B367" s="252"/>
      <c r="C367" s="40" t="s">
        <v>3965</v>
      </c>
      <c r="D367" s="40" t="s">
        <v>1035</v>
      </c>
      <c r="E367" s="41">
        <v>3.2</v>
      </c>
      <c r="F367" s="38">
        <v>3.7809999999999997</v>
      </c>
      <c r="G367" s="35">
        <f t="shared" si="5"/>
        <v>12.0992</v>
      </c>
      <c r="H367" s="43">
        <f>SUM(G367:G369)</f>
        <v>29.395773999999999</v>
      </c>
      <c r="I367" s="44"/>
      <c r="J367" s="34">
        <v>10320</v>
      </c>
    </row>
    <row r="368" spans="1:10" x14ac:dyDescent="0.25">
      <c r="A368" s="249"/>
      <c r="B368" s="252"/>
      <c r="C368" s="40" t="s">
        <v>3787</v>
      </c>
      <c r="D368" s="40" t="s">
        <v>3752</v>
      </c>
      <c r="E368" s="41">
        <v>0.108</v>
      </c>
      <c r="F368" s="35">
        <v>21.963999999999999</v>
      </c>
      <c r="G368" s="35">
        <f t="shared" si="5"/>
        <v>2.372112</v>
      </c>
      <c r="H368" s="39"/>
      <c r="I368" s="35"/>
      <c r="J368" s="34">
        <v>10320</v>
      </c>
    </row>
    <row r="369" spans="1:10" x14ac:dyDescent="0.25">
      <c r="A369" s="249"/>
      <c r="B369" s="252"/>
      <c r="C369" s="40" t="s">
        <v>3758</v>
      </c>
      <c r="D369" s="40" t="s">
        <v>3752</v>
      </c>
      <c r="E369" s="41">
        <v>0.53200000000000003</v>
      </c>
      <c r="F369" s="35">
        <v>28.0535</v>
      </c>
      <c r="G369" s="35">
        <f t="shared" si="5"/>
        <v>14.924462</v>
      </c>
      <c r="H369" s="39"/>
      <c r="I369" s="35"/>
      <c r="J369" s="34">
        <v>10320</v>
      </c>
    </row>
    <row r="370" spans="1:10" ht="15.75" thickBot="1" x14ac:dyDescent="0.3">
      <c r="A370" s="250"/>
      <c r="B370" s="253"/>
      <c r="C370" s="40"/>
      <c r="D370" s="40"/>
      <c r="E370" s="41"/>
      <c r="F370" s="35" t="s">
        <v>23</v>
      </c>
      <c r="G370" s="35" t="str">
        <f t="shared" si="5"/>
        <v/>
      </c>
      <c r="H370" s="39"/>
      <c r="I370" s="35"/>
      <c r="J370" s="34">
        <v>10320</v>
      </c>
    </row>
    <row r="371" spans="1:10" ht="15.75" hidden="1" thickBot="1" x14ac:dyDescent="0.3">
      <c r="A371" s="248" t="s">
        <v>104</v>
      </c>
      <c r="B371" s="251" t="s">
        <v>2131</v>
      </c>
      <c r="C371" s="28"/>
      <c r="D371" s="29" t="s">
        <v>78</v>
      </c>
      <c r="E371" s="30"/>
      <c r="F371" s="45" t="s">
        <v>23</v>
      </c>
      <c r="G371" s="31" t="str">
        <f t="shared" si="5"/>
        <v/>
      </c>
      <c r="H371" s="32"/>
      <c r="I371" s="33"/>
      <c r="J371" s="34">
        <v>0</v>
      </c>
    </row>
    <row r="372" spans="1:10" ht="15.75" hidden="1" thickBot="1" x14ac:dyDescent="0.3">
      <c r="A372" s="249"/>
      <c r="B372" s="252"/>
      <c r="C372" s="36"/>
      <c r="D372" s="36"/>
      <c r="E372" s="37"/>
      <c r="F372" s="46" t="s">
        <v>23</v>
      </c>
      <c r="G372" s="35" t="str">
        <f t="shared" si="5"/>
        <v/>
      </c>
      <c r="H372" s="39"/>
      <c r="I372" s="35"/>
      <c r="J372" s="34">
        <v>0</v>
      </c>
    </row>
    <row r="373" spans="1:10" ht="26.25" hidden="1" thickBot="1" x14ac:dyDescent="0.3">
      <c r="A373" s="249"/>
      <c r="B373" s="252"/>
      <c r="C373" s="40" t="s">
        <v>4012</v>
      </c>
      <c r="D373" s="40" t="s">
        <v>291</v>
      </c>
      <c r="E373" s="41">
        <v>28.31</v>
      </c>
      <c r="F373" s="38">
        <v>0.75049999999999994</v>
      </c>
      <c r="G373" s="38">
        <f t="shared" si="5"/>
        <v>21.246654999999997</v>
      </c>
      <c r="H373" s="43">
        <f>SUM(G373:G378)</f>
        <v>91.130880854275006</v>
      </c>
      <c r="I373" s="44"/>
      <c r="J373" s="34">
        <v>0</v>
      </c>
    </row>
    <row r="374" spans="1:10" ht="26.25" hidden="1" thickBot="1" x14ac:dyDescent="0.3">
      <c r="A374" s="249"/>
      <c r="B374" s="252"/>
      <c r="C374" s="40" t="s">
        <v>3797</v>
      </c>
      <c r="D374" s="40" t="s">
        <v>1286</v>
      </c>
      <c r="E374" s="41">
        <v>0.42</v>
      </c>
      <c r="F374" s="38">
        <v>2.2705000000000002</v>
      </c>
      <c r="G374" s="38">
        <f t="shared" si="5"/>
        <v>0.95361000000000007</v>
      </c>
      <c r="H374" s="39"/>
      <c r="I374" s="35"/>
      <c r="J374" s="34">
        <v>0</v>
      </c>
    </row>
    <row r="375" spans="1:10" ht="15.75" hidden="1" thickBot="1" x14ac:dyDescent="0.3">
      <c r="A375" s="249"/>
      <c r="B375" s="252"/>
      <c r="C375" s="40" t="s">
        <v>3798</v>
      </c>
      <c r="D375" s="40" t="s">
        <v>3799</v>
      </c>
      <c r="E375" s="41">
        <v>5.0000000000000001E-3</v>
      </c>
      <c r="F375" s="38">
        <v>38.037999999999997</v>
      </c>
      <c r="G375" s="38">
        <f t="shared" si="5"/>
        <v>0.19019</v>
      </c>
      <c r="H375" s="39"/>
      <c r="I375" s="35"/>
      <c r="J375" s="34">
        <v>0</v>
      </c>
    </row>
    <row r="376" spans="1:10" ht="51.75" hidden="1" thickBot="1" x14ac:dyDescent="0.3">
      <c r="A376" s="249"/>
      <c r="B376" s="252"/>
      <c r="C376" s="40" t="s">
        <v>4727</v>
      </c>
      <c r="D376" s="40" t="s">
        <v>3764</v>
      </c>
      <c r="E376" s="41">
        <v>9.1000000000000004E-3</v>
      </c>
      <c r="F376" s="38">
        <v>749.29872024999997</v>
      </c>
      <c r="G376" s="38">
        <f t="shared" si="5"/>
        <v>6.8186183542750003</v>
      </c>
      <c r="H376" s="39"/>
      <c r="I376" s="35"/>
      <c r="J376" s="34">
        <v>0</v>
      </c>
    </row>
    <row r="377" spans="1:10" ht="15.75" hidden="1" thickBot="1" x14ac:dyDescent="0.3">
      <c r="A377" s="249"/>
      <c r="B377" s="252"/>
      <c r="C377" s="40" t="s">
        <v>3757</v>
      </c>
      <c r="D377" s="40" t="s">
        <v>3752</v>
      </c>
      <c r="E377" s="41">
        <v>1.61</v>
      </c>
      <c r="F377" s="35">
        <v>28.0535</v>
      </c>
      <c r="G377" s="35">
        <f t="shared" si="5"/>
        <v>45.166135000000004</v>
      </c>
      <c r="H377" s="39"/>
      <c r="I377" s="35"/>
      <c r="J377" s="34">
        <v>0</v>
      </c>
    </row>
    <row r="378" spans="1:10" ht="15.75" hidden="1" thickBot="1" x14ac:dyDescent="0.3">
      <c r="A378" s="249"/>
      <c r="B378" s="252"/>
      <c r="C378" s="40" t="s">
        <v>3754</v>
      </c>
      <c r="D378" s="40" t="s">
        <v>3752</v>
      </c>
      <c r="E378" s="41">
        <v>0.80500000000000005</v>
      </c>
      <c r="F378" s="35">
        <v>20.814499999999999</v>
      </c>
      <c r="G378" s="35">
        <f t="shared" si="5"/>
        <v>16.755672499999999</v>
      </c>
      <c r="H378" s="39"/>
      <c r="I378" s="35"/>
      <c r="J378" s="34">
        <v>0</v>
      </c>
    </row>
    <row r="379" spans="1:10" ht="15.75" hidden="1" thickBot="1" x14ac:dyDescent="0.3">
      <c r="A379" s="250"/>
      <c r="B379" s="253"/>
      <c r="C379" s="40"/>
      <c r="D379" s="40"/>
      <c r="E379" s="41"/>
      <c r="F379" s="35" t="s">
        <v>23</v>
      </c>
      <c r="G379" s="35" t="str">
        <f t="shared" si="5"/>
        <v/>
      </c>
      <c r="H379" s="39"/>
      <c r="I379" s="35"/>
      <c r="J379" s="34">
        <v>0</v>
      </c>
    </row>
    <row r="380" spans="1:10" ht="15.75" hidden="1" thickBot="1" x14ac:dyDescent="0.3">
      <c r="A380" s="248" t="s">
        <v>105</v>
      </c>
      <c r="B380" s="251" t="s">
        <v>2132</v>
      </c>
      <c r="C380" s="28"/>
      <c r="D380" s="29" t="s">
        <v>78</v>
      </c>
      <c r="E380" s="30"/>
      <c r="F380" s="45" t="s">
        <v>23</v>
      </c>
      <c r="G380" s="31" t="str">
        <f t="shared" si="5"/>
        <v/>
      </c>
      <c r="H380" s="32"/>
      <c r="I380" s="33"/>
      <c r="J380" s="34">
        <v>0</v>
      </c>
    </row>
    <row r="381" spans="1:10" ht="15.75" hidden="1" thickBot="1" x14ac:dyDescent="0.3">
      <c r="A381" s="249"/>
      <c r="B381" s="252"/>
      <c r="C381" s="36"/>
      <c r="D381" s="36"/>
      <c r="E381" s="37"/>
      <c r="F381" s="46" t="s">
        <v>23</v>
      </c>
      <c r="G381" s="35" t="str">
        <f t="shared" si="5"/>
        <v/>
      </c>
      <c r="H381" s="39"/>
      <c r="I381" s="35"/>
      <c r="J381" s="34">
        <v>0</v>
      </c>
    </row>
    <row r="382" spans="1:10" ht="26.25" hidden="1" thickBot="1" x14ac:dyDescent="0.3">
      <c r="A382" s="249"/>
      <c r="B382" s="252"/>
      <c r="C382" s="40" t="s">
        <v>4133</v>
      </c>
      <c r="D382" s="40" t="s">
        <v>3799</v>
      </c>
      <c r="E382" s="41">
        <v>2.4299999999999999E-2</v>
      </c>
      <c r="F382" s="38">
        <v>44.241499999999995</v>
      </c>
      <c r="G382" s="38">
        <f t="shared" si="5"/>
        <v>1.0750684499999998</v>
      </c>
      <c r="H382" s="43">
        <f>SUM(G382:G392)</f>
        <v>54.654461399999988</v>
      </c>
      <c r="I382" s="44"/>
      <c r="J382" s="34">
        <v>0</v>
      </c>
    </row>
    <row r="383" spans="1:10" ht="26.25" hidden="1" thickBot="1" x14ac:dyDescent="0.3">
      <c r="A383" s="249"/>
      <c r="B383" s="252"/>
      <c r="C383" s="40" t="s">
        <v>3795</v>
      </c>
      <c r="D383" s="40" t="s">
        <v>177</v>
      </c>
      <c r="E383" s="41">
        <v>1.0529999999999999</v>
      </c>
      <c r="F383" s="38">
        <v>16.643999999999998</v>
      </c>
      <c r="G383" s="38">
        <f t="shared" si="5"/>
        <v>17.526131999999997</v>
      </c>
      <c r="H383" s="48"/>
      <c r="I383" s="49"/>
      <c r="J383" s="34">
        <v>0</v>
      </c>
    </row>
    <row r="384" spans="1:10" ht="26.25" hidden="1" thickBot="1" x14ac:dyDescent="0.3">
      <c r="A384" s="249"/>
      <c r="B384" s="252"/>
      <c r="C384" s="40" t="s">
        <v>4014</v>
      </c>
      <c r="D384" s="40" t="s">
        <v>1286</v>
      </c>
      <c r="E384" s="41">
        <v>0.76039999999999996</v>
      </c>
      <c r="F384" s="38">
        <v>7.1629999999999994</v>
      </c>
      <c r="G384" s="38">
        <f t="shared" si="5"/>
        <v>5.4467451999999996</v>
      </c>
      <c r="H384" s="48"/>
      <c r="I384" s="49"/>
      <c r="J384" s="34">
        <v>0</v>
      </c>
    </row>
    <row r="385" spans="1:10" ht="26.25" hidden="1" thickBot="1" x14ac:dyDescent="0.3">
      <c r="A385" s="249"/>
      <c r="B385" s="252"/>
      <c r="C385" s="40" t="s">
        <v>3974</v>
      </c>
      <c r="D385" s="40" t="s">
        <v>1286</v>
      </c>
      <c r="E385" s="41">
        <v>1.9910000000000001</v>
      </c>
      <c r="F385" s="38">
        <v>8.1319999999999997</v>
      </c>
      <c r="G385" s="38">
        <f t="shared" si="5"/>
        <v>16.190812000000001</v>
      </c>
      <c r="H385" s="48"/>
      <c r="I385" s="49"/>
      <c r="J385" s="34">
        <v>0</v>
      </c>
    </row>
    <row r="386" spans="1:10" ht="26.25" hidden="1" thickBot="1" x14ac:dyDescent="0.3">
      <c r="A386" s="249"/>
      <c r="B386" s="252"/>
      <c r="C386" s="40" t="s">
        <v>4142</v>
      </c>
      <c r="D386" s="40" t="s">
        <v>1286</v>
      </c>
      <c r="E386" s="41">
        <v>1.2513000000000001</v>
      </c>
      <c r="F386" s="38">
        <v>0.25650000000000001</v>
      </c>
      <c r="G386" s="38">
        <f t="shared" si="5"/>
        <v>0.32095845000000001</v>
      </c>
      <c r="H386" s="48"/>
      <c r="I386" s="49"/>
      <c r="J386" s="34">
        <v>0</v>
      </c>
    </row>
    <row r="387" spans="1:10" ht="26.25" hidden="1" thickBot="1" x14ac:dyDescent="0.3">
      <c r="A387" s="249"/>
      <c r="B387" s="252"/>
      <c r="C387" s="40" t="s">
        <v>3960</v>
      </c>
      <c r="D387" s="40" t="s">
        <v>1286</v>
      </c>
      <c r="E387" s="41">
        <v>0.74070000000000003</v>
      </c>
      <c r="F387" s="38">
        <v>2.2989999999999999</v>
      </c>
      <c r="G387" s="38">
        <f t="shared" si="5"/>
        <v>1.7028692999999999</v>
      </c>
      <c r="H387" s="48"/>
      <c r="I387" s="49"/>
      <c r="J387" s="34">
        <v>0</v>
      </c>
    </row>
    <row r="388" spans="1:10" ht="39" hidden="1" thickBot="1" x14ac:dyDescent="0.3">
      <c r="A388" s="249"/>
      <c r="B388" s="252"/>
      <c r="C388" s="40" t="s">
        <v>3990</v>
      </c>
      <c r="D388" s="40" t="s">
        <v>1035</v>
      </c>
      <c r="E388" s="41">
        <v>0.51639999999999997</v>
      </c>
      <c r="F388" s="38">
        <v>2.8784999999999998</v>
      </c>
      <c r="G388" s="38">
        <f t="shared" si="5"/>
        <v>1.4864573999999999</v>
      </c>
      <c r="H388" s="48"/>
      <c r="I388" s="49"/>
      <c r="J388" s="34">
        <v>0</v>
      </c>
    </row>
    <row r="389" spans="1:10" ht="26.25" hidden="1" thickBot="1" x14ac:dyDescent="0.3">
      <c r="A389" s="249"/>
      <c r="B389" s="252"/>
      <c r="C389" s="40" t="s">
        <v>4009</v>
      </c>
      <c r="D389" s="40" t="s">
        <v>291</v>
      </c>
      <c r="E389" s="41">
        <v>10.0039</v>
      </c>
      <c r="F389" s="38">
        <v>0.1045</v>
      </c>
      <c r="G389" s="38">
        <f t="shared" si="5"/>
        <v>1.04540755</v>
      </c>
      <c r="H389" s="48"/>
      <c r="I389" s="49"/>
      <c r="J389" s="34">
        <v>0</v>
      </c>
    </row>
    <row r="390" spans="1:10" ht="26.25" hidden="1" thickBot="1" x14ac:dyDescent="0.3">
      <c r="A390" s="249"/>
      <c r="B390" s="252"/>
      <c r="C390" s="40" t="s">
        <v>4074</v>
      </c>
      <c r="D390" s="40" t="s">
        <v>291</v>
      </c>
      <c r="E390" s="41">
        <v>0.80759999999999998</v>
      </c>
      <c r="F390" s="38">
        <v>0.247</v>
      </c>
      <c r="G390" s="38">
        <f t="shared" ref="G390:G453" si="6">IF(ISNUMBER(F390),E390*F390,"")</f>
        <v>0.19947719999999999</v>
      </c>
      <c r="H390" s="48"/>
      <c r="I390" s="49"/>
      <c r="J390" s="34">
        <v>0</v>
      </c>
    </row>
    <row r="391" spans="1:10" ht="26.25" hidden="1" thickBot="1" x14ac:dyDescent="0.3">
      <c r="A391" s="249"/>
      <c r="B391" s="252"/>
      <c r="C391" s="40" t="s">
        <v>3800</v>
      </c>
      <c r="D391" s="40" t="s">
        <v>3752</v>
      </c>
      <c r="E391" s="41">
        <v>0.36359999999999998</v>
      </c>
      <c r="F391" s="35">
        <v>21.365499999999997</v>
      </c>
      <c r="G391" s="38">
        <f t="shared" si="6"/>
        <v>7.7684957999999984</v>
      </c>
      <c r="H391" s="48"/>
      <c r="I391" s="49"/>
      <c r="J391" s="34">
        <v>0</v>
      </c>
    </row>
    <row r="392" spans="1:10" ht="15.75" hidden="1" thickBot="1" x14ac:dyDescent="0.3">
      <c r="A392" s="249"/>
      <c r="B392" s="252"/>
      <c r="C392" s="40" t="s">
        <v>3754</v>
      </c>
      <c r="D392" s="40" t="s">
        <v>3752</v>
      </c>
      <c r="E392" s="41">
        <v>9.0899999999999995E-2</v>
      </c>
      <c r="F392" s="35">
        <v>20.814499999999999</v>
      </c>
      <c r="G392" s="38">
        <f t="shared" si="6"/>
        <v>1.8920380499999998</v>
      </c>
      <c r="H392" s="48"/>
      <c r="I392" s="49"/>
      <c r="J392" s="34">
        <v>0</v>
      </c>
    </row>
    <row r="393" spans="1:10" ht="15.75" hidden="1" thickBot="1" x14ac:dyDescent="0.3">
      <c r="A393" s="250"/>
      <c r="B393" s="253"/>
      <c r="C393" s="40"/>
      <c r="D393" s="40"/>
      <c r="E393" s="41"/>
      <c r="F393" s="35" t="s">
        <v>23</v>
      </c>
      <c r="G393" s="35" t="str">
        <f t="shared" si="6"/>
        <v/>
      </c>
      <c r="H393" s="39"/>
      <c r="I393" s="35"/>
      <c r="J393" s="34">
        <v>0</v>
      </c>
    </row>
    <row r="394" spans="1:10" ht="15.75" hidden="1" thickBot="1" x14ac:dyDescent="0.3">
      <c r="A394" s="248" t="s">
        <v>106</v>
      </c>
      <c r="B394" s="251" t="s">
        <v>2133</v>
      </c>
      <c r="C394" s="28"/>
      <c r="D394" s="29" t="s">
        <v>121</v>
      </c>
      <c r="E394" s="30"/>
      <c r="F394" s="45" t="s">
        <v>23</v>
      </c>
      <c r="G394" s="31" t="str">
        <f t="shared" si="6"/>
        <v/>
      </c>
      <c r="H394" s="32"/>
      <c r="I394" s="33"/>
      <c r="J394" s="34">
        <v>0</v>
      </c>
    </row>
    <row r="395" spans="1:10" ht="15.75" hidden="1" thickBot="1" x14ac:dyDescent="0.3">
      <c r="A395" s="249"/>
      <c r="B395" s="252"/>
      <c r="C395" s="36"/>
      <c r="D395" s="36"/>
      <c r="E395" s="37"/>
      <c r="F395" s="46" t="s">
        <v>23</v>
      </c>
      <c r="G395" s="35" t="str">
        <f t="shared" si="6"/>
        <v/>
      </c>
      <c r="H395" s="39"/>
      <c r="I395" s="35"/>
      <c r="J395" s="34">
        <v>0</v>
      </c>
    </row>
    <row r="396" spans="1:10" ht="15.75" hidden="1" thickBot="1" x14ac:dyDescent="0.3">
      <c r="A396" s="249"/>
      <c r="B396" s="252"/>
      <c r="C396" s="40" t="s">
        <v>4015</v>
      </c>
      <c r="D396" s="40" t="s">
        <v>291</v>
      </c>
      <c r="E396" s="41">
        <v>11.2</v>
      </c>
      <c r="F396" s="38">
        <v>0.63649999999999995</v>
      </c>
      <c r="G396" s="35">
        <f t="shared" si="6"/>
        <v>7.1287999999999991</v>
      </c>
      <c r="H396" s="43">
        <f>SUM(G396:G399)</f>
        <v>27.948708670150001</v>
      </c>
      <c r="I396" s="44"/>
      <c r="J396" s="34">
        <v>0</v>
      </c>
    </row>
    <row r="397" spans="1:10" ht="51.75" hidden="1" thickBot="1" x14ac:dyDescent="0.3">
      <c r="A397" s="249"/>
      <c r="B397" s="252"/>
      <c r="C397" s="40" t="s">
        <v>4728</v>
      </c>
      <c r="D397" s="40" t="s">
        <v>3764</v>
      </c>
      <c r="E397" s="41">
        <v>5.1999999999999998E-3</v>
      </c>
      <c r="F397" s="38">
        <v>725.62887887500005</v>
      </c>
      <c r="G397" s="35">
        <f t="shared" si="6"/>
        <v>3.77327017015</v>
      </c>
      <c r="H397" s="48"/>
      <c r="I397" s="49"/>
      <c r="J397" s="34">
        <v>0</v>
      </c>
    </row>
    <row r="398" spans="1:10" ht="15.75" hidden="1" thickBot="1" x14ac:dyDescent="0.3">
      <c r="A398" s="249"/>
      <c r="B398" s="252"/>
      <c r="C398" s="40" t="s">
        <v>3757</v>
      </c>
      <c r="D398" s="40" t="s">
        <v>3752</v>
      </c>
      <c r="E398" s="41">
        <v>0.52900000000000003</v>
      </c>
      <c r="F398" s="35">
        <v>28.0535</v>
      </c>
      <c r="G398" s="35">
        <f t="shared" si="6"/>
        <v>14.840301500000001</v>
      </c>
      <c r="H398" s="48"/>
      <c r="I398" s="49"/>
      <c r="J398" s="34">
        <v>0</v>
      </c>
    </row>
    <row r="399" spans="1:10" ht="15.75" hidden="1" thickBot="1" x14ac:dyDescent="0.3">
      <c r="A399" s="249"/>
      <c r="B399" s="252"/>
      <c r="C399" s="40" t="s">
        <v>3754</v>
      </c>
      <c r="D399" s="40" t="s">
        <v>3752</v>
      </c>
      <c r="E399" s="41">
        <v>0.106</v>
      </c>
      <c r="F399" s="35">
        <v>20.814499999999999</v>
      </c>
      <c r="G399" s="35">
        <f t="shared" si="6"/>
        <v>2.206337</v>
      </c>
      <c r="H399" s="48"/>
      <c r="I399" s="49"/>
      <c r="J399" s="34">
        <v>0</v>
      </c>
    </row>
    <row r="400" spans="1:10" ht="15.75" hidden="1" thickBot="1" x14ac:dyDescent="0.3">
      <c r="A400" s="249"/>
      <c r="B400" s="252"/>
      <c r="C400" s="40"/>
      <c r="D400" s="53"/>
      <c r="E400" s="41"/>
      <c r="F400" s="38" t="s">
        <v>23</v>
      </c>
      <c r="G400" s="38" t="str">
        <f t="shared" si="6"/>
        <v/>
      </c>
      <c r="H400" s="48"/>
      <c r="I400" s="49"/>
      <c r="J400" s="34">
        <v>0</v>
      </c>
    </row>
    <row r="401" spans="1:10" ht="15.75" thickBot="1" x14ac:dyDescent="0.3">
      <c r="A401" s="248" t="s">
        <v>107</v>
      </c>
      <c r="B401" s="251" t="s">
        <v>2134</v>
      </c>
      <c r="C401" s="28"/>
      <c r="D401" s="29" t="s">
        <v>78</v>
      </c>
      <c r="E401" s="30"/>
      <c r="F401" s="45" t="s">
        <v>23</v>
      </c>
      <c r="G401" s="31" t="str">
        <f t="shared" si="6"/>
        <v/>
      </c>
      <c r="H401" s="32"/>
      <c r="I401" s="33"/>
      <c r="J401" s="34">
        <v>5890</v>
      </c>
    </row>
    <row r="402" spans="1:10" x14ac:dyDescent="0.25">
      <c r="A402" s="249"/>
      <c r="B402" s="252"/>
      <c r="C402" s="36"/>
      <c r="D402" s="36"/>
      <c r="E402" s="37"/>
      <c r="F402" s="46" t="s">
        <v>23</v>
      </c>
      <c r="G402" s="35" t="str">
        <f t="shared" si="6"/>
        <v/>
      </c>
      <c r="H402" s="39"/>
      <c r="I402" s="35"/>
      <c r="J402" s="34">
        <v>5890</v>
      </c>
    </row>
    <row r="403" spans="1:10" ht="25.5" x14ac:dyDescent="0.25">
      <c r="A403" s="249"/>
      <c r="B403" s="252"/>
      <c r="C403" s="40" t="s">
        <v>4133</v>
      </c>
      <c r="D403" s="40" t="s">
        <v>3799</v>
      </c>
      <c r="E403" s="41">
        <v>2.4299999999999999E-2</v>
      </c>
      <c r="F403" s="38">
        <v>44.241499999999995</v>
      </c>
      <c r="G403" s="35">
        <f t="shared" si="6"/>
        <v>1.0750684499999998</v>
      </c>
      <c r="H403" s="43">
        <f>SUM(G403:G413)</f>
        <v>79.84960615</v>
      </c>
      <c r="I403" s="44"/>
      <c r="J403" s="34">
        <v>5890</v>
      </c>
    </row>
    <row r="404" spans="1:10" ht="25.5" x14ac:dyDescent="0.25">
      <c r="A404" s="249"/>
      <c r="B404" s="252"/>
      <c r="C404" s="40" t="s">
        <v>3795</v>
      </c>
      <c r="D404" s="40" t="s">
        <v>177</v>
      </c>
      <c r="E404" s="41">
        <v>2.1059999999999999</v>
      </c>
      <c r="F404" s="38">
        <v>16.643999999999998</v>
      </c>
      <c r="G404" s="35">
        <f t="shared" si="6"/>
        <v>35.052263999999994</v>
      </c>
      <c r="H404" s="39"/>
      <c r="I404" s="35"/>
      <c r="J404" s="34">
        <v>5890</v>
      </c>
    </row>
    <row r="405" spans="1:10" ht="25.5" x14ac:dyDescent="0.25">
      <c r="A405" s="249"/>
      <c r="B405" s="252"/>
      <c r="C405" s="40" t="s">
        <v>4014</v>
      </c>
      <c r="D405" s="40" t="s">
        <v>1286</v>
      </c>
      <c r="E405" s="41">
        <v>0.76039999999999996</v>
      </c>
      <c r="F405" s="38">
        <v>7.1629999999999994</v>
      </c>
      <c r="G405" s="35">
        <f t="shared" si="6"/>
        <v>5.4467451999999996</v>
      </c>
      <c r="H405" s="39"/>
      <c r="I405" s="35"/>
      <c r="J405" s="34">
        <v>5890</v>
      </c>
    </row>
    <row r="406" spans="1:10" ht="25.5" x14ac:dyDescent="0.25">
      <c r="A406" s="249"/>
      <c r="B406" s="252"/>
      <c r="C406" s="40" t="s">
        <v>3974</v>
      </c>
      <c r="D406" s="40" t="s">
        <v>1286</v>
      </c>
      <c r="E406" s="41">
        <v>1.9910000000000001</v>
      </c>
      <c r="F406" s="38">
        <v>8.1319999999999997</v>
      </c>
      <c r="G406" s="35">
        <f t="shared" si="6"/>
        <v>16.190812000000001</v>
      </c>
      <c r="H406" s="39"/>
      <c r="I406" s="35"/>
      <c r="J406" s="34">
        <v>5890</v>
      </c>
    </row>
    <row r="407" spans="1:10" ht="25.5" x14ac:dyDescent="0.25">
      <c r="A407" s="249"/>
      <c r="B407" s="252"/>
      <c r="C407" s="40" t="s">
        <v>4142</v>
      </c>
      <c r="D407" s="40" t="s">
        <v>1286</v>
      </c>
      <c r="E407" s="41">
        <v>2.5026999999999999</v>
      </c>
      <c r="F407" s="38">
        <v>0.25650000000000001</v>
      </c>
      <c r="G407" s="35">
        <f t="shared" si="6"/>
        <v>0.64194255</v>
      </c>
      <c r="H407" s="39"/>
      <c r="I407" s="35"/>
      <c r="J407" s="34">
        <v>5890</v>
      </c>
    </row>
    <row r="408" spans="1:10" ht="25.5" x14ac:dyDescent="0.25">
      <c r="A408" s="249"/>
      <c r="B408" s="252"/>
      <c r="C408" s="40" t="s">
        <v>3960</v>
      </c>
      <c r="D408" s="40" t="s">
        <v>1286</v>
      </c>
      <c r="E408" s="41">
        <v>0.74070000000000003</v>
      </c>
      <c r="F408" s="38">
        <v>2.2989999999999999</v>
      </c>
      <c r="G408" s="35">
        <f t="shared" si="6"/>
        <v>1.7028692999999999</v>
      </c>
      <c r="H408" s="39"/>
      <c r="I408" s="35"/>
      <c r="J408" s="34">
        <v>5890</v>
      </c>
    </row>
    <row r="409" spans="1:10" ht="38.25" x14ac:dyDescent="0.25">
      <c r="A409" s="249"/>
      <c r="B409" s="252"/>
      <c r="C409" s="40" t="s">
        <v>3990</v>
      </c>
      <c r="D409" s="40" t="s">
        <v>1035</v>
      </c>
      <c r="E409" s="41">
        <v>1.0327</v>
      </c>
      <c r="F409" s="38">
        <v>2.8784999999999998</v>
      </c>
      <c r="G409" s="35">
        <f t="shared" si="6"/>
        <v>2.9726269499999995</v>
      </c>
      <c r="H409" s="39"/>
      <c r="I409" s="35"/>
      <c r="J409" s="34">
        <v>5890</v>
      </c>
    </row>
    <row r="410" spans="1:10" ht="25.5" x14ac:dyDescent="0.25">
      <c r="A410" s="249"/>
      <c r="B410" s="252"/>
      <c r="C410" s="40" t="s">
        <v>4009</v>
      </c>
      <c r="D410" s="40" t="s">
        <v>291</v>
      </c>
      <c r="E410" s="41">
        <v>20.0077</v>
      </c>
      <c r="F410" s="38">
        <v>0.1045</v>
      </c>
      <c r="G410" s="35">
        <f t="shared" si="6"/>
        <v>2.0908046499999999</v>
      </c>
      <c r="H410" s="39"/>
      <c r="I410" s="35"/>
      <c r="J410" s="34">
        <v>5890</v>
      </c>
    </row>
    <row r="411" spans="1:10" ht="25.5" x14ac:dyDescent="0.25">
      <c r="A411" s="249"/>
      <c r="B411" s="252"/>
      <c r="C411" s="40" t="s">
        <v>4074</v>
      </c>
      <c r="D411" s="40" t="s">
        <v>291</v>
      </c>
      <c r="E411" s="41">
        <v>0.80759999999999998</v>
      </c>
      <c r="F411" s="38">
        <v>0.247</v>
      </c>
      <c r="G411" s="35">
        <f t="shared" si="6"/>
        <v>0.19947719999999999</v>
      </c>
      <c r="H411" s="39"/>
      <c r="I411" s="35"/>
      <c r="J411" s="34">
        <v>5890</v>
      </c>
    </row>
    <row r="412" spans="1:10" ht="25.5" x14ac:dyDescent="0.25">
      <c r="A412" s="249"/>
      <c r="B412" s="252"/>
      <c r="C412" s="40" t="s">
        <v>3800</v>
      </c>
      <c r="D412" s="40" t="s">
        <v>3752</v>
      </c>
      <c r="E412" s="41">
        <v>0.54490000000000005</v>
      </c>
      <c r="F412" s="35">
        <v>21.365499999999997</v>
      </c>
      <c r="G412" s="35">
        <f t="shared" si="6"/>
        <v>11.642060949999999</v>
      </c>
      <c r="H412" s="39"/>
      <c r="I412" s="35"/>
      <c r="J412" s="34">
        <v>5890</v>
      </c>
    </row>
    <row r="413" spans="1:10" x14ac:dyDescent="0.25">
      <c r="A413" s="249"/>
      <c r="B413" s="252"/>
      <c r="C413" s="40" t="s">
        <v>3754</v>
      </c>
      <c r="D413" s="40" t="s">
        <v>3752</v>
      </c>
      <c r="E413" s="41">
        <v>0.13619999999999999</v>
      </c>
      <c r="F413" s="35">
        <v>20.814499999999999</v>
      </c>
      <c r="G413" s="35">
        <f t="shared" si="6"/>
        <v>2.8349348999999995</v>
      </c>
      <c r="H413" s="39"/>
      <c r="I413" s="35"/>
      <c r="J413" s="34">
        <v>5890</v>
      </c>
    </row>
    <row r="414" spans="1:10" ht="15.75" thickBot="1" x14ac:dyDescent="0.3">
      <c r="A414" s="250"/>
      <c r="B414" s="253"/>
      <c r="C414" s="40"/>
      <c r="D414" s="40"/>
      <c r="E414" s="41"/>
      <c r="F414" s="35" t="s">
        <v>23</v>
      </c>
      <c r="G414" s="35" t="str">
        <f t="shared" si="6"/>
        <v/>
      </c>
      <c r="H414" s="39"/>
      <c r="I414" s="35"/>
      <c r="J414" s="34">
        <v>5890</v>
      </c>
    </row>
    <row r="415" spans="1:10" ht="15.75" thickBot="1" x14ac:dyDescent="0.3">
      <c r="A415" s="248" t="s">
        <v>108</v>
      </c>
      <c r="B415" s="251" t="s">
        <v>2135</v>
      </c>
      <c r="C415" s="28"/>
      <c r="D415" s="29" t="s">
        <v>78</v>
      </c>
      <c r="E415" s="30"/>
      <c r="F415" s="45" t="s">
        <v>23</v>
      </c>
      <c r="G415" s="31" t="str">
        <f t="shared" si="6"/>
        <v/>
      </c>
      <c r="H415" s="32"/>
      <c r="I415" s="33"/>
      <c r="J415" s="34">
        <v>320</v>
      </c>
    </row>
    <row r="416" spans="1:10" x14ac:dyDescent="0.25">
      <c r="A416" s="249"/>
      <c r="B416" s="252"/>
      <c r="C416" s="36"/>
      <c r="D416" s="36"/>
      <c r="E416" s="37"/>
      <c r="F416" s="46" t="s">
        <v>23</v>
      </c>
      <c r="G416" s="35" t="str">
        <f t="shared" si="6"/>
        <v/>
      </c>
      <c r="H416" s="39"/>
      <c r="I416" s="35"/>
      <c r="J416" s="34">
        <v>320</v>
      </c>
    </row>
    <row r="417" spans="1:10" ht="25.5" x14ac:dyDescent="0.25">
      <c r="A417" s="249"/>
      <c r="B417" s="252"/>
      <c r="C417" s="40" t="s">
        <v>4142</v>
      </c>
      <c r="D417" s="40" t="s">
        <v>1286</v>
      </c>
      <c r="E417" s="41">
        <v>1.2513000000000001</v>
      </c>
      <c r="F417" s="38">
        <v>0.25650000000000001</v>
      </c>
      <c r="G417" s="35">
        <f t="shared" si="6"/>
        <v>0.32095845000000001</v>
      </c>
      <c r="H417" s="43">
        <f>SUM(G417:G420)</f>
        <v>5.7207166499999991</v>
      </c>
      <c r="I417" s="44"/>
      <c r="J417" s="34">
        <v>320</v>
      </c>
    </row>
    <row r="418" spans="1:10" ht="38.25" x14ac:dyDescent="0.25">
      <c r="A418" s="249"/>
      <c r="B418" s="252"/>
      <c r="C418" s="40" t="s">
        <v>3990</v>
      </c>
      <c r="D418" s="40" t="s">
        <v>1035</v>
      </c>
      <c r="E418" s="41">
        <v>0.51639999999999997</v>
      </c>
      <c r="F418" s="38">
        <v>2.8784999999999998</v>
      </c>
      <c r="G418" s="35">
        <f t="shared" si="6"/>
        <v>1.4864573999999999</v>
      </c>
      <c r="H418" s="48"/>
      <c r="I418" s="49"/>
      <c r="J418" s="34">
        <v>320</v>
      </c>
    </row>
    <row r="419" spans="1:10" ht="25.5" x14ac:dyDescent="0.25">
      <c r="A419" s="249"/>
      <c r="B419" s="252"/>
      <c r="C419" s="40" t="s">
        <v>3800</v>
      </c>
      <c r="D419" s="40" t="s">
        <v>3752</v>
      </c>
      <c r="E419" s="41">
        <f>0.3636/3</f>
        <v>0.12119999999999999</v>
      </c>
      <c r="F419" s="35">
        <v>21.365499999999997</v>
      </c>
      <c r="G419" s="35">
        <f t="shared" si="6"/>
        <v>2.5894985999999993</v>
      </c>
      <c r="H419" s="48"/>
      <c r="I419" s="49"/>
      <c r="J419" s="34">
        <v>320</v>
      </c>
    </row>
    <row r="420" spans="1:10" x14ac:dyDescent="0.25">
      <c r="A420" s="249"/>
      <c r="B420" s="252"/>
      <c r="C420" s="40" t="s">
        <v>3754</v>
      </c>
      <c r="D420" s="40" t="s">
        <v>3752</v>
      </c>
      <c r="E420" s="41">
        <f>ROUND(0.0909*0.7,4)</f>
        <v>6.3600000000000004E-2</v>
      </c>
      <c r="F420" s="35">
        <v>20.814499999999999</v>
      </c>
      <c r="G420" s="35">
        <f t="shared" si="6"/>
        <v>1.3238022</v>
      </c>
      <c r="H420" s="48"/>
      <c r="I420" s="49"/>
      <c r="J420" s="34">
        <v>320</v>
      </c>
    </row>
    <row r="421" spans="1:10" ht="15.75" thickBot="1" x14ac:dyDescent="0.3">
      <c r="A421" s="249"/>
      <c r="B421" s="252"/>
      <c r="C421" s="40"/>
      <c r="D421" s="53"/>
      <c r="E421" s="41"/>
      <c r="F421" s="38" t="s">
        <v>23</v>
      </c>
      <c r="G421" s="38" t="str">
        <f t="shared" si="6"/>
        <v/>
      </c>
      <c r="H421" s="48"/>
      <c r="I421" s="49"/>
      <c r="J421" s="34">
        <v>320</v>
      </c>
    </row>
    <row r="422" spans="1:10" ht="15.75" hidden="1" thickBot="1" x14ac:dyDescent="0.3">
      <c r="A422" s="248" t="s">
        <v>109</v>
      </c>
      <c r="B422" s="251" t="s">
        <v>2136</v>
      </c>
      <c r="C422" s="28"/>
      <c r="D422" s="29" t="s">
        <v>78</v>
      </c>
      <c r="E422" s="30"/>
      <c r="F422" s="45" t="s">
        <v>23</v>
      </c>
      <c r="G422" s="31" t="str">
        <f t="shared" si="6"/>
        <v/>
      </c>
      <c r="H422" s="32"/>
      <c r="I422" s="33"/>
      <c r="J422" s="34">
        <v>0</v>
      </c>
    </row>
    <row r="423" spans="1:10" ht="15.75" hidden="1" thickBot="1" x14ac:dyDescent="0.3">
      <c r="A423" s="249"/>
      <c r="B423" s="252"/>
      <c r="C423" s="36"/>
      <c r="D423" s="36"/>
      <c r="E423" s="37"/>
      <c r="F423" s="46" t="s">
        <v>23</v>
      </c>
      <c r="G423" s="35" t="str">
        <f t="shared" si="6"/>
        <v/>
      </c>
      <c r="H423" s="39"/>
      <c r="I423" s="35"/>
      <c r="J423" s="34">
        <v>0</v>
      </c>
    </row>
    <row r="424" spans="1:10" ht="26.25" hidden="1" thickBot="1" x14ac:dyDescent="0.3">
      <c r="A424" s="249"/>
      <c r="B424" s="252"/>
      <c r="C424" s="40" t="s">
        <v>3797</v>
      </c>
      <c r="D424" s="40" t="s">
        <v>1286</v>
      </c>
      <c r="E424" s="41">
        <v>0.42</v>
      </c>
      <c r="F424" s="38">
        <v>2.2705000000000002</v>
      </c>
      <c r="G424" s="38">
        <f t="shared" si="6"/>
        <v>0.95361000000000007</v>
      </c>
      <c r="H424" s="43">
        <f>SUM(G424:G432)</f>
        <v>90.325843431925009</v>
      </c>
      <c r="I424" s="44"/>
      <c r="J424" s="34">
        <v>0</v>
      </c>
    </row>
    <row r="425" spans="1:10" ht="15.75" hidden="1" thickBot="1" x14ac:dyDescent="0.3">
      <c r="A425" s="249"/>
      <c r="B425" s="252"/>
      <c r="C425" s="40" t="s">
        <v>3798</v>
      </c>
      <c r="D425" s="40" t="s">
        <v>3799</v>
      </c>
      <c r="E425" s="41">
        <v>5.0000000000000001E-3</v>
      </c>
      <c r="F425" s="38">
        <v>38.037999999999997</v>
      </c>
      <c r="G425" s="38">
        <f t="shared" si="6"/>
        <v>0.19019</v>
      </c>
      <c r="H425" s="39"/>
      <c r="I425" s="35"/>
      <c r="J425" s="34">
        <v>0</v>
      </c>
    </row>
    <row r="426" spans="1:10" ht="26.25" hidden="1" thickBot="1" x14ac:dyDescent="0.3">
      <c r="A426" s="249"/>
      <c r="B426" s="252"/>
      <c r="C426" s="40" t="s">
        <v>3807</v>
      </c>
      <c r="D426" s="40" t="s">
        <v>291</v>
      </c>
      <c r="E426" s="41">
        <v>13.6</v>
      </c>
      <c r="F426" s="38">
        <v>1.9379999999999999</v>
      </c>
      <c r="G426" s="38">
        <f t="shared" si="6"/>
        <v>26.3568</v>
      </c>
      <c r="H426" s="39"/>
      <c r="I426" s="35"/>
      <c r="J426" s="34">
        <v>0</v>
      </c>
    </row>
    <row r="427" spans="1:10" ht="51.75" hidden="1" thickBot="1" x14ac:dyDescent="0.3">
      <c r="A427" s="249"/>
      <c r="B427" s="252"/>
      <c r="C427" s="40" t="s">
        <v>4727</v>
      </c>
      <c r="D427" s="40" t="s">
        <v>3764</v>
      </c>
      <c r="E427" s="41">
        <v>1.04E-2</v>
      </c>
      <c r="F427" s="38">
        <v>749.29872024999997</v>
      </c>
      <c r="G427" s="38">
        <f t="shared" si="6"/>
        <v>7.7927066905999993</v>
      </c>
      <c r="H427" s="39"/>
      <c r="I427" s="35"/>
      <c r="J427" s="34">
        <v>0</v>
      </c>
    </row>
    <row r="428" spans="1:10" ht="15.75" hidden="1" thickBot="1" x14ac:dyDescent="0.3">
      <c r="A428" s="249"/>
      <c r="B428" s="252"/>
      <c r="C428" s="40" t="s">
        <v>3757</v>
      </c>
      <c r="D428" s="40" t="s">
        <v>3752</v>
      </c>
      <c r="E428" s="41">
        <v>0.59</v>
      </c>
      <c r="F428" s="35">
        <v>28.0535</v>
      </c>
      <c r="G428" s="38">
        <f t="shared" si="6"/>
        <v>16.551565</v>
      </c>
      <c r="H428" s="39"/>
      <c r="I428" s="35"/>
      <c r="J428" s="34">
        <v>0</v>
      </c>
    </row>
    <row r="429" spans="1:10" ht="15.75" hidden="1" thickBot="1" x14ac:dyDescent="0.3">
      <c r="A429" s="249"/>
      <c r="B429" s="252"/>
      <c r="C429" s="40" t="s">
        <v>3754</v>
      </c>
      <c r="D429" s="40" t="s">
        <v>3752</v>
      </c>
      <c r="E429" s="41">
        <v>0.29499999999999998</v>
      </c>
      <c r="F429" s="35">
        <v>20.814499999999999</v>
      </c>
      <c r="G429" s="38">
        <f t="shared" si="6"/>
        <v>6.1402774999999989</v>
      </c>
      <c r="H429" s="39"/>
      <c r="I429" s="35"/>
      <c r="J429" s="34">
        <v>0</v>
      </c>
    </row>
    <row r="430" spans="1:10" ht="51.75" hidden="1" thickBot="1" x14ac:dyDescent="0.3">
      <c r="A430" s="249"/>
      <c r="B430" s="252"/>
      <c r="C430" s="40" t="s">
        <v>4727</v>
      </c>
      <c r="D430" s="40" t="s">
        <v>3764</v>
      </c>
      <c r="E430" s="41">
        <v>2.1299999999999999E-2</v>
      </c>
      <c r="F430" s="38">
        <v>749.29872024999997</v>
      </c>
      <c r="G430" s="38">
        <f t="shared" si="6"/>
        <v>15.960062741324998</v>
      </c>
      <c r="H430" s="39"/>
      <c r="I430" s="35"/>
      <c r="J430" s="34">
        <v>0</v>
      </c>
    </row>
    <row r="431" spans="1:10" ht="15.75" hidden="1" thickBot="1" x14ac:dyDescent="0.3">
      <c r="A431" s="249"/>
      <c r="B431" s="252"/>
      <c r="C431" s="40" t="s">
        <v>3757</v>
      </c>
      <c r="D431" s="40" t="s">
        <v>3752</v>
      </c>
      <c r="E431" s="41">
        <v>0.46</v>
      </c>
      <c r="F431" s="35">
        <v>28.0535</v>
      </c>
      <c r="G431" s="38">
        <f t="shared" si="6"/>
        <v>12.90461</v>
      </c>
      <c r="H431" s="39"/>
      <c r="I431" s="35"/>
      <c r="J431" s="34">
        <v>0</v>
      </c>
    </row>
    <row r="432" spans="1:10" ht="15.75" hidden="1" thickBot="1" x14ac:dyDescent="0.3">
      <c r="A432" s="249"/>
      <c r="B432" s="252"/>
      <c r="C432" s="40" t="s">
        <v>3754</v>
      </c>
      <c r="D432" s="40" t="s">
        <v>3752</v>
      </c>
      <c r="E432" s="41">
        <v>0.16700000000000001</v>
      </c>
      <c r="F432" s="35">
        <v>20.814499999999999</v>
      </c>
      <c r="G432" s="38">
        <f t="shared" si="6"/>
        <v>3.4760214999999999</v>
      </c>
      <c r="H432" s="39"/>
      <c r="I432" s="35"/>
      <c r="J432" s="34">
        <v>0</v>
      </c>
    </row>
    <row r="433" spans="1:10" ht="15.75" hidden="1" thickBot="1" x14ac:dyDescent="0.3">
      <c r="A433" s="250"/>
      <c r="B433" s="253"/>
      <c r="C433" s="40"/>
      <c r="D433" s="40"/>
      <c r="E433" s="41"/>
      <c r="F433" s="35" t="s">
        <v>23</v>
      </c>
      <c r="G433" s="35" t="str">
        <f t="shared" si="6"/>
        <v/>
      </c>
      <c r="H433" s="39"/>
      <c r="I433" s="35"/>
      <c r="J433" s="34">
        <v>0</v>
      </c>
    </row>
    <row r="434" spans="1:10" ht="15.75" hidden="1" thickBot="1" x14ac:dyDescent="0.3">
      <c r="A434" s="248" t="s">
        <v>110</v>
      </c>
      <c r="B434" s="251" t="s">
        <v>2137</v>
      </c>
      <c r="C434" s="28"/>
      <c r="D434" s="29" t="s">
        <v>78</v>
      </c>
      <c r="E434" s="30"/>
      <c r="F434" s="45" t="s">
        <v>23</v>
      </c>
      <c r="G434" s="31" t="str">
        <f t="shared" si="6"/>
        <v/>
      </c>
      <c r="H434" s="32"/>
      <c r="I434" s="33"/>
      <c r="J434" s="34">
        <v>0</v>
      </c>
    </row>
    <row r="435" spans="1:10" ht="15.75" hidden="1" thickBot="1" x14ac:dyDescent="0.3">
      <c r="A435" s="249"/>
      <c r="B435" s="252"/>
      <c r="C435" s="36"/>
      <c r="D435" s="36"/>
      <c r="E435" s="37"/>
      <c r="F435" s="46" t="s">
        <v>23</v>
      </c>
      <c r="G435" s="35" t="str">
        <f t="shared" si="6"/>
        <v/>
      </c>
      <c r="H435" s="39"/>
      <c r="I435" s="35"/>
      <c r="J435" s="34">
        <v>0</v>
      </c>
    </row>
    <row r="436" spans="1:10" ht="39" hidden="1" thickBot="1" x14ac:dyDescent="0.3">
      <c r="A436" s="249"/>
      <c r="B436" s="252"/>
      <c r="C436" s="40" t="s">
        <v>4737</v>
      </c>
      <c r="D436" s="40" t="s">
        <v>3764</v>
      </c>
      <c r="E436" s="41">
        <v>3.3999999999999998E-3</v>
      </c>
      <c r="F436" s="38">
        <v>2591.3659200000002</v>
      </c>
      <c r="G436" s="38">
        <f t="shared" si="6"/>
        <v>8.8106441279999999</v>
      </c>
      <c r="H436" s="43">
        <f>SUM(G436:G438)</f>
        <v>13.455157077999999</v>
      </c>
      <c r="I436" s="44"/>
      <c r="J436" s="34">
        <v>0</v>
      </c>
    </row>
    <row r="437" spans="1:10" ht="15.75" hidden="1" thickBot="1" x14ac:dyDescent="0.3">
      <c r="A437" s="249"/>
      <c r="B437" s="252"/>
      <c r="C437" s="40" t="s">
        <v>3757</v>
      </c>
      <c r="D437" s="40" t="s">
        <v>3752</v>
      </c>
      <c r="E437" s="41">
        <v>0.1295</v>
      </c>
      <c r="F437" s="35">
        <v>28.0535</v>
      </c>
      <c r="G437" s="38">
        <f t="shared" si="6"/>
        <v>3.63292825</v>
      </c>
      <c r="H437" s="39"/>
      <c r="I437" s="35"/>
      <c r="J437" s="34">
        <v>0</v>
      </c>
    </row>
    <row r="438" spans="1:10" ht="15.75" hidden="1" thickBot="1" x14ac:dyDescent="0.3">
      <c r="A438" s="249"/>
      <c r="B438" s="252"/>
      <c r="C438" s="40" t="s">
        <v>3754</v>
      </c>
      <c r="D438" s="40" t="s">
        <v>3752</v>
      </c>
      <c r="E438" s="41">
        <v>4.8599999999999997E-2</v>
      </c>
      <c r="F438" s="35">
        <v>20.814499999999999</v>
      </c>
      <c r="G438" s="38">
        <f t="shared" si="6"/>
        <v>1.0115846999999998</v>
      </c>
      <c r="H438" s="39"/>
      <c r="I438" s="35"/>
      <c r="J438" s="34">
        <v>0</v>
      </c>
    </row>
    <row r="439" spans="1:10" ht="15.75" hidden="1" thickBot="1" x14ac:dyDescent="0.3">
      <c r="A439" s="250"/>
      <c r="B439" s="253"/>
      <c r="C439" s="40"/>
      <c r="D439" s="40"/>
      <c r="E439" s="41"/>
      <c r="F439" s="35" t="s">
        <v>23</v>
      </c>
      <c r="G439" s="35" t="str">
        <f t="shared" si="6"/>
        <v/>
      </c>
      <c r="H439" s="39"/>
      <c r="I439" s="35"/>
      <c r="J439" s="34">
        <v>0</v>
      </c>
    </row>
    <row r="440" spans="1:10" ht="15.75" thickBot="1" x14ac:dyDescent="0.3">
      <c r="A440" s="248" t="s">
        <v>111</v>
      </c>
      <c r="B440" s="251" t="s">
        <v>2138</v>
      </c>
      <c r="C440" s="28"/>
      <c r="D440" s="29" t="s">
        <v>78</v>
      </c>
      <c r="E440" s="30"/>
      <c r="F440" s="45" t="s">
        <v>23</v>
      </c>
      <c r="G440" s="31" t="str">
        <f t="shared" si="6"/>
        <v/>
      </c>
      <c r="H440" s="32"/>
      <c r="I440" s="33"/>
      <c r="J440" s="34">
        <v>3000</v>
      </c>
    </row>
    <row r="441" spans="1:10" x14ac:dyDescent="0.25">
      <c r="A441" s="249"/>
      <c r="B441" s="252"/>
      <c r="C441" s="36"/>
      <c r="D441" s="36"/>
      <c r="E441" s="37"/>
      <c r="F441" s="46" t="s">
        <v>23</v>
      </c>
      <c r="G441" s="35" t="str">
        <f t="shared" si="6"/>
        <v/>
      </c>
      <c r="H441" s="39"/>
      <c r="I441" s="35"/>
      <c r="J441" s="34">
        <v>3000</v>
      </c>
    </row>
    <row r="442" spans="1:10" ht="38.25" x14ac:dyDescent="0.25">
      <c r="A442" s="249"/>
      <c r="B442" s="252"/>
      <c r="C442" s="40" t="s">
        <v>4736</v>
      </c>
      <c r="D442" s="40" t="s">
        <v>3764</v>
      </c>
      <c r="E442" s="41">
        <v>3.7000000000000002E-3</v>
      </c>
      <c r="F442" s="38">
        <v>744.94406037500005</v>
      </c>
      <c r="G442" s="38">
        <f t="shared" si="6"/>
        <v>2.7562930233875003</v>
      </c>
      <c r="H442" s="43">
        <f>SUM(G442:G444)</f>
        <v>5.1975061233875</v>
      </c>
      <c r="I442" s="44"/>
      <c r="J442" s="34">
        <v>3000</v>
      </c>
    </row>
    <row r="443" spans="1:10" x14ac:dyDescent="0.25">
      <c r="A443" s="249"/>
      <c r="B443" s="252"/>
      <c r="C443" s="40" t="s">
        <v>3757</v>
      </c>
      <c r="D443" s="40" t="s">
        <v>3752</v>
      </c>
      <c r="E443" s="41">
        <v>6.8099999999999994E-2</v>
      </c>
      <c r="F443" s="35">
        <v>28.0535</v>
      </c>
      <c r="G443" s="35">
        <f t="shared" si="6"/>
        <v>1.9104433499999998</v>
      </c>
      <c r="H443" s="39"/>
      <c r="I443" s="35"/>
      <c r="J443" s="34">
        <v>3000</v>
      </c>
    </row>
    <row r="444" spans="1:10" x14ac:dyDescent="0.25">
      <c r="A444" s="249"/>
      <c r="B444" s="252"/>
      <c r="C444" s="40" t="s">
        <v>3754</v>
      </c>
      <c r="D444" s="40" t="s">
        <v>3752</v>
      </c>
      <c r="E444" s="41">
        <v>2.5499999999999998E-2</v>
      </c>
      <c r="F444" s="35">
        <v>20.814499999999999</v>
      </c>
      <c r="G444" s="35">
        <f t="shared" si="6"/>
        <v>0.53076974999999993</v>
      </c>
      <c r="H444" s="39"/>
      <c r="I444" s="35"/>
      <c r="J444" s="34">
        <v>3000</v>
      </c>
    </row>
    <row r="445" spans="1:10" ht="15.75" thickBot="1" x14ac:dyDescent="0.3">
      <c r="A445" s="250"/>
      <c r="B445" s="253"/>
      <c r="C445" s="40"/>
      <c r="D445" s="40"/>
      <c r="E445" s="41"/>
      <c r="F445" s="35" t="s">
        <v>23</v>
      </c>
      <c r="G445" s="35" t="str">
        <f t="shared" si="6"/>
        <v/>
      </c>
      <c r="H445" s="39"/>
      <c r="I445" s="35"/>
      <c r="J445" s="34">
        <v>3000</v>
      </c>
    </row>
    <row r="446" spans="1:10" ht="15.75" thickBot="1" x14ac:dyDescent="0.3">
      <c r="A446" s="248" t="s">
        <v>112</v>
      </c>
      <c r="B446" s="251" t="s">
        <v>2139</v>
      </c>
      <c r="C446" s="28"/>
      <c r="D446" s="29" t="s">
        <v>78</v>
      </c>
      <c r="E446" s="30"/>
      <c r="F446" s="45" t="s">
        <v>23</v>
      </c>
      <c r="G446" s="31" t="str">
        <f t="shared" si="6"/>
        <v/>
      </c>
      <c r="H446" s="32"/>
      <c r="I446" s="33"/>
      <c r="J446" s="34">
        <v>35430</v>
      </c>
    </row>
    <row r="447" spans="1:10" x14ac:dyDescent="0.25">
      <c r="A447" s="262"/>
      <c r="B447" s="252"/>
      <c r="C447" s="36"/>
      <c r="D447" s="36"/>
      <c r="E447" s="37"/>
      <c r="F447" s="46" t="s">
        <v>23</v>
      </c>
      <c r="G447" s="35" t="str">
        <f t="shared" si="6"/>
        <v/>
      </c>
      <c r="H447" s="39"/>
      <c r="I447" s="35"/>
      <c r="J447" s="34">
        <v>35430</v>
      </c>
    </row>
    <row r="448" spans="1:10" x14ac:dyDescent="0.25">
      <c r="A448" s="262"/>
      <c r="B448" s="252"/>
      <c r="C448" s="40" t="s">
        <v>3824</v>
      </c>
      <c r="D448" s="40" t="s">
        <v>3752</v>
      </c>
      <c r="E448" s="41">
        <v>0.32979000000000003</v>
      </c>
      <c r="F448" s="35">
        <v>27.853999999999999</v>
      </c>
      <c r="G448" s="35">
        <f t="shared" si="6"/>
        <v>9.1859706600000006</v>
      </c>
      <c r="H448" s="43">
        <f>SUM(G448:G450)</f>
        <v>14.412128895</v>
      </c>
      <c r="I448" s="44"/>
      <c r="J448" s="34">
        <v>35430</v>
      </c>
    </row>
    <row r="449" spans="1:10" x14ac:dyDescent="0.25">
      <c r="A449" s="262"/>
      <c r="B449" s="252"/>
      <c r="C449" s="40" t="s">
        <v>3754</v>
      </c>
      <c r="D449" s="40" t="s">
        <v>3752</v>
      </c>
      <c r="E449" s="41">
        <v>0.10443</v>
      </c>
      <c r="F449" s="35">
        <v>20.814499999999999</v>
      </c>
      <c r="G449" s="35">
        <f t="shared" si="6"/>
        <v>2.173658235</v>
      </c>
      <c r="H449" s="39"/>
      <c r="I449" s="35"/>
      <c r="J449" s="34">
        <v>35430</v>
      </c>
    </row>
    <row r="450" spans="1:10" x14ac:dyDescent="0.25">
      <c r="A450" s="262"/>
      <c r="B450" s="252"/>
      <c r="C450" s="40" t="s">
        <v>113</v>
      </c>
      <c r="D450" s="40" t="s">
        <v>82</v>
      </c>
      <c r="E450" s="41">
        <f>0.75</f>
        <v>0.75</v>
      </c>
      <c r="F450" s="35">
        <v>4.07</v>
      </c>
      <c r="G450" s="35">
        <f t="shared" si="6"/>
        <v>3.0525000000000002</v>
      </c>
      <c r="H450" s="39"/>
      <c r="I450" s="35"/>
      <c r="J450" s="34">
        <v>35430</v>
      </c>
    </row>
    <row r="451" spans="1:10" x14ac:dyDescent="0.25">
      <c r="A451" s="262"/>
      <c r="B451" s="252"/>
      <c r="C451" s="40"/>
      <c r="D451" s="40"/>
      <c r="E451" s="41"/>
      <c r="F451" s="35" t="s">
        <v>23</v>
      </c>
      <c r="G451" s="35" t="str">
        <f t="shared" si="6"/>
        <v/>
      </c>
      <c r="H451" s="39"/>
      <c r="I451" s="35"/>
      <c r="J451" s="34">
        <v>35430</v>
      </c>
    </row>
    <row r="452" spans="1:10" ht="25.5" x14ac:dyDescent="0.25">
      <c r="A452" s="262"/>
      <c r="B452" s="252"/>
      <c r="C452" s="54" t="s">
        <v>114</v>
      </c>
      <c r="D452" s="54"/>
      <c r="E452" s="55"/>
      <c r="F452" s="38" t="s">
        <v>23</v>
      </c>
      <c r="G452" s="35" t="str">
        <f t="shared" si="6"/>
        <v/>
      </c>
      <c r="H452" s="39"/>
      <c r="I452" s="35"/>
      <c r="J452" s="34">
        <v>35430</v>
      </c>
    </row>
    <row r="453" spans="1:10" ht="15.75" thickBot="1" x14ac:dyDescent="0.3">
      <c r="A453" s="263"/>
      <c r="B453" s="253"/>
      <c r="C453" s="40"/>
      <c r="D453" s="40"/>
      <c r="E453" s="41"/>
      <c r="F453" s="35" t="s">
        <v>23</v>
      </c>
      <c r="G453" s="35" t="str">
        <f t="shared" si="6"/>
        <v/>
      </c>
      <c r="H453" s="39"/>
      <c r="I453" s="35"/>
      <c r="J453" s="34">
        <v>35430</v>
      </c>
    </row>
    <row r="454" spans="1:10" ht="15.75" thickBot="1" x14ac:dyDescent="0.3">
      <c r="A454" s="248" t="s">
        <v>115</v>
      </c>
      <c r="B454" s="251" t="s">
        <v>2140</v>
      </c>
      <c r="C454" s="28"/>
      <c r="D454" s="29" t="s">
        <v>78</v>
      </c>
      <c r="E454" s="30"/>
      <c r="F454" s="45" t="s">
        <v>23</v>
      </c>
      <c r="G454" s="31" t="str">
        <f t="shared" ref="G454:G517" si="7">IF(ISNUMBER(F454),E454*F454,"")</f>
        <v/>
      </c>
      <c r="H454" s="32"/>
      <c r="I454" s="33"/>
      <c r="J454" s="34">
        <v>79100</v>
      </c>
    </row>
    <row r="455" spans="1:10" x14ac:dyDescent="0.25">
      <c r="A455" s="249"/>
      <c r="B455" s="252"/>
      <c r="C455" s="36"/>
      <c r="D455" s="36"/>
      <c r="E455" s="37"/>
      <c r="F455" s="46" t="s">
        <v>23</v>
      </c>
      <c r="G455" s="35" t="str">
        <f t="shared" si="7"/>
        <v/>
      </c>
      <c r="H455" s="39"/>
      <c r="I455" s="35"/>
      <c r="J455" s="34">
        <v>79100</v>
      </c>
    </row>
    <row r="456" spans="1:10" ht="25.5" x14ac:dyDescent="0.25">
      <c r="A456" s="249"/>
      <c r="B456" s="252"/>
      <c r="C456" s="40" t="s">
        <v>3773</v>
      </c>
      <c r="D456" s="40" t="s">
        <v>1035</v>
      </c>
      <c r="E456" s="41">
        <f>1890*0.02</f>
        <v>37.800000000000004</v>
      </c>
      <c r="F456" s="38">
        <v>0.67449999999999999</v>
      </c>
      <c r="G456" s="35">
        <f t="shared" si="7"/>
        <v>25.496100000000002</v>
      </c>
      <c r="H456" s="43">
        <f>SUM(G456:G459)</f>
        <v>46.088887100000008</v>
      </c>
      <c r="I456" s="44"/>
      <c r="J456" s="34">
        <v>79100</v>
      </c>
    </row>
    <row r="457" spans="1:10" x14ac:dyDescent="0.25">
      <c r="A457" s="249"/>
      <c r="B457" s="252"/>
      <c r="C457" s="40" t="s">
        <v>3754</v>
      </c>
      <c r="D457" s="40" t="s">
        <v>3752</v>
      </c>
      <c r="E457" s="41">
        <f>12.59*0.02</f>
        <v>0.25180000000000002</v>
      </c>
      <c r="F457" s="35">
        <v>20.814499999999999</v>
      </c>
      <c r="G457" s="35">
        <f t="shared" si="7"/>
        <v>5.2410911000000002</v>
      </c>
      <c r="H457" s="48"/>
      <c r="I457" s="49"/>
      <c r="J457" s="34">
        <v>79100</v>
      </c>
    </row>
    <row r="458" spans="1:10" x14ac:dyDescent="0.25">
      <c r="A458" s="249"/>
      <c r="B458" s="252"/>
      <c r="C458" s="40" t="s">
        <v>3757</v>
      </c>
      <c r="D458" s="40" t="s">
        <v>3752</v>
      </c>
      <c r="E458" s="41">
        <v>0.43</v>
      </c>
      <c r="F458" s="35">
        <v>28.0535</v>
      </c>
      <c r="G458" s="35">
        <f t="shared" si="7"/>
        <v>12.063005</v>
      </c>
      <c r="H458" s="39"/>
      <c r="I458" s="35"/>
      <c r="J458" s="34">
        <v>79100</v>
      </c>
    </row>
    <row r="459" spans="1:10" x14ac:dyDescent="0.25">
      <c r="A459" s="249"/>
      <c r="B459" s="252"/>
      <c r="C459" s="40" t="s">
        <v>3754</v>
      </c>
      <c r="D459" s="40" t="s">
        <v>3752</v>
      </c>
      <c r="E459" s="41">
        <f>0.158</f>
        <v>0.158</v>
      </c>
      <c r="F459" s="35">
        <v>20.814499999999999</v>
      </c>
      <c r="G459" s="35">
        <f t="shared" si="7"/>
        <v>3.288691</v>
      </c>
      <c r="H459" s="39"/>
      <c r="I459" s="35"/>
      <c r="J459" s="34">
        <v>79100</v>
      </c>
    </row>
    <row r="460" spans="1:10" x14ac:dyDescent="0.25">
      <c r="A460" s="249"/>
      <c r="B460" s="252"/>
      <c r="C460" s="40"/>
      <c r="D460" s="40"/>
      <c r="E460" s="41"/>
      <c r="F460" s="35" t="s">
        <v>23</v>
      </c>
      <c r="G460" s="35" t="str">
        <f t="shared" si="7"/>
        <v/>
      </c>
      <c r="H460" s="39"/>
      <c r="I460" s="35"/>
      <c r="J460" s="34">
        <v>79100</v>
      </c>
    </row>
    <row r="461" spans="1:10" ht="38.25" x14ac:dyDescent="0.25">
      <c r="A461" s="249"/>
      <c r="B461" s="252"/>
      <c r="C461" s="54" t="s">
        <v>116</v>
      </c>
      <c r="D461" s="40"/>
      <c r="E461" s="41"/>
      <c r="F461" s="35" t="s">
        <v>23</v>
      </c>
      <c r="G461" s="35" t="str">
        <f t="shared" si="7"/>
        <v/>
      </c>
      <c r="H461" s="39"/>
      <c r="I461" s="35"/>
      <c r="J461" s="34">
        <v>79100</v>
      </c>
    </row>
    <row r="462" spans="1:10" ht="30" x14ac:dyDescent="0.25">
      <c r="A462" s="249"/>
      <c r="B462" s="252"/>
      <c r="C462" s="56" t="s">
        <v>117</v>
      </c>
      <c r="D462" s="40"/>
      <c r="E462" s="41"/>
      <c r="F462" s="35" t="s">
        <v>23</v>
      </c>
      <c r="G462" s="35" t="str">
        <f t="shared" si="7"/>
        <v/>
      </c>
      <c r="H462" s="39"/>
      <c r="I462" s="35"/>
      <c r="J462" s="34">
        <v>79100</v>
      </c>
    </row>
    <row r="463" spans="1:10" ht="15.75" thickBot="1" x14ac:dyDescent="0.3">
      <c r="A463" s="250"/>
      <c r="B463" s="253"/>
      <c r="C463" s="40"/>
      <c r="D463" s="40"/>
      <c r="E463" s="41"/>
      <c r="F463" s="35" t="s">
        <v>23</v>
      </c>
      <c r="G463" s="35" t="str">
        <f t="shared" si="7"/>
        <v/>
      </c>
      <c r="H463" s="39"/>
      <c r="I463" s="35"/>
      <c r="J463" s="34">
        <v>79100</v>
      </c>
    </row>
    <row r="464" spans="1:10" ht="15.75" hidden="1" thickBot="1" x14ac:dyDescent="0.3">
      <c r="A464" s="248" t="s">
        <v>118</v>
      </c>
      <c r="B464" s="251" t="s">
        <v>2141</v>
      </c>
      <c r="C464" s="28"/>
      <c r="D464" s="29" t="s">
        <v>78</v>
      </c>
      <c r="E464" s="30"/>
      <c r="F464" s="45" t="s">
        <v>23</v>
      </c>
      <c r="G464" s="31" t="str">
        <f t="shared" si="7"/>
        <v/>
      </c>
      <c r="H464" s="32"/>
      <c r="I464" s="33"/>
      <c r="J464" s="34">
        <v>0</v>
      </c>
    </row>
    <row r="465" spans="1:10" ht="15.75" hidden="1" thickBot="1" x14ac:dyDescent="0.3">
      <c r="A465" s="249"/>
      <c r="B465" s="252"/>
      <c r="C465" s="36"/>
      <c r="D465" s="36"/>
      <c r="E465" s="37"/>
      <c r="F465" s="46" t="s">
        <v>23</v>
      </c>
      <c r="G465" s="35" t="str">
        <f t="shared" si="7"/>
        <v/>
      </c>
      <c r="H465" s="39"/>
      <c r="I465" s="35"/>
      <c r="J465" s="34">
        <v>0</v>
      </c>
    </row>
    <row r="466" spans="1:10" ht="26.25" hidden="1" thickBot="1" x14ac:dyDescent="0.3">
      <c r="A466" s="249"/>
      <c r="B466" s="252"/>
      <c r="C466" s="40" t="s">
        <v>3773</v>
      </c>
      <c r="D466" s="40" t="s">
        <v>1035</v>
      </c>
      <c r="E466" s="41">
        <f>1890*0.005</f>
        <v>9.4500000000000011</v>
      </c>
      <c r="F466" s="38">
        <v>0.67449999999999999</v>
      </c>
      <c r="G466" s="35">
        <f t="shared" si="7"/>
        <v>6.3740250000000005</v>
      </c>
      <c r="H466" s="43">
        <f>SUM(G466:G469)</f>
        <v>15.432904375</v>
      </c>
      <c r="I466" s="44"/>
      <c r="J466" s="34">
        <v>0</v>
      </c>
    </row>
    <row r="467" spans="1:10" ht="15.75" hidden="1" thickBot="1" x14ac:dyDescent="0.3">
      <c r="A467" s="249"/>
      <c r="B467" s="252"/>
      <c r="C467" s="40" t="s">
        <v>3754</v>
      </c>
      <c r="D467" s="40" t="s">
        <v>3752</v>
      </c>
      <c r="E467" s="41">
        <f>12.59*0.005</f>
        <v>6.2950000000000006E-2</v>
      </c>
      <c r="F467" s="35">
        <v>20.814499999999999</v>
      </c>
      <c r="G467" s="35">
        <f t="shared" si="7"/>
        <v>1.3102727750000001</v>
      </c>
      <c r="H467" s="39"/>
      <c r="I467" s="35"/>
      <c r="J467" s="34">
        <v>0</v>
      </c>
    </row>
    <row r="468" spans="1:10" ht="15.75" hidden="1" thickBot="1" x14ac:dyDescent="0.3">
      <c r="A468" s="249"/>
      <c r="B468" s="252"/>
      <c r="C468" s="40" t="s">
        <v>3757</v>
      </c>
      <c r="D468" s="40" t="s">
        <v>3752</v>
      </c>
      <c r="E468" s="41">
        <f>0.31*0.7</f>
        <v>0.217</v>
      </c>
      <c r="F468" s="35">
        <v>28.0535</v>
      </c>
      <c r="G468" s="35">
        <f t="shared" si="7"/>
        <v>6.0876095000000001</v>
      </c>
      <c r="H468" s="39"/>
      <c r="I468" s="35"/>
      <c r="J468" s="34">
        <v>0</v>
      </c>
    </row>
    <row r="469" spans="1:10" ht="15.75" hidden="1" thickBot="1" x14ac:dyDescent="0.3">
      <c r="A469" s="249"/>
      <c r="B469" s="252"/>
      <c r="C469" s="40" t="s">
        <v>3754</v>
      </c>
      <c r="D469" s="40" t="s">
        <v>3752</v>
      </c>
      <c r="E469" s="41">
        <f>0.114*0.7</f>
        <v>7.9799999999999996E-2</v>
      </c>
      <c r="F469" s="35">
        <v>20.814499999999999</v>
      </c>
      <c r="G469" s="35">
        <f t="shared" si="7"/>
        <v>1.6609970999999999</v>
      </c>
      <c r="H469" s="39"/>
      <c r="I469" s="35"/>
      <c r="J469" s="34">
        <v>0</v>
      </c>
    </row>
    <row r="470" spans="1:10" ht="15.75" hidden="1" thickBot="1" x14ac:dyDescent="0.3">
      <c r="A470" s="250"/>
      <c r="B470" s="253"/>
      <c r="C470" s="40"/>
      <c r="D470" s="40"/>
      <c r="E470" s="41"/>
      <c r="F470" s="35" t="s">
        <v>23</v>
      </c>
      <c r="G470" s="35" t="str">
        <f t="shared" si="7"/>
        <v/>
      </c>
      <c r="H470" s="39"/>
      <c r="I470" s="35"/>
      <c r="J470" s="34">
        <v>0</v>
      </c>
    </row>
    <row r="471" spans="1:10" ht="15.75" thickBot="1" x14ac:dyDescent="0.3">
      <c r="A471" s="248" t="s">
        <v>119</v>
      </c>
      <c r="B471" s="251" t="s">
        <v>2142</v>
      </c>
      <c r="C471" s="28"/>
      <c r="D471" s="29" t="s">
        <v>121</v>
      </c>
      <c r="E471" s="30"/>
      <c r="F471" s="45" t="s">
        <v>23</v>
      </c>
      <c r="G471" s="31" t="str">
        <f t="shared" si="7"/>
        <v/>
      </c>
      <c r="H471" s="32"/>
      <c r="I471" s="33"/>
      <c r="J471" s="34">
        <v>5430</v>
      </c>
    </row>
    <row r="472" spans="1:10" x14ac:dyDescent="0.25">
      <c r="A472" s="249"/>
      <c r="B472" s="252"/>
      <c r="C472" s="36"/>
      <c r="D472" s="36"/>
      <c r="E472" s="37"/>
      <c r="F472" s="46" t="s">
        <v>23</v>
      </c>
      <c r="G472" s="35" t="str">
        <f t="shared" si="7"/>
        <v/>
      </c>
      <c r="H472" s="39"/>
      <c r="I472" s="35"/>
      <c r="J472" s="34">
        <v>5430</v>
      </c>
    </row>
    <row r="473" spans="1:10" x14ac:dyDescent="0.25">
      <c r="A473" s="249"/>
      <c r="B473" s="252"/>
      <c r="C473" s="40" t="s">
        <v>3754</v>
      </c>
      <c r="D473" s="40" t="s">
        <v>3752</v>
      </c>
      <c r="E473" s="41">
        <v>0.6</v>
      </c>
      <c r="F473" s="35">
        <v>20.814499999999999</v>
      </c>
      <c r="G473" s="38">
        <f t="shared" si="7"/>
        <v>12.4887</v>
      </c>
      <c r="H473" s="43">
        <f>SUM(G473:G477)</f>
        <v>30.5486091</v>
      </c>
      <c r="I473" s="44"/>
      <c r="J473" s="34">
        <v>5430</v>
      </c>
    </row>
    <row r="474" spans="1:10" x14ac:dyDescent="0.25">
      <c r="A474" s="249"/>
      <c r="B474" s="252"/>
      <c r="C474" s="40" t="s">
        <v>3757</v>
      </c>
      <c r="D474" s="40" t="s">
        <v>3752</v>
      </c>
      <c r="E474" s="41">
        <v>0.155</v>
      </c>
      <c r="F474" s="35">
        <v>28.0535</v>
      </c>
      <c r="G474" s="38">
        <f t="shared" si="7"/>
        <v>4.3482925000000003</v>
      </c>
      <c r="H474" s="39"/>
      <c r="I474" s="35"/>
      <c r="J474" s="34">
        <v>5430</v>
      </c>
    </row>
    <row r="475" spans="1:10" x14ac:dyDescent="0.25">
      <c r="A475" s="249"/>
      <c r="B475" s="252"/>
      <c r="C475" s="40" t="s">
        <v>120</v>
      </c>
      <c r="D475" s="53" t="s">
        <v>121</v>
      </c>
      <c r="E475" s="41">
        <v>1.05</v>
      </c>
      <c r="F475" s="38">
        <v>4.2370000000000001</v>
      </c>
      <c r="G475" s="38">
        <f t="shared" si="7"/>
        <v>4.4488500000000002</v>
      </c>
      <c r="H475" s="39"/>
      <c r="I475" s="35"/>
      <c r="J475" s="34">
        <v>5430</v>
      </c>
    </row>
    <row r="476" spans="1:10" x14ac:dyDescent="0.25">
      <c r="A476" s="249"/>
      <c r="B476" s="252"/>
      <c r="C476" s="40" t="s">
        <v>4154</v>
      </c>
      <c r="D476" s="40" t="s">
        <v>80</v>
      </c>
      <c r="E476" s="41">
        <f>ROUND(1*0.15/(165/18),4)</f>
        <v>1.6400000000000001E-2</v>
      </c>
      <c r="F476" s="38">
        <v>30.656500000000001</v>
      </c>
      <c r="G476" s="38">
        <f t="shared" si="7"/>
        <v>0.50276660000000006</v>
      </c>
      <c r="H476" s="39"/>
      <c r="I476" s="35"/>
      <c r="J476" s="34">
        <v>5430</v>
      </c>
    </row>
    <row r="477" spans="1:10" x14ac:dyDescent="0.25">
      <c r="A477" s="249"/>
      <c r="B477" s="252"/>
      <c r="C477" s="40" t="s">
        <v>122</v>
      </c>
      <c r="D477" s="53" t="s">
        <v>123</v>
      </c>
      <c r="E477" s="41">
        <v>0.4</v>
      </c>
      <c r="F477" s="38">
        <v>21.9</v>
      </c>
      <c r="G477" s="38">
        <f t="shared" si="7"/>
        <v>8.76</v>
      </c>
      <c r="H477" s="39"/>
      <c r="I477" s="35"/>
      <c r="J477" s="34">
        <v>5430</v>
      </c>
    </row>
    <row r="478" spans="1:10" x14ac:dyDescent="0.25">
      <c r="A478" s="249"/>
      <c r="B478" s="252"/>
      <c r="C478" s="40"/>
      <c r="D478" s="53"/>
      <c r="E478" s="41"/>
      <c r="F478" s="38" t="s">
        <v>23</v>
      </c>
      <c r="G478" s="38" t="str">
        <f t="shared" si="7"/>
        <v/>
      </c>
      <c r="H478" s="39"/>
      <c r="I478" s="35"/>
      <c r="J478" s="34">
        <v>5430</v>
      </c>
    </row>
    <row r="479" spans="1:10" ht="51" x14ac:dyDescent="0.25">
      <c r="A479" s="249"/>
      <c r="B479" s="252"/>
      <c r="C479" s="54" t="s">
        <v>124</v>
      </c>
      <c r="D479" s="53"/>
      <c r="E479" s="41"/>
      <c r="F479" s="38" t="s">
        <v>23</v>
      </c>
      <c r="G479" s="38" t="str">
        <f t="shared" si="7"/>
        <v/>
      </c>
      <c r="H479" s="39"/>
      <c r="I479" s="35"/>
      <c r="J479" s="34">
        <v>5430</v>
      </c>
    </row>
    <row r="480" spans="1:10" ht="30" x14ac:dyDescent="0.25">
      <c r="A480" s="249"/>
      <c r="B480" s="252"/>
      <c r="C480" s="57" t="s">
        <v>125</v>
      </c>
      <c r="D480" s="53"/>
      <c r="E480" s="41"/>
      <c r="F480" s="38" t="s">
        <v>23</v>
      </c>
      <c r="G480" s="38" t="str">
        <f t="shared" si="7"/>
        <v/>
      </c>
      <c r="H480" s="39"/>
      <c r="I480" s="35"/>
      <c r="J480" s="34">
        <v>5430</v>
      </c>
    </row>
    <row r="481" spans="1:10" ht="30" x14ac:dyDescent="0.25">
      <c r="A481" s="249"/>
      <c r="B481" s="252"/>
      <c r="C481" s="57" t="s">
        <v>126</v>
      </c>
      <c r="D481" s="53"/>
      <c r="E481" s="41"/>
      <c r="F481" s="38" t="s">
        <v>23</v>
      </c>
      <c r="G481" s="38" t="str">
        <f t="shared" si="7"/>
        <v/>
      </c>
      <c r="H481" s="39"/>
      <c r="I481" s="35"/>
      <c r="J481" s="34">
        <v>5430</v>
      </c>
    </row>
    <row r="482" spans="1:10" ht="15.75" thickBot="1" x14ac:dyDescent="0.3">
      <c r="A482" s="250"/>
      <c r="B482" s="253"/>
      <c r="C482" s="40"/>
      <c r="D482" s="40"/>
      <c r="E482" s="41"/>
      <c r="F482" s="35" t="s">
        <v>23</v>
      </c>
      <c r="G482" s="35" t="str">
        <f t="shared" si="7"/>
        <v/>
      </c>
      <c r="H482" s="39"/>
      <c r="I482" s="35"/>
      <c r="J482" s="34">
        <v>5430</v>
      </c>
    </row>
    <row r="483" spans="1:10" ht="15.75" thickBot="1" x14ac:dyDescent="0.3">
      <c r="A483" s="248" t="s">
        <v>127</v>
      </c>
      <c r="B483" s="251" t="s">
        <v>2143</v>
      </c>
      <c r="C483" s="28"/>
      <c r="D483" s="29" t="s">
        <v>78</v>
      </c>
      <c r="E483" s="30"/>
      <c r="F483" s="45" t="s">
        <v>23</v>
      </c>
      <c r="G483" s="31" t="str">
        <f t="shared" si="7"/>
        <v/>
      </c>
      <c r="H483" s="32"/>
      <c r="I483" s="33"/>
      <c r="J483" s="34">
        <v>218850</v>
      </c>
    </row>
    <row r="484" spans="1:10" x14ac:dyDescent="0.25">
      <c r="A484" s="249"/>
      <c r="B484" s="252"/>
      <c r="C484" s="36"/>
      <c r="D484" s="36"/>
      <c r="E484" s="37"/>
      <c r="F484" s="46" t="s">
        <v>23</v>
      </c>
      <c r="G484" s="35" t="str">
        <f t="shared" si="7"/>
        <v/>
      </c>
      <c r="H484" s="39"/>
      <c r="I484" s="35"/>
      <c r="J484" s="34">
        <v>218850</v>
      </c>
    </row>
    <row r="485" spans="1:10" x14ac:dyDescent="0.25">
      <c r="A485" s="249"/>
      <c r="B485" s="252"/>
      <c r="C485" s="40" t="s">
        <v>3753</v>
      </c>
      <c r="D485" s="40" t="s">
        <v>3752</v>
      </c>
      <c r="E485" s="41">
        <v>0.106</v>
      </c>
      <c r="F485" s="35">
        <v>29.202999999999996</v>
      </c>
      <c r="G485" s="38">
        <f t="shared" si="7"/>
        <v>3.0955179999999993</v>
      </c>
      <c r="H485" s="43">
        <f>SUM(G485:G487)</f>
        <v>5.0015094999999992</v>
      </c>
      <c r="I485" s="44"/>
      <c r="J485" s="34">
        <v>218850</v>
      </c>
    </row>
    <row r="486" spans="1:10" x14ac:dyDescent="0.25">
      <c r="A486" s="249"/>
      <c r="B486" s="252"/>
      <c r="C486" s="40" t="s">
        <v>3754</v>
      </c>
      <c r="D486" s="40" t="s">
        <v>3752</v>
      </c>
      <c r="E486" s="41">
        <v>2.7E-2</v>
      </c>
      <c r="F486" s="35">
        <v>20.814499999999999</v>
      </c>
      <c r="G486" s="38">
        <f t="shared" si="7"/>
        <v>0.56199149999999998</v>
      </c>
      <c r="H486" s="39"/>
      <c r="I486" s="35"/>
      <c r="J486" s="34">
        <v>218850</v>
      </c>
    </row>
    <row r="487" spans="1:10" x14ac:dyDescent="0.25">
      <c r="A487" s="249"/>
      <c r="B487" s="252"/>
      <c r="C487" s="40" t="s">
        <v>128</v>
      </c>
      <c r="D487" s="58" t="s">
        <v>80</v>
      </c>
      <c r="E487" s="41">
        <v>0.16</v>
      </c>
      <c r="F487" s="38">
        <v>8.4</v>
      </c>
      <c r="G487" s="38">
        <f t="shared" si="7"/>
        <v>1.3440000000000001</v>
      </c>
      <c r="H487" s="39"/>
      <c r="I487" s="35"/>
      <c r="J487" s="34">
        <v>218850</v>
      </c>
    </row>
    <row r="488" spans="1:10" ht="15.75" thickBot="1" x14ac:dyDescent="0.3">
      <c r="A488" s="250"/>
      <c r="B488" s="253"/>
      <c r="C488" s="40"/>
      <c r="D488" s="40"/>
      <c r="E488" s="41"/>
      <c r="F488" s="35" t="s">
        <v>23</v>
      </c>
      <c r="G488" s="35" t="str">
        <f t="shared" si="7"/>
        <v/>
      </c>
      <c r="H488" s="39"/>
      <c r="I488" s="35"/>
      <c r="J488" s="34">
        <v>218850</v>
      </c>
    </row>
    <row r="489" spans="1:10" ht="15.75" thickBot="1" x14ac:dyDescent="0.3">
      <c r="A489" s="248" t="s">
        <v>129</v>
      </c>
      <c r="B489" s="251" t="s">
        <v>2144</v>
      </c>
      <c r="C489" s="28"/>
      <c r="D489" s="29" t="s">
        <v>78</v>
      </c>
      <c r="E489" s="30"/>
      <c r="F489" s="45" t="s">
        <v>23</v>
      </c>
      <c r="G489" s="31" t="str">
        <f t="shared" si="7"/>
        <v/>
      </c>
      <c r="H489" s="32"/>
      <c r="I489" s="33"/>
      <c r="J489" s="34">
        <v>56170</v>
      </c>
    </row>
    <row r="490" spans="1:10" x14ac:dyDescent="0.25">
      <c r="A490" s="249"/>
      <c r="B490" s="252"/>
      <c r="C490" s="36"/>
      <c r="D490" s="36"/>
      <c r="E490" s="37"/>
      <c r="F490" s="46" t="s">
        <v>23</v>
      </c>
      <c r="G490" s="35" t="str">
        <f t="shared" si="7"/>
        <v/>
      </c>
      <c r="H490" s="39"/>
      <c r="I490" s="35"/>
      <c r="J490" s="34">
        <v>56170</v>
      </c>
    </row>
    <row r="491" spans="1:10" x14ac:dyDescent="0.25">
      <c r="A491" s="249"/>
      <c r="B491" s="252"/>
      <c r="C491" s="40" t="s">
        <v>3753</v>
      </c>
      <c r="D491" s="40" t="s">
        <v>3752</v>
      </c>
      <c r="E491" s="41">
        <f>2*0.2149</f>
        <v>0.42980000000000002</v>
      </c>
      <c r="F491" s="35">
        <v>29.202999999999996</v>
      </c>
      <c r="G491" s="38">
        <f t="shared" si="7"/>
        <v>12.551449399999999</v>
      </c>
      <c r="H491" s="43">
        <f>SUM(G491:G492)</f>
        <v>19.455449399999999</v>
      </c>
      <c r="I491" s="44"/>
      <c r="J491" s="34">
        <v>56170</v>
      </c>
    </row>
    <row r="492" spans="1:10" x14ac:dyDescent="0.25">
      <c r="A492" s="249"/>
      <c r="B492" s="252"/>
      <c r="C492" s="40" t="s">
        <v>130</v>
      </c>
      <c r="D492" s="58" t="s">
        <v>80</v>
      </c>
      <c r="E492" s="41">
        <f>2*(3.6/45)</f>
        <v>0.16</v>
      </c>
      <c r="F492" s="38">
        <v>43.15</v>
      </c>
      <c r="G492" s="38">
        <f t="shared" si="7"/>
        <v>6.9039999999999999</v>
      </c>
      <c r="H492" s="39"/>
      <c r="I492" s="35"/>
      <c r="J492" s="34">
        <v>56170</v>
      </c>
    </row>
    <row r="493" spans="1:10" x14ac:dyDescent="0.25">
      <c r="A493" s="249"/>
      <c r="B493" s="252"/>
      <c r="C493" s="40"/>
      <c r="D493" s="53"/>
      <c r="E493" s="41"/>
      <c r="F493" s="38" t="s">
        <v>23</v>
      </c>
      <c r="G493" s="38" t="str">
        <f t="shared" si="7"/>
        <v/>
      </c>
      <c r="H493" s="39"/>
      <c r="I493" s="35"/>
      <c r="J493" s="34">
        <v>56170</v>
      </c>
    </row>
    <row r="494" spans="1:10" ht="25.5" x14ac:dyDescent="0.25">
      <c r="A494" s="249"/>
      <c r="B494" s="252"/>
      <c r="C494" s="54" t="s">
        <v>131</v>
      </c>
      <c r="D494" s="53"/>
      <c r="E494" s="41"/>
      <c r="F494" s="38" t="s">
        <v>23</v>
      </c>
      <c r="G494" s="38" t="str">
        <f t="shared" si="7"/>
        <v/>
      </c>
      <c r="H494" s="39"/>
      <c r="I494" s="35"/>
      <c r="J494" s="34">
        <v>56170</v>
      </c>
    </row>
    <row r="495" spans="1:10" ht="30" x14ac:dyDescent="0.25">
      <c r="A495" s="249"/>
      <c r="B495" s="252"/>
      <c r="C495" s="57" t="s">
        <v>132</v>
      </c>
      <c r="D495" s="53"/>
      <c r="E495" s="41"/>
      <c r="F495" s="38" t="s">
        <v>23</v>
      </c>
      <c r="G495" s="38" t="str">
        <f t="shared" si="7"/>
        <v/>
      </c>
      <c r="H495" s="39"/>
      <c r="I495" s="35"/>
      <c r="J495" s="34">
        <v>56170</v>
      </c>
    </row>
    <row r="496" spans="1:10" ht="30.75" thickBot="1" x14ac:dyDescent="0.3">
      <c r="A496" s="250"/>
      <c r="B496" s="253"/>
      <c r="C496" s="57" t="s">
        <v>133</v>
      </c>
      <c r="D496" s="40"/>
      <c r="E496" s="41"/>
      <c r="F496" s="35" t="s">
        <v>23</v>
      </c>
      <c r="G496" s="35" t="str">
        <f t="shared" si="7"/>
        <v/>
      </c>
      <c r="H496" s="39"/>
      <c r="I496" s="35"/>
      <c r="J496" s="34">
        <v>56170</v>
      </c>
    </row>
    <row r="497" spans="1:10" ht="15.75" thickBot="1" x14ac:dyDescent="0.3">
      <c r="A497" s="248" t="s">
        <v>134</v>
      </c>
      <c r="B497" s="251" t="s">
        <v>2145</v>
      </c>
      <c r="C497" s="28"/>
      <c r="D497" s="29" t="s">
        <v>78</v>
      </c>
      <c r="E497" s="30"/>
      <c r="F497" s="45" t="s">
        <v>23</v>
      </c>
      <c r="G497" s="31" t="str">
        <f t="shared" si="7"/>
        <v/>
      </c>
      <c r="H497" s="32"/>
      <c r="I497" s="33"/>
      <c r="J497" s="34">
        <v>73130</v>
      </c>
    </row>
    <row r="498" spans="1:10" x14ac:dyDescent="0.25">
      <c r="A498" s="249"/>
      <c r="B498" s="252"/>
      <c r="C498" s="36"/>
      <c r="D498" s="36"/>
      <c r="E498" s="37"/>
      <c r="F498" s="46" t="s">
        <v>23</v>
      </c>
      <c r="G498" s="35" t="str">
        <f t="shared" si="7"/>
        <v/>
      </c>
      <c r="H498" s="39"/>
      <c r="I498" s="35"/>
      <c r="J498" s="34">
        <v>73130</v>
      </c>
    </row>
    <row r="499" spans="1:10" ht="25.5" x14ac:dyDescent="0.25">
      <c r="A499" s="249"/>
      <c r="B499" s="252"/>
      <c r="C499" s="40" t="s">
        <v>4001</v>
      </c>
      <c r="D499" s="40" t="s">
        <v>291</v>
      </c>
      <c r="E499" s="41">
        <v>0.1</v>
      </c>
      <c r="F499" s="38">
        <v>1.2825</v>
      </c>
      <c r="G499" s="38">
        <f t="shared" si="7"/>
        <v>0.12825</v>
      </c>
      <c r="H499" s="43">
        <f>SUM(G499:G502)</f>
        <v>22.209498619999998</v>
      </c>
      <c r="I499" s="44"/>
      <c r="J499" s="34">
        <v>73130</v>
      </c>
    </row>
    <row r="500" spans="1:10" x14ac:dyDescent="0.25">
      <c r="A500" s="249"/>
      <c r="B500" s="252"/>
      <c r="C500" s="40" t="s">
        <v>3796</v>
      </c>
      <c r="D500" s="40" t="s">
        <v>1035</v>
      </c>
      <c r="E500" s="41">
        <v>1.5518400000000001</v>
      </c>
      <c r="F500" s="38">
        <v>6.8304999999999998</v>
      </c>
      <c r="G500" s="38">
        <f t="shared" si="7"/>
        <v>10.599843120000001</v>
      </c>
      <c r="H500" s="39"/>
      <c r="I500" s="35"/>
      <c r="J500" s="34">
        <v>73130</v>
      </c>
    </row>
    <row r="501" spans="1:10" x14ac:dyDescent="0.25">
      <c r="A501" s="249"/>
      <c r="B501" s="252"/>
      <c r="C501" s="40" t="s">
        <v>3753</v>
      </c>
      <c r="D501" s="40" t="s">
        <v>3752</v>
      </c>
      <c r="E501" s="41">
        <v>0.33400000000000002</v>
      </c>
      <c r="F501" s="35">
        <v>29.202999999999996</v>
      </c>
      <c r="G501" s="38">
        <f t="shared" si="7"/>
        <v>9.7538019999999985</v>
      </c>
      <c r="H501" s="39"/>
      <c r="I501" s="35"/>
      <c r="J501" s="34">
        <v>73130</v>
      </c>
    </row>
    <row r="502" spans="1:10" x14ac:dyDescent="0.25">
      <c r="A502" s="249"/>
      <c r="B502" s="252"/>
      <c r="C502" s="40" t="s">
        <v>3754</v>
      </c>
      <c r="D502" s="40" t="s">
        <v>3752</v>
      </c>
      <c r="E502" s="41">
        <v>8.3000000000000004E-2</v>
      </c>
      <c r="F502" s="35">
        <v>20.814499999999999</v>
      </c>
      <c r="G502" s="38">
        <f t="shared" si="7"/>
        <v>1.7276035000000001</v>
      </c>
      <c r="H502" s="39"/>
      <c r="I502" s="35"/>
      <c r="J502" s="34">
        <v>73130</v>
      </c>
    </row>
    <row r="503" spans="1:10" ht="15.75" thickBot="1" x14ac:dyDescent="0.3">
      <c r="A503" s="250"/>
      <c r="B503" s="253"/>
      <c r="C503" s="40"/>
      <c r="D503" s="40"/>
      <c r="E503" s="41"/>
      <c r="F503" s="35" t="s">
        <v>23</v>
      </c>
      <c r="G503" s="35" t="str">
        <f t="shared" si="7"/>
        <v/>
      </c>
      <c r="H503" s="39"/>
      <c r="I503" s="35"/>
      <c r="J503" s="34">
        <v>73130</v>
      </c>
    </row>
    <row r="504" spans="1:10" ht="15.75" thickBot="1" x14ac:dyDescent="0.3">
      <c r="A504" s="248" t="s">
        <v>135</v>
      </c>
      <c r="B504" s="251" t="s">
        <v>2146</v>
      </c>
      <c r="C504" s="28"/>
      <c r="D504" s="29" t="s">
        <v>78</v>
      </c>
      <c r="E504" s="30"/>
      <c r="F504" s="45" t="s">
        <v>23</v>
      </c>
      <c r="G504" s="31" t="str">
        <f t="shared" si="7"/>
        <v/>
      </c>
      <c r="H504" s="32"/>
      <c r="I504" s="33"/>
      <c r="J504" s="34">
        <v>392170</v>
      </c>
    </row>
    <row r="505" spans="1:10" x14ac:dyDescent="0.25">
      <c r="A505" s="249"/>
      <c r="B505" s="252"/>
      <c r="C505" s="36"/>
      <c r="D505" s="36"/>
      <c r="E505" s="37"/>
      <c r="F505" s="46" t="s">
        <v>23</v>
      </c>
      <c r="G505" s="35" t="str">
        <f t="shared" si="7"/>
        <v/>
      </c>
      <c r="H505" s="39"/>
      <c r="I505" s="35"/>
      <c r="J505" s="34">
        <v>392170</v>
      </c>
    </row>
    <row r="506" spans="1:10" ht="25.5" x14ac:dyDescent="0.25">
      <c r="A506" s="249"/>
      <c r="B506" s="252"/>
      <c r="C506" s="40" t="s">
        <v>4001</v>
      </c>
      <c r="D506" s="40" t="s">
        <v>291</v>
      </c>
      <c r="E506" s="41">
        <v>8.0199999999999994E-2</v>
      </c>
      <c r="F506" s="38">
        <v>1.2825</v>
      </c>
      <c r="G506" s="38">
        <f t="shared" si="7"/>
        <v>0.10285649999999999</v>
      </c>
      <c r="H506" s="43">
        <f>SUM(G506:G509)</f>
        <v>18.236943849999996</v>
      </c>
      <c r="I506" s="44"/>
      <c r="J506" s="34">
        <v>392170</v>
      </c>
    </row>
    <row r="507" spans="1:10" x14ac:dyDescent="0.25">
      <c r="A507" s="249"/>
      <c r="B507" s="252"/>
      <c r="C507" s="40" t="s">
        <v>3774</v>
      </c>
      <c r="D507" s="40" t="s">
        <v>1035</v>
      </c>
      <c r="E507" s="41">
        <v>1.3389</v>
      </c>
      <c r="F507" s="38">
        <v>3.8</v>
      </c>
      <c r="G507" s="38">
        <f t="shared" si="7"/>
        <v>5.0878199999999998</v>
      </c>
      <c r="H507" s="39"/>
      <c r="I507" s="35"/>
      <c r="J507" s="34">
        <v>392170</v>
      </c>
    </row>
    <row r="508" spans="1:10" x14ac:dyDescent="0.25">
      <c r="A508" s="249"/>
      <c r="B508" s="252"/>
      <c r="C508" s="40" t="s">
        <v>3753</v>
      </c>
      <c r="D508" s="40" t="s">
        <v>3752</v>
      </c>
      <c r="E508" s="41">
        <v>0.36099999999999999</v>
      </c>
      <c r="F508" s="35">
        <v>29.202999999999996</v>
      </c>
      <c r="G508" s="38">
        <f t="shared" si="7"/>
        <v>10.542282999999998</v>
      </c>
      <c r="H508" s="39"/>
      <c r="I508" s="35"/>
      <c r="J508" s="34">
        <v>392170</v>
      </c>
    </row>
    <row r="509" spans="1:10" x14ac:dyDescent="0.25">
      <c r="A509" s="249"/>
      <c r="B509" s="252"/>
      <c r="C509" s="40" t="s">
        <v>3754</v>
      </c>
      <c r="D509" s="40" t="s">
        <v>3752</v>
      </c>
      <c r="E509" s="41">
        <v>0.1203</v>
      </c>
      <c r="F509" s="35">
        <v>20.814499999999999</v>
      </c>
      <c r="G509" s="38">
        <f t="shared" si="7"/>
        <v>2.5039843500000001</v>
      </c>
      <c r="H509" s="39"/>
      <c r="I509" s="35"/>
      <c r="J509" s="34">
        <v>392170</v>
      </c>
    </row>
    <row r="510" spans="1:10" ht="15.75" thickBot="1" x14ac:dyDescent="0.3">
      <c r="A510" s="250"/>
      <c r="B510" s="253"/>
      <c r="C510" s="40"/>
      <c r="D510" s="40"/>
      <c r="E510" s="41"/>
      <c r="F510" s="35" t="s">
        <v>23</v>
      </c>
      <c r="G510" s="35" t="str">
        <f t="shared" si="7"/>
        <v/>
      </c>
      <c r="H510" s="39"/>
      <c r="I510" s="35"/>
      <c r="J510" s="34">
        <v>392170</v>
      </c>
    </row>
    <row r="511" spans="1:10" ht="15.75" thickBot="1" x14ac:dyDescent="0.3">
      <c r="A511" s="248" t="s">
        <v>136</v>
      </c>
      <c r="B511" s="251" t="s">
        <v>2147</v>
      </c>
      <c r="C511" s="28"/>
      <c r="D511" s="29" t="s">
        <v>78</v>
      </c>
      <c r="E511" s="30"/>
      <c r="F511" s="45" t="s">
        <v>23</v>
      </c>
      <c r="G511" s="31" t="str">
        <f t="shared" si="7"/>
        <v/>
      </c>
      <c r="H511" s="32"/>
      <c r="I511" s="33"/>
      <c r="J511" s="34">
        <v>1013210</v>
      </c>
    </row>
    <row r="512" spans="1:10" x14ac:dyDescent="0.25">
      <c r="A512" s="249"/>
      <c r="B512" s="252"/>
      <c r="C512" s="36"/>
      <c r="D512" s="36"/>
      <c r="E512" s="37"/>
      <c r="F512" s="46" t="s">
        <v>23</v>
      </c>
      <c r="G512" s="35" t="str">
        <f t="shared" si="7"/>
        <v/>
      </c>
      <c r="H512" s="39"/>
      <c r="I512" s="35"/>
      <c r="J512" s="34">
        <v>1013210</v>
      </c>
    </row>
    <row r="513" spans="1:10" x14ac:dyDescent="0.25">
      <c r="A513" s="249"/>
      <c r="B513" s="252"/>
      <c r="C513" s="40" t="s">
        <v>3753</v>
      </c>
      <c r="D513" s="40" t="s">
        <v>3752</v>
      </c>
      <c r="E513" s="41">
        <v>0.16309999999999999</v>
      </c>
      <c r="F513" s="35">
        <v>29.202999999999996</v>
      </c>
      <c r="G513" s="38">
        <f t="shared" si="7"/>
        <v>4.7630092999999993</v>
      </c>
      <c r="H513" s="43">
        <f>SUM(G513:G515)</f>
        <v>12.216542099999998</v>
      </c>
      <c r="I513" s="44"/>
      <c r="J513" s="34">
        <v>1013210</v>
      </c>
    </row>
    <row r="514" spans="1:10" x14ac:dyDescent="0.25">
      <c r="A514" s="249"/>
      <c r="B514" s="252"/>
      <c r="C514" s="40" t="s">
        <v>3754</v>
      </c>
      <c r="D514" s="40" t="s">
        <v>3752</v>
      </c>
      <c r="E514" s="41">
        <v>5.4399999999999997E-2</v>
      </c>
      <c r="F514" s="35">
        <v>20.814499999999999</v>
      </c>
      <c r="G514" s="38">
        <f t="shared" si="7"/>
        <v>1.1323087999999999</v>
      </c>
      <c r="H514" s="39"/>
      <c r="I514" s="35"/>
      <c r="J514" s="34">
        <v>1013210</v>
      </c>
    </row>
    <row r="515" spans="1:10" x14ac:dyDescent="0.25">
      <c r="A515" s="249"/>
      <c r="B515" s="252"/>
      <c r="C515" s="40" t="s">
        <v>3755</v>
      </c>
      <c r="D515" s="40" t="s">
        <v>80</v>
      </c>
      <c r="E515" s="41">
        <v>0.22850000000000001</v>
      </c>
      <c r="F515" s="38">
        <v>27.663999999999998</v>
      </c>
      <c r="G515" s="38">
        <f t="shared" si="7"/>
        <v>6.321224</v>
      </c>
      <c r="H515" s="39"/>
      <c r="I515" s="35"/>
      <c r="J515" s="34">
        <v>1013210</v>
      </c>
    </row>
    <row r="516" spans="1:10" ht="15.75" thickBot="1" x14ac:dyDescent="0.3">
      <c r="A516" s="250"/>
      <c r="B516" s="253"/>
      <c r="C516" s="40"/>
      <c r="D516" s="40"/>
      <c r="E516" s="41"/>
      <c r="F516" s="35" t="s">
        <v>23</v>
      </c>
      <c r="G516" s="35" t="str">
        <f t="shared" si="7"/>
        <v/>
      </c>
      <c r="H516" s="39"/>
      <c r="I516" s="35"/>
      <c r="J516" s="34">
        <v>1013210</v>
      </c>
    </row>
    <row r="517" spans="1:10" ht="15.75" thickBot="1" x14ac:dyDescent="0.3">
      <c r="A517" s="248" t="s">
        <v>137</v>
      </c>
      <c r="B517" s="251" t="s">
        <v>2148</v>
      </c>
      <c r="C517" s="28"/>
      <c r="D517" s="29" t="s">
        <v>78</v>
      </c>
      <c r="E517" s="30"/>
      <c r="F517" s="45" t="s">
        <v>23</v>
      </c>
      <c r="G517" s="31" t="str">
        <f t="shared" si="7"/>
        <v/>
      </c>
      <c r="H517" s="32"/>
      <c r="I517" s="33"/>
      <c r="J517" s="34">
        <v>2000</v>
      </c>
    </row>
    <row r="518" spans="1:10" x14ac:dyDescent="0.25">
      <c r="A518" s="249"/>
      <c r="B518" s="252"/>
      <c r="C518" s="36"/>
      <c r="D518" s="36"/>
      <c r="E518" s="37"/>
      <c r="F518" s="46" t="s">
        <v>23</v>
      </c>
      <c r="G518" s="35" t="str">
        <f t="shared" ref="G518:G520" si="8">IF(ISNUMBER(F518),E518*F518,"")</f>
        <v/>
      </c>
      <c r="H518" s="39"/>
      <c r="I518" s="35"/>
      <c r="J518" s="34">
        <v>2000</v>
      </c>
    </row>
    <row r="519" spans="1:10" x14ac:dyDescent="0.25">
      <c r="A519" s="249"/>
      <c r="B519" s="252"/>
      <c r="C519" s="40" t="s">
        <v>138</v>
      </c>
      <c r="D519" s="58" t="s">
        <v>80</v>
      </c>
      <c r="E519" s="41">
        <f>ROUND(3*3.6/100,4)</f>
        <v>0.108</v>
      </c>
      <c r="F519" s="38">
        <v>28.69</v>
      </c>
      <c r="G519" s="35">
        <f t="shared" si="8"/>
        <v>3.0985200000000002</v>
      </c>
      <c r="H519" s="43">
        <f>SUM(G519:G520)</f>
        <v>23.762562799999998</v>
      </c>
      <c r="I519" s="44"/>
      <c r="J519" s="34">
        <v>2000</v>
      </c>
    </row>
    <row r="520" spans="1:10" x14ac:dyDescent="0.25">
      <c r="A520" s="249"/>
      <c r="B520" s="252"/>
      <c r="C520" s="40" t="s">
        <v>3753</v>
      </c>
      <c r="D520" s="40" t="s">
        <v>3752</v>
      </c>
      <c r="E520" s="41">
        <v>0.70760000000000001</v>
      </c>
      <c r="F520" s="35">
        <v>29.202999999999996</v>
      </c>
      <c r="G520" s="35">
        <f t="shared" si="8"/>
        <v>20.664042799999997</v>
      </c>
      <c r="H520" s="39"/>
      <c r="I520" s="35"/>
      <c r="J520" s="34">
        <v>2000</v>
      </c>
    </row>
    <row r="521" spans="1:10" x14ac:dyDescent="0.25">
      <c r="A521" s="249"/>
      <c r="B521" s="252"/>
      <c r="C521" s="40"/>
      <c r="D521" s="40"/>
      <c r="E521" s="41"/>
      <c r="F521" s="35" t="s">
        <v>23</v>
      </c>
      <c r="G521" s="35"/>
      <c r="H521" s="39"/>
      <c r="I521" s="35"/>
      <c r="J521" s="34">
        <v>2000</v>
      </c>
    </row>
    <row r="522" spans="1:10" ht="38.25" x14ac:dyDescent="0.25">
      <c r="A522" s="249"/>
      <c r="B522" s="252"/>
      <c r="C522" s="54" t="s">
        <v>139</v>
      </c>
      <c r="D522" s="40"/>
      <c r="E522" s="41"/>
      <c r="F522" s="35" t="s">
        <v>23</v>
      </c>
      <c r="G522" s="35"/>
      <c r="H522" s="39"/>
      <c r="I522" s="35"/>
      <c r="J522" s="34">
        <v>2000</v>
      </c>
    </row>
    <row r="523" spans="1:10" ht="15.75" thickBot="1" x14ac:dyDescent="0.3">
      <c r="A523" s="250"/>
      <c r="B523" s="253"/>
      <c r="C523" s="40"/>
      <c r="D523" s="40"/>
      <c r="E523" s="41"/>
      <c r="F523" s="35" t="s">
        <v>23</v>
      </c>
      <c r="G523" s="35" t="str">
        <f>IF(ISNUMBER(F523),E523*F523,"")</f>
        <v/>
      </c>
      <c r="H523" s="39"/>
      <c r="I523" s="35"/>
      <c r="J523" s="34">
        <v>2000</v>
      </c>
    </row>
    <row r="524" spans="1:10" ht="15.75" thickBot="1" x14ac:dyDescent="0.3">
      <c r="A524" s="248" t="s">
        <v>140</v>
      </c>
      <c r="B524" s="251" t="s">
        <v>2149</v>
      </c>
      <c r="C524" s="28"/>
      <c r="D524" s="29" t="s">
        <v>78</v>
      </c>
      <c r="E524" s="30"/>
      <c r="F524" s="45" t="s">
        <v>23</v>
      </c>
      <c r="G524" s="31" t="str">
        <f>IF(ISNUMBER(F524),E524*F524,"")</f>
        <v/>
      </c>
      <c r="H524" s="32"/>
      <c r="I524" s="33"/>
      <c r="J524" s="34">
        <v>406480</v>
      </c>
    </row>
    <row r="525" spans="1:10" x14ac:dyDescent="0.25">
      <c r="A525" s="249"/>
      <c r="B525" s="252"/>
      <c r="C525" s="36"/>
      <c r="D525" s="36"/>
      <c r="E525" s="37"/>
      <c r="F525" s="46" t="s">
        <v>23</v>
      </c>
      <c r="G525" s="35" t="str">
        <f>IF(ISNUMBER(F525),E525*F525,"")</f>
        <v/>
      </c>
      <c r="H525" s="39"/>
      <c r="I525" s="35"/>
      <c r="J525" s="34">
        <v>406480</v>
      </c>
    </row>
    <row r="526" spans="1:10" x14ac:dyDescent="0.25">
      <c r="A526" s="249"/>
      <c r="B526" s="252"/>
      <c r="C526" s="40" t="s">
        <v>3753</v>
      </c>
      <c r="D526" s="40" t="s">
        <v>3752</v>
      </c>
      <c r="E526" s="41">
        <v>0.57079999999999997</v>
      </c>
      <c r="F526" s="35">
        <v>29.202999999999996</v>
      </c>
      <c r="G526" s="38">
        <f>IF(ISNUMBER(F526),E526*F526,"")</f>
        <v>16.669072399999997</v>
      </c>
      <c r="H526" s="43">
        <f>SUM(G526:G527)</f>
        <v>20.990512399999997</v>
      </c>
      <c r="I526" s="44"/>
      <c r="J526" s="34">
        <v>406480</v>
      </c>
    </row>
    <row r="527" spans="1:10" x14ac:dyDescent="0.25">
      <c r="A527" s="249"/>
      <c r="B527" s="252"/>
      <c r="C527" s="40" t="s">
        <v>141</v>
      </c>
      <c r="D527" s="58" t="s">
        <v>80</v>
      </c>
      <c r="E527" s="41">
        <f>ROUND(3*3.6/75,4)</f>
        <v>0.14399999999999999</v>
      </c>
      <c r="F527" s="38">
        <v>30.01</v>
      </c>
      <c r="G527" s="38">
        <f>IF(ISNUMBER(F527),E527*F527,"")</f>
        <v>4.3214399999999999</v>
      </c>
      <c r="H527" s="39"/>
      <c r="I527" s="35"/>
      <c r="J527" s="34">
        <v>406480</v>
      </c>
    </row>
    <row r="528" spans="1:10" x14ac:dyDescent="0.25">
      <c r="A528" s="249"/>
      <c r="B528" s="252"/>
      <c r="C528" s="40"/>
      <c r="D528" s="58"/>
      <c r="E528" s="41"/>
      <c r="F528" s="38" t="s">
        <v>23</v>
      </c>
      <c r="G528" s="38"/>
      <c r="H528" s="39"/>
      <c r="I528" s="35"/>
      <c r="J528" s="34">
        <v>406480</v>
      </c>
    </row>
    <row r="529" spans="1:10" ht="38.25" x14ac:dyDescent="0.25">
      <c r="A529" s="249"/>
      <c r="B529" s="252"/>
      <c r="C529" s="54" t="s">
        <v>142</v>
      </c>
      <c r="D529" s="58"/>
      <c r="E529" s="41"/>
      <c r="F529" s="38" t="s">
        <v>23</v>
      </c>
      <c r="G529" s="38"/>
      <c r="H529" s="39"/>
      <c r="I529" s="35"/>
      <c r="J529" s="34">
        <v>406480</v>
      </c>
    </row>
    <row r="530" spans="1:10" ht="15.75" thickBot="1" x14ac:dyDescent="0.3">
      <c r="A530" s="250"/>
      <c r="B530" s="253"/>
      <c r="C530" s="40"/>
      <c r="D530" s="40"/>
      <c r="E530" s="41"/>
      <c r="F530" s="35" t="s">
        <v>23</v>
      </c>
      <c r="G530" s="35" t="str">
        <f t="shared" ref="G530:G593" si="9">IF(ISNUMBER(F530),E530*F530,"")</f>
        <v/>
      </c>
      <c r="H530" s="39"/>
      <c r="I530" s="35"/>
      <c r="J530" s="34">
        <v>406480</v>
      </c>
    </row>
    <row r="531" spans="1:10" ht="15.75" thickBot="1" x14ac:dyDescent="0.3">
      <c r="A531" s="248" t="s">
        <v>143</v>
      </c>
      <c r="B531" s="251" t="s">
        <v>2150</v>
      </c>
      <c r="C531" s="28"/>
      <c r="D531" s="29" t="s">
        <v>78</v>
      </c>
      <c r="E531" s="30"/>
      <c r="F531" s="45" t="s">
        <v>23</v>
      </c>
      <c r="G531" s="31" t="str">
        <f t="shared" si="9"/>
        <v/>
      </c>
      <c r="H531" s="32"/>
      <c r="I531" s="33"/>
      <c r="J531" s="34">
        <v>833740</v>
      </c>
    </row>
    <row r="532" spans="1:10" x14ac:dyDescent="0.25">
      <c r="A532" s="249"/>
      <c r="B532" s="252"/>
      <c r="C532" s="36"/>
      <c r="D532" s="36"/>
      <c r="E532" s="37"/>
      <c r="F532" s="46" t="s">
        <v>23</v>
      </c>
      <c r="G532" s="35" t="str">
        <f t="shared" si="9"/>
        <v/>
      </c>
      <c r="H532" s="39"/>
      <c r="I532" s="35"/>
      <c r="J532" s="34">
        <v>833740</v>
      </c>
    </row>
    <row r="533" spans="1:10" x14ac:dyDescent="0.25">
      <c r="A533" s="249"/>
      <c r="B533" s="252"/>
      <c r="C533" s="40" t="s">
        <v>3753</v>
      </c>
      <c r="D533" s="40" t="s">
        <v>3752</v>
      </c>
      <c r="E533" s="41">
        <v>0.22700000000000001</v>
      </c>
      <c r="F533" s="35">
        <v>29.202999999999996</v>
      </c>
      <c r="G533" s="38">
        <f t="shared" si="9"/>
        <v>6.6290809999999993</v>
      </c>
      <c r="H533" s="43">
        <f>SUM(G533:G535)</f>
        <v>14.52596265</v>
      </c>
      <c r="I533" s="44"/>
      <c r="J533" s="34">
        <v>833740</v>
      </c>
    </row>
    <row r="534" spans="1:10" x14ac:dyDescent="0.25">
      <c r="A534" s="249"/>
      <c r="B534" s="252"/>
      <c r="C534" s="40" t="s">
        <v>3754</v>
      </c>
      <c r="D534" s="40" t="s">
        <v>3752</v>
      </c>
      <c r="E534" s="41">
        <v>7.5700000000000003E-2</v>
      </c>
      <c r="F534" s="35">
        <v>20.814499999999999</v>
      </c>
      <c r="G534" s="38">
        <f t="shared" si="9"/>
        <v>1.5756576499999999</v>
      </c>
      <c r="H534" s="39"/>
      <c r="I534" s="35"/>
      <c r="J534" s="34">
        <v>833740</v>
      </c>
    </row>
    <row r="535" spans="1:10" x14ac:dyDescent="0.25">
      <c r="A535" s="249"/>
      <c r="B535" s="252"/>
      <c r="C535" s="40" t="s">
        <v>3755</v>
      </c>
      <c r="D535" s="40" t="s">
        <v>80</v>
      </c>
      <c r="E535" s="41">
        <v>0.22850000000000001</v>
      </c>
      <c r="F535" s="38">
        <v>27.663999999999998</v>
      </c>
      <c r="G535" s="38">
        <f t="shared" si="9"/>
        <v>6.321224</v>
      </c>
      <c r="H535" s="39"/>
      <c r="I535" s="35"/>
      <c r="J535" s="34">
        <v>833740</v>
      </c>
    </row>
    <row r="536" spans="1:10" ht="15.75" thickBot="1" x14ac:dyDescent="0.3">
      <c r="A536" s="250"/>
      <c r="B536" s="253"/>
      <c r="C536" s="40"/>
      <c r="D536" s="40"/>
      <c r="E536" s="41"/>
      <c r="F536" s="35" t="s">
        <v>23</v>
      </c>
      <c r="G536" s="35" t="str">
        <f t="shared" si="9"/>
        <v/>
      </c>
      <c r="H536" s="39"/>
      <c r="I536" s="35"/>
      <c r="J536" s="34">
        <v>833740</v>
      </c>
    </row>
    <row r="537" spans="1:10" ht="15.75" hidden="1" thickBot="1" x14ac:dyDescent="0.3">
      <c r="A537" s="248" t="s">
        <v>144</v>
      </c>
      <c r="B537" s="251" t="s">
        <v>2151</v>
      </c>
      <c r="C537" s="28"/>
      <c r="D537" s="29" t="s">
        <v>78</v>
      </c>
      <c r="E537" s="30"/>
      <c r="F537" s="45" t="s">
        <v>23</v>
      </c>
      <c r="G537" s="31" t="str">
        <f t="shared" si="9"/>
        <v/>
      </c>
      <c r="H537" s="32"/>
      <c r="I537" s="33"/>
      <c r="J537" s="34">
        <v>0</v>
      </c>
    </row>
    <row r="538" spans="1:10" ht="15.75" hidden="1" thickBot="1" x14ac:dyDescent="0.3">
      <c r="A538" s="249"/>
      <c r="B538" s="252"/>
      <c r="C538" s="36"/>
      <c r="D538" s="36"/>
      <c r="E538" s="37"/>
      <c r="F538" s="46" t="s">
        <v>23</v>
      </c>
      <c r="G538" s="35" t="str">
        <f t="shared" si="9"/>
        <v/>
      </c>
      <c r="H538" s="39"/>
      <c r="I538" s="35"/>
      <c r="J538" s="34">
        <v>0</v>
      </c>
    </row>
    <row r="539" spans="1:10" ht="26.25" hidden="1" thickBot="1" x14ac:dyDescent="0.3">
      <c r="A539" s="249"/>
      <c r="B539" s="252"/>
      <c r="C539" s="40" t="s">
        <v>3819</v>
      </c>
      <c r="D539" s="40" t="s">
        <v>177</v>
      </c>
      <c r="E539" s="41">
        <v>1.0798000000000001</v>
      </c>
      <c r="F539" s="38">
        <v>38.151999999999994</v>
      </c>
      <c r="G539" s="38">
        <f t="shared" si="9"/>
        <v>41.196529599999998</v>
      </c>
      <c r="H539" s="43">
        <f>SUM(G539:G543)</f>
        <v>75.859073199999997</v>
      </c>
      <c r="I539" s="44"/>
      <c r="J539" s="34">
        <v>0</v>
      </c>
    </row>
    <row r="540" spans="1:10" ht="15.75" hidden="1" thickBot="1" x14ac:dyDescent="0.3">
      <c r="A540" s="249"/>
      <c r="B540" s="252"/>
      <c r="C540" s="40" t="s">
        <v>3854</v>
      </c>
      <c r="D540" s="40" t="s">
        <v>1035</v>
      </c>
      <c r="E540" s="41">
        <v>6.85</v>
      </c>
      <c r="F540" s="38">
        <v>1.1495</v>
      </c>
      <c r="G540" s="38">
        <f t="shared" si="9"/>
        <v>7.8740749999999995</v>
      </c>
      <c r="H540" s="39"/>
      <c r="I540" s="35"/>
      <c r="J540" s="34">
        <v>0</v>
      </c>
    </row>
    <row r="541" spans="1:10" ht="15.75" hidden="1" thickBot="1" x14ac:dyDescent="0.3">
      <c r="A541" s="249"/>
      <c r="B541" s="252"/>
      <c r="C541" s="40" t="s">
        <v>4013</v>
      </c>
      <c r="D541" s="40" t="s">
        <v>1035</v>
      </c>
      <c r="E541" s="41">
        <v>0.22</v>
      </c>
      <c r="F541" s="38">
        <v>3.6194999999999999</v>
      </c>
      <c r="G541" s="38">
        <f t="shared" si="9"/>
        <v>0.79628999999999994</v>
      </c>
      <c r="H541" s="39"/>
      <c r="I541" s="35"/>
      <c r="J541" s="34">
        <v>0</v>
      </c>
    </row>
    <row r="542" spans="1:10" ht="15.75" hidden="1" thickBot="1" x14ac:dyDescent="0.3">
      <c r="A542" s="249"/>
      <c r="B542" s="252"/>
      <c r="C542" s="40" t="s">
        <v>3808</v>
      </c>
      <c r="D542" s="40" t="s">
        <v>3752</v>
      </c>
      <c r="E542" s="41">
        <v>0.69699999999999995</v>
      </c>
      <c r="F542" s="35">
        <v>27.920500000000001</v>
      </c>
      <c r="G542" s="38">
        <f t="shared" si="9"/>
        <v>19.4605885</v>
      </c>
      <c r="H542" s="39"/>
      <c r="I542" s="35"/>
      <c r="J542" s="34">
        <v>0</v>
      </c>
    </row>
    <row r="543" spans="1:10" ht="15.75" hidden="1" thickBot="1" x14ac:dyDescent="0.3">
      <c r="A543" s="249"/>
      <c r="B543" s="252"/>
      <c r="C543" s="40" t="s">
        <v>3754</v>
      </c>
      <c r="D543" s="40" t="s">
        <v>3752</v>
      </c>
      <c r="E543" s="41">
        <v>0.31380000000000002</v>
      </c>
      <c r="F543" s="35">
        <v>20.814499999999999</v>
      </c>
      <c r="G543" s="38">
        <f t="shared" si="9"/>
        <v>6.5315900999999998</v>
      </c>
      <c r="H543" s="39"/>
      <c r="I543" s="35"/>
      <c r="J543" s="34">
        <v>0</v>
      </c>
    </row>
    <row r="544" spans="1:10" ht="15.75" hidden="1" thickBot="1" x14ac:dyDescent="0.3">
      <c r="A544" s="250"/>
      <c r="B544" s="253"/>
      <c r="C544" s="40"/>
      <c r="D544" s="40"/>
      <c r="E544" s="41"/>
      <c r="F544" s="35" t="s">
        <v>23</v>
      </c>
      <c r="G544" s="35" t="str">
        <f t="shared" si="9"/>
        <v/>
      </c>
      <c r="H544" s="39"/>
      <c r="I544" s="35"/>
      <c r="J544" s="34">
        <v>0</v>
      </c>
    </row>
    <row r="545" spans="1:10" ht="15.75" hidden="1" thickBot="1" x14ac:dyDescent="0.3">
      <c r="A545" s="248" t="s">
        <v>145</v>
      </c>
      <c r="B545" s="251" t="s">
        <v>2152</v>
      </c>
      <c r="C545" s="28"/>
      <c r="D545" s="29" t="s">
        <v>78</v>
      </c>
      <c r="E545" s="30"/>
      <c r="F545" s="45" t="s">
        <v>23</v>
      </c>
      <c r="G545" s="31" t="str">
        <f t="shared" si="9"/>
        <v/>
      </c>
      <c r="H545" s="32"/>
      <c r="I545" s="33"/>
      <c r="J545" s="34">
        <v>0</v>
      </c>
    </row>
    <row r="546" spans="1:10" ht="15.75" hidden="1" thickBot="1" x14ac:dyDescent="0.3">
      <c r="A546" s="249"/>
      <c r="B546" s="252"/>
      <c r="C546" s="36"/>
      <c r="D546" s="36"/>
      <c r="E546" s="37"/>
      <c r="F546" s="46" t="s">
        <v>23</v>
      </c>
      <c r="G546" s="35" t="str">
        <f t="shared" si="9"/>
        <v/>
      </c>
      <c r="H546" s="39"/>
      <c r="I546" s="35"/>
      <c r="J546" s="34">
        <v>0</v>
      </c>
    </row>
    <row r="547" spans="1:10" ht="26.25" hidden="1" thickBot="1" x14ac:dyDescent="0.3">
      <c r="A547" s="249"/>
      <c r="B547" s="252"/>
      <c r="C547" s="40" t="s">
        <v>4735</v>
      </c>
      <c r="D547" s="40" t="s">
        <v>3764</v>
      </c>
      <c r="E547" s="41">
        <v>5.2999999999999999E-2</v>
      </c>
      <c r="F547" s="38">
        <v>870.66809468749989</v>
      </c>
      <c r="G547" s="38">
        <f t="shared" si="9"/>
        <v>46.145409018437491</v>
      </c>
      <c r="H547" s="43">
        <f>SUM(G547:G551)</f>
        <v>60.223829518437491</v>
      </c>
      <c r="I547" s="44"/>
      <c r="J547" s="34">
        <v>0</v>
      </c>
    </row>
    <row r="548" spans="1:10" ht="15.75" hidden="1" thickBot="1" x14ac:dyDescent="0.3">
      <c r="A548" s="249"/>
      <c r="B548" s="252"/>
      <c r="C548" s="40" t="s">
        <v>3757</v>
      </c>
      <c r="D548" s="40" t="s">
        <v>3752</v>
      </c>
      <c r="E548" s="41">
        <v>0.27100000000000002</v>
      </c>
      <c r="F548" s="35">
        <v>28.0535</v>
      </c>
      <c r="G548" s="38">
        <f t="shared" si="9"/>
        <v>7.6024985000000003</v>
      </c>
      <c r="H548" s="39"/>
      <c r="I548" s="35"/>
      <c r="J548" s="34">
        <v>0</v>
      </c>
    </row>
    <row r="549" spans="1:10" ht="15.75" hidden="1" thickBot="1" x14ac:dyDescent="0.3">
      <c r="A549" s="249"/>
      <c r="B549" s="252"/>
      <c r="C549" s="40" t="s">
        <v>3754</v>
      </c>
      <c r="D549" s="40" t="s">
        <v>3752</v>
      </c>
      <c r="E549" s="41">
        <v>0.13600000000000001</v>
      </c>
      <c r="F549" s="35">
        <v>20.814499999999999</v>
      </c>
      <c r="G549" s="38">
        <f t="shared" si="9"/>
        <v>2.8307720000000001</v>
      </c>
      <c r="H549" s="39"/>
      <c r="I549" s="35"/>
      <c r="J549" s="34">
        <v>0</v>
      </c>
    </row>
    <row r="550" spans="1:10" ht="15.75" hidden="1" thickBot="1" x14ac:dyDescent="0.3">
      <c r="A550" s="249"/>
      <c r="B550" s="252"/>
      <c r="C550" s="40" t="s">
        <v>3759</v>
      </c>
      <c r="D550" s="40" t="s">
        <v>1035</v>
      </c>
      <c r="E550" s="41">
        <v>0.5</v>
      </c>
      <c r="F550" s="38">
        <v>0.627</v>
      </c>
      <c r="G550" s="38">
        <f t="shared" si="9"/>
        <v>0.3135</v>
      </c>
      <c r="H550" s="39"/>
      <c r="I550" s="35"/>
      <c r="J550" s="34">
        <v>0</v>
      </c>
    </row>
    <row r="551" spans="1:10" ht="26.25" hidden="1" thickBot="1" x14ac:dyDescent="0.3">
      <c r="A551" s="249"/>
      <c r="B551" s="252"/>
      <c r="C551" s="40" t="s">
        <v>3809</v>
      </c>
      <c r="D551" s="40" t="s">
        <v>80</v>
      </c>
      <c r="E551" s="41">
        <v>0.21</v>
      </c>
      <c r="F551" s="38">
        <v>15.864999999999998</v>
      </c>
      <c r="G551" s="38">
        <f t="shared" si="9"/>
        <v>3.3316499999999993</v>
      </c>
      <c r="H551" s="39"/>
      <c r="I551" s="35"/>
      <c r="J551" s="34">
        <v>0</v>
      </c>
    </row>
    <row r="552" spans="1:10" ht="15.75" hidden="1" thickBot="1" x14ac:dyDescent="0.3">
      <c r="A552" s="250"/>
      <c r="B552" s="253"/>
      <c r="C552" s="40"/>
      <c r="D552" s="40"/>
      <c r="E552" s="41"/>
      <c r="F552" s="35" t="s">
        <v>23</v>
      </c>
      <c r="G552" s="35" t="str">
        <f t="shared" si="9"/>
        <v/>
      </c>
      <c r="H552" s="39"/>
      <c r="I552" s="35"/>
      <c r="J552" s="34">
        <v>0</v>
      </c>
    </row>
    <row r="553" spans="1:10" ht="15.75" thickBot="1" x14ac:dyDescent="0.3">
      <c r="A553" s="248" t="s">
        <v>146</v>
      </c>
      <c r="B553" s="251" t="s">
        <v>2153</v>
      </c>
      <c r="C553" s="28"/>
      <c r="D553" s="29" t="s">
        <v>78</v>
      </c>
      <c r="E553" s="30"/>
      <c r="F553" s="45" t="s">
        <v>23</v>
      </c>
      <c r="G553" s="31" t="str">
        <f t="shared" si="9"/>
        <v/>
      </c>
      <c r="H553" s="32"/>
      <c r="I553" s="33"/>
      <c r="J553" s="34">
        <v>3340</v>
      </c>
    </row>
    <row r="554" spans="1:10" x14ac:dyDescent="0.25">
      <c r="A554" s="249"/>
      <c r="B554" s="252"/>
      <c r="C554" s="36"/>
      <c r="D554" s="36"/>
      <c r="E554" s="37"/>
      <c r="F554" s="46" t="s">
        <v>23</v>
      </c>
      <c r="G554" s="35" t="str">
        <f t="shared" si="9"/>
        <v/>
      </c>
      <c r="H554" s="39"/>
      <c r="I554" s="35"/>
      <c r="J554" s="34">
        <v>3340</v>
      </c>
    </row>
    <row r="555" spans="1:10" x14ac:dyDescent="0.25">
      <c r="A555" s="249"/>
      <c r="B555" s="252"/>
      <c r="C555" s="40" t="s">
        <v>3759</v>
      </c>
      <c r="D555" s="40" t="s">
        <v>1035</v>
      </c>
      <c r="E555" s="41">
        <v>0.5</v>
      </c>
      <c r="F555" s="38">
        <v>0.627</v>
      </c>
      <c r="G555" s="38">
        <f t="shared" si="9"/>
        <v>0.3135</v>
      </c>
      <c r="H555" s="43">
        <f>SUM(G555:G559)</f>
        <v>38.866461435312495</v>
      </c>
      <c r="I555" s="44"/>
      <c r="J555" s="34">
        <v>3340</v>
      </c>
    </row>
    <row r="556" spans="1:10" ht="25.5" x14ac:dyDescent="0.25">
      <c r="A556" s="249"/>
      <c r="B556" s="252"/>
      <c r="C556" s="40" t="s">
        <v>3809</v>
      </c>
      <c r="D556" s="40" t="s">
        <v>80</v>
      </c>
      <c r="E556" s="41">
        <v>0.21</v>
      </c>
      <c r="F556" s="38">
        <v>15.864999999999998</v>
      </c>
      <c r="G556" s="38">
        <f t="shared" si="9"/>
        <v>3.3316499999999993</v>
      </c>
      <c r="H556" s="39"/>
      <c r="I556" s="35"/>
      <c r="J556" s="34">
        <v>3340</v>
      </c>
    </row>
    <row r="557" spans="1:10" ht="25.5" x14ac:dyDescent="0.25">
      <c r="A557" s="249"/>
      <c r="B557" s="252"/>
      <c r="C557" s="40" t="s">
        <v>4735</v>
      </c>
      <c r="D557" s="40" t="s">
        <v>3764</v>
      </c>
      <c r="E557" s="41">
        <v>3.1E-2</v>
      </c>
      <c r="F557" s="38">
        <v>870.66809468749989</v>
      </c>
      <c r="G557" s="38">
        <f t="shared" si="9"/>
        <v>26.990710935312496</v>
      </c>
      <c r="H557" s="39"/>
      <c r="I557" s="35"/>
      <c r="J557" s="34">
        <v>3340</v>
      </c>
    </row>
    <row r="558" spans="1:10" x14ac:dyDescent="0.25">
      <c r="A558" s="249"/>
      <c r="B558" s="252"/>
      <c r="C558" s="40" t="s">
        <v>3757</v>
      </c>
      <c r="D558" s="40" t="s">
        <v>3752</v>
      </c>
      <c r="E558" s="41">
        <v>0.214</v>
      </c>
      <c r="F558" s="35">
        <v>28.0535</v>
      </c>
      <c r="G558" s="38">
        <f t="shared" si="9"/>
        <v>6.0034489999999998</v>
      </c>
      <c r="H558" s="39"/>
      <c r="I558" s="35"/>
      <c r="J558" s="34">
        <v>3340</v>
      </c>
    </row>
    <row r="559" spans="1:10" x14ac:dyDescent="0.25">
      <c r="A559" s="249"/>
      <c r="B559" s="252"/>
      <c r="C559" s="40" t="s">
        <v>3754</v>
      </c>
      <c r="D559" s="40" t="s">
        <v>3752</v>
      </c>
      <c r="E559" s="41">
        <v>0.107</v>
      </c>
      <c r="F559" s="35">
        <v>20.814499999999999</v>
      </c>
      <c r="G559" s="38">
        <f t="shared" si="9"/>
        <v>2.2271514999999997</v>
      </c>
      <c r="H559" s="39"/>
      <c r="I559" s="35"/>
      <c r="J559" s="34">
        <v>3340</v>
      </c>
    </row>
    <row r="560" spans="1:10" ht="15.75" thickBot="1" x14ac:dyDescent="0.3">
      <c r="A560" s="250"/>
      <c r="B560" s="253"/>
      <c r="C560" s="40"/>
      <c r="D560" s="40"/>
      <c r="E560" s="41"/>
      <c r="F560" s="35" t="s">
        <v>23</v>
      </c>
      <c r="G560" s="35" t="str">
        <f t="shared" si="9"/>
        <v/>
      </c>
      <c r="H560" s="39"/>
      <c r="I560" s="35"/>
      <c r="J560" s="34">
        <v>3340</v>
      </c>
    </row>
    <row r="561" spans="1:10" ht="15.75" thickBot="1" x14ac:dyDescent="0.3">
      <c r="A561" s="248" t="s">
        <v>147</v>
      </c>
      <c r="B561" s="251" t="s">
        <v>2154</v>
      </c>
      <c r="C561" s="28"/>
      <c r="D561" s="29" t="s">
        <v>78</v>
      </c>
      <c r="E561" s="30"/>
      <c r="F561" s="45" t="s">
        <v>23</v>
      </c>
      <c r="G561" s="31" t="str">
        <f t="shared" si="9"/>
        <v/>
      </c>
      <c r="H561" s="32"/>
      <c r="I561" s="33"/>
      <c r="J561" s="34">
        <v>1520</v>
      </c>
    </row>
    <row r="562" spans="1:10" x14ac:dyDescent="0.25">
      <c r="A562" s="249"/>
      <c r="B562" s="252"/>
      <c r="C562" s="36"/>
      <c r="D562" s="36"/>
      <c r="E562" s="37"/>
      <c r="F562" s="46" t="s">
        <v>23</v>
      </c>
      <c r="G562" s="35" t="str">
        <f t="shared" si="9"/>
        <v/>
      </c>
      <c r="H562" s="39"/>
      <c r="I562" s="35"/>
      <c r="J562" s="34">
        <v>1520</v>
      </c>
    </row>
    <row r="563" spans="1:10" x14ac:dyDescent="0.25">
      <c r="A563" s="249"/>
      <c r="B563" s="252"/>
      <c r="C563" s="40" t="s">
        <v>3852</v>
      </c>
      <c r="D563" s="40" t="s">
        <v>1035</v>
      </c>
      <c r="E563" s="41">
        <v>8.6199999999999992</v>
      </c>
      <c r="F563" s="38">
        <v>1.8904999999999998</v>
      </c>
      <c r="G563" s="38">
        <f t="shared" si="9"/>
        <v>16.296109999999999</v>
      </c>
      <c r="H563" s="43">
        <f>SUM(G563:G567)</f>
        <v>261.39220699999998</v>
      </c>
      <c r="I563" s="44"/>
      <c r="J563" s="34">
        <v>1520</v>
      </c>
    </row>
    <row r="564" spans="1:10" x14ac:dyDescent="0.25">
      <c r="A564" s="249"/>
      <c r="B564" s="252"/>
      <c r="C564" s="40" t="s">
        <v>3826</v>
      </c>
      <c r="D564" s="40" t="s">
        <v>3752</v>
      </c>
      <c r="E564" s="41">
        <v>1.1879999999999999</v>
      </c>
      <c r="F564" s="35">
        <v>27.920500000000001</v>
      </c>
      <c r="G564" s="38">
        <f t="shared" si="9"/>
        <v>33.169553999999998</v>
      </c>
      <c r="H564" s="39"/>
      <c r="I564" s="35"/>
      <c r="J564" s="34">
        <v>1520</v>
      </c>
    </row>
    <row r="565" spans="1:10" x14ac:dyDescent="0.25">
      <c r="A565" s="249"/>
      <c r="B565" s="252"/>
      <c r="C565" s="40" t="s">
        <v>3754</v>
      </c>
      <c r="D565" s="40" t="s">
        <v>3752</v>
      </c>
      <c r="E565" s="41">
        <v>0.59399999999999997</v>
      </c>
      <c r="F565" s="35">
        <v>20.814499999999999</v>
      </c>
      <c r="G565" s="38">
        <f t="shared" si="9"/>
        <v>12.363812999999999</v>
      </c>
      <c r="H565" s="39"/>
      <c r="I565" s="35"/>
      <c r="J565" s="34">
        <v>1520</v>
      </c>
    </row>
    <row r="566" spans="1:10" x14ac:dyDescent="0.25">
      <c r="A566" s="249"/>
      <c r="B566" s="252"/>
      <c r="C566" s="40" t="s">
        <v>4013</v>
      </c>
      <c r="D566" s="40" t="s">
        <v>1035</v>
      </c>
      <c r="E566" s="41">
        <v>0.14000000000000001</v>
      </c>
      <c r="F566" s="38">
        <v>3.6194999999999999</v>
      </c>
      <c r="G566" s="38">
        <f t="shared" si="9"/>
        <v>0.50673000000000001</v>
      </c>
      <c r="H566" s="39"/>
      <c r="I566" s="35"/>
      <c r="J566" s="34">
        <v>1520</v>
      </c>
    </row>
    <row r="567" spans="1:10" x14ac:dyDescent="0.25">
      <c r="A567" s="249"/>
      <c r="B567" s="252"/>
      <c r="C567" s="40" t="s">
        <v>148</v>
      </c>
      <c r="D567" s="40" t="s">
        <v>78</v>
      </c>
      <c r="E567" s="41">
        <v>1.1599999999999999</v>
      </c>
      <c r="F567" s="38">
        <v>171.6</v>
      </c>
      <c r="G567" s="59">
        <f t="shared" si="9"/>
        <v>199.05599999999998</v>
      </c>
      <c r="H567" s="39"/>
      <c r="I567" s="35"/>
      <c r="J567" s="34">
        <v>1520</v>
      </c>
    </row>
    <row r="568" spans="1:10" ht="15.75" thickBot="1" x14ac:dyDescent="0.3">
      <c r="A568" s="250"/>
      <c r="B568" s="253"/>
      <c r="C568" s="40"/>
      <c r="D568" s="40"/>
      <c r="E568" s="41"/>
      <c r="F568" s="35" t="s">
        <v>23</v>
      </c>
      <c r="G568" s="35" t="str">
        <f t="shared" si="9"/>
        <v/>
      </c>
      <c r="H568" s="39"/>
      <c r="I568" s="35"/>
      <c r="J568" s="34">
        <v>1520</v>
      </c>
    </row>
    <row r="569" spans="1:10" ht="15.75" thickBot="1" x14ac:dyDescent="0.3">
      <c r="A569" s="248" t="s">
        <v>149</v>
      </c>
      <c r="B569" s="251" t="s">
        <v>2155</v>
      </c>
      <c r="C569" s="28"/>
      <c r="D569" s="29" t="s">
        <v>78</v>
      </c>
      <c r="E569" s="30"/>
      <c r="F569" s="45" t="s">
        <v>23</v>
      </c>
      <c r="G569" s="31" t="str">
        <f t="shared" si="9"/>
        <v/>
      </c>
      <c r="H569" s="32"/>
      <c r="I569" s="33"/>
      <c r="J569" s="34">
        <v>630</v>
      </c>
    </row>
    <row r="570" spans="1:10" x14ac:dyDescent="0.25">
      <c r="A570" s="249"/>
      <c r="B570" s="252"/>
      <c r="C570" s="36"/>
      <c r="D570" s="36"/>
      <c r="E570" s="37"/>
      <c r="F570" s="46" t="s">
        <v>23</v>
      </c>
      <c r="G570" s="35" t="str">
        <f t="shared" si="9"/>
        <v/>
      </c>
      <c r="H570" s="39"/>
      <c r="I570" s="35"/>
      <c r="J570" s="34">
        <v>630</v>
      </c>
    </row>
    <row r="571" spans="1:10" ht="25.5" x14ac:dyDescent="0.25">
      <c r="A571" s="249"/>
      <c r="B571" s="252"/>
      <c r="C571" s="40" t="s">
        <v>150</v>
      </c>
      <c r="D571" s="40" t="s">
        <v>121</v>
      </c>
      <c r="E571" s="41">
        <f>ROUND(1.04/0.07,4)</f>
        <v>14.857100000000001</v>
      </c>
      <c r="F571" s="38">
        <v>50.08</v>
      </c>
      <c r="G571" s="38">
        <f t="shared" si="9"/>
        <v>744.04356800000005</v>
      </c>
      <c r="H571" s="43">
        <f>SUM(G571:G575)</f>
        <v>879.37578000000008</v>
      </c>
      <c r="I571" s="44"/>
      <c r="J571" s="34">
        <v>630</v>
      </c>
    </row>
    <row r="572" spans="1:10" x14ac:dyDescent="0.25">
      <c r="A572" s="249"/>
      <c r="B572" s="252"/>
      <c r="C572" s="40" t="s">
        <v>3852</v>
      </c>
      <c r="D572" s="40" t="s">
        <v>1035</v>
      </c>
      <c r="E572" s="41">
        <f>ROUND(0.8614/0.1,4)</f>
        <v>8.6140000000000008</v>
      </c>
      <c r="F572" s="38">
        <v>1.8904999999999998</v>
      </c>
      <c r="G572" s="38">
        <f t="shared" si="9"/>
        <v>16.284766999999999</v>
      </c>
      <c r="H572" s="48"/>
      <c r="I572" s="49"/>
      <c r="J572" s="34">
        <v>630</v>
      </c>
    </row>
    <row r="573" spans="1:10" x14ac:dyDescent="0.25">
      <c r="A573" s="249"/>
      <c r="B573" s="252"/>
      <c r="C573" s="40" t="s">
        <v>3826</v>
      </c>
      <c r="D573" s="40" t="s">
        <v>3752</v>
      </c>
      <c r="E573" s="41">
        <f>0.299/0.1</f>
        <v>2.9899999999999998</v>
      </c>
      <c r="F573" s="35">
        <v>27.920500000000001</v>
      </c>
      <c r="G573" s="38">
        <f t="shared" si="9"/>
        <v>83.482294999999993</v>
      </c>
      <c r="H573" s="39"/>
      <c r="I573" s="35"/>
      <c r="J573" s="34">
        <v>630</v>
      </c>
    </row>
    <row r="574" spans="1:10" x14ac:dyDescent="0.25">
      <c r="A574" s="249"/>
      <c r="B574" s="252"/>
      <c r="C574" s="40" t="s">
        <v>3754</v>
      </c>
      <c r="D574" s="40" t="s">
        <v>3752</v>
      </c>
      <c r="E574" s="41">
        <f>0.15/0.1</f>
        <v>1.4999999999999998</v>
      </c>
      <c r="F574" s="35">
        <v>20.814499999999999</v>
      </c>
      <c r="G574" s="38">
        <f t="shared" si="9"/>
        <v>31.221749999999993</v>
      </c>
      <c r="H574" s="39"/>
      <c r="I574" s="35"/>
      <c r="J574" s="34">
        <v>630</v>
      </c>
    </row>
    <row r="575" spans="1:10" x14ac:dyDescent="0.25">
      <c r="A575" s="249"/>
      <c r="B575" s="252"/>
      <c r="C575" s="40" t="s">
        <v>4013</v>
      </c>
      <c r="D575" s="40" t="s">
        <v>1035</v>
      </c>
      <c r="E575" s="41">
        <f>0.12/0.1</f>
        <v>1.2</v>
      </c>
      <c r="F575" s="38">
        <v>3.6194999999999999</v>
      </c>
      <c r="G575" s="38">
        <f t="shared" si="9"/>
        <v>4.3433999999999999</v>
      </c>
      <c r="H575" s="39"/>
      <c r="I575" s="35"/>
      <c r="J575" s="34">
        <v>630</v>
      </c>
    </row>
    <row r="576" spans="1:10" x14ac:dyDescent="0.25">
      <c r="A576" s="249"/>
      <c r="B576" s="252"/>
      <c r="C576" s="40"/>
      <c r="D576" s="40"/>
      <c r="E576" s="41"/>
      <c r="F576" s="38" t="s">
        <v>23</v>
      </c>
      <c r="G576" s="38" t="str">
        <f t="shared" si="9"/>
        <v/>
      </c>
      <c r="H576" s="39"/>
      <c r="I576" s="35"/>
      <c r="J576" s="34">
        <v>630</v>
      </c>
    </row>
    <row r="577" spans="1:10" ht="25.5" x14ac:dyDescent="0.25">
      <c r="A577" s="249"/>
      <c r="B577" s="252"/>
      <c r="C577" s="50" t="s">
        <v>151</v>
      </c>
      <c r="D577" s="40"/>
      <c r="E577" s="41"/>
      <c r="F577" s="38" t="s">
        <v>23</v>
      </c>
      <c r="G577" s="38" t="str">
        <f t="shared" si="9"/>
        <v/>
      </c>
      <c r="H577" s="39"/>
      <c r="I577" s="35"/>
      <c r="J577" s="34">
        <v>630</v>
      </c>
    </row>
    <row r="578" spans="1:10" ht="15.75" thickBot="1" x14ac:dyDescent="0.3">
      <c r="A578" s="250"/>
      <c r="B578" s="253"/>
      <c r="C578" s="40"/>
      <c r="D578" s="40"/>
      <c r="E578" s="41"/>
      <c r="F578" s="35" t="s">
        <v>23</v>
      </c>
      <c r="G578" s="35" t="str">
        <f t="shared" si="9"/>
        <v/>
      </c>
      <c r="H578" s="39"/>
      <c r="I578" s="35"/>
      <c r="J578" s="34">
        <v>630</v>
      </c>
    </row>
    <row r="579" spans="1:10" ht="15.75" thickBot="1" x14ac:dyDescent="0.3">
      <c r="A579" s="248" t="s">
        <v>152</v>
      </c>
      <c r="B579" s="251" t="s">
        <v>2156</v>
      </c>
      <c r="C579" s="28"/>
      <c r="D579" s="29" t="s">
        <v>78</v>
      </c>
      <c r="E579" s="30"/>
      <c r="F579" s="45" t="s">
        <v>23</v>
      </c>
      <c r="G579" s="31" t="str">
        <f t="shared" si="9"/>
        <v/>
      </c>
      <c r="H579" s="32"/>
      <c r="I579" s="33"/>
      <c r="J579" s="34">
        <v>380</v>
      </c>
    </row>
    <row r="580" spans="1:10" x14ac:dyDescent="0.25">
      <c r="A580" s="249"/>
      <c r="B580" s="252"/>
      <c r="C580" s="36"/>
      <c r="D580" s="36"/>
      <c r="E580" s="37"/>
      <c r="F580" s="46" t="s">
        <v>23</v>
      </c>
      <c r="G580" s="35" t="str">
        <f t="shared" si="9"/>
        <v/>
      </c>
      <c r="H580" s="39"/>
      <c r="I580" s="35"/>
      <c r="J580" s="34">
        <v>380</v>
      </c>
    </row>
    <row r="581" spans="1:10" ht="25.5" x14ac:dyDescent="0.25">
      <c r="A581" s="249"/>
      <c r="B581" s="252"/>
      <c r="C581" s="40" t="s">
        <v>153</v>
      </c>
      <c r="D581" s="40" t="s">
        <v>121</v>
      </c>
      <c r="E581" s="41">
        <f>ROUND(1/0.15,4)</f>
        <v>6.6666999999999996</v>
      </c>
      <c r="F581" s="38">
        <v>66.849999999999994</v>
      </c>
      <c r="G581" s="38">
        <f t="shared" si="9"/>
        <v>445.66889499999996</v>
      </c>
      <c r="H581" s="43">
        <f>SUM(G581:G584)</f>
        <v>601.62727235</v>
      </c>
      <c r="I581" s="44"/>
      <c r="J581" s="34">
        <v>380</v>
      </c>
    </row>
    <row r="582" spans="1:10" x14ac:dyDescent="0.25">
      <c r="A582" s="249"/>
      <c r="B582" s="252"/>
      <c r="C582" s="40" t="s">
        <v>3852</v>
      </c>
      <c r="D582" s="40" t="s">
        <v>1035</v>
      </c>
      <c r="E582" s="41">
        <f>1.29/0.15</f>
        <v>8.6000000000000014</v>
      </c>
      <c r="F582" s="38">
        <v>1.8904999999999998</v>
      </c>
      <c r="G582" s="38">
        <f t="shared" si="9"/>
        <v>16.258300000000002</v>
      </c>
      <c r="H582" s="39"/>
      <c r="I582" s="35"/>
      <c r="J582" s="34">
        <v>380</v>
      </c>
    </row>
    <row r="583" spans="1:10" x14ac:dyDescent="0.25">
      <c r="A583" s="249"/>
      <c r="B583" s="252"/>
      <c r="C583" s="40" t="s">
        <v>3826</v>
      </c>
      <c r="D583" s="40" t="s">
        <v>3752</v>
      </c>
      <c r="E583" s="41">
        <f>ROUND(0.547/0.15,4)</f>
        <v>3.6467000000000001</v>
      </c>
      <c r="F583" s="35">
        <v>27.920500000000001</v>
      </c>
      <c r="G583" s="38">
        <f t="shared" si="9"/>
        <v>101.81768735</v>
      </c>
      <c r="H583" s="39"/>
      <c r="I583" s="35"/>
      <c r="J583" s="34">
        <v>380</v>
      </c>
    </row>
    <row r="584" spans="1:10" x14ac:dyDescent="0.25">
      <c r="A584" s="249"/>
      <c r="B584" s="252"/>
      <c r="C584" s="40" t="s">
        <v>3754</v>
      </c>
      <c r="D584" s="40" t="s">
        <v>3752</v>
      </c>
      <c r="E584" s="41">
        <f>ROUND(0.273/0.15,4)</f>
        <v>1.82</v>
      </c>
      <c r="F584" s="35">
        <v>20.814499999999999</v>
      </c>
      <c r="G584" s="38">
        <f t="shared" si="9"/>
        <v>37.882390000000001</v>
      </c>
      <c r="H584" s="39"/>
      <c r="I584" s="35"/>
      <c r="J584" s="34">
        <v>380</v>
      </c>
    </row>
    <row r="585" spans="1:10" x14ac:dyDescent="0.25">
      <c r="A585" s="249"/>
      <c r="B585" s="252"/>
      <c r="C585" s="40"/>
      <c r="D585" s="40"/>
      <c r="E585" s="41"/>
      <c r="F585" s="35" t="s">
        <v>23</v>
      </c>
      <c r="G585" s="38" t="str">
        <f t="shared" si="9"/>
        <v/>
      </c>
      <c r="H585" s="39"/>
      <c r="I585" s="35"/>
      <c r="J585" s="34">
        <v>380</v>
      </c>
    </row>
    <row r="586" spans="1:10" ht="25.5" x14ac:dyDescent="0.25">
      <c r="A586" s="249"/>
      <c r="B586" s="252"/>
      <c r="C586" s="50" t="s">
        <v>154</v>
      </c>
      <c r="D586" s="40"/>
      <c r="E586" s="41"/>
      <c r="F586" s="35" t="s">
        <v>23</v>
      </c>
      <c r="G586" s="38" t="str">
        <f t="shared" si="9"/>
        <v/>
      </c>
      <c r="H586" s="39"/>
      <c r="I586" s="35"/>
      <c r="J586" s="34">
        <v>380</v>
      </c>
    </row>
    <row r="587" spans="1:10" ht="15.75" thickBot="1" x14ac:dyDescent="0.3">
      <c r="A587" s="250"/>
      <c r="B587" s="253"/>
      <c r="C587" s="40"/>
      <c r="D587" s="40"/>
      <c r="E587" s="41"/>
      <c r="F587" s="35" t="s">
        <v>23</v>
      </c>
      <c r="G587" s="35" t="str">
        <f t="shared" si="9"/>
        <v/>
      </c>
      <c r="H587" s="39"/>
      <c r="I587" s="35"/>
      <c r="J587" s="34">
        <v>380</v>
      </c>
    </row>
    <row r="588" spans="1:10" ht="15.75" thickBot="1" x14ac:dyDescent="0.3">
      <c r="A588" s="248" t="s">
        <v>155</v>
      </c>
      <c r="B588" s="251" t="s">
        <v>2157</v>
      </c>
      <c r="C588" s="28"/>
      <c r="D588" s="29" t="s">
        <v>78</v>
      </c>
      <c r="E588" s="30"/>
      <c r="F588" s="45" t="s">
        <v>23</v>
      </c>
      <c r="G588" s="31" t="str">
        <f t="shared" si="9"/>
        <v/>
      </c>
      <c r="H588" s="32"/>
      <c r="I588" s="33"/>
      <c r="J588" s="34">
        <v>190</v>
      </c>
    </row>
    <row r="589" spans="1:10" x14ac:dyDescent="0.25">
      <c r="A589" s="249"/>
      <c r="B589" s="252"/>
      <c r="C589" s="36"/>
      <c r="D589" s="36"/>
      <c r="E589" s="37"/>
      <c r="F589" s="46" t="s">
        <v>23</v>
      </c>
      <c r="G589" s="35" t="str">
        <f t="shared" si="9"/>
        <v/>
      </c>
      <c r="H589" s="39"/>
      <c r="I589" s="35"/>
      <c r="J589" s="34">
        <v>190</v>
      </c>
    </row>
    <row r="590" spans="1:10" x14ac:dyDescent="0.25">
      <c r="A590" s="249"/>
      <c r="B590" s="252"/>
      <c r="C590" s="40" t="s">
        <v>3852</v>
      </c>
      <c r="D590" s="40" t="s">
        <v>1035</v>
      </c>
      <c r="E590" s="41">
        <v>8.6199999999999992</v>
      </c>
      <c r="F590" s="38">
        <v>1.8904999999999998</v>
      </c>
      <c r="G590" s="38">
        <f t="shared" si="9"/>
        <v>16.296109999999999</v>
      </c>
      <c r="H590" s="43">
        <f>SUM(G590:G594)</f>
        <v>360.93180699999999</v>
      </c>
      <c r="I590" s="44"/>
      <c r="J590" s="34">
        <v>190</v>
      </c>
    </row>
    <row r="591" spans="1:10" x14ac:dyDescent="0.25">
      <c r="A591" s="249"/>
      <c r="B591" s="252"/>
      <c r="C591" s="40" t="s">
        <v>3826</v>
      </c>
      <c r="D591" s="40" t="s">
        <v>3752</v>
      </c>
      <c r="E591" s="41">
        <v>1.1879999999999999</v>
      </c>
      <c r="F591" s="35">
        <v>27.920500000000001</v>
      </c>
      <c r="G591" s="38">
        <f t="shared" si="9"/>
        <v>33.169553999999998</v>
      </c>
      <c r="H591" s="39"/>
      <c r="I591" s="35"/>
      <c r="J591" s="34">
        <v>190</v>
      </c>
    </row>
    <row r="592" spans="1:10" x14ac:dyDescent="0.25">
      <c r="A592" s="249"/>
      <c r="B592" s="252"/>
      <c r="C592" s="40" t="s">
        <v>3754</v>
      </c>
      <c r="D592" s="40" t="s">
        <v>3752</v>
      </c>
      <c r="E592" s="41">
        <v>0.59399999999999997</v>
      </c>
      <c r="F592" s="35">
        <v>20.814499999999999</v>
      </c>
      <c r="G592" s="38">
        <f t="shared" si="9"/>
        <v>12.363812999999999</v>
      </c>
      <c r="H592" s="39"/>
      <c r="I592" s="35"/>
      <c r="J592" s="34">
        <v>190</v>
      </c>
    </row>
    <row r="593" spans="1:10" x14ac:dyDescent="0.25">
      <c r="A593" s="249"/>
      <c r="B593" s="252"/>
      <c r="C593" s="40" t="s">
        <v>4013</v>
      </c>
      <c r="D593" s="40" t="s">
        <v>1035</v>
      </c>
      <c r="E593" s="41">
        <v>0.14000000000000001</v>
      </c>
      <c r="F593" s="38">
        <v>3.6194999999999999</v>
      </c>
      <c r="G593" s="38">
        <f t="shared" si="9"/>
        <v>0.50673000000000001</v>
      </c>
      <c r="H593" s="39"/>
      <c r="I593" s="35"/>
      <c r="J593" s="34">
        <v>190</v>
      </c>
    </row>
    <row r="594" spans="1:10" x14ac:dyDescent="0.25">
      <c r="A594" s="249"/>
      <c r="B594" s="252"/>
      <c r="C594" s="40" t="s">
        <v>156</v>
      </c>
      <c r="D594" s="40" t="s">
        <v>78</v>
      </c>
      <c r="E594" s="41">
        <v>1.1599999999999999</v>
      </c>
      <c r="F594" s="38">
        <v>257.41000000000003</v>
      </c>
      <c r="G594" s="59">
        <f t="shared" ref="G594:G657" si="10">IF(ISNUMBER(F594),E594*F594,"")</f>
        <v>298.59559999999999</v>
      </c>
      <c r="H594" s="39"/>
      <c r="I594" s="35"/>
      <c r="J594" s="34">
        <v>190</v>
      </c>
    </row>
    <row r="595" spans="1:10" ht="15.75" thickBot="1" x14ac:dyDescent="0.3">
      <c r="A595" s="250"/>
      <c r="B595" s="253"/>
      <c r="C595" s="40"/>
      <c r="D595" s="40"/>
      <c r="E595" s="41"/>
      <c r="F595" s="35" t="s">
        <v>23</v>
      </c>
      <c r="G595" s="35" t="str">
        <f t="shared" si="10"/>
        <v/>
      </c>
      <c r="H595" s="39"/>
      <c r="I595" s="35"/>
      <c r="J595" s="34">
        <v>190</v>
      </c>
    </row>
    <row r="596" spans="1:10" ht="15.75" thickBot="1" x14ac:dyDescent="0.3">
      <c r="A596" s="248" t="s">
        <v>157</v>
      </c>
      <c r="B596" s="251" t="s">
        <v>2158</v>
      </c>
      <c r="C596" s="28"/>
      <c r="D596" s="29" t="s">
        <v>78</v>
      </c>
      <c r="E596" s="30"/>
      <c r="F596" s="45" t="s">
        <v>23</v>
      </c>
      <c r="G596" s="31" t="str">
        <f t="shared" si="10"/>
        <v/>
      </c>
      <c r="H596" s="32"/>
      <c r="I596" s="33"/>
      <c r="J596" s="34">
        <v>60</v>
      </c>
    </row>
    <row r="597" spans="1:10" x14ac:dyDescent="0.25">
      <c r="A597" s="249"/>
      <c r="B597" s="252"/>
      <c r="C597" s="36"/>
      <c r="D597" s="36"/>
      <c r="E597" s="37"/>
      <c r="F597" s="46" t="s">
        <v>23</v>
      </c>
      <c r="G597" s="35" t="str">
        <f t="shared" si="10"/>
        <v/>
      </c>
      <c r="H597" s="39"/>
      <c r="I597" s="35"/>
      <c r="J597" s="34">
        <v>60</v>
      </c>
    </row>
    <row r="598" spans="1:10" ht="25.5" x14ac:dyDescent="0.25">
      <c r="A598" s="249"/>
      <c r="B598" s="252"/>
      <c r="C598" s="40" t="s">
        <v>158</v>
      </c>
      <c r="D598" s="40" t="s">
        <v>121</v>
      </c>
      <c r="E598" s="41">
        <f>ROUND(1.04/0.07,2)</f>
        <v>14.86</v>
      </c>
      <c r="F598" s="38">
        <v>50.56</v>
      </c>
      <c r="G598" s="38">
        <f t="shared" si="10"/>
        <v>751.32159999999999</v>
      </c>
      <c r="H598" s="43">
        <f>SUM(G598:G602)</f>
        <v>886.65381200000002</v>
      </c>
      <c r="I598" s="44"/>
      <c r="J598" s="34">
        <v>60</v>
      </c>
    </row>
    <row r="599" spans="1:10" x14ac:dyDescent="0.25">
      <c r="A599" s="249"/>
      <c r="B599" s="252"/>
      <c r="C599" s="40" t="s">
        <v>3852</v>
      </c>
      <c r="D599" s="40" t="s">
        <v>1035</v>
      </c>
      <c r="E599" s="41">
        <f>ROUND(0.8614/0.1,4)</f>
        <v>8.6140000000000008</v>
      </c>
      <c r="F599" s="38">
        <v>1.8904999999999998</v>
      </c>
      <c r="G599" s="38">
        <f t="shared" si="10"/>
        <v>16.284766999999999</v>
      </c>
      <c r="H599" s="39"/>
      <c r="I599" s="35"/>
      <c r="J599" s="34">
        <v>60</v>
      </c>
    </row>
    <row r="600" spans="1:10" x14ac:dyDescent="0.25">
      <c r="A600" s="249"/>
      <c r="B600" s="252"/>
      <c r="C600" s="40" t="s">
        <v>3826</v>
      </c>
      <c r="D600" s="40" t="s">
        <v>3752</v>
      </c>
      <c r="E600" s="41">
        <f>0.299/0.1</f>
        <v>2.9899999999999998</v>
      </c>
      <c r="F600" s="35">
        <v>27.920500000000001</v>
      </c>
      <c r="G600" s="38">
        <f t="shared" si="10"/>
        <v>83.482294999999993</v>
      </c>
      <c r="H600" s="39"/>
      <c r="I600" s="35"/>
      <c r="J600" s="34">
        <v>60</v>
      </c>
    </row>
    <row r="601" spans="1:10" x14ac:dyDescent="0.25">
      <c r="A601" s="249"/>
      <c r="B601" s="252"/>
      <c r="C601" s="40" t="s">
        <v>3754</v>
      </c>
      <c r="D601" s="40" t="s">
        <v>3752</v>
      </c>
      <c r="E601" s="41">
        <f>0.15/0.1</f>
        <v>1.4999999999999998</v>
      </c>
      <c r="F601" s="35">
        <v>20.814499999999999</v>
      </c>
      <c r="G601" s="38">
        <f t="shared" si="10"/>
        <v>31.221749999999993</v>
      </c>
      <c r="H601" s="39"/>
      <c r="I601" s="35"/>
      <c r="J601" s="34">
        <v>60</v>
      </c>
    </row>
    <row r="602" spans="1:10" x14ac:dyDescent="0.25">
      <c r="A602" s="249"/>
      <c r="B602" s="252"/>
      <c r="C602" s="40" t="s">
        <v>4013</v>
      </c>
      <c r="D602" s="40" t="s">
        <v>1035</v>
      </c>
      <c r="E602" s="41">
        <f>0.12/0.1</f>
        <v>1.2</v>
      </c>
      <c r="F602" s="38">
        <v>3.6194999999999999</v>
      </c>
      <c r="G602" s="38">
        <f t="shared" si="10"/>
        <v>4.3433999999999999</v>
      </c>
      <c r="H602" s="39"/>
      <c r="I602" s="35"/>
      <c r="J602" s="34">
        <v>60</v>
      </c>
    </row>
    <row r="603" spans="1:10" x14ac:dyDescent="0.25">
      <c r="A603" s="249"/>
      <c r="B603" s="252"/>
      <c r="C603" s="40"/>
      <c r="D603" s="40"/>
      <c r="E603" s="41"/>
      <c r="F603" s="38" t="s">
        <v>23</v>
      </c>
      <c r="G603" s="38" t="str">
        <f t="shared" si="10"/>
        <v/>
      </c>
      <c r="H603" s="39"/>
      <c r="I603" s="35"/>
      <c r="J603" s="34">
        <v>60</v>
      </c>
    </row>
    <row r="604" spans="1:10" ht="25.5" x14ac:dyDescent="0.25">
      <c r="A604" s="249"/>
      <c r="B604" s="252"/>
      <c r="C604" s="50" t="s">
        <v>151</v>
      </c>
      <c r="D604" s="40"/>
      <c r="E604" s="41"/>
      <c r="F604" s="38" t="s">
        <v>23</v>
      </c>
      <c r="G604" s="38" t="str">
        <f t="shared" si="10"/>
        <v/>
      </c>
      <c r="H604" s="39"/>
      <c r="I604" s="35"/>
      <c r="J604" s="34">
        <v>60</v>
      </c>
    </row>
    <row r="605" spans="1:10" ht="15.75" thickBot="1" x14ac:dyDescent="0.3">
      <c r="A605" s="250"/>
      <c r="B605" s="253"/>
      <c r="C605" s="40"/>
      <c r="D605" s="40"/>
      <c r="E605" s="41"/>
      <c r="F605" s="35" t="s">
        <v>23</v>
      </c>
      <c r="G605" s="35" t="str">
        <f t="shared" si="10"/>
        <v/>
      </c>
      <c r="H605" s="39"/>
      <c r="I605" s="35"/>
      <c r="J605" s="34">
        <v>60</v>
      </c>
    </row>
    <row r="606" spans="1:10" ht="15.75" thickBot="1" x14ac:dyDescent="0.3">
      <c r="A606" s="248" t="s">
        <v>159</v>
      </c>
      <c r="B606" s="251" t="s">
        <v>2159</v>
      </c>
      <c r="C606" s="28"/>
      <c r="D606" s="29" t="s">
        <v>78</v>
      </c>
      <c r="E606" s="30"/>
      <c r="F606" s="45" t="s">
        <v>23</v>
      </c>
      <c r="G606" s="31" t="str">
        <f t="shared" si="10"/>
        <v/>
      </c>
      <c r="H606" s="32"/>
      <c r="I606" s="33"/>
      <c r="J606" s="34">
        <v>60</v>
      </c>
    </row>
    <row r="607" spans="1:10" x14ac:dyDescent="0.25">
      <c r="A607" s="249"/>
      <c r="B607" s="252"/>
      <c r="C607" s="36"/>
      <c r="D607" s="36"/>
      <c r="E607" s="37"/>
      <c r="F607" s="46" t="s">
        <v>23</v>
      </c>
      <c r="G607" s="35" t="str">
        <f t="shared" si="10"/>
        <v/>
      </c>
      <c r="H607" s="39"/>
      <c r="I607" s="35"/>
      <c r="J607" s="34">
        <v>60</v>
      </c>
    </row>
    <row r="608" spans="1:10" ht="25.5" x14ac:dyDescent="0.25">
      <c r="A608" s="249"/>
      <c r="B608" s="252"/>
      <c r="C608" s="40" t="s">
        <v>160</v>
      </c>
      <c r="D608" s="40" t="s">
        <v>121</v>
      </c>
      <c r="E608" s="41">
        <f>ROUND(1/0.15,4)</f>
        <v>6.6666999999999996</v>
      </c>
      <c r="F608" s="38">
        <v>64.77</v>
      </c>
      <c r="G608" s="38">
        <f t="shared" si="10"/>
        <v>431.80215899999996</v>
      </c>
      <c r="H608" s="43">
        <f>SUM(G608:G611)</f>
        <v>587.76053634999994</v>
      </c>
      <c r="I608" s="44"/>
      <c r="J608" s="34">
        <v>60</v>
      </c>
    </row>
    <row r="609" spans="1:10" x14ac:dyDescent="0.25">
      <c r="A609" s="249"/>
      <c r="B609" s="252"/>
      <c r="C609" s="40" t="s">
        <v>3852</v>
      </c>
      <c r="D609" s="40" t="s">
        <v>1035</v>
      </c>
      <c r="E609" s="41">
        <f>ROUND(1.29/0.15,4)</f>
        <v>8.6</v>
      </c>
      <c r="F609" s="38">
        <v>1.8904999999999998</v>
      </c>
      <c r="G609" s="38">
        <f t="shared" si="10"/>
        <v>16.258299999999998</v>
      </c>
      <c r="H609" s="39"/>
      <c r="I609" s="35"/>
      <c r="J609" s="34">
        <v>60</v>
      </c>
    </row>
    <row r="610" spans="1:10" x14ac:dyDescent="0.25">
      <c r="A610" s="249"/>
      <c r="B610" s="252"/>
      <c r="C610" s="40" t="s">
        <v>3826</v>
      </c>
      <c r="D610" s="40" t="s">
        <v>3752</v>
      </c>
      <c r="E610" s="41">
        <f>ROUND(0.547/0.15,4)</f>
        <v>3.6467000000000001</v>
      </c>
      <c r="F610" s="35">
        <v>27.920500000000001</v>
      </c>
      <c r="G610" s="38">
        <f t="shared" si="10"/>
        <v>101.81768735</v>
      </c>
      <c r="H610" s="39"/>
      <c r="I610" s="35"/>
      <c r="J610" s="34">
        <v>60</v>
      </c>
    </row>
    <row r="611" spans="1:10" x14ac:dyDescent="0.25">
      <c r="A611" s="249"/>
      <c r="B611" s="252"/>
      <c r="C611" s="40" t="s">
        <v>3754</v>
      </c>
      <c r="D611" s="40" t="s">
        <v>3752</v>
      </c>
      <c r="E611" s="41">
        <f>ROUND(0.273/0.15,4)</f>
        <v>1.82</v>
      </c>
      <c r="F611" s="35">
        <v>20.814499999999999</v>
      </c>
      <c r="G611" s="38">
        <f t="shared" si="10"/>
        <v>37.882390000000001</v>
      </c>
      <c r="H611" s="39"/>
      <c r="I611" s="35"/>
      <c r="J611" s="34">
        <v>60</v>
      </c>
    </row>
    <row r="612" spans="1:10" x14ac:dyDescent="0.25">
      <c r="A612" s="249"/>
      <c r="B612" s="252"/>
      <c r="C612" s="40"/>
      <c r="D612" s="40"/>
      <c r="E612" s="41"/>
      <c r="F612" s="35" t="s">
        <v>23</v>
      </c>
      <c r="G612" s="38" t="str">
        <f t="shared" si="10"/>
        <v/>
      </c>
      <c r="H612" s="39"/>
      <c r="I612" s="35"/>
      <c r="J612" s="34">
        <v>60</v>
      </c>
    </row>
    <row r="613" spans="1:10" ht="25.5" x14ac:dyDescent="0.25">
      <c r="A613" s="249"/>
      <c r="B613" s="252"/>
      <c r="C613" s="50" t="s">
        <v>154</v>
      </c>
      <c r="D613" s="40"/>
      <c r="E613" s="41"/>
      <c r="F613" s="35" t="s">
        <v>23</v>
      </c>
      <c r="G613" s="38" t="str">
        <f t="shared" si="10"/>
        <v/>
      </c>
      <c r="H613" s="39"/>
      <c r="I613" s="35"/>
      <c r="J613" s="34">
        <v>60</v>
      </c>
    </row>
    <row r="614" spans="1:10" ht="15.75" thickBot="1" x14ac:dyDescent="0.3">
      <c r="A614" s="250"/>
      <c r="B614" s="253"/>
      <c r="C614" s="40"/>
      <c r="D614" s="40"/>
      <c r="E614" s="41"/>
      <c r="F614" s="35" t="s">
        <v>23</v>
      </c>
      <c r="G614" s="35" t="str">
        <f t="shared" si="10"/>
        <v/>
      </c>
      <c r="H614" s="39"/>
      <c r="I614" s="35"/>
      <c r="J614" s="34">
        <v>60</v>
      </c>
    </row>
    <row r="615" spans="1:10" ht="15.75" hidden="1" thickBot="1" x14ac:dyDescent="0.3">
      <c r="A615" s="248" t="s">
        <v>161</v>
      </c>
      <c r="B615" s="251" t="s">
        <v>2160</v>
      </c>
      <c r="C615" s="28"/>
      <c r="D615" s="29" t="s">
        <v>121</v>
      </c>
      <c r="E615" s="30"/>
      <c r="F615" s="45" t="s">
        <v>23</v>
      </c>
      <c r="G615" s="31" t="str">
        <f t="shared" si="10"/>
        <v/>
      </c>
      <c r="H615" s="32"/>
      <c r="I615" s="33"/>
      <c r="J615" s="34">
        <v>0</v>
      </c>
    </row>
    <row r="616" spans="1:10" ht="15.75" hidden="1" thickBot="1" x14ac:dyDescent="0.3">
      <c r="A616" s="249"/>
      <c r="B616" s="252"/>
      <c r="C616" s="36"/>
      <c r="D616" s="36"/>
      <c r="E616" s="37"/>
      <c r="F616" s="46" t="s">
        <v>23</v>
      </c>
      <c r="G616" s="35" t="str">
        <f t="shared" si="10"/>
        <v/>
      </c>
      <c r="H616" s="39"/>
      <c r="I616" s="35"/>
      <c r="J616" s="34">
        <v>0</v>
      </c>
    </row>
    <row r="617" spans="1:10" ht="15.75" hidden="1" thickBot="1" x14ac:dyDescent="0.3">
      <c r="A617" s="249"/>
      <c r="B617" s="252"/>
      <c r="C617" s="40" t="s">
        <v>4031</v>
      </c>
      <c r="D617" s="40" t="s">
        <v>1035</v>
      </c>
      <c r="E617" s="41">
        <v>4.0300000000000002E-2</v>
      </c>
      <c r="F617" s="35">
        <v>44.317499999999995</v>
      </c>
      <c r="G617" s="38">
        <f t="shared" si="10"/>
        <v>1.78599525</v>
      </c>
      <c r="H617" s="43">
        <f>SUM(G617:G619)</f>
        <v>15.000081049999999</v>
      </c>
      <c r="I617" s="44"/>
      <c r="J617" s="34">
        <v>0</v>
      </c>
    </row>
    <row r="618" spans="1:10" ht="15.75" hidden="1" thickBot="1" x14ac:dyDescent="0.3">
      <c r="A618" s="249"/>
      <c r="B618" s="252"/>
      <c r="C618" s="40" t="s">
        <v>3754</v>
      </c>
      <c r="D618" s="40" t="s">
        <v>3752</v>
      </c>
      <c r="E618" s="41">
        <v>0.15140000000000001</v>
      </c>
      <c r="F618" s="38">
        <v>20.814499999999999</v>
      </c>
      <c r="G618" s="38">
        <f t="shared" si="10"/>
        <v>3.1513152999999998</v>
      </c>
      <c r="H618" s="39"/>
      <c r="I618" s="35"/>
      <c r="J618" s="34">
        <v>0</v>
      </c>
    </row>
    <row r="619" spans="1:10" ht="15.75" hidden="1" thickBot="1" x14ac:dyDescent="0.3">
      <c r="A619" s="249"/>
      <c r="B619" s="252"/>
      <c r="C619" s="40" t="s">
        <v>3978</v>
      </c>
      <c r="D619" s="40" t="s">
        <v>3752</v>
      </c>
      <c r="E619" s="41">
        <v>0.36349999999999999</v>
      </c>
      <c r="F619" s="38">
        <v>27.683</v>
      </c>
      <c r="G619" s="38">
        <f t="shared" si="10"/>
        <v>10.062770499999999</v>
      </c>
      <c r="H619" s="39"/>
      <c r="I619" s="35"/>
      <c r="J619" s="34">
        <v>0</v>
      </c>
    </row>
    <row r="620" spans="1:10" ht="15.75" hidden="1" thickBot="1" x14ac:dyDescent="0.3">
      <c r="A620" s="249"/>
      <c r="B620" s="252"/>
      <c r="C620" s="40"/>
      <c r="D620" s="40"/>
      <c r="E620" s="41"/>
      <c r="F620" s="35" t="s">
        <v>23</v>
      </c>
      <c r="G620" s="35" t="str">
        <f t="shared" si="10"/>
        <v/>
      </c>
      <c r="H620" s="39"/>
      <c r="I620" s="35"/>
      <c r="J620" s="34">
        <v>0</v>
      </c>
    </row>
    <row r="621" spans="1:10" ht="15.75" thickBot="1" x14ac:dyDescent="0.3">
      <c r="A621" s="248" t="s">
        <v>162</v>
      </c>
      <c r="B621" s="251" t="s">
        <v>2161</v>
      </c>
      <c r="C621" s="28"/>
      <c r="D621" s="29" t="s">
        <v>78</v>
      </c>
      <c r="E621" s="30"/>
      <c r="F621" s="45" t="s">
        <v>23</v>
      </c>
      <c r="G621" s="31" t="str">
        <f t="shared" si="10"/>
        <v/>
      </c>
      <c r="H621" s="32"/>
      <c r="I621" s="33"/>
      <c r="J621" s="34">
        <v>130</v>
      </c>
    </row>
    <row r="622" spans="1:10" x14ac:dyDescent="0.25">
      <c r="A622" s="249"/>
      <c r="B622" s="252"/>
      <c r="C622" s="36"/>
      <c r="D622" s="36"/>
      <c r="E622" s="37"/>
      <c r="F622" s="46" t="s">
        <v>23</v>
      </c>
      <c r="G622" s="35" t="str">
        <f t="shared" si="10"/>
        <v/>
      </c>
      <c r="H622" s="39"/>
      <c r="I622" s="35"/>
      <c r="J622" s="34">
        <v>130</v>
      </c>
    </row>
    <row r="623" spans="1:10" x14ac:dyDescent="0.25">
      <c r="A623" s="249"/>
      <c r="B623" s="252"/>
      <c r="C623" s="40" t="s">
        <v>3852</v>
      </c>
      <c r="D623" s="40" t="s">
        <v>1035</v>
      </c>
      <c r="E623" s="41">
        <v>8.6199999999999992</v>
      </c>
      <c r="F623" s="38">
        <v>1.8904999999999998</v>
      </c>
      <c r="G623" s="38">
        <f t="shared" si="10"/>
        <v>16.296109999999999</v>
      </c>
      <c r="H623" s="43">
        <f>SUM(G623:G627)</f>
        <v>317.53620699999999</v>
      </c>
      <c r="I623" s="44"/>
      <c r="J623" s="34">
        <v>130</v>
      </c>
    </row>
    <row r="624" spans="1:10" x14ac:dyDescent="0.25">
      <c r="A624" s="249"/>
      <c r="B624" s="252"/>
      <c r="C624" s="40" t="s">
        <v>3826</v>
      </c>
      <c r="D624" s="40" t="s">
        <v>3752</v>
      </c>
      <c r="E624" s="41">
        <v>1.1879999999999999</v>
      </c>
      <c r="F624" s="35">
        <v>27.920500000000001</v>
      </c>
      <c r="G624" s="38">
        <f t="shared" si="10"/>
        <v>33.169553999999998</v>
      </c>
      <c r="H624" s="39"/>
      <c r="I624" s="35"/>
      <c r="J624" s="34">
        <v>130</v>
      </c>
    </row>
    <row r="625" spans="1:10" x14ac:dyDescent="0.25">
      <c r="A625" s="249"/>
      <c r="B625" s="252"/>
      <c r="C625" s="40" t="s">
        <v>3754</v>
      </c>
      <c r="D625" s="40" t="s">
        <v>3752</v>
      </c>
      <c r="E625" s="41">
        <v>0.59399999999999997</v>
      </c>
      <c r="F625" s="35">
        <v>20.814499999999999</v>
      </c>
      <c r="G625" s="38">
        <f t="shared" si="10"/>
        <v>12.363812999999999</v>
      </c>
      <c r="H625" s="39"/>
      <c r="I625" s="35"/>
      <c r="J625" s="34">
        <v>130</v>
      </c>
    </row>
    <row r="626" spans="1:10" x14ac:dyDescent="0.25">
      <c r="A626" s="249"/>
      <c r="B626" s="252"/>
      <c r="C626" s="40" t="s">
        <v>4013</v>
      </c>
      <c r="D626" s="40" t="s">
        <v>1035</v>
      </c>
      <c r="E626" s="41">
        <v>0.14000000000000001</v>
      </c>
      <c r="F626" s="38">
        <v>3.6194999999999999</v>
      </c>
      <c r="G626" s="38">
        <f t="shared" si="10"/>
        <v>0.50673000000000001</v>
      </c>
      <c r="H626" s="39"/>
      <c r="I626" s="35"/>
      <c r="J626" s="34">
        <v>130</v>
      </c>
    </row>
    <row r="627" spans="1:10" x14ac:dyDescent="0.25">
      <c r="A627" s="249"/>
      <c r="B627" s="252"/>
      <c r="C627" s="40" t="s">
        <v>163</v>
      </c>
      <c r="D627" s="40" t="s">
        <v>78</v>
      </c>
      <c r="E627" s="41">
        <v>1.1599999999999999</v>
      </c>
      <c r="F627" s="38">
        <v>220</v>
      </c>
      <c r="G627" s="59">
        <f t="shared" si="10"/>
        <v>255.2</v>
      </c>
      <c r="H627" s="39"/>
      <c r="I627" s="35"/>
      <c r="J627" s="34">
        <v>130</v>
      </c>
    </row>
    <row r="628" spans="1:10" ht="15.75" thickBot="1" x14ac:dyDescent="0.3">
      <c r="A628" s="250"/>
      <c r="B628" s="253"/>
      <c r="C628" s="40"/>
      <c r="D628" s="40"/>
      <c r="E628" s="41"/>
      <c r="F628" s="35" t="s">
        <v>23</v>
      </c>
      <c r="G628" s="35" t="str">
        <f t="shared" si="10"/>
        <v/>
      </c>
      <c r="H628" s="39"/>
      <c r="I628" s="35"/>
      <c r="J628" s="34">
        <v>130</v>
      </c>
    </row>
    <row r="629" spans="1:10" ht="15.75" thickBot="1" x14ac:dyDescent="0.3">
      <c r="A629" s="248" t="s">
        <v>164</v>
      </c>
      <c r="B629" s="251" t="s">
        <v>2162</v>
      </c>
      <c r="C629" s="28"/>
      <c r="D629" s="29" t="s">
        <v>78</v>
      </c>
      <c r="E629" s="30"/>
      <c r="F629" s="45" t="s">
        <v>23</v>
      </c>
      <c r="G629" s="31" t="str">
        <f t="shared" si="10"/>
        <v/>
      </c>
      <c r="H629" s="32"/>
      <c r="I629" s="33"/>
      <c r="J629" s="34">
        <v>2580</v>
      </c>
    </row>
    <row r="630" spans="1:10" x14ac:dyDescent="0.25">
      <c r="A630" s="249"/>
      <c r="B630" s="252"/>
      <c r="C630" s="36"/>
      <c r="D630" s="36"/>
      <c r="E630" s="37"/>
      <c r="F630" s="46" t="s">
        <v>23</v>
      </c>
      <c r="G630" s="35" t="str">
        <f t="shared" si="10"/>
        <v/>
      </c>
      <c r="H630" s="39"/>
      <c r="I630" s="35"/>
      <c r="J630" s="34">
        <v>2580</v>
      </c>
    </row>
    <row r="631" spans="1:10" x14ac:dyDescent="0.25">
      <c r="A631" s="249"/>
      <c r="B631" s="252"/>
      <c r="C631" s="40" t="s">
        <v>3852</v>
      </c>
      <c r="D631" s="40" t="s">
        <v>1035</v>
      </c>
      <c r="E631" s="41">
        <v>8.6199999999999992</v>
      </c>
      <c r="F631" s="38">
        <v>1.8904999999999998</v>
      </c>
      <c r="G631" s="38">
        <f t="shared" si="10"/>
        <v>16.296109999999999</v>
      </c>
      <c r="H631" s="43">
        <f>SUM(G631:G635)</f>
        <v>521.68460699999991</v>
      </c>
      <c r="I631" s="44"/>
      <c r="J631" s="34">
        <v>2580</v>
      </c>
    </row>
    <row r="632" spans="1:10" x14ac:dyDescent="0.25">
      <c r="A632" s="249"/>
      <c r="B632" s="252"/>
      <c r="C632" s="40" t="s">
        <v>3826</v>
      </c>
      <c r="D632" s="40" t="s">
        <v>3752</v>
      </c>
      <c r="E632" s="41">
        <v>1.1879999999999999</v>
      </c>
      <c r="F632" s="35">
        <v>27.920500000000001</v>
      </c>
      <c r="G632" s="38">
        <f t="shared" si="10"/>
        <v>33.169553999999998</v>
      </c>
      <c r="H632" s="39"/>
      <c r="I632" s="35"/>
      <c r="J632" s="34">
        <v>2580</v>
      </c>
    </row>
    <row r="633" spans="1:10" x14ac:dyDescent="0.25">
      <c r="A633" s="249"/>
      <c r="B633" s="252"/>
      <c r="C633" s="40" t="s">
        <v>3754</v>
      </c>
      <c r="D633" s="40" t="s">
        <v>3752</v>
      </c>
      <c r="E633" s="41">
        <v>0.59399999999999997</v>
      </c>
      <c r="F633" s="35">
        <v>20.814499999999999</v>
      </c>
      <c r="G633" s="38">
        <f t="shared" si="10"/>
        <v>12.363812999999999</v>
      </c>
      <c r="H633" s="39"/>
      <c r="I633" s="35"/>
      <c r="J633" s="34">
        <v>2580</v>
      </c>
    </row>
    <row r="634" spans="1:10" x14ac:dyDescent="0.25">
      <c r="A634" s="249"/>
      <c r="B634" s="252"/>
      <c r="C634" s="40" t="s">
        <v>4013</v>
      </c>
      <c r="D634" s="40" t="s">
        <v>1035</v>
      </c>
      <c r="E634" s="41">
        <v>0.14000000000000001</v>
      </c>
      <c r="F634" s="38">
        <v>3.6194999999999999</v>
      </c>
      <c r="G634" s="38">
        <f t="shared" si="10"/>
        <v>0.50673000000000001</v>
      </c>
      <c r="H634" s="39"/>
      <c r="I634" s="35"/>
      <c r="J634" s="34">
        <v>2580</v>
      </c>
    </row>
    <row r="635" spans="1:10" x14ac:dyDescent="0.25">
      <c r="A635" s="249"/>
      <c r="B635" s="252"/>
      <c r="C635" s="40" t="s">
        <v>165</v>
      </c>
      <c r="D635" s="40" t="s">
        <v>78</v>
      </c>
      <c r="E635" s="41">
        <v>1.1599999999999999</v>
      </c>
      <c r="F635" s="38">
        <v>395.99</v>
      </c>
      <c r="G635" s="59">
        <f t="shared" si="10"/>
        <v>459.34839999999997</v>
      </c>
      <c r="H635" s="39"/>
      <c r="I635" s="35"/>
      <c r="J635" s="34">
        <v>2580</v>
      </c>
    </row>
    <row r="636" spans="1:10" ht="15.75" thickBot="1" x14ac:dyDescent="0.3">
      <c r="A636" s="250"/>
      <c r="B636" s="253"/>
      <c r="C636" s="40"/>
      <c r="D636" s="40"/>
      <c r="E636" s="41"/>
      <c r="F636" s="35" t="s">
        <v>23</v>
      </c>
      <c r="G636" s="35" t="str">
        <f t="shared" si="10"/>
        <v/>
      </c>
      <c r="H636" s="39"/>
      <c r="I636" s="35"/>
      <c r="J636" s="34">
        <v>2580</v>
      </c>
    </row>
    <row r="637" spans="1:10" ht="15.75" thickBot="1" x14ac:dyDescent="0.3">
      <c r="A637" s="248" t="s">
        <v>166</v>
      </c>
      <c r="B637" s="251" t="s">
        <v>2163</v>
      </c>
      <c r="C637" s="28"/>
      <c r="D637" s="29" t="s">
        <v>121</v>
      </c>
      <c r="E637" s="30"/>
      <c r="F637" s="45" t="s">
        <v>23</v>
      </c>
      <c r="G637" s="31" t="str">
        <f t="shared" si="10"/>
        <v/>
      </c>
      <c r="H637" s="32"/>
      <c r="I637" s="33"/>
      <c r="J637" s="34">
        <v>2370</v>
      </c>
    </row>
    <row r="638" spans="1:10" x14ac:dyDescent="0.25">
      <c r="A638" s="249"/>
      <c r="B638" s="252"/>
      <c r="C638" s="36"/>
      <c r="D638" s="36"/>
      <c r="E638" s="37"/>
      <c r="F638" s="46" t="s">
        <v>23</v>
      </c>
      <c r="G638" s="35" t="str">
        <f t="shared" si="10"/>
        <v/>
      </c>
      <c r="H638" s="39"/>
      <c r="I638" s="35"/>
      <c r="J638" s="34">
        <v>2370</v>
      </c>
    </row>
    <row r="639" spans="1:10" ht="25.5" x14ac:dyDescent="0.25">
      <c r="A639" s="249"/>
      <c r="B639" s="252"/>
      <c r="C639" s="40" t="s">
        <v>4007</v>
      </c>
      <c r="D639" s="40" t="s">
        <v>1286</v>
      </c>
      <c r="E639" s="41">
        <v>1.0349999999999999</v>
      </c>
      <c r="F639" s="35">
        <v>17.147500000000001</v>
      </c>
      <c r="G639" s="38">
        <f t="shared" si="10"/>
        <v>17.747662500000001</v>
      </c>
      <c r="H639" s="43">
        <f>SUM(G639:G642)</f>
        <v>32.747743549999996</v>
      </c>
      <c r="I639" s="44"/>
      <c r="J639" s="34">
        <v>2370</v>
      </c>
    </row>
    <row r="640" spans="1:10" x14ac:dyDescent="0.25">
      <c r="A640" s="249"/>
      <c r="B640" s="252"/>
      <c r="C640" s="40" t="s">
        <v>4031</v>
      </c>
      <c r="D640" s="40" t="s">
        <v>1035</v>
      </c>
      <c r="E640" s="41">
        <v>4.0300000000000002E-2</v>
      </c>
      <c r="F640" s="35">
        <v>44.317499999999995</v>
      </c>
      <c r="G640" s="38">
        <f t="shared" si="10"/>
        <v>1.78599525</v>
      </c>
      <c r="H640" s="39"/>
      <c r="I640" s="35"/>
      <c r="J640" s="34">
        <v>2370</v>
      </c>
    </row>
    <row r="641" spans="1:10" x14ac:dyDescent="0.25">
      <c r="A641" s="249"/>
      <c r="B641" s="252"/>
      <c r="C641" s="40" t="s">
        <v>3754</v>
      </c>
      <c r="D641" s="40" t="s">
        <v>3752</v>
      </c>
      <c r="E641" s="41">
        <v>0.15140000000000001</v>
      </c>
      <c r="F641" s="38">
        <v>20.814499999999999</v>
      </c>
      <c r="G641" s="38">
        <f t="shared" si="10"/>
        <v>3.1513152999999998</v>
      </c>
      <c r="H641" s="39"/>
      <c r="I641" s="35"/>
      <c r="J641" s="34">
        <v>2370</v>
      </c>
    </row>
    <row r="642" spans="1:10" x14ac:dyDescent="0.25">
      <c r="A642" s="249"/>
      <c r="B642" s="252"/>
      <c r="C642" s="40" t="s">
        <v>3978</v>
      </c>
      <c r="D642" s="40" t="s">
        <v>3752</v>
      </c>
      <c r="E642" s="41">
        <v>0.36349999999999999</v>
      </c>
      <c r="F642" s="38">
        <v>27.683</v>
      </c>
      <c r="G642" s="38">
        <f t="shared" si="10"/>
        <v>10.062770499999999</v>
      </c>
      <c r="H642" s="39"/>
      <c r="I642" s="35"/>
      <c r="J642" s="34">
        <v>2370</v>
      </c>
    </row>
    <row r="643" spans="1:10" ht="15.75" thickBot="1" x14ac:dyDescent="0.3">
      <c r="A643" s="250"/>
      <c r="B643" s="253"/>
      <c r="C643" s="40"/>
      <c r="D643" s="40"/>
      <c r="E643" s="41"/>
      <c r="F643" s="35" t="s">
        <v>23</v>
      </c>
      <c r="G643" s="35" t="str">
        <f t="shared" si="10"/>
        <v/>
      </c>
      <c r="H643" s="39"/>
      <c r="I643" s="35"/>
      <c r="J643" s="34">
        <v>2370</v>
      </c>
    </row>
    <row r="644" spans="1:10" ht="15.75" hidden="1" thickBot="1" x14ac:dyDescent="0.3">
      <c r="A644" s="248" t="s">
        <v>167</v>
      </c>
      <c r="B644" s="251" t="s">
        <v>2164</v>
      </c>
      <c r="C644" s="28"/>
      <c r="D644" s="29" t="s">
        <v>121</v>
      </c>
      <c r="E644" s="30"/>
      <c r="F644" s="45" t="s">
        <v>23</v>
      </c>
      <c r="G644" s="31" t="str">
        <f t="shared" si="10"/>
        <v/>
      </c>
      <c r="H644" s="32"/>
      <c r="I644" s="33"/>
      <c r="J644" s="34">
        <v>0</v>
      </c>
    </row>
    <row r="645" spans="1:10" ht="15.75" hidden="1" thickBot="1" x14ac:dyDescent="0.3">
      <c r="A645" s="249"/>
      <c r="B645" s="252"/>
      <c r="C645" s="36"/>
      <c r="D645" s="36"/>
      <c r="E645" s="37"/>
      <c r="F645" s="46" t="s">
        <v>23</v>
      </c>
      <c r="G645" s="35" t="str">
        <f t="shared" si="10"/>
        <v/>
      </c>
      <c r="H645" s="39"/>
      <c r="I645" s="35"/>
      <c r="J645" s="34">
        <v>0</v>
      </c>
    </row>
    <row r="646" spans="1:10" ht="15.75" hidden="1" thickBot="1" x14ac:dyDescent="0.3">
      <c r="A646" s="249"/>
      <c r="B646" s="252"/>
      <c r="C646" s="40" t="s">
        <v>3826</v>
      </c>
      <c r="D646" s="40" t="s">
        <v>3752</v>
      </c>
      <c r="E646" s="41">
        <v>2</v>
      </c>
      <c r="F646" s="35">
        <v>27.920500000000001</v>
      </c>
      <c r="G646" s="38">
        <f t="shared" si="10"/>
        <v>55.841000000000001</v>
      </c>
      <c r="H646" s="43">
        <f>SUM(G646:G646)</f>
        <v>55.841000000000001</v>
      </c>
      <c r="I646" s="44"/>
      <c r="J646" s="34">
        <v>0</v>
      </c>
    </row>
    <row r="647" spans="1:10" ht="15.75" hidden="1" thickBot="1" x14ac:dyDescent="0.3">
      <c r="A647" s="250"/>
      <c r="B647" s="253"/>
      <c r="C647" s="60"/>
      <c r="D647" s="40"/>
      <c r="E647" s="41"/>
      <c r="F647" s="35" t="s">
        <v>23</v>
      </c>
      <c r="G647" s="35" t="str">
        <f t="shared" si="10"/>
        <v/>
      </c>
      <c r="H647" s="39"/>
      <c r="I647" s="35"/>
      <c r="J647" s="34">
        <v>0</v>
      </c>
    </row>
    <row r="648" spans="1:10" ht="15.75" hidden="1" thickBot="1" x14ac:dyDescent="0.3">
      <c r="A648" s="248" t="s">
        <v>168</v>
      </c>
      <c r="B648" s="251" t="s">
        <v>2165</v>
      </c>
      <c r="C648" s="28"/>
      <c r="D648" s="29" t="s">
        <v>121</v>
      </c>
      <c r="E648" s="30"/>
      <c r="F648" s="45" t="s">
        <v>23</v>
      </c>
      <c r="G648" s="31" t="str">
        <f t="shared" si="10"/>
        <v/>
      </c>
      <c r="H648" s="32"/>
      <c r="I648" s="33"/>
      <c r="J648" s="34">
        <v>0</v>
      </c>
    </row>
    <row r="649" spans="1:10" ht="15.75" hidden="1" thickBot="1" x14ac:dyDescent="0.3">
      <c r="A649" s="249"/>
      <c r="B649" s="252"/>
      <c r="C649" s="36"/>
      <c r="D649" s="36"/>
      <c r="E649" s="37"/>
      <c r="F649" s="46" t="s">
        <v>23</v>
      </c>
      <c r="G649" s="35" t="str">
        <f t="shared" si="10"/>
        <v/>
      </c>
      <c r="H649" s="39"/>
      <c r="I649" s="35"/>
      <c r="J649" s="34">
        <v>0</v>
      </c>
    </row>
    <row r="650" spans="1:10" ht="15.75" hidden="1" thickBot="1" x14ac:dyDescent="0.3">
      <c r="A650" s="249"/>
      <c r="B650" s="252"/>
      <c r="C650" s="40" t="s">
        <v>3826</v>
      </c>
      <c r="D650" s="40" t="s">
        <v>3752</v>
      </c>
      <c r="E650" s="41">
        <v>1.75</v>
      </c>
      <c r="F650" s="35">
        <v>27.920500000000001</v>
      </c>
      <c r="G650" s="38">
        <f t="shared" si="10"/>
        <v>48.860875</v>
      </c>
      <c r="H650" s="43">
        <f>SUM(G650:G650)</f>
        <v>48.860875</v>
      </c>
      <c r="I650" s="44"/>
      <c r="J650" s="34">
        <v>0</v>
      </c>
    </row>
    <row r="651" spans="1:10" ht="15.75" hidden="1" thickBot="1" x14ac:dyDescent="0.3">
      <c r="A651" s="250"/>
      <c r="B651" s="253"/>
      <c r="C651" s="60"/>
      <c r="D651" s="40"/>
      <c r="E651" s="41"/>
      <c r="F651" s="35" t="s">
        <v>23</v>
      </c>
      <c r="G651" s="35" t="str">
        <f t="shared" si="10"/>
        <v/>
      </c>
      <c r="H651" s="39"/>
      <c r="I651" s="35"/>
      <c r="J651" s="34">
        <v>0</v>
      </c>
    </row>
    <row r="652" spans="1:10" ht="15.75" hidden="1" thickBot="1" x14ac:dyDescent="0.3">
      <c r="A652" s="248" t="s">
        <v>169</v>
      </c>
      <c r="B652" s="251" t="s">
        <v>2166</v>
      </c>
      <c r="C652" s="28"/>
      <c r="D652" s="29" t="s">
        <v>121</v>
      </c>
      <c r="E652" s="30"/>
      <c r="F652" s="45" t="s">
        <v>23</v>
      </c>
      <c r="G652" s="31" t="str">
        <f t="shared" si="10"/>
        <v/>
      </c>
      <c r="H652" s="32"/>
      <c r="I652" s="33"/>
      <c r="J652" s="34">
        <v>0</v>
      </c>
    </row>
    <row r="653" spans="1:10" ht="15.75" hidden="1" thickBot="1" x14ac:dyDescent="0.3">
      <c r="A653" s="249"/>
      <c r="B653" s="252"/>
      <c r="C653" s="36"/>
      <c r="D653" s="36"/>
      <c r="E653" s="37"/>
      <c r="F653" s="46" t="s">
        <v>23</v>
      </c>
      <c r="G653" s="35" t="str">
        <f t="shared" si="10"/>
        <v/>
      </c>
      <c r="H653" s="39"/>
      <c r="I653" s="35"/>
      <c r="J653" s="34">
        <v>0</v>
      </c>
    </row>
    <row r="654" spans="1:10" ht="15.75" hidden="1" thickBot="1" x14ac:dyDescent="0.3">
      <c r="A654" s="249"/>
      <c r="B654" s="252"/>
      <c r="C654" s="40" t="s">
        <v>3826</v>
      </c>
      <c r="D654" s="40" t="s">
        <v>3752</v>
      </c>
      <c r="E654" s="41">
        <v>1</v>
      </c>
      <c r="F654" s="35">
        <v>27.920500000000001</v>
      </c>
      <c r="G654" s="38">
        <f t="shared" si="10"/>
        <v>27.920500000000001</v>
      </c>
      <c r="H654" s="43">
        <f>SUM(G654:G654)</f>
        <v>27.920500000000001</v>
      </c>
      <c r="I654" s="44"/>
      <c r="J654" s="34">
        <v>0</v>
      </c>
    </row>
    <row r="655" spans="1:10" ht="15.75" hidden="1" thickBot="1" x14ac:dyDescent="0.3">
      <c r="A655" s="250"/>
      <c r="B655" s="253"/>
      <c r="C655" s="60"/>
      <c r="D655" s="40"/>
      <c r="E655" s="41"/>
      <c r="F655" s="35" t="s">
        <v>23</v>
      </c>
      <c r="G655" s="35" t="str">
        <f t="shared" si="10"/>
        <v/>
      </c>
      <c r="H655" s="39"/>
      <c r="I655" s="35"/>
      <c r="J655" s="34">
        <v>0</v>
      </c>
    </row>
    <row r="656" spans="1:10" ht="15.75" hidden="1" thickBot="1" x14ac:dyDescent="0.3">
      <c r="A656" s="248" t="s">
        <v>170</v>
      </c>
      <c r="B656" s="251" t="s">
        <v>2167</v>
      </c>
      <c r="C656" s="28"/>
      <c r="D656" s="29" t="s">
        <v>121</v>
      </c>
      <c r="E656" s="30"/>
      <c r="F656" s="45" t="s">
        <v>23</v>
      </c>
      <c r="G656" s="31" t="str">
        <f t="shared" si="10"/>
        <v/>
      </c>
      <c r="H656" s="32"/>
      <c r="I656" s="33"/>
      <c r="J656" s="34">
        <v>0</v>
      </c>
    </row>
    <row r="657" spans="1:10" ht="15.75" hidden="1" thickBot="1" x14ac:dyDescent="0.3">
      <c r="A657" s="249"/>
      <c r="B657" s="252"/>
      <c r="C657" s="36"/>
      <c r="D657" s="36"/>
      <c r="E657" s="37"/>
      <c r="F657" s="46" t="s">
        <v>23</v>
      </c>
      <c r="G657" s="35" t="str">
        <f t="shared" si="10"/>
        <v/>
      </c>
      <c r="H657" s="39"/>
      <c r="I657" s="35"/>
      <c r="J657" s="34">
        <v>0</v>
      </c>
    </row>
    <row r="658" spans="1:10" ht="15.75" hidden="1" thickBot="1" x14ac:dyDescent="0.3">
      <c r="A658" s="249"/>
      <c r="B658" s="252"/>
      <c r="C658" s="40" t="s">
        <v>3826</v>
      </c>
      <c r="D658" s="40" t="s">
        <v>3752</v>
      </c>
      <c r="E658" s="41">
        <v>1.25</v>
      </c>
      <c r="F658" s="35">
        <v>27.920500000000001</v>
      </c>
      <c r="G658" s="38">
        <f t="shared" ref="G658:G721" si="11">IF(ISNUMBER(F658),E658*F658,"")</f>
        <v>34.900624999999998</v>
      </c>
      <c r="H658" s="43">
        <f>SUM(G658:G658)</f>
        <v>34.900624999999998</v>
      </c>
      <c r="I658" s="44"/>
      <c r="J658" s="34">
        <v>0</v>
      </c>
    </row>
    <row r="659" spans="1:10" ht="15.75" hidden="1" thickBot="1" x14ac:dyDescent="0.3">
      <c r="A659" s="250"/>
      <c r="B659" s="253"/>
      <c r="C659" s="60"/>
      <c r="D659" s="40"/>
      <c r="E659" s="41"/>
      <c r="F659" s="35" t="s">
        <v>23</v>
      </c>
      <c r="G659" s="35" t="str">
        <f t="shared" si="11"/>
        <v/>
      </c>
      <c r="H659" s="39"/>
      <c r="I659" s="35"/>
      <c r="J659" s="34">
        <v>0</v>
      </c>
    </row>
    <row r="660" spans="1:10" ht="15.75" hidden="1" thickBot="1" x14ac:dyDescent="0.3">
      <c r="A660" s="248" t="s">
        <v>171</v>
      </c>
      <c r="B660" s="251" t="s">
        <v>2168</v>
      </c>
      <c r="C660" s="28"/>
      <c r="D660" s="29" t="s">
        <v>28</v>
      </c>
      <c r="E660" s="30"/>
      <c r="F660" s="45" t="s">
        <v>23</v>
      </c>
      <c r="G660" s="31" t="str">
        <f t="shared" si="11"/>
        <v/>
      </c>
      <c r="H660" s="32"/>
      <c r="I660" s="33"/>
      <c r="J660" s="34">
        <v>0</v>
      </c>
    </row>
    <row r="661" spans="1:10" ht="15.75" hidden="1" thickBot="1" x14ac:dyDescent="0.3">
      <c r="A661" s="249"/>
      <c r="B661" s="252"/>
      <c r="C661" s="36"/>
      <c r="D661" s="36"/>
      <c r="E661" s="37"/>
      <c r="F661" s="46" t="s">
        <v>23</v>
      </c>
      <c r="G661" s="35" t="str">
        <f t="shared" si="11"/>
        <v/>
      </c>
      <c r="H661" s="39"/>
      <c r="I661" s="35"/>
      <c r="J661" s="34">
        <v>0</v>
      </c>
    </row>
    <row r="662" spans="1:10" ht="26.25" hidden="1" thickBot="1" x14ac:dyDescent="0.3">
      <c r="A662" s="249"/>
      <c r="B662" s="252"/>
      <c r="C662" s="40" t="s">
        <v>3832</v>
      </c>
      <c r="D662" s="40" t="s">
        <v>291</v>
      </c>
      <c r="E662" s="41">
        <v>1</v>
      </c>
      <c r="F662" s="35">
        <v>113.715</v>
      </c>
      <c r="G662" s="38">
        <f t="shared" si="11"/>
        <v>113.715</v>
      </c>
      <c r="H662" s="43">
        <f>SUM(G662:G662)</f>
        <v>113.715</v>
      </c>
      <c r="I662" s="44"/>
      <c r="J662" s="34">
        <v>0</v>
      </c>
    </row>
    <row r="663" spans="1:10" ht="15.75" hidden="1" thickBot="1" x14ac:dyDescent="0.3">
      <c r="A663" s="250"/>
      <c r="B663" s="253"/>
      <c r="C663" s="60"/>
      <c r="D663" s="40"/>
      <c r="E663" s="41"/>
      <c r="F663" s="35" t="s">
        <v>23</v>
      </c>
      <c r="G663" s="35" t="str">
        <f t="shared" si="11"/>
        <v/>
      </c>
      <c r="H663" s="39"/>
      <c r="I663" s="35"/>
      <c r="J663" s="34">
        <v>0</v>
      </c>
    </row>
    <row r="664" spans="1:10" ht="15.75" hidden="1" thickBot="1" x14ac:dyDescent="0.3">
      <c r="A664" s="248" t="s">
        <v>172</v>
      </c>
      <c r="B664" s="251" t="s">
        <v>2169</v>
      </c>
      <c r="C664" s="61"/>
      <c r="D664" s="29" t="s">
        <v>28</v>
      </c>
      <c r="E664" s="30"/>
      <c r="F664" s="45" t="s">
        <v>23</v>
      </c>
      <c r="G664" s="31" t="str">
        <f t="shared" si="11"/>
        <v/>
      </c>
      <c r="H664" s="32"/>
      <c r="I664" s="33"/>
      <c r="J664" s="34">
        <v>0</v>
      </c>
    </row>
    <row r="665" spans="1:10" ht="15.75" hidden="1" thickBot="1" x14ac:dyDescent="0.3">
      <c r="A665" s="249"/>
      <c r="B665" s="252"/>
      <c r="C665" s="36"/>
      <c r="D665" s="36"/>
      <c r="E665" s="37"/>
      <c r="F665" s="46" t="s">
        <v>23</v>
      </c>
      <c r="G665" s="35" t="str">
        <f t="shared" si="11"/>
        <v/>
      </c>
      <c r="H665" s="39"/>
      <c r="I665" s="35"/>
      <c r="J665" s="34">
        <v>0</v>
      </c>
    </row>
    <row r="666" spans="1:10" ht="26.25" hidden="1" thickBot="1" x14ac:dyDescent="0.3">
      <c r="A666" s="249"/>
      <c r="B666" s="252"/>
      <c r="C666" s="40" t="s">
        <v>3833</v>
      </c>
      <c r="D666" s="40" t="s">
        <v>291</v>
      </c>
      <c r="E666" s="41">
        <v>1</v>
      </c>
      <c r="F666" s="35">
        <v>17.052499999999998</v>
      </c>
      <c r="G666" s="38">
        <f t="shared" si="11"/>
        <v>17.052499999999998</v>
      </c>
      <c r="H666" s="43">
        <f>SUM(G666:G666)</f>
        <v>17.052499999999998</v>
      </c>
      <c r="I666" s="44"/>
      <c r="J666" s="34">
        <v>0</v>
      </c>
    </row>
    <row r="667" spans="1:10" ht="15.75" hidden="1" thickBot="1" x14ac:dyDescent="0.3">
      <c r="A667" s="250"/>
      <c r="B667" s="253"/>
      <c r="C667" s="40"/>
      <c r="D667" s="40"/>
      <c r="E667" s="41"/>
      <c r="F667" s="35" t="s">
        <v>23</v>
      </c>
      <c r="G667" s="35" t="str">
        <f t="shared" si="11"/>
        <v/>
      </c>
      <c r="H667" s="39"/>
      <c r="I667" s="35"/>
      <c r="J667" s="34">
        <v>0</v>
      </c>
    </row>
    <row r="668" spans="1:10" ht="15.75" thickBot="1" x14ac:dyDescent="0.3">
      <c r="A668" s="248" t="s">
        <v>173</v>
      </c>
      <c r="B668" s="251" t="s">
        <v>2170</v>
      </c>
      <c r="C668" s="28"/>
      <c r="D668" s="29" t="s">
        <v>78</v>
      </c>
      <c r="E668" s="30"/>
      <c r="F668" s="45" t="s">
        <v>23</v>
      </c>
      <c r="G668" s="31" t="str">
        <f t="shared" si="11"/>
        <v/>
      </c>
      <c r="H668" s="32"/>
      <c r="I668" s="33"/>
      <c r="J668" s="34">
        <v>250</v>
      </c>
    </row>
    <row r="669" spans="1:10" x14ac:dyDescent="0.25">
      <c r="A669" s="249"/>
      <c r="B669" s="252"/>
      <c r="C669" s="36"/>
      <c r="D669" s="36"/>
      <c r="E669" s="37"/>
      <c r="F669" s="46" t="s">
        <v>23</v>
      </c>
      <c r="G669" s="35" t="str">
        <f t="shared" si="11"/>
        <v/>
      </c>
      <c r="H669" s="39"/>
      <c r="I669" s="35"/>
      <c r="J669" s="34">
        <v>250</v>
      </c>
    </row>
    <row r="670" spans="1:10" ht="25.5" x14ac:dyDescent="0.25">
      <c r="A670" s="249"/>
      <c r="B670" s="252"/>
      <c r="C670" s="40" t="s">
        <v>174</v>
      </c>
      <c r="D670" s="40" t="s">
        <v>121</v>
      </c>
      <c r="E670" s="41">
        <f>ROUND(1.04/0.15,4)</f>
        <v>6.9333</v>
      </c>
      <c r="F670" s="38">
        <v>65.45</v>
      </c>
      <c r="G670" s="38">
        <f t="shared" si="11"/>
        <v>453.78448500000002</v>
      </c>
      <c r="H670" s="43">
        <f>SUM(G670:G674)</f>
        <v>544.00509199999999</v>
      </c>
      <c r="I670" s="44"/>
      <c r="J670" s="34">
        <v>250</v>
      </c>
    </row>
    <row r="671" spans="1:10" x14ac:dyDescent="0.25">
      <c r="A671" s="249"/>
      <c r="B671" s="252"/>
      <c r="C671" s="40" t="s">
        <v>3852</v>
      </c>
      <c r="D671" s="40" t="s">
        <v>1035</v>
      </c>
      <c r="E671" s="41">
        <f>ROUND(0.8614/0.15,4)</f>
        <v>5.7427000000000001</v>
      </c>
      <c r="F671" s="38">
        <v>1.8904999999999998</v>
      </c>
      <c r="G671" s="38">
        <f t="shared" si="11"/>
        <v>10.856574349999999</v>
      </c>
      <c r="H671" s="39"/>
      <c r="I671" s="35"/>
      <c r="J671" s="34">
        <v>250</v>
      </c>
    </row>
    <row r="672" spans="1:10" x14ac:dyDescent="0.25">
      <c r="A672" s="249"/>
      <c r="B672" s="252"/>
      <c r="C672" s="40" t="s">
        <v>3826</v>
      </c>
      <c r="D672" s="40" t="s">
        <v>3752</v>
      </c>
      <c r="E672" s="41">
        <f>ROUND(0.299/0.15,4)</f>
        <v>1.9933000000000001</v>
      </c>
      <c r="F672" s="35">
        <v>27.920500000000001</v>
      </c>
      <c r="G672" s="38">
        <f t="shared" si="11"/>
        <v>55.653932650000002</v>
      </c>
      <c r="H672" s="39"/>
      <c r="I672" s="35"/>
      <c r="J672" s="34">
        <v>250</v>
      </c>
    </row>
    <row r="673" spans="1:10" x14ac:dyDescent="0.25">
      <c r="A673" s="249"/>
      <c r="B673" s="252"/>
      <c r="C673" s="40" t="s">
        <v>3754</v>
      </c>
      <c r="D673" s="40" t="s">
        <v>3752</v>
      </c>
      <c r="E673" s="41">
        <f>0.15/0.15</f>
        <v>1</v>
      </c>
      <c r="F673" s="35">
        <v>20.814499999999999</v>
      </c>
      <c r="G673" s="38">
        <f t="shared" si="11"/>
        <v>20.814499999999999</v>
      </c>
      <c r="H673" s="39"/>
      <c r="I673" s="35"/>
      <c r="J673" s="34">
        <v>250</v>
      </c>
    </row>
    <row r="674" spans="1:10" x14ac:dyDescent="0.25">
      <c r="A674" s="249"/>
      <c r="B674" s="252"/>
      <c r="C674" s="40" t="s">
        <v>4013</v>
      </c>
      <c r="D674" s="40" t="s">
        <v>1035</v>
      </c>
      <c r="E674" s="41">
        <f>0.12/0.15</f>
        <v>0.8</v>
      </c>
      <c r="F674" s="38">
        <v>3.6194999999999999</v>
      </c>
      <c r="G674" s="38">
        <f t="shared" si="11"/>
        <v>2.8956</v>
      </c>
      <c r="H674" s="39"/>
      <c r="I674" s="35"/>
      <c r="J674" s="34">
        <v>250</v>
      </c>
    </row>
    <row r="675" spans="1:10" ht="15.75" thickBot="1" x14ac:dyDescent="0.3">
      <c r="A675" s="249"/>
      <c r="B675" s="252"/>
      <c r="C675" s="40"/>
      <c r="D675" s="40"/>
      <c r="E675" s="41"/>
      <c r="F675" s="38" t="s">
        <v>23</v>
      </c>
      <c r="G675" s="38" t="str">
        <f t="shared" si="11"/>
        <v/>
      </c>
      <c r="H675" s="39"/>
      <c r="I675" s="35"/>
      <c r="J675" s="34">
        <v>250</v>
      </c>
    </row>
    <row r="676" spans="1:10" ht="15.75" thickBot="1" x14ac:dyDescent="0.3">
      <c r="A676" s="248" t="s">
        <v>175</v>
      </c>
      <c r="B676" s="251" t="s">
        <v>2171</v>
      </c>
      <c r="C676" s="28"/>
      <c r="D676" s="29" t="s">
        <v>78</v>
      </c>
      <c r="E676" s="30"/>
      <c r="F676" s="45" t="s">
        <v>23</v>
      </c>
      <c r="G676" s="31" t="str">
        <f t="shared" si="11"/>
        <v/>
      </c>
      <c r="H676" s="32"/>
      <c r="I676" s="33"/>
      <c r="J676" s="34">
        <v>500</v>
      </c>
    </row>
    <row r="677" spans="1:10" x14ac:dyDescent="0.25">
      <c r="A677" s="249"/>
      <c r="B677" s="252"/>
      <c r="C677" s="36"/>
      <c r="D677" s="36"/>
      <c r="E677" s="37"/>
      <c r="F677" s="46" t="s">
        <v>23</v>
      </c>
      <c r="G677" s="35" t="str">
        <f t="shared" si="11"/>
        <v/>
      </c>
      <c r="H677" s="39"/>
      <c r="I677" s="35"/>
      <c r="J677" s="34">
        <v>500</v>
      </c>
    </row>
    <row r="678" spans="1:10" x14ac:dyDescent="0.25">
      <c r="A678" s="249"/>
      <c r="B678" s="252"/>
      <c r="C678" s="40" t="s">
        <v>4056</v>
      </c>
      <c r="D678" s="40" t="s">
        <v>1035</v>
      </c>
      <c r="E678" s="41">
        <f>ROUND(0.5228/(1.5*0.6),4)</f>
        <v>0.58089999999999997</v>
      </c>
      <c r="F678" s="59">
        <v>33.971999999999994</v>
      </c>
      <c r="G678" s="59">
        <f t="shared" si="11"/>
        <v>19.734334799999996</v>
      </c>
      <c r="H678" s="43">
        <f>SUM(G678:G684)</f>
        <v>489.14990825000001</v>
      </c>
      <c r="I678" s="44"/>
      <c r="J678" s="34">
        <v>500</v>
      </c>
    </row>
    <row r="679" spans="1:10" ht="38.25" x14ac:dyDescent="0.25">
      <c r="A679" s="249"/>
      <c r="B679" s="252"/>
      <c r="C679" s="40" t="s">
        <v>4131</v>
      </c>
      <c r="D679" s="40" t="s">
        <v>291</v>
      </c>
      <c r="E679" s="41">
        <f>ROUND(6/(1.5*0.6),4)</f>
        <v>6.6666999999999996</v>
      </c>
      <c r="F679" s="59">
        <v>1.0449999999999999</v>
      </c>
      <c r="G679" s="59">
        <f t="shared" si="11"/>
        <v>6.9667014999999992</v>
      </c>
      <c r="H679" s="62"/>
      <c r="I679" s="63"/>
      <c r="J679" s="34">
        <v>500</v>
      </c>
    </row>
    <row r="680" spans="1:10" ht="25.5" x14ac:dyDescent="0.25">
      <c r="A680" s="249"/>
      <c r="B680" s="252"/>
      <c r="C680" s="40" t="s">
        <v>176</v>
      </c>
      <c r="D680" s="40" t="s">
        <v>177</v>
      </c>
      <c r="E680" s="41">
        <f>ROUND(1.005/(1.5*0.6),4)</f>
        <v>1.1167</v>
      </c>
      <c r="F680" s="59">
        <v>302.47000000000003</v>
      </c>
      <c r="G680" s="59">
        <f t="shared" si="11"/>
        <v>337.76824900000003</v>
      </c>
      <c r="H680" s="62"/>
      <c r="I680" s="63"/>
      <c r="J680" s="34">
        <v>500</v>
      </c>
    </row>
    <row r="681" spans="1:10" x14ac:dyDescent="0.25">
      <c r="A681" s="249"/>
      <c r="B681" s="252"/>
      <c r="C681" s="40" t="s">
        <v>4161</v>
      </c>
      <c r="D681" s="40" t="s">
        <v>1035</v>
      </c>
      <c r="E681" s="41">
        <f>ROUND(0.0211/(1.5*0.6),4)</f>
        <v>2.3400000000000001E-2</v>
      </c>
      <c r="F681" s="59">
        <v>76.36099999999999</v>
      </c>
      <c r="G681" s="59">
        <f t="shared" si="11"/>
        <v>1.7868473999999999</v>
      </c>
      <c r="H681" s="62"/>
      <c r="I681" s="63"/>
      <c r="J681" s="34">
        <v>500</v>
      </c>
    </row>
    <row r="682" spans="1:10" ht="25.5" x14ac:dyDescent="0.25">
      <c r="A682" s="249"/>
      <c r="B682" s="252"/>
      <c r="C682" s="40" t="s">
        <v>3999</v>
      </c>
      <c r="D682" s="40" t="s">
        <v>291</v>
      </c>
      <c r="E682" s="41">
        <f>ROUND(2/(1.5*0.6),4)</f>
        <v>2.2222</v>
      </c>
      <c r="F682" s="59">
        <v>24.206</v>
      </c>
      <c r="G682" s="59">
        <f t="shared" si="11"/>
        <v>53.790573199999997</v>
      </c>
      <c r="H682" s="62"/>
      <c r="I682" s="63"/>
      <c r="J682" s="34">
        <v>500</v>
      </c>
    </row>
    <row r="683" spans="1:10" x14ac:dyDescent="0.25">
      <c r="A683" s="249"/>
      <c r="B683" s="252"/>
      <c r="C683" s="40" t="s">
        <v>3826</v>
      </c>
      <c r="D683" s="40" t="s">
        <v>3752</v>
      </c>
      <c r="E683" s="41">
        <f>ROUND(1.4944/(1.5*0.6),4)</f>
        <v>1.6604000000000001</v>
      </c>
      <c r="F683" s="59">
        <v>27.920500000000001</v>
      </c>
      <c r="G683" s="59">
        <f t="shared" si="11"/>
        <v>46.359198200000002</v>
      </c>
      <c r="H683" s="62"/>
      <c r="I683" s="63"/>
      <c r="J683" s="34">
        <v>500</v>
      </c>
    </row>
    <row r="684" spans="1:10" x14ac:dyDescent="0.25">
      <c r="A684" s="249"/>
      <c r="B684" s="252"/>
      <c r="C684" s="40" t="s">
        <v>3754</v>
      </c>
      <c r="D684" s="40" t="s">
        <v>3752</v>
      </c>
      <c r="E684" s="41">
        <f>ROUND(0.9834/(1.5*0.6),4)</f>
        <v>1.0927</v>
      </c>
      <c r="F684" s="59">
        <v>20.814499999999999</v>
      </c>
      <c r="G684" s="59">
        <f t="shared" si="11"/>
        <v>22.744004149999999</v>
      </c>
      <c r="H684" s="62"/>
      <c r="I684" s="63"/>
      <c r="J684" s="34">
        <v>500</v>
      </c>
    </row>
    <row r="685" spans="1:10" ht="15.75" thickBot="1" x14ac:dyDescent="0.3">
      <c r="A685" s="249"/>
      <c r="B685" s="252"/>
      <c r="C685" s="40"/>
      <c r="D685" s="40"/>
      <c r="E685" s="41"/>
      <c r="F685" s="35" t="s">
        <v>23</v>
      </c>
      <c r="G685" s="38" t="str">
        <f t="shared" si="11"/>
        <v/>
      </c>
      <c r="H685" s="39"/>
      <c r="I685" s="35"/>
      <c r="J685" s="34">
        <v>500</v>
      </c>
    </row>
    <row r="686" spans="1:10" ht="15.75" thickBot="1" x14ac:dyDescent="0.3">
      <c r="A686" s="248" t="s">
        <v>178</v>
      </c>
      <c r="B686" s="251" t="s">
        <v>2172</v>
      </c>
      <c r="C686" s="28"/>
      <c r="D686" s="29" t="s">
        <v>78</v>
      </c>
      <c r="E686" s="30"/>
      <c r="F686" s="45" t="s">
        <v>23</v>
      </c>
      <c r="G686" s="31" t="str">
        <f t="shared" si="11"/>
        <v/>
      </c>
      <c r="H686" s="32"/>
      <c r="I686" s="33"/>
      <c r="J686" s="34">
        <v>200</v>
      </c>
    </row>
    <row r="687" spans="1:10" x14ac:dyDescent="0.25">
      <c r="A687" s="249"/>
      <c r="B687" s="252"/>
      <c r="C687" s="36"/>
      <c r="D687" s="36"/>
      <c r="E687" s="37"/>
      <c r="F687" s="46" t="s">
        <v>23</v>
      </c>
      <c r="G687" s="35" t="str">
        <f t="shared" si="11"/>
        <v/>
      </c>
      <c r="H687" s="39"/>
      <c r="I687" s="35"/>
      <c r="J687" s="34">
        <v>200</v>
      </c>
    </row>
    <row r="688" spans="1:10" ht="25.5" x14ac:dyDescent="0.25">
      <c r="A688" s="249"/>
      <c r="B688" s="252"/>
      <c r="C688" s="40" t="s">
        <v>3818</v>
      </c>
      <c r="D688" s="40" t="s">
        <v>1035</v>
      </c>
      <c r="E688" s="41">
        <v>0.53</v>
      </c>
      <c r="F688" s="38">
        <v>52.259499999999996</v>
      </c>
      <c r="G688" s="38">
        <f t="shared" si="11"/>
        <v>27.697534999999998</v>
      </c>
      <c r="H688" s="43">
        <f>SUM(G688:G694)</f>
        <v>441.47813249999996</v>
      </c>
      <c r="I688" s="44"/>
      <c r="J688" s="34">
        <v>200</v>
      </c>
    </row>
    <row r="689" spans="1:10" ht="25.5" x14ac:dyDescent="0.25">
      <c r="A689" s="249"/>
      <c r="B689" s="252"/>
      <c r="C689" s="40" t="s">
        <v>179</v>
      </c>
      <c r="D689" s="40" t="s">
        <v>177</v>
      </c>
      <c r="E689" s="41">
        <v>1.05</v>
      </c>
      <c r="F689" s="38">
        <v>311.31</v>
      </c>
      <c r="G689" s="38">
        <f t="shared" si="11"/>
        <v>326.87549999999999</v>
      </c>
      <c r="H689" s="39"/>
      <c r="I689" s="35"/>
      <c r="J689" s="34">
        <v>200</v>
      </c>
    </row>
    <row r="690" spans="1:10" x14ac:dyDescent="0.25">
      <c r="A690" s="249"/>
      <c r="B690" s="252"/>
      <c r="C690" s="40" t="s">
        <v>4006</v>
      </c>
      <c r="D690" s="40" t="s">
        <v>1035</v>
      </c>
      <c r="E690" s="41">
        <v>0.97</v>
      </c>
      <c r="F690" s="35">
        <v>2.1755</v>
      </c>
      <c r="G690" s="38">
        <f t="shared" si="11"/>
        <v>2.1102349999999999</v>
      </c>
      <c r="H690" s="39"/>
      <c r="I690" s="35"/>
      <c r="J690" s="34">
        <v>200</v>
      </c>
    </row>
    <row r="691" spans="1:10" x14ac:dyDescent="0.25">
      <c r="A691" s="249"/>
      <c r="B691" s="252"/>
      <c r="C691" s="40" t="s">
        <v>3826</v>
      </c>
      <c r="D691" s="40" t="s">
        <v>3752</v>
      </c>
      <c r="E691" s="41">
        <v>1.405</v>
      </c>
      <c r="F691" s="35">
        <v>27.920500000000001</v>
      </c>
      <c r="G691" s="38">
        <f t="shared" si="11"/>
        <v>39.228302499999998</v>
      </c>
      <c r="H691" s="39"/>
      <c r="I691" s="35"/>
      <c r="J691" s="34">
        <v>200</v>
      </c>
    </row>
    <row r="692" spans="1:10" x14ac:dyDescent="0.25">
      <c r="A692" s="249"/>
      <c r="B692" s="252"/>
      <c r="C692" s="40" t="s">
        <v>3754</v>
      </c>
      <c r="D692" s="40" t="s">
        <v>3752</v>
      </c>
      <c r="E692" s="41">
        <v>0.70199999999999996</v>
      </c>
      <c r="F692" s="35">
        <v>20.814499999999999</v>
      </c>
      <c r="G692" s="38">
        <f t="shared" si="11"/>
        <v>14.611778999999999</v>
      </c>
      <c r="H692" s="39"/>
      <c r="I692" s="35"/>
      <c r="J692" s="34">
        <v>200</v>
      </c>
    </row>
    <row r="693" spans="1:10" ht="25.5" x14ac:dyDescent="0.25">
      <c r="A693" s="249"/>
      <c r="B693" s="252"/>
      <c r="C693" s="40" t="s">
        <v>4168</v>
      </c>
      <c r="D693" s="40" t="s">
        <v>1041</v>
      </c>
      <c r="E693" s="41">
        <v>8.8999999999999996E-2</v>
      </c>
      <c r="F693" s="35">
        <v>22.895</v>
      </c>
      <c r="G693" s="38">
        <f t="shared" si="11"/>
        <v>2.037655</v>
      </c>
      <c r="H693" s="39"/>
      <c r="I693" s="35"/>
      <c r="J693" s="34">
        <v>200</v>
      </c>
    </row>
    <row r="694" spans="1:10" ht="25.5" x14ac:dyDescent="0.25">
      <c r="A694" s="249"/>
      <c r="B694" s="252"/>
      <c r="C694" s="40" t="s">
        <v>4120</v>
      </c>
      <c r="D694" s="40" t="s">
        <v>1052</v>
      </c>
      <c r="E694" s="41">
        <v>1.3160000000000001</v>
      </c>
      <c r="F694" s="38">
        <v>21.973499999999998</v>
      </c>
      <c r="G694" s="38">
        <f t="shared" si="11"/>
        <v>28.917126</v>
      </c>
      <c r="H694" s="39"/>
      <c r="I694" s="35"/>
      <c r="J694" s="34">
        <v>200</v>
      </c>
    </row>
    <row r="695" spans="1:10" ht="15.75" thickBot="1" x14ac:dyDescent="0.3">
      <c r="A695" s="249"/>
      <c r="B695" s="252"/>
      <c r="C695" s="40"/>
      <c r="D695" s="40"/>
      <c r="E695" s="41"/>
      <c r="F695" s="38" t="s">
        <v>23</v>
      </c>
      <c r="G695" s="38" t="str">
        <f t="shared" si="11"/>
        <v/>
      </c>
      <c r="H695" s="39"/>
      <c r="I695" s="35"/>
      <c r="J695" s="34">
        <v>200</v>
      </c>
    </row>
    <row r="696" spans="1:10" ht="15.75" thickBot="1" x14ac:dyDescent="0.3">
      <c r="A696" s="248" t="s">
        <v>180</v>
      </c>
      <c r="B696" s="251" t="s">
        <v>2173</v>
      </c>
      <c r="C696" s="28"/>
      <c r="D696" s="29" t="s">
        <v>78</v>
      </c>
      <c r="E696" s="30"/>
      <c r="F696" s="45" t="s">
        <v>23</v>
      </c>
      <c r="G696" s="31" t="str">
        <f t="shared" si="11"/>
        <v/>
      </c>
      <c r="H696" s="32"/>
      <c r="I696" s="33"/>
      <c r="J696" s="34">
        <v>250</v>
      </c>
    </row>
    <row r="697" spans="1:10" x14ac:dyDescent="0.25">
      <c r="A697" s="249"/>
      <c r="B697" s="252"/>
      <c r="C697" s="36"/>
      <c r="D697" s="36"/>
      <c r="E697" s="37"/>
      <c r="F697" s="46" t="s">
        <v>23</v>
      </c>
      <c r="G697" s="35" t="str">
        <f t="shared" si="11"/>
        <v/>
      </c>
      <c r="H697" s="39"/>
      <c r="I697" s="35"/>
      <c r="J697" s="34">
        <v>250</v>
      </c>
    </row>
    <row r="698" spans="1:10" ht="25.5" x14ac:dyDescent="0.25">
      <c r="A698" s="249"/>
      <c r="B698" s="252"/>
      <c r="C698" s="40" t="s">
        <v>181</v>
      </c>
      <c r="D698" s="40" t="s">
        <v>121</v>
      </c>
      <c r="E698" s="41">
        <f>ROUND(1.04/0.15,4)</f>
        <v>6.9333</v>
      </c>
      <c r="F698" s="38">
        <v>70.16</v>
      </c>
      <c r="G698" s="35">
        <f t="shared" si="11"/>
        <v>486.44032799999997</v>
      </c>
      <c r="H698" s="43">
        <f>SUM(G698:G702)</f>
        <v>576.66093499999988</v>
      </c>
      <c r="I698" s="44"/>
      <c r="J698" s="34">
        <v>250</v>
      </c>
    </row>
    <row r="699" spans="1:10" x14ac:dyDescent="0.25">
      <c r="A699" s="249"/>
      <c r="B699" s="252"/>
      <c r="C699" s="40" t="s">
        <v>3852</v>
      </c>
      <c r="D699" s="40" t="s">
        <v>1035</v>
      </c>
      <c r="E699" s="41">
        <f>ROUND(0.8614/0.15,4)</f>
        <v>5.7427000000000001</v>
      </c>
      <c r="F699" s="38">
        <v>1.8904999999999998</v>
      </c>
      <c r="G699" s="38">
        <f t="shared" si="11"/>
        <v>10.856574349999999</v>
      </c>
      <c r="H699" s="39"/>
      <c r="I699" s="35"/>
      <c r="J699" s="34">
        <v>250</v>
      </c>
    </row>
    <row r="700" spans="1:10" x14ac:dyDescent="0.25">
      <c r="A700" s="249"/>
      <c r="B700" s="252"/>
      <c r="C700" s="40" t="s">
        <v>3826</v>
      </c>
      <c r="D700" s="40" t="s">
        <v>3752</v>
      </c>
      <c r="E700" s="41">
        <f>ROUND(0.299/0.15,4)</f>
        <v>1.9933000000000001</v>
      </c>
      <c r="F700" s="38">
        <v>27.920500000000001</v>
      </c>
      <c r="G700" s="38">
        <f t="shared" si="11"/>
        <v>55.653932650000002</v>
      </c>
      <c r="H700" s="39"/>
      <c r="I700" s="35"/>
      <c r="J700" s="34">
        <v>250</v>
      </c>
    </row>
    <row r="701" spans="1:10" x14ac:dyDescent="0.25">
      <c r="A701" s="249"/>
      <c r="B701" s="252"/>
      <c r="C701" s="40" t="s">
        <v>3754</v>
      </c>
      <c r="D701" s="40" t="s">
        <v>3752</v>
      </c>
      <c r="E701" s="41">
        <f>0.15/0.15</f>
        <v>1</v>
      </c>
      <c r="F701" s="38">
        <v>20.814499999999999</v>
      </c>
      <c r="G701" s="38">
        <f t="shared" si="11"/>
        <v>20.814499999999999</v>
      </c>
      <c r="H701" s="39"/>
      <c r="I701" s="35"/>
      <c r="J701" s="34">
        <v>250</v>
      </c>
    </row>
    <row r="702" spans="1:10" x14ac:dyDescent="0.25">
      <c r="A702" s="249"/>
      <c r="B702" s="252"/>
      <c r="C702" s="40" t="s">
        <v>4013</v>
      </c>
      <c r="D702" s="40" t="s">
        <v>1035</v>
      </c>
      <c r="E702" s="41">
        <f>0.12/0.15</f>
        <v>0.8</v>
      </c>
      <c r="F702" s="38">
        <v>3.6194999999999999</v>
      </c>
      <c r="G702" s="38">
        <f t="shared" si="11"/>
        <v>2.8956</v>
      </c>
      <c r="H702" s="39"/>
      <c r="I702" s="35"/>
      <c r="J702" s="34">
        <v>250</v>
      </c>
    </row>
    <row r="703" spans="1:10" ht="15.75" thickBot="1" x14ac:dyDescent="0.3">
      <c r="A703" s="249"/>
      <c r="B703" s="252"/>
      <c r="C703" s="40"/>
      <c r="D703" s="40"/>
      <c r="E703" s="41"/>
      <c r="F703" s="38" t="s">
        <v>23</v>
      </c>
      <c r="G703" s="38" t="str">
        <f t="shared" si="11"/>
        <v/>
      </c>
      <c r="H703" s="39"/>
      <c r="I703" s="35"/>
      <c r="J703" s="34">
        <v>250</v>
      </c>
    </row>
    <row r="704" spans="1:10" ht="15.75" thickBot="1" x14ac:dyDescent="0.3">
      <c r="A704" s="248" t="s">
        <v>182</v>
      </c>
      <c r="B704" s="251" t="s">
        <v>2174</v>
      </c>
      <c r="C704" s="28"/>
      <c r="D704" s="29" t="s">
        <v>78</v>
      </c>
      <c r="E704" s="30"/>
      <c r="F704" s="45" t="s">
        <v>23</v>
      </c>
      <c r="G704" s="31" t="str">
        <f t="shared" si="11"/>
        <v/>
      </c>
      <c r="H704" s="32"/>
      <c r="I704" s="33"/>
      <c r="J704" s="34">
        <v>500</v>
      </c>
    </row>
    <row r="705" spans="1:10" x14ac:dyDescent="0.25">
      <c r="A705" s="249"/>
      <c r="B705" s="252"/>
      <c r="C705" s="36"/>
      <c r="D705" s="36"/>
      <c r="E705" s="37"/>
      <c r="F705" s="46" t="s">
        <v>23</v>
      </c>
      <c r="G705" s="35" t="str">
        <f t="shared" si="11"/>
        <v/>
      </c>
      <c r="H705" s="39"/>
      <c r="I705" s="35"/>
      <c r="J705" s="34">
        <v>500</v>
      </c>
    </row>
    <row r="706" spans="1:10" x14ac:dyDescent="0.25">
      <c r="A706" s="249"/>
      <c r="B706" s="252"/>
      <c r="C706" s="40" t="s">
        <v>4056</v>
      </c>
      <c r="D706" s="40" t="s">
        <v>1035</v>
      </c>
      <c r="E706" s="41">
        <f>ROUND(0.5228/(1.5*0.6),4)</f>
        <v>0.58089999999999997</v>
      </c>
      <c r="F706" s="59">
        <v>33.971999999999994</v>
      </c>
      <c r="G706" s="59">
        <f t="shared" si="11"/>
        <v>19.734334799999996</v>
      </c>
      <c r="H706" s="43">
        <f>SUM(G706:G712)</f>
        <v>671.67452325000011</v>
      </c>
      <c r="I706" s="44"/>
      <c r="J706" s="34">
        <v>500</v>
      </c>
    </row>
    <row r="707" spans="1:10" ht="38.25" x14ac:dyDescent="0.25">
      <c r="A707" s="249"/>
      <c r="B707" s="252"/>
      <c r="C707" s="40" t="s">
        <v>4131</v>
      </c>
      <c r="D707" s="40" t="s">
        <v>291</v>
      </c>
      <c r="E707" s="41">
        <f>ROUND(6/(1.5*0.6),4)</f>
        <v>6.6666999999999996</v>
      </c>
      <c r="F707" s="59">
        <v>1.0449999999999999</v>
      </c>
      <c r="G707" s="59">
        <f t="shared" si="11"/>
        <v>6.9667014999999992</v>
      </c>
      <c r="H707" s="62"/>
      <c r="I707" s="63"/>
      <c r="J707" s="34">
        <v>500</v>
      </c>
    </row>
    <row r="708" spans="1:10" ht="25.5" x14ac:dyDescent="0.25">
      <c r="A708" s="249"/>
      <c r="B708" s="252"/>
      <c r="C708" s="40" t="s">
        <v>183</v>
      </c>
      <c r="D708" s="40" t="s">
        <v>177</v>
      </c>
      <c r="E708" s="41">
        <f>ROUND(1.005/(1.5*0.6),4)</f>
        <v>1.1167</v>
      </c>
      <c r="F708" s="59">
        <v>465.92</v>
      </c>
      <c r="G708" s="59">
        <f t="shared" si="11"/>
        <v>520.29286400000001</v>
      </c>
      <c r="H708" s="62"/>
      <c r="I708" s="63"/>
      <c r="J708" s="34">
        <v>500</v>
      </c>
    </row>
    <row r="709" spans="1:10" x14ac:dyDescent="0.25">
      <c r="A709" s="249"/>
      <c r="B709" s="252"/>
      <c r="C709" s="40" t="s">
        <v>4161</v>
      </c>
      <c r="D709" s="40" t="s">
        <v>1035</v>
      </c>
      <c r="E709" s="41">
        <f>ROUND(0.0211/(1.5*0.6),4)</f>
        <v>2.3400000000000001E-2</v>
      </c>
      <c r="F709" s="59">
        <v>76.36099999999999</v>
      </c>
      <c r="G709" s="59">
        <f t="shared" si="11"/>
        <v>1.7868473999999999</v>
      </c>
      <c r="H709" s="62"/>
      <c r="I709" s="63"/>
      <c r="J709" s="34">
        <v>500</v>
      </c>
    </row>
    <row r="710" spans="1:10" ht="25.5" x14ac:dyDescent="0.25">
      <c r="A710" s="249"/>
      <c r="B710" s="252"/>
      <c r="C710" s="40" t="s">
        <v>3999</v>
      </c>
      <c r="D710" s="40" t="s">
        <v>291</v>
      </c>
      <c r="E710" s="41">
        <f>ROUND(2/(1.5*0.6),4)</f>
        <v>2.2222</v>
      </c>
      <c r="F710" s="59">
        <v>24.206</v>
      </c>
      <c r="G710" s="59">
        <f t="shared" si="11"/>
        <v>53.790573199999997</v>
      </c>
      <c r="H710" s="62"/>
      <c r="I710" s="63"/>
      <c r="J710" s="34">
        <v>500</v>
      </c>
    </row>
    <row r="711" spans="1:10" x14ac:dyDescent="0.25">
      <c r="A711" s="249"/>
      <c r="B711" s="252"/>
      <c r="C711" s="40" t="s">
        <v>3826</v>
      </c>
      <c r="D711" s="40" t="s">
        <v>3752</v>
      </c>
      <c r="E711" s="41">
        <f>ROUND(1.4944/(1.5*0.6),4)</f>
        <v>1.6604000000000001</v>
      </c>
      <c r="F711" s="59">
        <v>27.920500000000001</v>
      </c>
      <c r="G711" s="59">
        <f t="shared" si="11"/>
        <v>46.359198200000002</v>
      </c>
      <c r="H711" s="62"/>
      <c r="I711" s="63"/>
      <c r="J711" s="34">
        <v>500</v>
      </c>
    </row>
    <row r="712" spans="1:10" x14ac:dyDescent="0.25">
      <c r="A712" s="249"/>
      <c r="B712" s="252"/>
      <c r="C712" s="40" t="s">
        <v>3754</v>
      </c>
      <c r="D712" s="40" t="s">
        <v>3752</v>
      </c>
      <c r="E712" s="41">
        <f>ROUND(0.9834/(1.5*0.6),4)</f>
        <v>1.0927</v>
      </c>
      <c r="F712" s="59">
        <v>20.814499999999999</v>
      </c>
      <c r="G712" s="59">
        <f t="shared" si="11"/>
        <v>22.744004149999999</v>
      </c>
      <c r="H712" s="62"/>
      <c r="I712" s="63"/>
      <c r="J712" s="34">
        <v>500</v>
      </c>
    </row>
    <row r="713" spans="1:10" ht="15.75" thickBot="1" x14ac:dyDescent="0.3">
      <c r="A713" s="249"/>
      <c r="B713" s="252"/>
      <c r="C713" s="40"/>
      <c r="D713" s="40"/>
      <c r="E713" s="41"/>
      <c r="F713" s="35" t="s">
        <v>23</v>
      </c>
      <c r="G713" s="38" t="str">
        <f t="shared" si="11"/>
        <v/>
      </c>
      <c r="H713" s="39"/>
      <c r="I713" s="35"/>
      <c r="J713" s="34">
        <v>500</v>
      </c>
    </row>
    <row r="714" spans="1:10" ht="15.75" hidden="1" thickBot="1" x14ac:dyDescent="0.3">
      <c r="A714" s="248" t="s">
        <v>184</v>
      </c>
      <c r="B714" s="251" t="s">
        <v>2175</v>
      </c>
      <c r="C714" s="28"/>
      <c r="D714" s="29" t="s">
        <v>78</v>
      </c>
      <c r="E714" s="30"/>
      <c r="F714" s="45" t="s">
        <v>23</v>
      </c>
      <c r="G714" s="31" t="str">
        <f t="shared" si="11"/>
        <v/>
      </c>
      <c r="H714" s="32"/>
      <c r="I714" s="33"/>
      <c r="J714" s="34">
        <v>0</v>
      </c>
    </row>
    <row r="715" spans="1:10" ht="15.75" hidden="1" thickBot="1" x14ac:dyDescent="0.3">
      <c r="A715" s="249"/>
      <c r="B715" s="252"/>
      <c r="C715" s="36"/>
      <c r="D715" s="36"/>
      <c r="E715" s="37"/>
      <c r="F715" s="46" t="s">
        <v>23</v>
      </c>
      <c r="G715" s="35" t="str">
        <f t="shared" si="11"/>
        <v/>
      </c>
      <c r="H715" s="39"/>
      <c r="I715" s="35"/>
      <c r="J715" s="34">
        <v>0</v>
      </c>
    </row>
    <row r="716" spans="1:10" ht="15.75" hidden="1" thickBot="1" x14ac:dyDescent="0.3">
      <c r="A716" s="249"/>
      <c r="B716" s="252"/>
      <c r="C716" s="40" t="s">
        <v>4056</v>
      </c>
      <c r="D716" s="40" t="s">
        <v>1035</v>
      </c>
      <c r="E716" s="41">
        <f>ROUND(0.5228/(1.5*0.6),4)</f>
        <v>0.58089999999999997</v>
      </c>
      <c r="F716" s="59">
        <v>33.971999999999994</v>
      </c>
      <c r="G716" s="59">
        <f t="shared" si="11"/>
        <v>19.734334799999996</v>
      </c>
      <c r="H716" s="43">
        <f>SUM(G716:G721)</f>
        <v>151.38165924999998</v>
      </c>
      <c r="I716" s="44"/>
      <c r="J716" s="34">
        <v>0</v>
      </c>
    </row>
    <row r="717" spans="1:10" ht="39" hidden="1" thickBot="1" x14ac:dyDescent="0.3">
      <c r="A717" s="249"/>
      <c r="B717" s="252"/>
      <c r="C717" s="40" t="s">
        <v>4131</v>
      </c>
      <c r="D717" s="40" t="s">
        <v>291</v>
      </c>
      <c r="E717" s="41">
        <f>ROUND(6/(1.5*0.6),4)</f>
        <v>6.6666999999999996</v>
      </c>
      <c r="F717" s="59">
        <v>1.0449999999999999</v>
      </c>
      <c r="G717" s="59">
        <f t="shared" si="11"/>
        <v>6.9667014999999992</v>
      </c>
      <c r="H717" s="62"/>
      <c r="I717" s="63"/>
      <c r="J717" s="34">
        <v>0</v>
      </c>
    </row>
    <row r="718" spans="1:10" ht="15.75" hidden="1" thickBot="1" x14ac:dyDescent="0.3">
      <c r="A718" s="249"/>
      <c r="B718" s="252"/>
      <c r="C718" s="40" t="s">
        <v>4161</v>
      </c>
      <c r="D718" s="40" t="s">
        <v>1035</v>
      </c>
      <c r="E718" s="41">
        <f>ROUND(0.0211/(1.5*0.6),4)</f>
        <v>2.3400000000000001E-2</v>
      </c>
      <c r="F718" s="59">
        <v>76.36099999999999</v>
      </c>
      <c r="G718" s="59">
        <f t="shared" si="11"/>
        <v>1.7868473999999999</v>
      </c>
      <c r="H718" s="62"/>
      <c r="I718" s="63"/>
      <c r="J718" s="34">
        <v>0</v>
      </c>
    </row>
    <row r="719" spans="1:10" ht="26.25" hidden="1" thickBot="1" x14ac:dyDescent="0.3">
      <c r="A719" s="249"/>
      <c r="B719" s="252"/>
      <c r="C719" s="40" t="s">
        <v>3999</v>
      </c>
      <c r="D719" s="40" t="s">
        <v>291</v>
      </c>
      <c r="E719" s="41">
        <f>ROUND(2/(1.5*0.6),4)</f>
        <v>2.2222</v>
      </c>
      <c r="F719" s="59">
        <v>24.206</v>
      </c>
      <c r="G719" s="59">
        <f t="shared" si="11"/>
        <v>53.790573199999997</v>
      </c>
      <c r="H719" s="62"/>
      <c r="I719" s="63"/>
      <c r="J719" s="34">
        <v>0</v>
      </c>
    </row>
    <row r="720" spans="1:10" ht="15.75" hidden="1" thickBot="1" x14ac:dyDescent="0.3">
      <c r="A720" s="249"/>
      <c r="B720" s="252"/>
      <c r="C720" s="40" t="s">
        <v>3826</v>
      </c>
      <c r="D720" s="40" t="s">
        <v>3752</v>
      </c>
      <c r="E720" s="41">
        <f>ROUND(1.4944/(1.5*0.6),4)</f>
        <v>1.6604000000000001</v>
      </c>
      <c r="F720" s="59">
        <v>27.920500000000001</v>
      </c>
      <c r="G720" s="59">
        <f t="shared" si="11"/>
        <v>46.359198200000002</v>
      </c>
      <c r="H720" s="62"/>
      <c r="I720" s="63"/>
      <c r="J720" s="34">
        <v>0</v>
      </c>
    </row>
    <row r="721" spans="1:10" ht="15.75" hidden="1" thickBot="1" x14ac:dyDescent="0.3">
      <c r="A721" s="249"/>
      <c r="B721" s="252"/>
      <c r="C721" s="40" t="s">
        <v>3754</v>
      </c>
      <c r="D721" s="40" t="s">
        <v>3752</v>
      </c>
      <c r="E721" s="41">
        <f>ROUND(0.9834/(1.5*0.6),4)</f>
        <v>1.0927</v>
      </c>
      <c r="F721" s="59">
        <v>20.814499999999999</v>
      </c>
      <c r="G721" s="59">
        <f t="shared" si="11"/>
        <v>22.744004149999999</v>
      </c>
      <c r="H721" s="62"/>
      <c r="I721" s="63"/>
      <c r="J721" s="34">
        <v>0</v>
      </c>
    </row>
    <row r="722" spans="1:10" ht="15.75" hidden="1" thickBot="1" x14ac:dyDescent="0.3">
      <c r="A722" s="250"/>
      <c r="B722" s="253"/>
      <c r="C722" s="40"/>
      <c r="D722" s="40"/>
      <c r="E722" s="41"/>
      <c r="F722" s="35" t="s">
        <v>23</v>
      </c>
      <c r="G722" s="35" t="str">
        <f t="shared" ref="G722:G785" si="12">IF(ISNUMBER(F722),E722*F722,"")</f>
        <v/>
      </c>
      <c r="H722" s="39"/>
      <c r="I722" s="35"/>
      <c r="J722" s="34">
        <v>0</v>
      </c>
    </row>
    <row r="723" spans="1:10" ht="15.75" hidden="1" thickBot="1" x14ac:dyDescent="0.3">
      <c r="A723" s="248" t="s">
        <v>185</v>
      </c>
      <c r="B723" s="251" t="s">
        <v>2176</v>
      </c>
      <c r="C723" s="28"/>
      <c r="D723" s="29" t="s">
        <v>78</v>
      </c>
      <c r="E723" s="30"/>
      <c r="F723" s="45" t="s">
        <v>23</v>
      </c>
      <c r="G723" s="31" t="str">
        <f t="shared" si="12"/>
        <v/>
      </c>
      <c r="H723" s="32"/>
      <c r="I723" s="33"/>
      <c r="J723" s="34">
        <v>0</v>
      </c>
    </row>
    <row r="724" spans="1:10" ht="15.75" hidden="1" thickBot="1" x14ac:dyDescent="0.3">
      <c r="A724" s="249"/>
      <c r="B724" s="252"/>
      <c r="C724" s="36"/>
      <c r="D724" s="36"/>
      <c r="E724" s="37"/>
      <c r="F724" s="46" t="s">
        <v>23</v>
      </c>
      <c r="G724" s="35" t="str">
        <f t="shared" si="12"/>
        <v/>
      </c>
      <c r="H724" s="39"/>
      <c r="I724" s="35"/>
      <c r="J724" s="34">
        <v>0</v>
      </c>
    </row>
    <row r="725" spans="1:10" ht="15.75" hidden="1" thickBot="1" x14ac:dyDescent="0.3">
      <c r="A725" s="249"/>
      <c r="B725" s="252"/>
      <c r="C725" s="40" t="s">
        <v>3852</v>
      </c>
      <c r="D725" s="40" t="s">
        <v>1035</v>
      </c>
      <c r="E725" s="41">
        <f>0.8614</f>
        <v>0.86140000000000005</v>
      </c>
      <c r="F725" s="38">
        <v>1.8904999999999998</v>
      </c>
      <c r="G725" s="38">
        <f t="shared" si="12"/>
        <v>1.6284767</v>
      </c>
      <c r="H725" s="43">
        <f>SUM(G725:G728)</f>
        <v>13.533221200000002</v>
      </c>
      <c r="I725" s="44"/>
      <c r="J725" s="34">
        <v>0</v>
      </c>
    </row>
    <row r="726" spans="1:10" ht="15.75" hidden="1" thickBot="1" x14ac:dyDescent="0.3">
      <c r="A726" s="249"/>
      <c r="B726" s="252"/>
      <c r="C726" s="40" t="s">
        <v>3826</v>
      </c>
      <c r="D726" s="40" t="s">
        <v>3752</v>
      </c>
      <c r="E726" s="41">
        <f>0.299</f>
        <v>0.29899999999999999</v>
      </c>
      <c r="F726" s="35">
        <v>27.920500000000001</v>
      </c>
      <c r="G726" s="38">
        <f t="shared" si="12"/>
        <v>8.3482295000000004</v>
      </c>
      <c r="H726" s="39"/>
      <c r="I726" s="35"/>
      <c r="J726" s="34">
        <v>0</v>
      </c>
    </row>
    <row r="727" spans="1:10" ht="15.75" hidden="1" thickBot="1" x14ac:dyDescent="0.3">
      <c r="A727" s="249"/>
      <c r="B727" s="252"/>
      <c r="C727" s="40" t="s">
        <v>3754</v>
      </c>
      <c r="D727" s="40" t="s">
        <v>3752</v>
      </c>
      <c r="E727" s="41">
        <f>0.15</f>
        <v>0.15</v>
      </c>
      <c r="F727" s="35">
        <v>20.814499999999999</v>
      </c>
      <c r="G727" s="38">
        <f t="shared" si="12"/>
        <v>3.1221749999999999</v>
      </c>
      <c r="H727" s="39"/>
      <c r="I727" s="35"/>
      <c r="J727" s="34">
        <v>0</v>
      </c>
    </row>
    <row r="728" spans="1:10" ht="15.75" hidden="1" thickBot="1" x14ac:dyDescent="0.3">
      <c r="A728" s="249"/>
      <c r="B728" s="252"/>
      <c r="C728" s="40" t="s">
        <v>4013</v>
      </c>
      <c r="D728" s="40" t="s">
        <v>1035</v>
      </c>
      <c r="E728" s="41">
        <f>0.12</f>
        <v>0.12</v>
      </c>
      <c r="F728" s="38">
        <v>3.6194999999999999</v>
      </c>
      <c r="G728" s="38">
        <f t="shared" si="12"/>
        <v>0.43434</v>
      </c>
      <c r="H728" s="39"/>
      <c r="I728" s="35"/>
      <c r="J728" s="34">
        <v>0</v>
      </c>
    </row>
    <row r="729" spans="1:10" ht="15.75" hidden="1" thickBot="1" x14ac:dyDescent="0.3">
      <c r="A729" s="250"/>
      <c r="B729" s="253"/>
      <c r="C729" s="40"/>
      <c r="D729" s="40"/>
      <c r="E729" s="41"/>
      <c r="F729" s="35" t="s">
        <v>23</v>
      </c>
      <c r="G729" s="35" t="str">
        <f t="shared" si="12"/>
        <v/>
      </c>
      <c r="H729" s="39"/>
      <c r="I729" s="35"/>
      <c r="J729" s="34">
        <v>0</v>
      </c>
    </row>
    <row r="730" spans="1:10" ht="15.75" hidden="1" thickBot="1" x14ac:dyDescent="0.3">
      <c r="A730" s="248" t="s">
        <v>186</v>
      </c>
      <c r="B730" s="251" t="s">
        <v>2177</v>
      </c>
      <c r="C730" s="28"/>
      <c r="D730" s="29" t="s">
        <v>78</v>
      </c>
      <c r="E730" s="30"/>
      <c r="F730" s="45" t="s">
        <v>23</v>
      </c>
      <c r="G730" s="31" t="str">
        <f t="shared" si="12"/>
        <v/>
      </c>
      <c r="H730" s="32"/>
      <c r="I730" s="33"/>
      <c r="J730" s="34">
        <v>0</v>
      </c>
    </row>
    <row r="731" spans="1:10" ht="15.75" hidden="1" thickBot="1" x14ac:dyDescent="0.3">
      <c r="A731" s="249"/>
      <c r="B731" s="252"/>
      <c r="C731" s="36"/>
      <c r="D731" s="36"/>
      <c r="E731" s="37"/>
      <c r="F731" s="46" t="s">
        <v>23</v>
      </c>
      <c r="G731" s="35" t="str">
        <f t="shared" si="12"/>
        <v/>
      </c>
      <c r="H731" s="39"/>
      <c r="I731" s="35"/>
      <c r="J731" s="34">
        <v>0</v>
      </c>
    </row>
    <row r="732" spans="1:10" ht="15.75" hidden="1" thickBot="1" x14ac:dyDescent="0.3">
      <c r="A732" s="249"/>
      <c r="B732" s="252"/>
      <c r="C732" s="40" t="s">
        <v>3826</v>
      </c>
      <c r="D732" s="40" t="s">
        <v>3752</v>
      </c>
      <c r="E732" s="41">
        <v>1.1879999999999999</v>
      </c>
      <c r="F732" s="35">
        <v>27.920500000000001</v>
      </c>
      <c r="G732" s="38">
        <f t="shared" si="12"/>
        <v>33.169553999999998</v>
      </c>
      <c r="H732" s="43">
        <f>SUM(G732:G734)</f>
        <v>61.829476999999997</v>
      </c>
      <c r="I732" s="44"/>
      <c r="J732" s="34">
        <v>0</v>
      </c>
    </row>
    <row r="733" spans="1:10" ht="15.75" hidden="1" thickBot="1" x14ac:dyDescent="0.3">
      <c r="A733" s="249"/>
      <c r="B733" s="252"/>
      <c r="C733" s="40" t="s">
        <v>3754</v>
      </c>
      <c r="D733" s="40" t="s">
        <v>3752</v>
      </c>
      <c r="E733" s="41">
        <v>0.59399999999999997</v>
      </c>
      <c r="F733" s="35">
        <v>20.814499999999999</v>
      </c>
      <c r="G733" s="38">
        <f t="shared" si="12"/>
        <v>12.363812999999999</v>
      </c>
      <c r="H733" s="39"/>
      <c r="I733" s="35"/>
      <c r="J733" s="34">
        <v>0</v>
      </c>
    </row>
    <row r="734" spans="1:10" ht="15.75" hidden="1" thickBot="1" x14ac:dyDescent="0.3">
      <c r="A734" s="249"/>
      <c r="B734" s="252"/>
      <c r="C734" s="40" t="s">
        <v>3852</v>
      </c>
      <c r="D734" s="40" t="s">
        <v>1035</v>
      </c>
      <c r="E734" s="41">
        <v>8.6199999999999992</v>
      </c>
      <c r="F734" s="38">
        <v>1.8904999999999998</v>
      </c>
      <c r="G734" s="38">
        <f t="shared" si="12"/>
        <v>16.296109999999999</v>
      </c>
      <c r="H734" s="39"/>
      <c r="I734" s="35"/>
      <c r="J734" s="34">
        <v>0</v>
      </c>
    </row>
    <row r="735" spans="1:10" ht="15.75" hidden="1" thickBot="1" x14ac:dyDescent="0.3">
      <c r="A735" s="250"/>
      <c r="B735" s="253"/>
      <c r="C735" s="40"/>
      <c r="D735" s="40"/>
      <c r="E735" s="41"/>
      <c r="F735" s="35" t="s">
        <v>23</v>
      </c>
      <c r="G735" s="35" t="str">
        <f t="shared" si="12"/>
        <v/>
      </c>
      <c r="H735" s="39"/>
      <c r="I735" s="35"/>
      <c r="J735" s="34">
        <v>0</v>
      </c>
    </row>
    <row r="736" spans="1:10" ht="15.75" hidden="1" thickBot="1" x14ac:dyDescent="0.3">
      <c r="A736" s="248" t="s">
        <v>187</v>
      </c>
      <c r="B736" s="251" t="s">
        <v>2178</v>
      </c>
      <c r="C736" s="28"/>
      <c r="D736" s="29" t="s">
        <v>78</v>
      </c>
      <c r="E736" s="30"/>
      <c r="F736" s="45" t="s">
        <v>23</v>
      </c>
      <c r="G736" s="31" t="str">
        <f t="shared" si="12"/>
        <v/>
      </c>
      <c r="H736" s="32"/>
      <c r="I736" s="33"/>
      <c r="J736" s="34">
        <v>0</v>
      </c>
    </row>
    <row r="737" spans="1:10" ht="15.75" hidden="1" thickBot="1" x14ac:dyDescent="0.3">
      <c r="A737" s="249"/>
      <c r="B737" s="252"/>
      <c r="C737" s="36"/>
      <c r="D737" s="36"/>
      <c r="E737" s="37"/>
      <c r="F737" s="46" t="s">
        <v>23</v>
      </c>
      <c r="G737" s="35" t="str">
        <f t="shared" si="12"/>
        <v/>
      </c>
      <c r="H737" s="39"/>
      <c r="I737" s="35"/>
      <c r="J737" s="34">
        <v>0</v>
      </c>
    </row>
    <row r="738" spans="1:10" ht="26.25" hidden="1" thickBot="1" x14ac:dyDescent="0.3">
      <c r="A738" s="249"/>
      <c r="B738" s="252"/>
      <c r="C738" s="40" t="s">
        <v>188</v>
      </c>
      <c r="D738" s="40" t="s">
        <v>121</v>
      </c>
      <c r="E738" s="41">
        <f>ROUND(1.04/0.15,4)</f>
        <v>6.9333</v>
      </c>
      <c r="F738" s="38" t="s">
        <v>23</v>
      </c>
      <c r="G738" s="38" t="str">
        <f t="shared" si="12"/>
        <v/>
      </c>
      <c r="H738" s="43">
        <f>SUM(G738:G742)</f>
        <v>90.220607000000001</v>
      </c>
      <c r="I738" s="44"/>
      <c r="J738" s="34">
        <v>0</v>
      </c>
    </row>
    <row r="739" spans="1:10" ht="15.75" hidden="1" thickBot="1" x14ac:dyDescent="0.3">
      <c r="A739" s="249"/>
      <c r="B739" s="252"/>
      <c r="C739" s="40" t="s">
        <v>3852</v>
      </c>
      <c r="D739" s="40" t="s">
        <v>1035</v>
      </c>
      <c r="E739" s="41">
        <f>ROUND(0.8614/0.15,4)</f>
        <v>5.7427000000000001</v>
      </c>
      <c r="F739" s="38">
        <v>1.8904999999999998</v>
      </c>
      <c r="G739" s="38">
        <f t="shared" si="12"/>
        <v>10.856574349999999</v>
      </c>
      <c r="H739" s="39"/>
      <c r="I739" s="35"/>
      <c r="J739" s="34">
        <v>0</v>
      </c>
    </row>
    <row r="740" spans="1:10" ht="15.75" hidden="1" thickBot="1" x14ac:dyDescent="0.3">
      <c r="A740" s="249"/>
      <c r="B740" s="252"/>
      <c r="C740" s="40" t="s">
        <v>3826</v>
      </c>
      <c r="D740" s="40" t="s">
        <v>3752</v>
      </c>
      <c r="E740" s="41">
        <f>ROUND(0.299/0.15,4)</f>
        <v>1.9933000000000001</v>
      </c>
      <c r="F740" s="35">
        <v>27.920500000000001</v>
      </c>
      <c r="G740" s="38">
        <f t="shared" si="12"/>
        <v>55.653932650000002</v>
      </c>
      <c r="H740" s="39"/>
      <c r="I740" s="35"/>
      <c r="J740" s="34">
        <v>0</v>
      </c>
    </row>
    <row r="741" spans="1:10" ht="15.75" hidden="1" thickBot="1" x14ac:dyDescent="0.3">
      <c r="A741" s="249"/>
      <c r="B741" s="252"/>
      <c r="C741" s="40" t="s">
        <v>3754</v>
      </c>
      <c r="D741" s="40" t="s">
        <v>3752</v>
      </c>
      <c r="E741" s="41">
        <f>0.15/0.15</f>
        <v>1</v>
      </c>
      <c r="F741" s="35">
        <v>20.814499999999999</v>
      </c>
      <c r="G741" s="38">
        <f t="shared" si="12"/>
        <v>20.814499999999999</v>
      </c>
      <c r="H741" s="39"/>
      <c r="I741" s="35"/>
      <c r="J741" s="34">
        <v>0</v>
      </c>
    </row>
    <row r="742" spans="1:10" ht="15.75" hidden="1" thickBot="1" x14ac:dyDescent="0.3">
      <c r="A742" s="249"/>
      <c r="B742" s="252"/>
      <c r="C742" s="40" t="s">
        <v>4013</v>
      </c>
      <c r="D742" s="40" t="s">
        <v>1035</v>
      </c>
      <c r="E742" s="41">
        <f>0.12/0.15</f>
        <v>0.8</v>
      </c>
      <c r="F742" s="38">
        <v>3.6194999999999999</v>
      </c>
      <c r="G742" s="38">
        <f t="shared" si="12"/>
        <v>2.8956</v>
      </c>
      <c r="H742" s="39"/>
      <c r="I742" s="35"/>
      <c r="J742" s="34">
        <v>0</v>
      </c>
    </row>
    <row r="743" spans="1:10" ht="15.75" hidden="1" thickBot="1" x14ac:dyDescent="0.3">
      <c r="A743" s="249"/>
      <c r="B743" s="252"/>
      <c r="C743" s="40"/>
      <c r="D743" s="40"/>
      <c r="E743" s="41"/>
      <c r="F743" s="38" t="s">
        <v>23</v>
      </c>
      <c r="G743" s="38" t="str">
        <f t="shared" si="12"/>
        <v/>
      </c>
      <c r="H743" s="39"/>
      <c r="I743" s="35"/>
      <c r="J743" s="34">
        <v>0</v>
      </c>
    </row>
    <row r="744" spans="1:10" ht="15.75" hidden="1" thickBot="1" x14ac:dyDescent="0.3">
      <c r="A744" s="248" t="s">
        <v>189</v>
      </c>
      <c r="B744" s="251" t="s">
        <v>2179</v>
      </c>
      <c r="C744" s="28"/>
      <c r="D744" s="29" t="s">
        <v>78</v>
      </c>
      <c r="E744" s="30"/>
      <c r="F744" s="45" t="s">
        <v>23</v>
      </c>
      <c r="G744" s="31" t="str">
        <f t="shared" si="12"/>
        <v/>
      </c>
      <c r="H744" s="32"/>
      <c r="I744" s="33"/>
      <c r="J744" s="34">
        <v>0</v>
      </c>
    </row>
    <row r="745" spans="1:10" ht="15.75" hidden="1" thickBot="1" x14ac:dyDescent="0.3">
      <c r="A745" s="249"/>
      <c r="B745" s="252"/>
      <c r="C745" s="36"/>
      <c r="D745" s="36"/>
      <c r="E745" s="37"/>
      <c r="F745" s="46" t="s">
        <v>23</v>
      </c>
      <c r="G745" s="35" t="str">
        <f t="shared" si="12"/>
        <v/>
      </c>
      <c r="H745" s="39"/>
      <c r="I745" s="35"/>
      <c r="J745" s="34">
        <v>0</v>
      </c>
    </row>
    <row r="746" spans="1:10" ht="26.25" hidden="1" thickBot="1" x14ac:dyDescent="0.3">
      <c r="A746" s="249"/>
      <c r="B746" s="252"/>
      <c r="C746" s="40" t="s">
        <v>190</v>
      </c>
      <c r="D746" s="53" t="s">
        <v>78</v>
      </c>
      <c r="E746" s="41">
        <v>1</v>
      </c>
      <c r="F746" s="35">
        <v>0</v>
      </c>
      <c r="G746" s="38">
        <f t="shared" si="12"/>
        <v>0</v>
      </c>
      <c r="H746" s="43">
        <f>SUM(G746:G746)</f>
        <v>0</v>
      </c>
      <c r="I746" s="44"/>
      <c r="J746" s="34">
        <v>0</v>
      </c>
    </row>
    <row r="747" spans="1:10" ht="15.75" hidden="1" thickBot="1" x14ac:dyDescent="0.3">
      <c r="A747" s="250"/>
      <c r="B747" s="253"/>
      <c r="C747" s="40"/>
      <c r="D747" s="40"/>
      <c r="E747" s="41"/>
      <c r="F747" s="35" t="s">
        <v>23</v>
      </c>
      <c r="G747" s="35" t="str">
        <f t="shared" si="12"/>
        <v/>
      </c>
      <c r="H747" s="39"/>
      <c r="I747" s="35"/>
      <c r="J747" s="34">
        <v>0</v>
      </c>
    </row>
    <row r="748" spans="1:10" ht="15.75" thickBot="1" x14ac:dyDescent="0.3">
      <c r="A748" s="248" t="s">
        <v>191</v>
      </c>
      <c r="B748" s="251" t="s">
        <v>2180</v>
      </c>
      <c r="C748" s="28"/>
      <c r="D748" s="29" t="s">
        <v>78</v>
      </c>
      <c r="E748" s="30"/>
      <c r="F748" s="45" t="s">
        <v>23</v>
      </c>
      <c r="G748" s="31" t="str">
        <f t="shared" si="12"/>
        <v/>
      </c>
      <c r="H748" s="32"/>
      <c r="I748" s="33"/>
      <c r="J748" s="34">
        <v>970</v>
      </c>
    </row>
    <row r="749" spans="1:10" x14ac:dyDescent="0.25">
      <c r="A749" s="249"/>
      <c r="B749" s="252"/>
      <c r="C749" s="36"/>
      <c r="D749" s="36"/>
      <c r="E749" s="37"/>
      <c r="F749" s="46" t="s">
        <v>23</v>
      </c>
      <c r="G749" s="35" t="str">
        <f t="shared" si="12"/>
        <v/>
      </c>
      <c r="H749" s="39"/>
      <c r="I749" s="35"/>
      <c r="J749" s="34">
        <v>970</v>
      </c>
    </row>
    <row r="750" spans="1:10" ht="25.5" x14ac:dyDescent="0.25">
      <c r="A750" s="249"/>
      <c r="B750" s="252"/>
      <c r="C750" s="40" t="s">
        <v>4099</v>
      </c>
      <c r="D750" s="40" t="s">
        <v>1286</v>
      </c>
      <c r="E750" s="41">
        <f>2*(1.5+0.67)</f>
        <v>4.34</v>
      </c>
      <c r="F750" s="38">
        <v>4.4269999999999996</v>
      </c>
      <c r="G750" s="38">
        <f t="shared" si="12"/>
        <v>19.213179999999998</v>
      </c>
      <c r="H750" s="43">
        <f>SUM(G750:G753)</f>
        <v>134.92168000000001</v>
      </c>
      <c r="I750" s="44"/>
      <c r="J750" s="34">
        <v>970</v>
      </c>
    </row>
    <row r="751" spans="1:10" x14ac:dyDescent="0.25">
      <c r="A751" s="249"/>
      <c r="B751" s="252"/>
      <c r="C751" s="40" t="s">
        <v>192</v>
      </c>
      <c r="D751" s="53" t="s">
        <v>78</v>
      </c>
      <c r="E751" s="41">
        <f>0.36/0.6/0.6</f>
        <v>1</v>
      </c>
      <c r="F751" s="38">
        <v>67.040000000000006</v>
      </c>
      <c r="G751" s="38">
        <f t="shared" si="12"/>
        <v>67.040000000000006</v>
      </c>
      <c r="H751" s="39"/>
      <c r="I751" s="35"/>
      <c r="J751" s="34">
        <v>970</v>
      </c>
    </row>
    <row r="752" spans="1:10" x14ac:dyDescent="0.25">
      <c r="A752" s="249"/>
      <c r="B752" s="252"/>
      <c r="C752" s="40" t="s">
        <v>3824</v>
      </c>
      <c r="D752" s="40" t="s">
        <v>3752</v>
      </c>
      <c r="E752" s="41">
        <v>1</v>
      </c>
      <c r="F752" s="35">
        <v>27.853999999999999</v>
      </c>
      <c r="G752" s="38">
        <f t="shared" si="12"/>
        <v>27.853999999999999</v>
      </c>
      <c r="H752" s="39"/>
      <c r="I752" s="35"/>
      <c r="J752" s="34">
        <v>970</v>
      </c>
    </row>
    <row r="753" spans="1:10" x14ac:dyDescent="0.25">
      <c r="A753" s="249"/>
      <c r="B753" s="252"/>
      <c r="C753" s="40" t="s">
        <v>3754</v>
      </c>
      <c r="D753" s="40" t="s">
        <v>3752</v>
      </c>
      <c r="E753" s="41">
        <v>1</v>
      </c>
      <c r="F753" s="35">
        <v>20.814499999999999</v>
      </c>
      <c r="G753" s="38">
        <f t="shared" si="12"/>
        <v>20.814499999999999</v>
      </c>
      <c r="H753" s="39"/>
      <c r="I753" s="35"/>
      <c r="J753" s="34">
        <v>970</v>
      </c>
    </row>
    <row r="754" spans="1:10" ht="15.75" thickBot="1" x14ac:dyDescent="0.3">
      <c r="A754" s="250"/>
      <c r="B754" s="253"/>
      <c r="C754" s="40"/>
      <c r="D754" s="40"/>
      <c r="E754" s="41"/>
      <c r="F754" s="35" t="s">
        <v>23</v>
      </c>
      <c r="G754" s="35" t="str">
        <f t="shared" si="12"/>
        <v/>
      </c>
      <c r="H754" s="39"/>
      <c r="I754" s="35"/>
      <c r="J754" s="34">
        <v>970</v>
      </c>
    </row>
    <row r="755" spans="1:10" ht="15.75" thickBot="1" x14ac:dyDescent="0.3">
      <c r="A755" s="248" t="s">
        <v>193</v>
      </c>
      <c r="B755" s="251" t="s">
        <v>2181</v>
      </c>
      <c r="C755" s="28"/>
      <c r="D755" s="29" t="s">
        <v>78</v>
      </c>
      <c r="E755" s="30"/>
      <c r="F755" s="45" t="s">
        <v>23</v>
      </c>
      <c r="G755" s="31" t="str">
        <f t="shared" si="12"/>
        <v/>
      </c>
      <c r="H755" s="32"/>
      <c r="I755" s="33"/>
      <c r="J755" s="34">
        <v>540</v>
      </c>
    </row>
    <row r="756" spans="1:10" x14ac:dyDescent="0.25">
      <c r="A756" s="249"/>
      <c r="B756" s="252"/>
      <c r="C756" s="36"/>
      <c r="D756" s="36"/>
      <c r="E756" s="37"/>
      <c r="F756" s="46" t="s">
        <v>23</v>
      </c>
      <c r="G756" s="35" t="str">
        <f t="shared" si="12"/>
        <v/>
      </c>
      <c r="H756" s="39"/>
      <c r="I756" s="35"/>
      <c r="J756" s="34">
        <v>540</v>
      </c>
    </row>
    <row r="757" spans="1:10" ht="25.5" x14ac:dyDescent="0.25">
      <c r="A757" s="249"/>
      <c r="B757" s="252"/>
      <c r="C757" s="40" t="s">
        <v>4103</v>
      </c>
      <c r="D757" s="40" t="s">
        <v>1035</v>
      </c>
      <c r="E757" s="41">
        <v>4.2599999999999999E-2</v>
      </c>
      <c r="F757" s="38">
        <v>21.194499999999998</v>
      </c>
      <c r="G757" s="35">
        <f t="shared" si="12"/>
        <v>0.9028856999999999</v>
      </c>
      <c r="H757" s="43">
        <f>SUM(G757:G764)</f>
        <v>63.003598150000002</v>
      </c>
      <c r="I757" s="44"/>
      <c r="J757" s="34">
        <v>540</v>
      </c>
    </row>
    <row r="758" spans="1:10" ht="25.5" x14ac:dyDescent="0.25">
      <c r="A758" s="249"/>
      <c r="B758" s="252"/>
      <c r="C758" s="40" t="s">
        <v>3989</v>
      </c>
      <c r="D758" s="40" t="s">
        <v>177</v>
      </c>
      <c r="E758" s="41">
        <v>1.0955999999999999</v>
      </c>
      <c r="F758" s="38">
        <v>23.740499999999997</v>
      </c>
      <c r="G758" s="35">
        <f t="shared" si="12"/>
        <v>26.010091799999994</v>
      </c>
      <c r="H758" s="39"/>
      <c r="I758" s="35"/>
      <c r="J758" s="34">
        <v>540</v>
      </c>
    </row>
    <row r="759" spans="1:10" ht="38.25" x14ac:dyDescent="0.25">
      <c r="A759" s="249"/>
      <c r="B759" s="252"/>
      <c r="C759" s="40" t="s">
        <v>3817</v>
      </c>
      <c r="D759" s="40" t="s">
        <v>1286</v>
      </c>
      <c r="E759" s="41">
        <v>3.8498999999999999</v>
      </c>
      <c r="F759" s="38">
        <v>5.2725</v>
      </c>
      <c r="G759" s="35">
        <f t="shared" si="12"/>
        <v>20.298597749999999</v>
      </c>
      <c r="H759" s="39"/>
      <c r="I759" s="35"/>
      <c r="J759" s="34">
        <v>540</v>
      </c>
    </row>
    <row r="760" spans="1:10" ht="38.25" x14ac:dyDescent="0.25">
      <c r="A760" s="249"/>
      <c r="B760" s="252"/>
      <c r="C760" s="40" t="s">
        <v>4000</v>
      </c>
      <c r="D760" s="40" t="s">
        <v>291</v>
      </c>
      <c r="E760" s="41">
        <v>1.3265</v>
      </c>
      <c r="F760" s="38">
        <v>1.9854999999999998</v>
      </c>
      <c r="G760" s="35">
        <f t="shared" si="12"/>
        <v>2.6337657499999998</v>
      </c>
      <c r="H760" s="39"/>
      <c r="I760" s="35"/>
      <c r="J760" s="34">
        <v>540</v>
      </c>
    </row>
    <row r="761" spans="1:10" ht="25.5" x14ac:dyDescent="0.25">
      <c r="A761" s="249"/>
      <c r="B761" s="252"/>
      <c r="C761" s="40" t="s">
        <v>4074</v>
      </c>
      <c r="D761" s="40" t="s">
        <v>291</v>
      </c>
      <c r="E761" s="41">
        <v>2.1911999999999998</v>
      </c>
      <c r="F761" s="38">
        <v>0.247</v>
      </c>
      <c r="G761" s="35">
        <f t="shared" si="12"/>
        <v>0.5412264</v>
      </c>
      <c r="H761" s="39"/>
      <c r="I761" s="35"/>
      <c r="J761" s="34">
        <v>540</v>
      </c>
    </row>
    <row r="762" spans="1:10" ht="25.5" x14ac:dyDescent="0.25">
      <c r="A762" s="249"/>
      <c r="B762" s="252"/>
      <c r="C762" s="40" t="s">
        <v>4127</v>
      </c>
      <c r="D762" s="40" t="s">
        <v>3799</v>
      </c>
      <c r="E762" s="41">
        <v>1.32E-2</v>
      </c>
      <c r="F762" s="38">
        <v>27.701999999999998</v>
      </c>
      <c r="G762" s="35">
        <f t="shared" si="12"/>
        <v>0.36566639999999995</v>
      </c>
      <c r="H762" s="39"/>
      <c r="I762" s="35"/>
      <c r="J762" s="34">
        <v>540</v>
      </c>
    </row>
    <row r="763" spans="1:10" ht="25.5" x14ac:dyDescent="0.25">
      <c r="A763" s="249"/>
      <c r="B763" s="252"/>
      <c r="C763" s="40" t="s">
        <v>4153</v>
      </c>
      <c r="D763" s="40" t="s">
        <v>3799</v>
      </c>
      <c r="E763" s="41">
        <v>3.3300000000000003E-2</v>
      </c>
      <c r="F763" s="38">
        <v>47.490499999999997</v>
      </c>
      <c r="G763" s="35">
        <f t="shared" si="12"/>
        <v>1.5814336500000001</v>
      </c>
      <c r="H763" s="39"/>
      <c r="I763" s="35"/>
      <c r="J763" s="34">
        <v>540</v>
      </c>
    </row>
    <row r="764" spans="1:10" ht="25.5" x14ac:dyDescent="0.25">
      <c r="A764" s="249"/>
      <c r="B764" s="252"/>
      <c r="C764" s="40" t="s">
        <v>3800</v>
      </c>
      <c r="D764" s="40" t="s">
        <v>3752</v>
      </c>
      <c r="E764" s="41">
        <v>0.49940000000000001</v>
      </c>
      <c r="F764" s="35">
        <v>21.365499999999997</v>
      </c>
      <c r="G764" s="35">
        <f t="shared" si="12"/>
        <v>10.669930699999998</v>
      </c>
      <c r="H764" s="39"/>
      <c r="I764" s="35"/>
      <c r="J764" s="34">
        <v>540</v>
      </c>
    </row>
    <row r="765" spans="1:10" ht="15.75" thickBot="1" x14ac:dyDescent="0.3">
      <c r="A765" s="250"/>
      <c r="B765" s="253"/>
      <c r="C765" s="40"/>
      <c r="D765" s="40"/>
      <c r="E765" s="41"/>
      <c r="F765" s="35" t="s">
        <v>23</v>
      </c>
      <c r="G765" s="35" t="str">
        <f t="shared" si="12"/>
        <v/>
      </c>
      <c r="H765" s="39"/>
      <c r="I765" s="35"/>
      <c r="J765" s="34">
        <v>540</v>
      </c>
    </row>
    <row r="766" spans="1:10" ht="15.75" thickBot="1" x14ac:dyDescent="0.3">
      <c r="A766" s="248" t="s">
        <v>194</v>
      </c>
      <c r="B766" s="251" t="s">
        <v>2182</v>
      </c>
      <c r="C766" s="28"/>
      <c r="D766" s="29" t="s">
        <v>78</v>
      </c>
      <c r="E766" s="30"/>
      <c r="F766" s="45" t="s">
        <v>23</v>
      </c>
      <c r="G766" s="31" t="str">
        <f t="shared" si="12"/>
        <v/>
      </c>
      <c r="H766" s="32"/>
      <c r="I766" s="33"/>
      <c r="J766" s="34">
        <v>2030</v>
      </c>
    </row>
    <row r="767" spans="1:10" x14ac:dyDescent="0.25">
      <c r="A767" s="249"/>
      <c r="B767" s="252"/>
      <c r="C767" s="36"/>
      <c r="D767" s="36"/>
      <c r="E767" s="37"/>
      <c r="F767" s="46" t="s">
        <v>23</v>
      </c>
      <c r="G767" s="35" t="str">
        <f t="shared" si="12"/>
        <v/>
      </c>
      <c r="H767" s="39"/>
      <c r="I767" s="35"/>
      <c r="J767" s="34">
        <v>2030</v>
      </c>
    </row>
    <row r="768" spans="1:10" ht="25.5" x14ac:dyDescent="0.25">
      <c r="A768" s="249"/>
      <c r="B768" s="252"/>
      <c r="C768" s="40" t="s">
        <v>3989</v>
      </c>
      <c r="D768" s="40" t="s">
        <v>177</v>
      </c>
      <c r="E768" s="41">
        <v>1.0955999999999999</v>
      </c>
      <c r="F768" s="38">
        <v>23.740499999999997</v>
      </c>
      <c r="G768" s="35">
        <f t="shared" si="12"/>
        <v>26.010091799999994</v>
      </c>
      <c r="H768" s="43">
        <f>SUM(G768:G770)</f>
        <v>29.751870099999994</v>
      </c>
      <c r="I768" s="44"/>
      <c r="J768" s="34">
        <v>2030</v>
      </c>
    </row>
    <row r="769" spans="1:10" ht="25.5" x14ac:dyDescent="0.25">
      <c r="A769" s="249"/>
      <c r="B769" s="252"/>
      <c r="C769" s="40" t="s">
        <v>4074</v>
      </c>
      <c r="D769" s="40" t="s">
        <v>291</v>
      </c>
      <c r="E769" s="41">
        <v>2.1911999999999998</v>
      </c>
      <c r="F769" s="38">
        <v>0.247</v>
      </c>
      <c r="G769" s="38">
        <f t="shared" si="12"/>
        <v>0.5412264</v>
      </c>
      <c r="H769" s="47"/>
      <c r="I769" s="44"/>
      <c r="J769" s="34">
        <v>2030</v>
      </c>
    </row>
    <row r="770" spans="1:10" ht="25.5" x14ac:dyDescent="0.25">
      <c r="A770" s="249"/>
      <c r="B770" s="252"/>
      <c r="C770" s="40" t="s">
        <v>3800</v>
      </c>
      <c r="D770" s="40" t="s">
        <v>3752</v>
      </c>
      <c r="E770" s="41">
        <f>ROUND(0.4994*0.3,4)</f>
        <v>0.14979999999999999</v>
      </c>
      <c r="F770" s="35">
        <v>21.365499999999997</v>
      </c>
      <c r="G770" s="38">
        <f t="shared" si="12"/>
        <v>3.2005518999999993</v>
      </c>
      <c r="H770" s="39"/>
      <c r="I770" s="35"/>
      <c r="J770" s="34">
        <v>2030</v>
      </c>
    </row>
    <row r="771" spans="1:10" ht="15.75" thickBot="1" x14ac:dyDescent="0.3">
      <c r="A771" s="250"/>
      <c r="B771" s="253"/>
      <c r="C771" s="40"/>
      <c r="D771" s="40"/>
      <c r="E771" s="41"/>
      <c r="F771" s="35" t="s">
        <v>23</v>
      </c>
      <c r="G771" s="35" t="str">
        <f t="shared" si="12"/>
        <v/>
      </c>
      <c r="H771" s="39"/>
      <c r="I771" s="35"/>
      <c r="J771" s="34">
        <v>2030</v>
      </c>
    </row>
    <row r="772" spans="1:10" ht="15.75" thickBot="1" x14ac:dyDescent="0.3">
      <c r="A772" s="248" t="s">
        <v>195</v>
      </c>
      <c r="B772" s="251" t="s">
        <v>2183</v>
      </c>
      <c r="C772" s="28"/>
      <c r="D772" s="29" t="s">
        <v>78</v>
      </c>
      <c r="E772" s="30"/>
      <c r="F772" s="45" t="s">
        <v>23</v>
      </c>
      <c r="G772" s="31" t="str">
        <f t="shared" si="12"/>
        <v/>
      </c>
      <c r="H772" s="32"/>
      <c r="I772" s="33"/>
      <c r="J772" s="34">
        <v>600</v>
      </c>
    </row>
    <row r="773" spans="1:10" x14ac:dyDescent="0.25">
      <c r="A773" s="262"/>
      <c r="B773" s="252"/>
      <c r="C773" s="36"/>
      <c r="D773" s="36"/>
      <c r="E773" s="37"/>
      <c r="F773" s="46" t="s">
        <v>23</v>
      </c>
      <c r="G773" s="35" t="str">
        <f t="shared" si="12"/>
        <v/>
      </c>
      <c r="H773" s="39"/>
      <c r="I773" s="35"/>
      <c r="J773" s="34">
        <v>600</v>
      </c>
    </row>
    <row r="774" spans="1:10" ht="25.5" x14ac:dyDescent="0.25">
      <c r="A774" s="262"/>
      <c r="B774" s="252"/>
      <c r="C774" s="40" t="s">
        <v>4103</v>
      </c>
      <c r="D774" s="40" t="s">
        <v>1035</v>
      </c>
      <c r="E774" s="41">
        <v>4.2599999999999999E-2</v>
      </c>
      <c r="F774" s="38">
        <v>21.194499999999998</v>
      </c>
      <c r="G774" s="35">
        <f t="shared" si="12"/>
        <v>0.9028856999999999</v>
      </c>
      <c r="H774" s="43">
        <f>SUM(G774:G781)</f>
        <v>101.00941434999997</v>
      </c>
      <c r="I774" s="44"/>
      <c r="J774" s="34">
        <v>600</v>
      </c>
    </row>
    <row r="775" spans="1:10" x14ac:dyDescent="0.25">
      <c r="A775" s="262"/>
      <c r="B775" s="252"/>
      <c r="C775" s="40" t="s">
        <v>196</v>
      </c>
      <c r="D775" s="53" t="s">
        <v>78</v>
      </c>
      <c r="E775" s="41">
        <v>1.0955999999999999</v>
      </c>
      <c r="F775" s="38">
        <v>58.43</v>
      </c>
      <c r="G775" s="35">
        <f t="shared" si="12"/>
        <v>64.015907999999996</v>
      </c>
      <c r="H775" s="39"/>
      <c r="I775" s="35"/>
      <c r="J775" s="34">
        <v>600</v>
      </c>
    </row>
    <row r="776" spans="1:10" ht="38.25" x14ac:dyDescent="0.25">
      <c r="A776" s="262"/>
      <c r="B776" s="252"/>
      <c r="C776" s="40" t="s">
        <v>3817</v>
      </c>
      <c r="D776" s="40" t="s">
        <v>1286</v>
      </c>
      <c r="E776" s="41">
        <v>3.8498999999999999</v>
      </c>
      <c r="F776" s="38">
        <v>5.2725</v>
      </c>
      <c r="G776" s="35">
        <f t="shared" si="12"/>
        <v>20.298597749999999</v>
      </c>
      <c r="H776" s="39"/>
      <c r="I776" s="35"/>
      <c r="J776" s="34">
        <v>600</v>
      </c>
    </row>
    <row r="777" spans="1:10" ht="38.25" x14ac:dyDescent="0.25">
      <c r="A777" s="262"/>
      <c r="B777" s="252"/>
      <c r="C777" s="40" t="s">
        <v>4000</v>
      </c>
      <c r="D777" s="40" t="s">
        <v>291</v>
      </c>
      <c r="E777" s="41">
        <v>1.3265</v>
      </c>
      <c r="F777" s="38">
        <v>1.9854999999999998</v>
      </c>
      <c r="G777" s="35">
        <f t="shared" si="12"/>
        <v>2.6337657499999998</v>
      </c>
      <c r="H777" s="39"/>
      <c r="I777" s="35"/>
      <c r="J777" s="34">
        <v>600</v>
      </c>
    </row>
    <row r="778" spans="1:10" ht="25.5" x14ac:dyDescent="0.25">
      <c r="A778" s="262"/>
      <c r="B778" s="252"/>
      <c r="C778" s="40" t="s">
        <v>4074</v>
      </c>
      <c r="D778" s="40" t="s">
        <v>291</v>
      </c>
      <c r="E778" s="41">
        <v>2.1911999999999998</v>
      </c>
      <c r="F778" s="38">
        <v>0.247</v>
      </c>
      <c r="G778" s="35">
        <f t="shared" si="12"/>
        <v>0.5412264</v>
      </c>
      <c r="H778" s="39"/>
      <c r="I778" s="35"/>
      <c r="J778" s="34">
        <v>600</v>
      </c>
    </row>
    <row r="779" spans="1:10" ht="25.5" x14ac:dyDescent="0.25">
      <c r="A779" s="262"/>
      <c r="B779" s="252"/>
      <c r="C779" s="40" t="s">
        <v>4127</v>
      </c>
      <c r="D779" s="40" t="s">
        <v>3799</v>
      </c>
      <c r="E779" s="41">
        <v>1.32E-2</v>
      </c>
      <c r="F779" s="38">
        <v>27.701999999999998</v>
      </c>
      <c r="G779" s="35">
        <f t="shared" si="12"/>
        <v>0.36566639999999995</v>
      </c>
      <c r="H779" s="39"/>
      <c r="I779" s="35"/>
      <c r="J779" s="34">
        <v>600</v>
      </c>
    </row>
    <row r="780" spans="1:10" ht="25.5" x14ac:dyDescent="0.25">
      <c r="A780" s="262"/>
      <c r="B780" s="252"/>
      <c r="C780" s="40" t="s">
        <v>4153</v>
      </c>
      <c r="D780" s="40" t="s">
        <v>3799</v>
      </c>
      <c r="E780" s="41">
        <v>3.3300000000000003E-2</v>
      </c>
      <c r="F780" s="38">
        <v>47.490499999999997</v>
      </c>
      <c r="G780" s="35">
        <f t="shared" si="12"/>
        <v>1.5814336500000001</v>
      </c>
      <c r="H780" s="39"/>
      <c r="I780" s="35"/>
      <c r="J780" s="34">
        <v>600</v>
      </c>
    </row>
    <row r="781" spans="1:10" ht="25.5" x14ac:dyDescent="0.25">
      <c r="A781" s="262"/>
      <c r="B781" s="252"/>
      <c r="C781" s="40" t="s">
        <v>3800</v>
      </c>
      <c r="D781" s="40" t="s">
        <v>3752</v>
      </c>
      <c r="E781" s="41">
        <v>0.49940000000000001</v>
      </c>
      <c r="F781" s="35">
        <v>21.365499999999997</v>
      </c>
      <c r="G781" s="35">
        <f t="shared" si="12"/>
        <v>10.669930699999998</v>
      </c>
      <c r="H781" s="39"/>
      <c r="I781" s="35"/>
      <c r="J781" s="34">
        <v>600</v>
      </c>
    </row>
    <row r="782" spans="1:10" ht="15.75" thickBot="1" x14ac:dyDescent="0.3">
      <c r="A782" s="263"/>
      <c r="B782" s="253"/>
      <c r="C782" s="40"/>
      <c r="D782" s="40"/>
      <c r="E782" s="41"/>
      <c r="F782" s="35" t="s">
        <v>23</v>
      </c>
      <c r="G782" s="35" t="str">
        <f t="shared" si="12"/>
        <v/>
      </c>
      <c r="H782" s="39"/>
      <c r="I782" s="35"/>
      <c r="J782" s="34">
        <v>600</v>
      </c>
    </row>
    <row r="783" spans="1:10" ht="15.75" thickBot="1" x14ac:dyDescent="0.3">
      <c r="A783" s="248" t="s">
        <v>197</v>
      </c>
      <c r="B783" s="251" t="s">
        <v>2184</v>
      </c>
      <c r="C783" s="28"/>
      <c r="D783" s="29" t="s">
        <v>78</v>
      </c>
      <c r="E783" s="30"/>
      <c r="F783" s="45" t="s">
        <v>23</v>
      </c>
      <c r="G783" s="31" t="str">
        <f t="shared" si="12"/>
        <v/>
      </c>
      <c r="H783" s="32"/>
      <c r="I783" s="33"/>
      <c r="J783" s="34">
        <v>22430</v>
      </c>
    </row>
    <row r="784" spans="1:10" x14ac:dyDescent="0.25">
      <c r="A784" s="262"/>
      <c r="B784" s="252"/>
      <c r="C784" s="36"/>
      <c r="D784" s="36"/>
      <c r="E784" s="37"/>
      <c r="F784" s="46" t="s">
        <v>23</v>
      </c>
      <c r="G784" s="35" t="str">
        <f t="shared" si="12"/>
        <v/>
      </c>
      <c r="H784" s="39"/>
      <c r="I784" s="35"/>
      <c r="J784" s="34">
        <v>22430</v>
      </c>
    </row>
    <row r="785" spans="1:10" ht="25.5" x14ac:dyDescent="0.25">
      <c r="A785" s="262"/>
      <c r="B785" s="252"/>
      <c r="C785" s="40" t="s">
        <v>3827</v>
      </c>
      <c r="D785" s="40" t="s">
        <v>3752</v>
      </c>
      <c r="E785" s="41">
        <v>0.5</v>
      </c>
      <c r="F785" s="38">
        <v>23.882999999999999</v>
      </c>
      <c r="G785" s="35">
        <f t="shared" si="12"/>
        <v>11.9415</v>
      </c>
      <c r="H785" s="43">
        <f>SUM(G785:G788)</f>
        <v>201.58425</v>
      </c>
      <c r="I785" s="44"/>
      <c r="J785" s="34">
        <v>22430</v>
      </c>
    </row>
    <row r="786" spans="1:10" ht="25.5" x14ac:dyDescent="0.25">
      <c r="A786" s="262"/>
      <c r="B786" s="252"/>
      <c r="C786" s="40" t="s">
        <v>3800</v>
      </c>
      <c r="D786" s="40" t="s">
        <v>3752</v>
      </c>
      <c r="E786" s="41">
        <v>0.5</v>
      </c>
      <c r="F786" s="38">
        <v>21.365499999999997</v>
      </c>
      <c r="G786" s="35">
        <f t="shared" ref="G786:G849" si="13">IF(ISNUMBER(F786),E786*F786,"")</f>
        <v>10.682749999999999</v>
      </c>
      <c r="H786" s="39"/>
      <c r="I786" s="35"/>
      <c r="J786" s="34">
        <v>22430</v>
      </c>
    </row>
    <row r="787" spans="1:10" x14ac:dyDescent="0.25">
      <c r="A787" s="262"/>
      <c r="B787" s="252"/>
      <c r="C787" s="42" t="s">
        <v>198</v>
      </c>
      <c r="D787" s="40" t="s">
        <v>78</v>
      </c>
      <c r="E787" s="41">
        <v>1</v>
      </c>
      <c r="F787" s="38">
        <v>111.22</v>
      </c>
      <c r="G787" s="35">
        <f t="shared" si="13"/>
        <v>111.22</v>
      </c>
      <c r="H787" s="39"/>
      <c r="I787" s="35"/>
      <c r="J787" s="34">
        <v>22430</v>
      </c>
    </row>
    <row r="788" spans="1:10" x14ac:dyDescent="0.25">
      <c r="A788" s="262"/>
      <c r="B788" s="252"/>
      <c r="C788" s="42" t="s">
        <v>199</v>
      </c>
      <c r="D788" s="40" t="s">
        <v>78</v>
      </c>
      <c r="E788" s="41">
        <v>1</v>
      </c>
      <c r="F788" s="38">
        <v>67.739999999999995</v>
      </c>
      <c r="G788" s="35">
        <f t="shared" si="13"/>
        <v>67.739999999999995</v>
      </c>
      <c r="H788" s="39"/>
      <c r="I788" s="35"/>
      <c r="J788" s="34">
        <v>22430</v>
      </c>
    </row>
    <row r="789" spans="1:10" ht="15.75" thickBot="1" x14ac:dyDescent="0.3">
      <c r="A789" s="263"/>
      <c r="B789" s="253"/>
      <c r="C789" s="40"/>
      <c r="D789" s="40"/>
      <c r="E789" s="41"/>
      <c r="F789" s="35" t="s">
        <v>23</v>
      </c>
      <c r="G789" s="35" t="str">
        <f t="shared" si="13"/>
        <v/>
      </c>
      <c r="H789" s="39"/>
      <c r="I789" s="35"/>
      <c r="J789" s="34">
        <v>22430</v>
      </c>
    </row>
    <row r="790" spans="1:10" ht="15.75" thickBot="1" x14ac:dyDescent="0.3">
      <c r="A790" s="248" t="s">
        <v>200</v>
      </c>
      <c r="B790" s="251" t="s">
        <v>2185</v>
      </c>
      <c r="C790" s="28"/>
      <c r="D790" s="29" t="s">
        <v>78</v>
      </c>
      <c r="E790" s="30"/>
      <c r="F790" s="45" t="s">
        <v>23</v>
      </c>
      <c r="G790" s="31" t="str">
        <f t="shared" si="13"/>
        <v/>
      </c>
      <c r="H790" s="32"/>
      <c r="I790" s="33"/>
      <c r="J790" s="34">
        <v>18880</v>
      </c>
    </row>
    <row r="791" spans="1:10" x14ac:dyDescent="0.25">
      <c r="A791" s="249"/>
      <c r="B791" s="252"/>
      <c r="C791" s="36"/>
      <c r="D791" s="36"/>
      <c r="E791" s="37"/>
      <c r="F791" s="46" t="s">
        <v>23</v>
      </c>
      <c r="G791" s="35" t="str">
        <f t="shared" si="13"/>
        <v/>
      </c>
      <c r="H791" s="39"/>
      <c r="I791" s="35"/>
      <c r="J791" s="34">
        <v>18880</v>
      </c>
    </row>
    <row r="792" spans="1:10" ht="25.5" x14ac:dyDescent="0.25">
      <c r="A792" s="249"/>
      <c r="B792" s="252"/>
      <c r="C792" s="40" t="s">
        <v>4103</v>
      </c>
      <c r="D792" s="40" t="s">
        <v>1035</v>
      </c>
      <c r="E792" s="41">
        <v>4.2599999999999999E-2</v>
      </c>
      <c r="F792" s="38">
        <v>21.194499999999998</v>
      </c>
      <c r="G792" s="38">
        <f t="shared" si="13"/>
        <v>0.9028856999999999</v>
      </c>
      <c r="H792" s="43">
        <f>SUM(G792:G802)</f>
        <v>63.942745350000003</v>
      </c>
      <c r="I792" s="44"/>
      <c r="J792" s="34">
        <v>18880</v>
      </c>
    </row>
    <row r="793" spans="1:10" ht="25.5" x14ac:dyDescent="0.25">
      <c r="A793" s="249"/>
      <c r="B793" s="252"/>
      <c r="C793" s="40" t="s">
        <v>3795</v>
      </c>
      <c r="D793" s="40" t="s">
        <v>177</v>
      </c>
      <c r="E793" s="41">
        <v>1.0966</v>
      </c>
      <c r="F793" s="38">
        <v>16.643999999999998</v>
      </c>
      <c r="G793" s="38">
        <f t="shared" si="13"/>
        <v>18.2518104</v>
      </c>
      <c r="H793" s="48"/>
      <c r="I793" s="49"/>
      <c r="J793" s="34">
        <v>18880</v>
      </c>
    </row>
    <row r="794" spans="1:10" ht="38.25" x14ac:dyDescent="0.25">
      <c r="A794" s="249"/>
      <c r="B794" s="252"/>
      <c r="C794" s="40" t="s">
        <v>3817</v>
      </c>
      <c r="D794" s="40" t="s">
        <v>1286</v>
      </c>
      <c r="E794" s="41">
        <v>3.851</v>
      </c>
      <c r="F794" s="38">
        <v>5.2725</v>
      </c>
      <c r="G794" s="38">
        <f t="shared" si="13"/>
        <v>20.3043975</v>
      </c>
      <c r="H794" s="48"/>
      <c r="I794" s="49"/>
      <c r="J794" s="34">
        <v>18880</v>
      </c>
    </row>
    <row r="795" spans="1:10" ht="38.25" x14ac:dyDescent="0.25">
      <c r="A795" s="249"/>
      <c r="B795" s="252"/>
      <c r="C795" s="40" t="s">
        <v>4000</v>
      </c>
      <c r="D795" s="40" t="s">
        <v>291</v>
      </c>
      <c r="E795" s="41">
        <v>1.3265</v>
      </c>
      <c r="F795" s="38">
        <v>1.9854999999999998</v>
      </c>
      <c r="G795" s="38">
        <f t="shared" si="13"/>
        <v>2.6337657499999998</v>
      </c>
      <c r="H795" s="48"/>
      <c r="I795" s="49"/>
      <c r="J795" s="34">
        <v>18880</v>
      </c>
    </row>
    <row r="796" spans="1:10" ht="25.5" x14ac:dyDescent="0.25">
      <c r="A796" s="249"/>
      <c r="B796" s="252"/>
      <c r="C796" s="40" t="s">
        <v>3960</v>
      </c>
      <c r="D796" s="40" t="s">
        <v>1286</v>
      </c>
      <c r="E796" s="41">
        <v>1.4395</v>
      </c>
      <c r="F796" s="38">
        <v>2.2989999999999999</v>
      </c>
      <c r="G796" s="38">
        <f t="shared" si="13"/>
        <v>3.3094104999999998</v>
      </c>
      <c r="H796" s="48"/>
      <c r="I796" s="49"/>
      <c r="J796" s="34">
        <v>18880</v>
      </c>
    </row>
    <row r="797" spans="1:10" ht="38.25" x14ac:dyDescent="0.25">
      <c r="A797" s="249"/>
      <c r="B797" s="252"/>
      <c r="C797" s="40" t="s">
        <v>3990</v>
      </c>
      <c r="D797" s="40" t="s">
        <v>1035</v>
      </c>
      <c r="E797" s="41">
        <v>0.5202</v>
      </c>
      <c r="F797" s="38">
        <v>2.8784999999999998</v>
      </c>
      <c r="G797" s="38">
        <f t="shared" si="13"/>
        <v>1.4973957</v>
      </c>
      <c r="H797" s="48"/>
      <c r="I797" s="49"/>
      <c r="J797" s="34">
        <v>18880</v>
      </c>
    </row>
    <row r="798" spans="1:10" ht="25.5" x14ac:dyDescent="0.25">
      <c r="A798" s="249"/>
      <c r="B798" s="252"/>
      <c r="C798" s="40" t="s">
        <v>4009</v>
      </c>
      <c r="D798" s="40" t="s">
        <v>291</v>
      </c>
      <c r="E798" s="41">
        <v>7.9740000000000002</v>
      </c>
      <c r="F798" s="38">
        <v>0.1045</v>
      </c>
      <c r="G798" s="38">
        <f t="shared" si="13"/>
        <v>0.833283</v>
      </c>
      <c r="H798" s="48"/>
      <c r="I798" s="49"/>
      <c r="J798" s="34">
        <v>18880</v>
      </c>
    </row>
    <row r="799" spans="1:10" ht="25.5" x14ac:dyDescent="0.25">
      <c r="A799" s="249"/>
      <c r="B799" s="252"/>
      <c r="C799" s="40" t="s">
        <v>4074</v>
      </c>
      <c r="D799" s="40" t="s">
        <v>291</v>
      </c>
      <c r="E799" s="41">
        <v>2.1911999999999998</v>
      </c>
      <c r="F799" s="38">
        <v>0.247</v>
      </c>
      <c r="G799" s="38">
        <f t="shared" si="13"/>
        <v>0.5412264</v>
      </c>
      <c r="H799" s="48"/>
      <c r="I799" s="49"/>
      <c r="J799" s="34">
        <v>18880</v>
      </c>
    </row>
    <row r="800" spans="1:10" ht="25.5" x14ac:dyDescent="0.25">
      <c r="A800" s="249"/>
      <c r="B800" s="252"/>
      <c r="C800" s="40" t="s">
        <v>4127</v>
      </c>
      <c r="D800" s="40" t="s">
        <v>3799</v>
      </c>
      <c r="E800" s="41">
        <v>1.32E-2</v>
      </c>
      <c r="F800" s="38">
        <v>27.701999999999998</v>
      </c>
      <c r="G800" s="38">
        <f t="shared" si="13"/>
        <v>0.36566639999999995</v>
      </c>
      <c r="H800" s="48"/>
      <c r="I800" s="49"/>
      <c r="J800" s="34">
        <v>18880</v>
      </c>
    </row>
    <row r="801" spans="1:10" ht="25.5" x14ac:dyDescent="0.25">
      <c r="A801" s="249"/>
      <c r="B801" s="252"/>
      <c r="C801" s="40" t="s">
        <v>3800</v>
      </c>
      <c r="D801" s="40" t="s">
        <v>3752</v>
      </c>
      <c r="E801" s="41">
        <v>0.36280000000000001</v>
      </c>
      <c r="F801" s="35">
        <v>21.365499999999997</v>
      </c>
      <c r="G801" s="38">
        <f t="shared" si="13"/>
        <v>7.7514033999999992</v>
      </c>
      <c r="H801" s="48"/>
      <c r="I801" s="49"/>
      <c r="J801" s="34">
        <v>18880</v>
      </c>
    </row>
    <row r="802" spans="1:10" x14ac:dyDescent="0.25">
      <c r="A802" s="249"/>
      <c r="B802" s="252"/>
      <c r="C802" s="40" t="s">
        <v>3754</v>
      </c>
      <c r="D802" s="40" t="s">
        <v>3752</v>
      </c>
      <c r="E802" s="41">
        <v>0.36280000000000001</v>
      </c>
      <c r="F802" s="35">
        <v>20.814499999999999</v>
      </c>
      <c r="G802" s="38">
        <f t="shared" si="13"/>
        <v>7.5515005999999998</v>
      </c>
      <c r="H802" s="48"/>
      <c r="I802" s="49"/>
      <c r="J802" s="34">
        <v>18880</v>
      </c>
    </row>
    <row r="803" spans="1:10" ht="15.75" thickBot="1" x14ac:dyDescent="0.3">
      <c r="A803" s="250"/>
      <c r="B803" s="253"/>
      <c r="C803" s="40"/>
      <c r="D803" s="40"/>
      <c r="E803" s="41"/>
      <c r="F803" s="35" t="s">
        <v>23</v>
      </c>
      <c r="G803" s="35" t="str">
        <f t="shared" si="13"/>
        <v/>
      </c>
      <c r="H803" s="39"/>
      <c r="I803" s="35"/>
      <c r="J803" s="34">
        <v>18880</v>
      </c>
    </row>
    <row r="804" spans="1:10" ht="15.75" thickBot="1" x14ac:dyDescent="0.3">
      <c r="A804" s="248" t="s">
        <v>201</v>
      </c>
      <c r="B804" s="251" t="s">
        <v>2186</v>
      </c>
      <c r="C804" s="28"/>
      <c r="D804" s="29" t="s">
        <v>78</v>
      </c>
      <c r="E804" s="30"/>
      <c r="F804" s="45" t="s">
        <v>23</v>
      </c>
      <c r="G804" s="31" t="str">
        <f t="shared" si="13"/>
        <v/>
      </c>
      <c r="H804" s="32"/>
      <c r="I804" s="33"/>
      <c r="J804" s="34">
        <v>12740</v>
      </c>
    </row>
    <row r="805" spans="1:10" x14ac:dyDescent="0.25">
      <c r="A805" s="249"/>
      <c r="B805" s="252"/>
      <c r="C805" s="36"/>
      <c r="D805" s="36"/>
      <c r="E805" s="37"/>
      <c r="F805" s="46" t="s">
        <v>23</v>
      </c>
      <c r="G805" s="35" t="str">
        <f t="shared" si="13"/>
        <v/>
      </c>
      <c r="H805" s="39"/>
      <c r="I805" s="35"/>
      <c r="J805" s="34">
        <v>12740</v>
      </c>
    </row>
    <row r="806" spans="1:10" ht="25.5" x14ac:dyDescent="0.25">
      <c r="A806" s="249"/>
      <c r="B806" s="252"/>
      <c r="C806" s="40" t="s">
        <v>3795</v>
      </c>
      <c r="D806" s="40" t="s">
        <v>177</v>
      </c>
      <c r="E806" s="41">
        <v>1.0966</v>
      </c>
      <c r="F806" s="38">
        <v>16.643999999999998</v>
      </c>
      <c r="G806" s="38">
        <f t="shared" si="13"/>
        <v>18.2518104</v>
      </c>
      <c r="H806" s="43">
        <f>SUM(G806:G812)</f>
        <v>39.736029999999992</v>
      </c>
      <c r="I806" s="44"/>
      <c r="J806" s="34">
        <v>12740</v>
      </c>
    </row>
    <row r="807" spans="1:10" ht="25.5" x14ac:dyDescent="0.25">
      <c r="A807" s="249"/>
      <c r="B807" s="252"/>
      <c r="C807" s="40" t="s">
        <v>3960</v>
      </c>
      <c r="D807" s="40" t="s">
        <v>1286</v>
      </c>
      <c r="E807" s="41">
        <v>1.4395</v>
      </c>
      <c r="F807" s="38">
        <v>2.2989999999999999</v>
      </c>
      <c r="G807" s="38">
        <f t="shared" si="13"/>
        <v>3.3094104999999998</v>
      </c>
      <c r="H807" s="48"/>
      <c r="I807" s="49"/>
      <c r="J807" s="34">
        <v>12740</v>
      </c>
    </row>
    <row r="808" spans="1:10" ht="38.25" x14ac:dyDescent="0.25">
      <c r="A808" s="249"/>
      <c r="B808" s="252"/>
      <c r="C808" s="40" t="s">
        <v>3990</v>
      </c>
      <c r="D808" s="40" t="s">
        <v>1035</v>
      </c>
      <c r="E808" s="41">
        <v>0.5202</v>
      </c>
      <c r="F808" s="38">
        <v>2.8784999999999998</v>
      </c>
      <c r="G808" s="38">
        <f t="shared" si="13"/>
        <v>1.4973957</v>
      </c>
      <c r="H808" s="48"/>
      <c r="I808" s="49"/>
      <c r="J808" s="34">
        <v>12740</v>
      </c>
    </row>
    <row r="809" spans="1:10" ht="25.5" x14ac:dyDescent="0.25">
      <c r="A809" s="249"/>
      <c r="B809" s="252"/>
      <c r="C809" s="40" t="s">
        <v>4009</v>
      </c>
      <c r="D809" s="40" t="s">
        <v>291</v>
      </c>
      <c r="E809" s="41">
        <v>7.9740000000000002</v>
      </c>
      <c r="F809" s="38">
        <v>0.1045</v>
      </c>
      <c r="G809" s="38">
        <f t="shared" si="13"/>
        <v>0.833283</v>
      </c>
      <c r="H809" s="48"/>
      <c r="I809" s="49"/>
      <c r="J809" s="34">
        <v>12740</v>
      </c>
    </row>
    <row r="810" spans="1:10" ht="25.5" x14ac:dyDescent="0.25">
      <c r="A810" s="249"/>
      <c r="B810" s="252"/>
      <c r="C810" s="40" t="s">
        <v>4074</v>
      </c>
      <c r="D810" s="40" t="s">
        <v>291</v>
      </c>
      <c r="E810" s="41">
        <v>2.1911999999999998</v>
      </c>
      <c r="F810" s="38">
        <v>0.247</v>
      </c>
      <c r="G810" s="38">
        <f t="shared" si="13"/>
        <v>0.5412264</v>
      </c>
      <c r="H810" s="48"/>
      <c r="I810" s="49"/>
      <c r="J810" s="34">
        <v>12740</v>
      </c>
    </row>
    <row r="811" spans="1:10" ht="25.5" x14ac:dyDescent="0.25">
      <c r="A811" s="249"/>
      <c r="B811" s="252"/>
      <c r="C811" s="40" t="s">
        <v>3800</v>
      </c>
      <c r="D811" s="40" t="s">
        <v>3752</v>
      </c>
      <c r="E811" s="41">
        <v>0.36280000000000001</v>
      </c>
      <c r="F811" s="35">
        <v>21.365499999999997</v>
      </c>
      <c r="G811" s="38">
        <f t="shared" si="13"/>
        <v>7.7514033999999992</v>
      </c>
      <c r="H811" s="48"/>
      <c r="I811" s="49"/>
      <c r="J811" s="34">
        <v>12740</v>
      </c>
    </row>
    <row r="812" spans="1:10" x14ac:dyDescent="0.25">
      <c r="A812" s="249"/>
      <c r="B812" s="252"/>
      <c r="C812" s="40" t="s">
        <v>3754</v>
      </c>
      <c r="D812" s="40" t="s">
        <v>3752</v>
      </c>
      <c r="E812" s="41">
        <v>0.36280000000000001</v>
      </c>
      <c r="F812" s="35">
        <v>20.814499999999999</v>
      </c>
      <c r="G812" s="38">
        <f t="shared" si="13"/>
        <v>7.5515005999999998</v>
      </c>
      <c r="H812" s="48"/>
      <c r="I812" s="49"/>
      <c r="J812" s="34">
        <v>12740</v>
      </c>
    </row>
    <row r="813" spans="1:10" ht="15.75" thickBot="1" x14ac:dyDescent="0.3">
      <c r="A813" s="250"/>
      <c r="B813" s="253"/>
      <c r="C813" s="40"/>
      <c r="D813" s="40"/>
      <c r="E813" s="41"/>
      <c r="F813" s="35" t="s">
        <v>23</v>
      </c>
      <c r="G813" s="35" t="str">
        <f t="shared" si="13"/>
        <v/>
      </c>
      <c r="H813" s="39"/>
      <c r="I813" s="35"/>
      <c r="J813" s="34">
        <v>12740</v>
      </c>
    </row>
    <row r="814" spans="1:10" ht="15.75" thickBot="1" x14ac:dyDescent="0.3">
      <c r="A814" s="248" t="s">
        <v>202</v>
      </c>
      <c r="B814" s="251" t="s">
        <v>2187</v>
      </c>
      <c r="C814" s="28"/>
      <c r="D814" s="29" t="s">
        <v>78</v>
      </c>
      <c r="E814" s="30"/>
      <c r="F814" s="45" t="s">
        <v>23</v>
      </c>
      <c r="G814" s="31" t="str">
        <f t="shared" si="13"/>
        <v/>
      </c>
      <c r="H814" s="32"/>
      <c r="I814" s="33"/>
      <c r="J814" s="34">
        <v>2460</v>
      </c>
    </row>
    <row r="815" spans="1:10" x14ac:dyDescent="0.25">
      <c r="A815" s="249"/>
      <c r="B815" s="252"/>
      <c r="C815" s="36"/>
      <c r="D815" s="36"/>
      <c r="E815" s="37"/>
      <c r="F815" s="46" t="s">
        <v>23</v>
      </c>
      <c r="G815" s="35" t="str">
        <f t="shared" si="13"/>
        <v/>
      </c>
      <c r="H815" s="39"/>
      <c r="I815" s="35"/>
      <c r="J815" s="34">
        <v>2460</v>
      </c>
    </row>
    <row r="816" spans="1:10" ht="38.25" x14ac:dyDescent="0.25">
      <c r="A816" s="249"/>
      <c r="B816" s="252"/>
      <c r="C816" s="40" t="s">
        <v>3828</v>
      </c>
      <c r="D816" s="40" t="s">
        <v>177</v>
      </c>
      <c r="E816" s="41">
        <v>1</v>
      </c>
      <c r="F816" s="38">
        <v>137.4555</v>
      </c>
      <c r="G816" s="38">
        <f t="shared" si="13"/>
        <v>137.4555</v>
      </c>
      <c r="H816" s="43">
        <f>SUM(G816:G816)</f>
        <v>137.4555</v>
      </c>
      <c r="I816" s="44"/>
      <c r="J816" s="34">
        <v>2460</v>
      </c>
    </row>
    <row r="817" spans="1:10" ht="15.75" thickBot="1" x14ac:dyDescent="0.3">
      <c r="A817" s="250"/>
      <c r="B817" s="253"/>
      <c r="C817" s="40"/>
      <c r="D817" s="40"/>
      <c r="E817" s="41"/>
      <c r="F817" s="35" t="s">
        <v>23</v>
      </c>
      <c r="G817" s="35" t="str">
        <f t="shared" si="13"/>
        <v/>
      </c>
      <c r="H817" s="39"/>
      <c r="I817" s="35"/>
      <c r="J817" s="34">
        <v>2460</v>
      </c>
    </row>
    <row r="818" spans="1:10" ht="15.75" thickBot="1" x14ac:dyDescent="0.3">
      <c r="A818" s="248" t="s">
        <v>203</v>
      </c>
      <c r="B818" s="251" t="s">
        <v>2188</v>
      </c>
      <c r="C818" s="28"/>
      <c r="D818" s="29" t="s">
        <v>78</v>
      </c>
      <c r="E818" s="30"/>
      <c r="F818" s="45" t="s">
        <v>23</v>
      </c>
      <c r="G818" s="31" t="str">
        <f t="shared" si="13"/>
        <v/>
      </c>
      <c r="H818" s="32"/>
      <c r="I818" s="33"/>
      <c r="J818" s="34">
        <v>2020</v>
      </c>
    </row>
    <row r="819" spans="1:10" x14ac:dyDescent="0.25">
      <c r="A819" s="249"/>
      <c r="B819" s="252"/>
      <c r="C819" s="36"/>
      <c r="D819" s="36"/>
      <c r="E819" s="37"/>
      <c r="F819" s="46" t="s">
        <v>23</v>
      </c>
      <c r="G819" s="35" t="str">
        <f t="shared" si="13"/>
        <v/>
      </c>
      <c r="H819" s="39"/>
      <c r="I819" s="35"/>
      <c r="J819" s="34">
        <v>2020</v>
      </c>
    </row>
    <row r="820" spans="1:10" x14ac:dyDescent="0.25">
      <c r="A820" s="249"/>
      <c r="B820" s="252"/>
      <c r="C820" s="40" t="s">
        <v>3787</v>
      </c>
      <c r="D820" s="40" t="s">
        <v>3752</v>
      </c>
      <c r="E820" s="41">
        <f>1.2/4</f>
        <v>0.3</v>
      </c>
      <c r="F820" s="35">
        <v>21.963999999999999</v>
      </c>
      <c r="G820" s="35">
        <f t="shared" si="13"/>
        <v>6.5891999999999991</v>
      </c>
      <c r="H820" s="43">
        <f>SUM(G820:G821)</f>
        <v>37.207699999999996</v>
      </c>
      <c r="I820" s="44"/>
      <c r="J820" s="34">
        <v>2020</v>
      </c>
    </row>
    <row r="821" spans="1:10" ht="25.5" x14ac:dyDescent="0.25">
      <c r="A821" s="249"/>
      <c r="B821" s="252"/>
      <c r="C821" s="40" t="s">
        <v>3993</v>
      </c>
      <c r="D821" s="40" t="s">
        <v>291</v>
      </c>
      <c r="E821" s="41">
        <v>1</v>
      </c>
      <c r="F821" s="38">
        <v>30.618499999999994</v>
      </c>
      <c r="G821" s="35">
        <f t="shared" si="13"/>
        <v>30.618499999999994</v>
      </c>
      <c r="H821" s="39"/>
      <c r="I821" s="35"/>
      <c r="J821" s="34">
        <v>2020</v>
      </c>
    </row>
    <row r="822" spans="1:10" ht="15.75" thickBot="1" x14ac:dyDescent="0.3">
      <c r="A822" s="250"/>
      <c r="B822" s="253"/>
      <c r="C822" s="40"/>
      <c r="D822" s="40"/>
      <c r="E822" s="41"/>
      <c r="F822" s="35" t="s">
        <v>23</v>
      </c>
      <c r="G822" s="35" t="str">
        <f t="shared" si="13"/>
        <v/>
      </c>
      <c r="H822" s="39"/>
      <c r="I822" s="35"/>
      <c r="J822" s="34">
        <v>2020</v>
      </c>
    </row>
    <row r="823" spans="1:10" ht="15.75" hidden="1" thickBot="1" x14ac:dyDescent="0.3">
      <c r="A823" s="248" t="s">
        <v>204</v>
      </c>
      <c r="B823" s="251" t="s">
        <v>2189</v>
      </c>
      <c r="C823" s="28"/>
      <c r="D823" s="29" t="s">
        <v>78</v>
      </c>
      <c r="E823" s="30"/>
      <c r="F823" s="45" t="s">
        <v>23</v>
      </c>
      <c r="G823" s="31" t="str">
        <f t="shared" si="13"/>
        <v/>
      </c>
      <c r="H823" s="32"/>
      <c r="I823" s="33"/>
      <c r="J823" s="34">
        <v>0</v>
      </c>
    </row>
    <row r="824" spans="1:10" ht="15.75" hidden="1" thickBot="1" x14ac:dyDescent="0.3">
      <c r="A824" s="249"/>
      <c r="B824" s="252"/>
      <c r="C824" s="36"/>
      <c r="D824" s="36"/>
      <c r="E824" s="37"/>
      <c r="F824" s="46" t="s">
        <v>23</v>
      </c>
      <c r="G824" s="35" t="str">
        <f t="shared" si="13"/>
        <v/>
      </c>
      <c r="H824" s="39"/>
      <c r="I824" s="35"/>
      <c r="J824" s="34">
        <v>0</v>
      </c>
    </row>
    <row r="825" spans="1:10" ht="26.25" hidden="1" thickBot="1" x14ac:dyDescent="0.3">
      <c r="A825" s="249"/>
      <c r="B825" s="252"/>
      <c r="C825" s="40" t="s">
        <v>3800</v>
      </c>
      <c r="D825" s="40" t="s">
        <v>3752</v>
      </c>
      <c r="E825" s="41">
        <f>ROUND(0.4994*0.3,4)</f>
        <v>0.14979999999999999</v>
      </c>
      <c r="F825" s="35">
        <v>21.365499999999997</v>
      </c>
      <c r="G825" s="35">
        <f t="shared" si="13"/>
        <v>3.2005518999999993</v>
      </c>
      <c r="H825" s="43">
        <f>SUM(G825:G825)</f>
        <v>3.2005518999999993</v>
      </c>
      <c r="I825" s="44"/>
      <c r="J825" s="34">
        <v>0</v>
      </c>
    </row>
    <row r="826" spans="1:10" ht="15.75" hidden="1" thickBot="1" x14ac:dyDescent="0.3">
      <c r="A826" s="250"/>
      <c r="B826" s="253"/>
      <c r="C826" s="40"/>
      <c r="D826" s="40"/>
      <c r="E826" s="41"/>
      <c r="F826" s="35" t="s">
        <v>23</v>
      </c>
      <c r="G826" s="35" t="str">
        <f t="shared" si="13"/>
        <v/>
      </c>
      <c r="H826" s="39"/>
      <c r="I826" s="35"/>
      <c r="J826" s="34">
        <v>0</v>
      </c>
    </row>
    <row r="827" spans="1:10" ht="15.75" hidden="1" thickBot="1" x14ac:dyDescent="0.3">
      <c r="A827" s="248" t="s">
        <v>205</v>
      </c>
      <c r="B827" s="251" t="s">
        <v>2190</v>
      </c>
      <c r="C827" s="28"/>
      <c r="D827" s="29" t="s">
        <v>78</v>
      </c>
      <c r="E827" s="30"/>
      <c r="F827" s="45" t="s">
        <v>23</v>
      </c>
      <c r="G827" s="31" t="str">
        <f t="shared" si="13"/>
        <v/>
      </c>
      <c r="H827" s="32"/>
      <c r="I827" s="33"/>
      <c r="J827" s="34">
        <v>0</v>
      </c>
    </row>
    <row r="828" spans="1:10" ht="15.75" hidden="1" thickBot="1" x14ac:dyDescent="0.3">
      <c r="A828" s="249"/>
      <c r="B828" s="252"/>
      <c r="C828" s="36"/>
      <c r="D828" s="36"/>
      <c r="E828" s="37"/>
      <c r="F828" s="46" t="s">
        <v>23</v>
      </c>
      <c r="G828" s="35" t="str">
        <f t="shared" si="13"/>
        <v/>
      </c>
      <c r="H828" s="39"/>
      <c r="I828" s="35"/>
      <c r="J828" s="34">
        <v>0</v>
      </c>
    </row>
    <row r="829" spans="1:10" ht="15.75" hidden="1" thickBot="1" x14ac:dyDescent="0.3">
      <c r="A829" s="249"/>
      <c r="B829" s="252"/>
      <c r="C829" s="40" t="s">
        <v>3787</v>
      </c>
      <c r="D829" s="40" t="s">
        <v>3752</v>
      </c>
      <c r="E829" s="41">
        <v>1.2</v>
      </c>
      <c r="F829" s="35">
        <v>21.963999999999999</v>
      </c>
      <c r="G829" s="35">
        <f t="shared" si="13"/>
        <v>26.356799999999996</v>
      </c>
      <c r="H829" s="43">
        <f>SUM(G829:G830)</f>
        <v>51.995399999999989</v>
      </c>
      <c r="I829" s="44"/>
      <c r="J829" s="34">
        <v>0</v>
      </c>
    </row>
    <row r="830" spans="1:10" ht="26.25" hidden="1" thickBot="1" x14ac:dyDescent="0.3">
      <c r="A830" s="249"/>
      <c r="B830" s="252"/>
      <c r="C830" s="40" t="s">
        <v>3800</v>
      </c>
      <c r="D830" s="40" t="s">
        <v>3752</v>
      </c>
      <c r="E830" s="41">
        <v>1.2</v>
      </c>
      <c r="F830" s="35">
        <v>21.365499999999997</v>
      </c>
      <c r="G830" s="35">
        <f t="shared" si="13"/>
        <v>25.638599999999997</v>
      </c>
      <c r="H830" s="39"/>
      <c r="I830" s="35"/>
      <c r="J830" s="34">
        <v>0</v>
      </c>
    </row>
    <row r="831" spans="1:10" ht="15.75" hidden="1" thickBot="1" x14ac:dyDescent="0.3">
      <c r="A831" s="250"/>
      <c r="B831" s="253"/>
      <c r="C831" s="40"/>
      <c r="D831" s="40"/>
      <c r="E831" s="41"/>
      <c r="F831" s="35" t="s">
        <v>23</v>
      </c>
      <c r="G831" s="35" t="str">
        <f t="shared" si="13"/>
        <v/>
      </c>
      <c r="H831" s="39"/>
      <c r="I831" s="35"/>
      <c r="J831" s="34">
        <v>0</v>
      </c>
    </row>
    <row r="832" spans="1:10" ht="15.75" thickBot="1" x14ac:dyDescent="0.3">
      <c r="A832" s="248" t="s">
        <v>206</v>
      </c>
      <c r="B832" s="251" t="s">
        <v>2191</v>
      </c>
      <c r="C832" s="28"/>
      <c r="D832" s="29" t="s">
        <v>121</v>
      </c>
      <c r="E832" s="30"/>
      <c r="F832" s="45" t="s">
        <v>23</v>
      </c>
      <c r="G832" s="31" t="str">
        <f t="shared" si="13"/>
        <v/>
      </c>
      <c r="H832" s="32"/>
      <c r="I832" s="33"/>
      <c r="J832" s="34">
        <v>270</v>
      </c>
    </row>
    <row r="833" spans="1:10" x14ac:dyDescent="0.25">
      <c r="A833" s="249"/>
      <c r="B833" s="252"/>
      <c r="C833" s="36"/>
      <c r="D833" s="36"/>
      <c r="E833" s="37"/>
      <c r="F833" s="46" t="s">
        <v>23</v>
      </c>
      <c r="G833" s="35" t="str">
        <f t="shared" si="13"/>
        <v/>
      </c>
      <c r="H833" s="39"/>
      <c r="I833" s="35"/>
      <c r="J833" s="34">
        <v>270</v>
      </c>
    </row>
    <row r="834" spans="1:10" ht="38.25" x14ac:dyDescent="0.25">
      <c r="A834" s="249"/>
      <c r="B834" s="252"/>
      <c r="C834" s="40" t="s">
        <v>4165</v>
      </c>
      <c r="D834" s="40" t="s">
        <v>1286</v>
      </c>
      <c r="E834" s="41">
        <v>1.1512</v>
      </c>
      <c r="F834" s="38">
        <v>5.1109999999999998</v>
      </c>
      <c r="G834" s="38">
        <f t="shared" si="13"/>
        <v>5.8837831999999999</v>
      </c>
      <c r="H834" s="43">
        <f>SUM(G834:G837)</f>
        <v>12.721352149999998</v>
      </c>
      <c r="I834" s="44"/>
      <c r="J834" s="34">
        <v>270</v>
      </c>
    </row>
    <row r="835" spans="1:10" ht="25.5" x14ac:dyDescent="0.25">
      <c r="A835" s="249"/>
      <c r="B835" s="252"/>
      <c r="C835" s="40" t="s">
        <v>4074</v>
      </c>
      <c r="D835" s="40" t="s">
        <v>291</v>
      </c>
      <c r="E835" s="41">
        <v>0.58330000000000004</v>
      </c>
      <c r="F835" s="38">
        <v>0.247</v>
      </c>
      <c r="G835" s="38">
        <f t="shared" si="13"/>
        <v>0.14407510000000001</v>
      </c>
      <c r="H835" s="64"/>
      <c r="I835" s="65"/>
      <c r="J835" s="34">
        <v>270</v>
      </c>
    </row>
    <row r="836" spans="1:10" ht="25.5" x14ac:dyDescent="0.25">
      <c r="A836" s="249"/>
      <c r="B836" s="252"/>
      <c r="C836" s="40" t="s">
        <v>4153</v>
      </c>
      <c r="D836" s="40" t="s">
        <v>3799</v>
      </c>
      <c r="E836" s="41">
        <v>7.4899999999999994E-2</v>
      </c>
      <c r="F836" s="38">
        <v>47.490499999999997</v>
      </c>
      <c r="G836" s="38">
        <f t="shared" si="13"/>
        <v>3.5570384499999994</v>
      </c>
      <c r="H836" s="64"/>
      <c r="I836" s="65"/>
      <c r="J836" s="34">
        <v>270</v>
      </c>
    </row>
    <row r="837" spans="1:10" ht="25.5" x14ac:dyDescent="0.25">
      <c r="A837" s="249"/>
      <c r="B837" s="252"/>
      <c r="C837" s="40" t="s">
        <v>3800</v>
      </c>
      <c r="D837" s="40" t="s">
        <v>3752</v>
      </c>
      <c r="E837" s="41">
        <v>0.14680000000000001</v>
      </c>
      <c r="F837" s="35">
        <v>21.365499999999997</v>
      </c>
      <c r="G837" s="38">
        <f t="shared" si="13"/>
        <v>3.1364554</v>
      </c>
      <c r="H837" s="64"/>
      <c r="I837" s="65"/>
      <c r="J837" s="34">
        <v>270</v>
      </c>
    </row>
    <row r="838" spans="1:10" ht="15.75" thickBot="1" x14ac:dyDescent="0.3">
      <c r="A838" s="250"/>
      <c r="B838" s="253"/>
      <c r="C838" s="40"/>
      <c r="D838" s="40"/>
      <c r="E838" s="41"/>
      <c r="F838" s="35" t="s">
        <v>23</v>
      </c>
      <c r="G838" s="38" t="str">
        <f t="shared" si="13"/>
        <v/>
      </c>
      <c r="H838" s="39"/>
      <c r="I838" s="35"/>
      <c r="J838" s="34">
        <v>270</v>
      </c>
    </row>
    <row r="839" spans="1:10" ht="15.75" thickBot="1" x14ac:dyDescent="0.3">
      <c r="A839" s="248" t="s">
        <v>207</v>
      </c>
      <c r="B839" s="251" t="s">
        <v>2192</v>
      </c>
      <c r="C839" s="28"/>
      <c r="D839" s="29" t="s">
        <v>78</v>
      </c>
      <c r="E839" s="30"/>
      <c r="F839" s="45" t="s">
        <v>23</v>
      </c>
      <c r="G839" s="31" t="str">
        <f t="shared" si="13"/>
        <v/>
      </c>
      <c r="H839" s="32"/>
      <c r="I839" s="33"/>
      <c r="J839" s="34">
        <v>5400</v>
      </c>
    </row>
    <row r="840" spans="1:10" x14ac:dyDescent="0.25">
      <c r="A840" s="249"/>
      <c r="B840" s="252"/>
      <c r="C840" s="36"/>
      <c r="D840" s="36"/>
      <c r="E840" s="37"/>
      <c r="F840" s="46" t="s">
        <v>23</v>
      </c>
      <c r="G840" s="35" t="str">
        <f t="shared" si="13"/>
        <v/>
      </c>
      <c r="H840" s="39"/>
      <c r="I840" s="35"/>
      <c r="J840" s="34">
        <v>5400</v>
      </c>
    </row>
    <row r="841" spans="1:10" x14ac:dyDescent="0.25">
      <c r="A841" s="249"/>
      <c r="B841" s="252"/>
      <c r="C841" s="40" t="s">
        <v>3754</v>
      </c>
      <c r="D841" s="40" t="s">
        <v>3752</v>
      </c>
      <c r="E841" s="41">
        <v>0.1</v>
      </c>
      <c r="F841" s="35">
        <v>20.814499999999999</v>
      </c>
      <c r="G841" s="38">
        <f t="shared" si="13"/>
        <v>2.0814499999999998</v>
      </c>
      <c r="H841" s="43">
        <f>SUM(G841:G843)</f>
        <v>9.7897500000000015</v>
      </c>
      <c r="I841" s="44"/>
      <c r="J841" s="34">
        <v>5400</v>
      </c>
    </row>
    <row r="842" spans="1:10" x14ac:dyDescent="0.25">
      <c r="A842" s="249"/>
      <c r="B842" s="252"/>
      <c r="C842" s="40" t="s">
        <v>3757</v>
      </c>
      <c r="D842" s="40" t="s">
        <v>3752</v>
      </c>
      <c r="E842" s="41">
        <v>0.1</v>
      </c>
      <c r="F842" s="35">
        <v>28.0535</v>
      </c>
      <c r="G842" s="38">
        <f t="shared" si="13"/>
        <v>2.8053500000000002</v>
      </c>
      <c r="H842" s="39"/>
      <c r="I842" s="35"/>
      <c r="J842" s="34">
        <v>5400</v>
      </c>
    </row>
    <row r="843" spans="1:10" x14ac:dyDescent="0.25">
      <c r="A843" s="249"/>
      <c r="B843" s="252"/>
      <c r="C843" s="40" t="s">
        <v>3947</v>
      </c>
      <c r="D843" s="40" t="s">
        <v>1035</v>
      </c>
      <c r="E843" s="41">
        <v>0.1</v>
      </c>
      <c r="F843" s="38">
        <v>49.029499999999999</v>
      </c>
      <c r="G843" s="35">
        <f t="shared" si="13"/>
        <v>4.9029500000000006</v>
      </c>
      <c r="H843" s="39"/>
      <c r="I843" s="35"/>
      <c r="J843" s="34">
        <v>5400</v>
      </c>
    </row>
    <row r="844" spans="1:10" ht="15.75" thickBot="1" x14ac:dyDescent="0.3">
      <c r="A844" s="250"/>
      <c r="B844" s="253"/>
      <c r="C844" s="40"/>
      <c r="D844" s="40"/>
      <c r="E844" s="41"/>
      <c r="F844" s="35" t="s">
        <v>23</v>
      </c>
      <c r="G844" s="35" t="str">
        <f t="shared" si="13"/>
        <v/>
      </c>
      <c r="H844" s="39"/>
      <c r="I844" s="35"/>
      <c r="J844" s="34">
        <v>5400</v>
      </c>
    </row>
    <row r="845" spans="1:10" ht="15.75" thickBot="1" x14ac:dyDescent="0.3">
      <c r="A845" s="248" t="s">
        <v>208</v>
      </c>
      <c r="B845" s="251" t="s">
        <v>209</v>
      </c>
      <c r="C845" s="28"/>
      <c r="D845" s="29" t="s">
        <v>121</v>
      </c>
      <c r="E845" s="30"/>
      <c r="F845" s="45" t="s">
        <v>23</v>
      </c>
      <c r="G845" s="31" t="str">
        <f t="shared" si="13"/>
        <v/>
      </c>
      <c r="H845" s="32"/>
      <c r="I845" s="33"/>
      <c r="J845" s="34">
        <v>5990</v>
      </c>
    </row>
    <row r="846" spans="1:10" x14ac:dyDescent="0.25">
      <c r="A846" s="262"/>
      <c r="B846" s="252"/>
      <c r="C846" s="36"/>
      <c r="D846" s="36"/>
      <c r="E846" s="37"/>
      <c r="F846" s="46" t="s">
        <v>23</v>
      </c>
      <c r="G846" s="35" t="str">
        <f t="shared" si="13"/>
        <v/>
      </c>
      <c r="H846" s="39"/>
      <c r="I846" s="35"/>
      <c r="J846" s="34">
        <v>5990</v>
      </c>
    </row>
    <row r="847" spans="1:10" x14ac:dyDescent="0.25">
      <c r="A847" s="262"/>
      <c r="B847" s="252"/>
      <c r="C847" s="40" t="s">
        <v>3767</v>
      </c>
      <c r="D847" s="40" t="s">
        <v>3752</v>
      </c>
      <c r="E847" s="41">
        <v>0.25</v>
      </c>
      <c r="F847" s="35">
        <v>25.877999999999997</v>
      </c>
      <c r="G847" s="38">
        <f t="shared" si="13"/>
        <v>6.4694999999999991</v>
      </c>
      <c r="H847" s="43">
        <f>SUM(G847:G848)</f>
        <v>10.900499999999999</v>
      </c>
      <c r="I847" s="44"/>
      <c r="J847" s="34">
        <v>5990</v>
      </c>
    </row>
    <row r="848" spans="1:10" x14ac:dyDescent="0.25">
      <c r="A848" s="262"/>
      <c r="B848" s="252"/>
      <c r="C848" s="40" t="s">
        <v>209</v>
      </c>
      <c r="D848" s="53" t="s">
        <v>121</v>
      </c>
      <c r="E848" s="41">
        <v>1.05</v>
      </c>
      <c r="F848" s="38">
        <v>4.22</v>
      </c>
      <c r="G848" s="38">
        <f t="shared" si="13"/>
        <v>4.431</v>
      </c>
      <c r="H848" s="39"/>
      <c r="I848" s="35"/>
      <c r="J848" s="34">
        <v>5990</v>
      </c>
    </row>
    <row r="849" spans="1:10" ht="15.75" thickBot="1" x14ac:dyDescent="0.3">
      <c r="A849" s="263"/>
      <c r="B849" s="253"/>
      <c r="C849" s="40"/>
      <c r="D849" s="53"/>
      <c r="E849" s="41"/>
      <c r="F849" s="38" t="s">
        <v>23</v>
      </c>
      <c r="G849" s="38" t="str">
        <f t="shared" si="13"/>
        <v/>
      </c>
      <c r="H849" s="39"/>
      <c r="I849" s="35"/>
      <c r="J849" s="34">
        <v>5990</v>
      </c>
    </row>
    <row r="850" spans="1:10" ht="15.75" hidden="1" thickBot="1" x14ac:dyDescent="0.3">
      <c r="A850" s="248" t="s">
        <v>210</v>
      </c>
      <c r="B850" s="251" t="s">
        <v>2193</v>
      </c>
      <c r="C850" s="28"/>
      <c r="D850" s="29" t="s">
        <v>121</v>
      </c>
      <c r="E850" s="30"/>
      <c r="F850" s="45" t="s">
        <v>23</v>
      </c>
      <c r="G850" s="31" t="str">
        <f t="shared" ref="G850:G913" si="14">IF(ISNUMBER(F850),E850*F850,"")</f>
        <v/>
      </c>
      <c r="H850" s="32"/>
      <c r="I850" s="33"/>
      <c r="J850" s="34">
        <v>0</v>
      </c>
    </row>
    <row r="851" spans="1:10" ht="15.75" hidden="1" thickBot="1" x14ac:dyDescent="0.3">
      <c r="A851" s="262"/>
      <c r="B851" s="252"/>
      <c r="C851" s="36"/>
      <c r="D851" s="36"/>
      <c r="E851" s="37"/>
      <c r="F851" s="46" t="s">
        <v>23</v>
      </c>
      <c r="G851" s="35" t="str">
        <f t="shared" si="14"/>
        <v/>
      </c>
      <c r="H851" s="39"/>
      <c r="I851" s="35"/>
      <c r="J851" s="34">
        <v>0</v>
      </c>
    </row>
    <row r="852" spans="1:10" ht="15.75" hidden="1" thickBot="1" x14ac:dyDescent="0.3">
      <c r="A852" s="262"/>
      <c r="B852" s="252"/>
      <c r="C852" s="40" t="s">
        <v>3767</v>
      </c>
      <c r="D852" s="40" t="s">
        <v>3752</v>
      </c>
      <c r="E852" s="41">
        <v>0.5</v>
      </c>
      <c r="F852" s="35">
        <v>25.877999999999997</v>
      </c>
      <c r="G852" s="38">
        <f t="shared" si="14"/>
        <v>12.938999999999998</v>
      </c>
      <c r="H852" s="43">
        <f>SUM(G852:G854)</f>
        <v>20.530925</v>
      </c>
      <c r="I852" s="44"/>
      <c r="J852" s="34">
        <v>0</v>
      </c>
    </row>
    <row r="853" spans="1:10" ht="15.75" hidden="1" thickBot="1" x14ac:dyDescent="0.3">
      <c r="A853" s="262"/>
      <c r="B853" s="252"/>
      <c r="C853" s="40" t="s">
        <v>3754</v>
      </c>
      <c r="D853" s="40" t="s">
        <v>3752</v>
      </c>
      <c r="E853" s="41">
        <f>E852/2</f>
        <v>0.25</v>
      </c>
      <c r="F853" s="38">
        <v>20.814499999999999</v>
      </c>
      <c r="G853" s="35">
        <f t="shared" si="14"/>
        <v>5.2036249999999997</v>
      </c>
      <c r="H853" s="39"/>
      <c r="I853" s="35"/>
      <c r="J853" s="34">
        <v>0</v>
      </c>
    </row>
    <row r="854" spans="1:10" ht="15.75" hidden="1" thickBot="1" x14ac:dyDescent="0.3">
      <c r="A854" s="262"/>
      <c r="B854" s="252"/>
      <c r="C854" s="40" t="s">
        <v>3803</v>
      </c>
      <c r="D854" s="40" t="s">
        <v>1035</v>
      </c>
      <c r="E854" s="41">
        <v>0.6</v>
      </c>
      <c r="F854" s="38">
        <v>3.9805000000000001</v>
      </c>
      <c r="G854" s="35">
        <f t="shared" si="14"/>
        <v>2.3883000000000001</v>
      </c>
      <c r="H854" s="39"/>
      <c r="I854" s="35"/>
      <c r="J854" s="34">
        <v>0</v>
      </c>
    </row>
    <row r="855" spans="1:10" ht="15.75" hidden="1" thickBot="1" x14ac:dyDescent="0.3">
      <c r="A855" s="263"/>
      <c r="B855" s="253"/>
      <c r="C855" s="40"/>
      <c r="D855" s="40"/>
      <c r="E855" s="41"/>
      <c r="F855" s="35" t="s">
        <v>23</v>
      </c>
      <c r="G855" s="35" t="str">
        <f t="shared" si="14"/>
        <v/>
      </c>
      <c r="H855" s="39"/>
      <c r="I855" s="35"/>
      <c r="J855" s="34">
        <v>0</v>
      </c>
    </row>
    <row r="856" spans="1:10" ht="15.75" thickBot="1" x14ac:dyDescent="0.3">
      <c r="A856" s="248" t="s">
        <v>211</v>
      </c>
      <c r="B856" s="251" t="s">
        <v>2194</v>
      </c>
      <c r="C856" s="28"/>
      <c r="D856" s="29" t="s">
        <v>78</v>
      </c>
      <c r="E856" s="30"/>
      <c r="F856" s="45" t="s">
        <v>23</v>
      </c>
      <c r="G856" s="31" t="str">
        <f t="shared" si="14"/>
        <v/>
      </c>
      <c r="H856" s="32"/>
      <c r="I856" s="33"/>
      <c r="J856" s="34">
        <v>1500</v>
      </c>
    </row>
    <row r="857" spans="1:10" x14ac:dyDescent="0.25">
      <c r="A857" s="249"/>
      <c r="B857" s="252"/>
      <c r="C857" s="36"/>
      <c r="D857" s="36"/>
      <c r="E857" s="37"/>
      <c r="F857" s="46" t="s">
        <v>23</v>
      </c>
      <c r="G857" s="35" t="str">
        <f t="shared" si="14"/>
        <v/>
      </c>
      <c r="H857" s="39"/>
      <c r="I857" s="35"/>
      <c r="J857" s="34">
        <v>1500</v>
      </c>
    </row>
    <row r="858" spans="1:10" x14ac:dyDescent="0.25">
      <c r="A858" s="249"/>
      <c r="B858" s="252"/>
      <c r="C858" s="40" t="s">
        <v>212</v>
      </c>
      <c r="D858" s="53" t="s">
        <v>78</v>
      </c>
      <c r="E858" s="41">
        <v>1</v>
      </c>
      <c r="F858" s="35">
        <v>652.726</v>
      </c>
      <c r="G858" s="38">
        <f t="shared" si="14"/>
        <v>652.726</v>
      </c>
      <c r="H858" s="43">
        <f>SUM(G858:G860)</f>
        <v>769.45724999999993</v>
      </c>
      <c r="I858" s="44"/>
      <c r="J858" s="34">
        <v>1500</v>
      </c>
    </row>
    <row r="859" spans="1:10" x14ac:dyDescent="0.25">
      <c r="A859" s="249"/>
      <c r="B859" s="252"/>
      <c r="C859" s="40" t="s">
        <v>3754</v>
      </c>
      <c r="D859" s="40" t="s">
        <v>3752</v>
      </c>
      <c r="E859" s="41">
        <v>2.5</v>
      </c>
      <c r="F859" s="35">
        <v>20.814499999999999</v>
      </c>
      <c r="G859" s="38">
        <f t="shared" si="14"/>
        <v>52.036249999999995</v>
      </c>
      <c r="H859" s="39"/>
      <c r="I859" s="35"/>
      <c r="J859" s="34">
        <v>1500</v>
      </c>
    </row>
    <row r="860" spans="1:10" x14ac:dyDescent="0.25">
      <c r="A860" s="249"/>
      <c r="B860" s="252"/>
      <c r="C860" s="40" t="s">
        <v>3767</v>
      </c>
      <c r="D860" s="40" t="s">
        <v>3752</v>
      </c>
      <c r="E860" s="41">
        <v>2.5</v>
      </c>
      <c r="F860" s="35">
        <v>25.877999999999997</v>
      </c>
      <c r="G860" s="38">
        <f t="shared" si="14"/>
        <v>64.694999999999993</v>
      </c>
      <c r="H860" s="39"/>
      <c r="I860" s="35"/>
      <c r="J860" s="34">
        <v>1500</v>
      </c>
    </row>
    <row r="861" spans="1:10" ht="15.75" thickBot="1" x14ac:dyDescent="0.3">
      <c r="A861" s="250"/>
      <c r="B861" s="253"/>
      <c r="C861" s="40"/>
      <c r="D861" s="40"/>
      <c r="E861" s="41"/>
      <c r="F861" s="35" t="s">
        <v>23</v>
      </c>
      <c r="G861" s="35" t="str">
        <f t="shared" si="14"/>
        <v/>
      </c>
      <c r="H861" s="39"/>
      <c r="I861" s="35"/>
      <c r="J861" s="34">
        <v>1500</v>
      </c>
    </row>
    <row r="862" spans="1:10" ht="15.75" hidden="1" thickBot="1" x14ac:dyDescent="0.3">
      <c r="A862" s="248" t="s">
        <v>213</v>
      </c>
      <c r="B862" s="251" t="s">
        <v>2195</v>
      </c>
      <c r="C862" s="28"/>
      <c r="D862" s="29" t="s">
        <v>78</v>
      </c>
      <c r="E862" s="30"/>
      <c r="F862" s="45" t="s">
        <v>23</v>
      </c>
      <c r="G862" s="31" t="str">
        <f t="shared" si="14"/>
        <v/>
      </c>
      <c r="H862" s="32"/>
      <c r="I862" s="33"/>
      <c r="J862" s="34">
        <v>0</v>
      </c>
    </row>
    <row r="863" spans="1:10" ht="15.75" hidden="1" thickBot="1" x14ac:dyDescent="0.3">
      <c r="A863" s="249"/>
      <c r="B863" s="252"/>
      <c r="C863" s="36"/>
      <c r="D863" s="36"/>
      <c r="E863" s="37"/>
      <c r="F863" s="46" t="s">
        <v>23</v>
      </c>
      <c r="G863" s="35" t="str">
        <f t="shared" si="14"/>
        <v/>
      </c>
      <c r="H863" s="39"/>
      <c r="I863" s="35"/>
      <c r="J863" s="34">
        <v>0</v>
      </c>
    </row>
    <row r="864" spans="1:10" ht="15.75" hidden="1" thickBot="1" x14ac:dyDescent="0.3">
      <c r="A864" s="249"/>
      <c r="B864" s="252"/>
      <c r="C864" s="40" t="s">
        <v>3767</v>
      </c>
      <c r="D864" s="40" t="s">
        <v>3752</v>
      </c>
      <c r="E864" s="41">
        <v>1</v>
      </c>
      <c r="F864" s="35">
        <v>25.877999999999997</v>
      </c>
      <c r="G864" s="38">
        <f t="shared" si="14"/>
        <v>25.877999999999997</v>
      </c>
      <c r="H864" s="43">
        <f>SUM(G864:G865)</f>
        <v>33.838999999999999</v>
      </c>
      <c r="I864" s="44"/>
      <c r="J864" s="34">
        <v>0</v>
      </c>
    </row>
    <row r="865" spans="1:10" ht="15.75" hidden="1" thickBot="1" x14ac:dyDescent="0.3">
      <c r="A865" s="249"/>
      <c r="B865" s="252"/>
      <c r="C865" s="40" t="s">
        <v>3803</v>
      </c>
      <c r="D865" s="40" t="s">
        <v>1035</v>
      </c>
      <c r="E865" s="41">
        <v>2</v>
      </c>
      <c r="F865" s="38">
        <v>3.9805000000000001</v>
      </c>
      <c r="G865" s="38">
        <f t="shared" si="14"/>
        <v>7.9610000000000003</v>
      </c>
      <c r="H865" s="39"/>
      <c r="I865" s="35"/>
      <c r="J865" s="34">
        <v>0</v>
      </c>
    </row>
    <row r="866" spans="1:10" ht="15.75" hidden="1" thickBot="1" x14ac:dyDescent="0.3">
      <c r="A866" s="249"/>
      <c r="B866" s="252"/>
      <c r="C866" s="40"/>
      <c r="D866" s="53"/>
      <c r="E866" s="41"/>
      <c r="F866" s="38" t="s">
        <v>23</v>
      </c>
      <c r="G866" s="38" t="str">
        <f t="shared" si="14"/>
        <v/>
      </c>
      <c r="H866" s="39"/>
      <c r="I866" s="35"/>
      <c r="J866" s="34">
        <v>0</v>
      </c>
    </row>
    <row r="867" spans="1:10" ht="15.75" thickBot="1" x14ac:dyDescent="0.3">
      <c r="A867" s="248" t="s">
        <v>214</v>
      </c>
      <c r="B867" s="251" t="s">
        <v>2196</v>
      </c>
      <c r="C867" s="28"/>
      <c r="D867" s="29" t="s">
        <v>121</v>
      </c>
      <c r="E867" s="30"/>
      <c r="F867" s="45" t="s">
        <v>23</v>
      </c>
      <c r="G867" s="31" t="str">
        <f t="shared" si="14"/>
        <v/>
      </c>
      <c r="H867" s="32"/>
      <c r="I867" s="33"/>
      <c r="J867" s="34">
        <v>22970</v>
      </c>
    </row>
    <row r="868" spans="1:10" x14ac:dyDescent="0.25">
      <c r="A868" s="262"/>
      <c r="B868" s="252"/>
      <c r="C868" s="36"/>
      <c r="D868" s="36"/>
      <c r="E868" s="37"/>
      <c r="F868" s="46" t="s">
        <v>23</v>
      </c>
      <c r="G868" s="35" t="str">
        <f t="shared" si="14"/>
        <v/>
      </c>
      <c r="H868" s="39"/>
      <c r="I868" s="35"/>
      <c r="J868" s="34">
        <v>22970</v>
      </c>
    </row>
    <row r="869" spans="1:10" x14ac:dyDescent="0.25">
      <c r="A869" s="262"/>
      <c r="B869" s="252"/>
      <c r="C869" s="40" t="s">
        <v>3767</v>
      </c>
      <c r="D869" s="40" t="s">
        <v>3752</v>
      </c>
      <c r="E869" s="41">
        <v>0.3</v>
      </c>
      <c r="F869" s="35">
        <v>25.877999999999997</v>
      </c>
      <c r="G869" s="35">
        <f t="shared" si="14"/>
        <v>7.763399999999999</v>
      </c>
      <c r="H869" s="43">
        <f>SUM(G869:G871)</f>
        <v>22.7152125</v>
      </c>
      <c r="I869" s="44"/>
      <c r="J869" s="34">
        <v>22970</v>
      </c>
    </row>
    <row r="870" spans="1:10" x14ac:dyDescent="0.25">
      <c r="A870" s="262"/>
      <c r="B870" s="252"/>
      <c r="C870" s="40" t="s">
        <v>3754</v>
      </c>
      <c r="D870" s="40" t="s">
        <v>3752</v>
      </c>
      <c r="E870" s="41">
        <v>0.3</v>
      </c>
      <c r="F870" s="38">
        <v>20.814499999999999</v>
      </c>
      <c r="G870" s="35">
        <f t="shared" si="14"/>
        <v>6.2443499999999998</v>
      </c>
      <c r="H870" s="39"/>
      <c r="I870" s="35"/>
      <c r="J870" s="34">
        <v>22970</v>
      </c>
    </row>
    <row r="871" spans="1:10" x14ac:dyDescent="0.25">
      <c r="A871" s="262"/>
      <c r="B871" s="252"/>
      <c r="C871" s="40" t="s">
        <v>3831</v>
      </c>
      <c r="D871" s="40" t="s">
        <v>291</v>
      </c>
      <c r="E871" s="41">
        <f>ROUND(1/3,4)</f>
        <v>0.33329999999999999</v>
      </c>
      <c r="F871" s="38">
        <v>26.125</v>
      </c>
      <c r="G871" s="35">
        <f t="shared" si="14"/>
        <v>8.7074625000000001</v>
      </c>
      <c r="H871" s="39"/>
      <c r="I871" s="35"/>
      <c r="J871" s="34">
        <v>22970</v>
      </c>
    </row>
    <row r="872" spans="1:10" x14ac:dyDescent="0.25">
      <c r="A872" s="262"/>
      <c r="B872" s="252"/>
      <c r="C872" s="40"/>
      <c r="D872" s="53"/>
      <c r="E872" s="41"/>
      <c r="F872" s="35" t="s">
        <v>23</v>
      </c>
      <c r="G872" s="35" t="str">
        <f t="shared" si="14"/>
        <v/>
      </c>
      <c r="H872" s="39"/>
      <c r="I872" s="35"/>
      <c r="J872" s="34">
        <v>22970</v>
      </c>
    </row>
    <row r="873" spans="1:10" ht="25.5" x14ac:dyDescent="0.25">
      <c r="A873" s="262"/>
      <c r="B873" s="252"/>
      <c r="C873" s="66" t="s">
        <v>215</v>
      </c>
      <c r="D873" s="66"/>
      <c r="E873" s="67"/>
      <c r="F873" s="68" t="s">
        <v>23</v>
      </c>
      <c r="G873" s="66" t="str">
        <f t="shared" si="14"/>
        <v/>
      </c>
      <c r="H873" s="69"/>
      <c r="I873" s="66"/>
      <c r="J873" s="34">
        <v>22970</v>
      </c>
    </row>
    <row r="874" spans="1:10" ht="15.75" thickBot="1" x14ac:dyDescent="0.3">
      <c r="A874" s="263"/>
      <c r="B874" s="253"/>
      <c r="C874" s="40"/>
      <c r="D874" s="40"/>
      <c r="E874" s="41"/>
      <c r="F874" s="35" t="s">
        <v>23</v>
      </c>
      <c r="G874" s="35" t="str">
        <f t="shared" si="14"/>
        <v/>
      </c>
      <c r="H874" s="39"/>
      <c r="I874" s="35"/>
      <c r="J874" s="34">
        <v>22970</v>
      </c>
    </row>
    <row r="875" spans="1:10" ht="15.75" thickBot="1" x14ac:dyDescent="0.3">
      <c r="A875" s="248" t="s">
        <v>216</v>
      </c>
      <c r="B875" s="251" t="s">
        <v>2197</v>
      </c>
      <c r="C875" s="28"/>
      <c r="D875" s="29" t="s">
        <v>78</v>
      </c>
      <c r="E875" s="30"/>
      <c r="F875" s="45" t="s">
        <v>23</v>
      </c>
      <c r="G875" s="31" t="str">
        <f t="shared" si="14"/>
        <v/>
      </c>
      <c r="H875" s="32"/>
      <c r="I875" s="33"/>
      <c r="J875" s="34">
        <v>1470</v>
      </c>
    </row>
    <row r="876" spans="1:10" x14ac:dyDescent="0.25">
      <c r="A876" s="262"/>
      <c r="B876" s="252"/>
      <c r="C876" s="36"/>
      <c r="D876" s="36"/>
      <c r="E876" s="37"/>
      <c r="F876" s="46" t="s">
        <v>23</v>
      </c>
      <c r="G876" s="35" t="str">
        <f t="shared" si="14"/>
        <v/>
      </c>
      <c r="H876" s="39"/>
      <c r="I876" s="35"/>
      <c r="J876" s="34">
        <v>1470</v>
      </c>
    </row>
    <row r="877" spans="1:10" x14ac:dyDescent="0.25">
      <c r="A877" s="262"/>
      <c r="B877" s="252"/>
      <c r="C877" s="40" t="s">
        <v>3976</v>
      </c>
      <c r="D877" s="40" t="s">
        <v>177</v>
      </c>
      <c r="E877" s="41">
        <v>1</v>
      </c>
      <c r="F877" s="35">
        <v>62.538499999999992</v>
      </c>
      <c r="G877" s="38">
        <f t="shared" si="14"/>
        <v>62.538499999999992</v>
      </c>
      <c r="H877" s="43">
        <f>SUM(G877:G881)</f>
        <v>107.85871549999999</v>
      </c>
      <c r="I877" s="44"/>
      <c r="J877" s="34">
        <v>1470</v>
      </c>
    </row>
    <row r="878" spans="1:10" x14ac:dyDescent="0.25">
      <c r="A878" s="262"/>
      <c r="B878" s="252"/>
      <c r="C878" s="40" t="s">
        <v>4144</v>
      </c>
      <c r="D878" s="40" t="s">
        <v>1035</v>
      </c>
      <c r="E878" s="41">
        <v>3.3000000000000002E-2</v>
      </c>
      <c r="F878" s="38">
        <v>23.360499999999998</v>
      </c>
      <c r="G878" s="38">
        <f t="shared" si="14"/>
        <v>0.77089649999999998</v>
      </c>
      <c r="H878" s="39"/>
      <c r="I878" s="35"/>
      <c r="J878" s="34">
        <v>1470</v>
      </c>
    </row>
    <row r="879" spans="1:10" x14ac:dyDescent="0.25">
      <c r="A879" s="262"/>
      <c r="B879" s="252"/>
      <c r="C879" s="40" t="s">
        <v>3831</v>
      </c>
      <c r="D879" s="40" t="s">
        <v>291</v>
      </c>
      <c r="E879" s="41">
        <v>0.56499999999999995</v>
      </c>
      <c r="F879" s="38">
        <v>26.125</v>
      </c>
      <c r="G879" s="38">
        <f t="shared" si="14"/>
        <v>14.760624999999999</v>
      </c>
      <c r="H879" s="39"/>
      <c r="I879" s="35"/>
      <c r="J879" s="34">
        <v>1470</v>
      </c>
    </row>
    <row r="880" spans="1:10" x14ac:dyDescent="0.25">
      <c r="A880" s="262"/>
      <c r="B880" s="252"/>
      <c r="C880" s="40" t="s">
        <v>3754</v>
      </c>
      <c r="D880" s="40" t="s">
        <v>3752</v>
      </c>
      <c r="E880" s="41">
        <v>0.628</v>
      </c>
      <c r="F880" s="38">
        <v>20.814499999999999</v>
      </c>
      <c r="G880" s="38">
        <f t="shared" si="14"/>
        <v>13.071505999999999</v>
      </c>
      <c r="H880" s="39"/>
      <c r="I880" s="35"/>
      <c r="J880" s="34">
        <v>1470</v>
      </c>
    </row>
    <row r="881" spans="1:10" x14ac:dyDescent="0.25">
      <c r="A881" s="262"/>
      <c r="B881" s="252"/>
      <c r="C881" s="40" t="s">
        <v>3767</v>
      </c>
      <c r="D881" s="40" t="s">
        <v>3752</v>
      </c>
      <c r="E881" s="41">
        <v>0.64600000000000002</v>
      </c>
      <c r="F881" s="38">
        <v>25.877999999999997</v>
      </c>
      <c r="G881" s="38">
        <f t="shared" si="14"/>
        <v>16.717187999999997</v>
      </c>
      <c r="H881" s="39"/>
      <c r="I881" s="35"/>
      <c r="J881" s="34">
        <v>1470</v>
      </c>
    </row>
    <row r="882" spans="1:10" ht="15.75" thickBot="1" x14ac:dyDescent="0.3">
      <c r="A882" s="263"/>
      <c r="B882" s="253"/>
      <c r="C882" s="40"/>
      <c r="D882" s="40"/>
      <c r="E882" s="41"/>
      <c r="F882" s="35" t="s">
        <v>23</v>
      </c>
      <c r="G882" s="35" t="str">
        <f t="shared" si="14"/>
        <v/>
      </c>
      <c r="H882" s="39"/>
      <c r="I882" s="35"/>
      <c r="J882" s="34">
        <v>1470</v>
      </c>
    </row>
    <row r="883" spans="1:10" ht="15.75" thickBot="1" x14ac:dyDescent="0.3">
      <c r="A883" s="248" t="s">
        <v>217</v>
      </c>
      <c r="B883" s="251" t="s">
        <v>2198</v>
      </c>
      <c r="C883" s="28"/>
      <c r="D883" s="29" t="s">
        <v>78</v>
      </c>
      <c r="E883" s="30"/>
      <c r="F883" s="45" t="s">
        <v>23</v>
      </c>
      <c r="G883" s="31" t="str">
        <f t="shared" si="14"/>
        <v/>
      </c>
      <c r="H883" s="32"/>
      <c r="I883" s="33"/>
      <c r="J883" s="34">
        <v>5300</v>
      </c>
    </row>
    <row r="884" spans="1:10" x14ac:dyDescent="0.25">
      <c r="A884" s="262"/>
      <c r="B884" s="252"/>
      <c r="C884" s="36"/>
      <c r="D884" s="36"/>
      <c r="E884" s="37"/>
      <c r="F884" s="46" t="s">
        <v>23</v>
      </c>
      <c r="G884" s="35" t="str">
        <f t="shared" si="14"/>
        <v/>
      </c>
      <c r="H884" s="39"/>
      <c r="I884" s="35"/>
      <c r="J884" s="34">
        <v>5300</v>
      </c>
    </row>
    <row r="885" spans="1:10" x14ac:dyDescent="0.25">
      <c r="A885" s="262"/>
      <c r="B885" s="252"/>
      <c r="C885" s="40" t="s">
        <v>3812</v>
      </c>
      <c r="D885" s="40" t="s">
        <v>177</v>
      </c>
      <c r="E885" s="41">
        <v>1</v>
      </c>
      <c r="F885" s="35">
        <v>88.587499999999991</v>
      </c>
      <c r="G885" s="35">
        <f t="shared" si="14"/>
        <v>88.587499999999991</v>
      </c>
      <c r="H885" s="43">
        <f>SUM(G885:G889)</f>
        <v>116.572581</v>
      </c>
      <c r="I885" s="44"/>
      <c r="J885" s="34">
        <v>5300</v>
      </c>
    </row>
    <row r="886" spans="1:10" x14ac:dyDescent="0.25">
      <c r="A886" s="262"/>
      <c r="B886" s="252"/>
      <c r="C886" s="40" t="s">
        <v>4144</v>
      </c>
      <c r="D886" s="40" t="s">
        <v>1035</v>
      </c>
      <c r="E886" s="41">
        <v>2.1000000000000001E-2</v>
      </c>
      <c r="F886" s="38">
        <v>23.360499999999998</v>
      </c>
      <c r="G886" s="35">
        <f t="shared" si="14"/>
        <v>0.49057050000000002</v>
      </c>
      <c r="H886" s="39"/>
      <c r="I886" s="35"/>
      <c r="J886" s="34">
        <v>5300</v>
      </c>
    </row>
    <row r="887" spans="1:10" x14ac:dyDescent="0.25">
      <c r="A887" s="262"/>
      <c r="B887" s="252"/>
      <c r="C887" s="40" t="s">
        <v>3831</v>
      </c>
      <c r="D887" s="40" t="s">
        <v>291</v>
      </c>
      <c r="E887" s="41">
        <v>0.35699999999999998</v>
      </c>
      <c r="F887" s="38">
        <v>26.125</v>
      </c>
      <c r="G887" s="35">
        <f t="shared" si="14"/>
        <v>9.3266249999999999</v>
      </c>
      <c r="H887" s="39"/>
      <c r="I887" s="35"/>
      <c r="J887" s="34">
        <v>5300</v>
      </c>
    </row>
    <row r="888" spans="1:10" x14ac:dyDescent="0.25">
      <c r="A888" s="262"/>
      <c r="B888" s="252"/>
      <c r="C888" s="40" t="s">
        <v>3754</v>
      </c>
      <c r="D888" s="40" t="s">
        <v>3752</v>
      </c>
      <c r="E888" s="41">
        <v>0.38300000000000001</v>
      </c>
      <c r="F888" s="38">
        <v>20.814499999999999</v>
      </c>
      <c r="G888" s="35">
        <f t="shared" si="14"/>
        <v>7.9719534999999997</v>
      </c>
      <c r="H888" s="39"/>
      <c r="I888" s="35"/>
      <c r="J888" s="34">
        <v>5300</v>
      </c>
    </row>
    <row r="889" spans="1:10" x14ac:dyDescent="0.25">
      <c r="A889" s="262"/>
      <c r="B889" s="252"/>
      <c r="C889" s="40" t="s">
        <v>3767</v>
      </c>
      <c r="D889" s="40" t="s">
        <v>3752</v>
      </c>
      <c r="E889" s="41">
        <v>0.39400000000000002</v>
      </c>
      <c r="F889" s="38">
        <v>25.877999999999997</v>
      </c>
      <c r="G889" s="35">
        <f t="shared" si="14"/>
        <v>10.195931999999999</v>
      </c>
      <c r="H889" s="39"/>
      <c r="I889" s="35"/>
      <c r="J889" s="34">
        <v>5300</v>
      </c>
    </row>
    <row r="890" spans="1:10" ht="15.75" thickBot="1" x14ac:dyDescent="0.3">
      <c r="A890" s="263"/>
      <c r="B890" s="253"/>
      <c r="C890" s="40"/>
      <c r="D890" s="40"/>
      <c r="E890" s="41"/>
      <c r="F890" s="35" t="s">
        <v>23</v>
      </c>
      <c r="G890" s="35" t="str">
        <f t="shared" si="14"/>
        <v/>
      </c>
      <c r="H890" s="39"/>
      <c r="I890" s="35"/>
      <c r="J890" s="34">
        <v>5300</v>
      </c>
    </row>
    <row r="891" spans="1:10" ht="15.75" hidden="1" thickBot="1" x14ac:dyDescent="0.3">
      <c r="A891" s="248" t="s">
        <v>218</v>
      </c>
      <c r="B891" s="251" t="s">
        <v>2199</v>
      </c>
      <c r="C891" s="28"/>
      <c r="D891" s="29" t="s">
        <v>78</v>
      </c>
      <c r="E891" s="30"/>
      <c r="F891" s="45" t="s">
        <v>23</v>
      </c>
      <c r="G891" s="31" t="str">
        <f t="shared" si="14"/>
        <v/>
      </c>
      <c r="H891" s="32"/>
      <c r="I891" s="33"/>
      <c r="J891" s="34">
        <v>0</v>
      </c>
    </row>
    <row r="892" spans="1:10" ht="15.75" hidden="1" thickBot="1" x14ac:dyDescent="0.3">
      <c r="A892" s="249"/>
      <c r="B892" s="252"/>
      <c r="C892" s="36"/>
      <c r="D892" s="36"/>
      <c r="E892" s="37"/>
      <c r="F892" s="46" t="s">
        <v>23</v>
      </c>
      <c r="G892" s="35" t="str">
        <f t="shared" si="14"/>
        <v/>
      </c>
      <c r="H892" s="39"/>
      <c r="I892" s="35"/>
      <c r="J892" s="34">
        <v>0</v>
      </c>
    </row>
    <row r="893" spans="1:10" ht="15.75" hidden="1" thickBot="1" x14ac:dyDescent="0.3">
      <c r="A893" s="249"/>
      <c r="B893" s="252"/>
      <c r="C893" s="40" t="s">
        <v>3767</v>
      </c>
      <c r="D893" s="40" t="s">
        <v>3752</v>
      </c>
      <c r="E893" s="41">
        <f>2.2/2</f>
        <v>1.1000000000000001</v>
      </c>
      <c r="F893" s="35">
        <v>25.877999999999997</v>
      </c>
      <c r="G893" s="38">
        <f t="shared" si="14"/>
        <v>28.465799999999998</v>
      </c>
      <c r="H893" s="43">
        <f>SUM(G893:G894)</f>
        <v>51.361750000000001</v>
      </c>
      <c r="I893" s="44"/>
      <c r="J893" s="34">
        <v>0</v>
      </c>
    </row>
    <row r="894" spans="1:10" ht="15.75" hidden="1" thickBot="1" x14ac:dyDescent="0.3">
      <c r="A894" s="249"/>
      <c r="B894" s="252"/>
      <c r="C894" s="40" t="s">
        <v>3754</v>
      </c>
      <c r="D894" s="40" t="s">
        <v>3752</v>
      </c>
      <c r="E894" s="41">
        <f>2.2/2</f>
        <v>1.1000000000000001</v>
      </c>
      <c r="F894" s="35">
        <v>20.814499999999999</v>
      </c>
      <c r="G894" s="38">
        <f t="shared" si="14"/>
        <v>22.895949999999999</v>
      </c>
      <c r="H894" s="39"/>
      <c r="I894" s="35"/>
      <c r="J894" s="34">
        <v>0</v>
      </c>
    </row>
    <row r="895" spans="1:10" ht="15.75" hidden="1" thickBot="1" x14ac:dyDescent="0.3">
      <c r="A895" s="250"/>
      <c r="B895" s="253"/>
      <c r="C895" s="40"/>
      <c r="D895" s="40"/>
      <c r="E895" s="41"/>
      <c r="F895" s="35" t="s">
        <v>23</v>
      </c>
      <c r="G895" s="35" t="str">
        <f t="shared" si="14"/>
        <v/>
      </c>
      <c r="H895" s="39"/>
      <c r="I895" s="35"/>
      <c r="J895" s="34">
        <v>0</v>
      </c>
    </row>
    <row r="896" spans="1:10" ht="15.75" hidden="1" thickBot="1" x14ac:dyDescent="0.3">
      <c r="A896" s="248" t="s">
        <v>219</v>
      </c>
      <c r="B896" s="251" t="s">
        <v>2200</v>
      </c>
      <c r="C896" s="28"/>
      <c r="D896" s="29" t="s">
        <v>28</v>
      </c>
      <c r="E896" s="30"/>
      <c r="F896" s="45" t="s">
        <v>23</v>
      </c>
      <c r="G896" s="31" t="str">
        <f t="shared" si="14"/>
        <v/>
      </c>
      <c r="H896" s="32"/>
      <c r="I896" s="33"/>
      <c r="J896" s="34">
        <v>0</v>
      </c>
    </row>
    <row r="897" spans="1:10" ht="15.75" hidden="1" thickBot="1" x14ac:dyDescent="0.3">
      <c r="A897" s="249"/>
      <c r="B897" s="252"/>
      <c r="C897" s="36"/>
      <c r="D897" s="36"/>
      <c r="E897" s="37"/>
      <c r="F897" s="46" t="s">
        <v>23</v>
      </c>
      <c r="G897" s="35" t="str">
        <f t="shared" si="14"/>
        <v/>
      </c>
      <c r="H897" s="39"/>
      <c r="I897" s="35"/>
      <c r="J897" s="34">
        <v>0</v>
      </c>
    </row>
    <row r="898" spans="1:10" ht="15.75" hidden="1" thickBot="1" x14ac:dyDescent="0.3">
      <c r="A898" s="249"/>
      <c r="B898" s="252"/>
      <c r="C898" s="40" t="s">
        <v>3767</v>
      </c>
      <c r="D898" s="40" t="s">
        <v>3752</v>
      </c>
      <c r="E898" s="41">
        <v>1.8180000000000001</v>
      </c>
      <c r="F898" s="35">
        <v>25.877999999999997</v>
      </c>
      <c r="G898" s="38">
        <f t="shared" si="14"/>
        <v>47.046203999999996</v>
      </c>
      <c r="H898" s="43">
        <f>SUM(G898:G901)</f>
        <v>945.82542549999994</v>
      </c>
      <c r="I898" s="44"/>
      <c r="J898" s="34">
        <v>0</v>
      </c>
    </row>
    <row r="899" spans="1:10" ht="15.75" hidden="1" thickBot="1" x14ac:dyDescent="0.3">
      <c r="A899" s="249"/>
      <c r="B899" s="252"/>
      <c r="C899" s="40" t="s">
        <v>3754</v>
      </c>
      <c r="D899" s="40" t="s">
        <v>3752</v>
      </c>
      <c r="E899" s="41">
        <v>1.7669999999999999</v>
      </c>
      <c r="F899" s="35">
        <v>20.814499999999999</v>
      </c>
      <c r="G899" s="38">
        <f t="shared" si="14"/>
        <v>36.779221499999998</v>
      </c>
      <c r="H899" s="48"/>
      <c r="I899" s="49"/>
      <c r="J899" s="34">
        <v>0</v>
      </c>
    </row>
    <row r="900" spans="1:10" ht="39" hidden="1" thickBot="1" x14ac:dyDescent="0.3">
      <c r="A900" s="249"/>
      <c r="B900" s="252"/>
      <c r="C900" s="40" t="s">
        <v>220</v>
      </c>
      <c r="D900" s="40" t="s">
        <v>28</v>
      </c>
      <c r="E900" s="41">
        <v>1</v>
      </c>
      <c r="F900" s="35">
        <v>769</v>
      </c>
      <c r="G900" s="35">
        <f t="shared" si="14"/>
        <v>769</v>
      </c>
      <c r="H900" s="39"/>
      <c r="I900" s="35"/>
      <c r="J900" s="34">
        <v>0</v>
      </c>
    </row>
    <row r="901" spans="1:10" ht="15.75" hidden="1" thickBot="1" x14ac:dyDescent="0.3">
      <c r="A901" s="249"/>
      <c r="B901" s="252"/>
      <c r="C901" s="40" t="s">
        <v>221</v>
      </c>
      <c r="D901" s="40" t="s">
        <v>28</v>
      </c>
      <c r="E901" s="41">
        <v>1</v>
      </c>
      <c r="F901" s="35">
        <v>93</v>
      </c>
      <c r="G901" s="35">
        <f t="shared" si="14"/>
        <v>93</v>
      </c>
      <c r="H901" s="39"/>
      <c r="I901" s="35"/>
      <c r="J901" s="34">
        <v>0</v>
      </c>
    </row>
    <row r="902" spans="1:10" ht="15.75" hidden="1" thickBot="1" x14ac:dyDescent="0.3">
      <c r="A902" s="250"/>
      <c r="B902" s="253"/>
      <c r="C902" s="40"/>
      <c r="D902" s="40"/>
      <c r="E902" s="41"/>
      <c r="F902" s="35" t="s">
        <v>23</v>
      </c>
      <c r="G902" s="35" t="str">
        <f t="shared" si="14"/>
        <v/>
      </c>
      <c r="H902" s="39"/>
      <c r="I902" s="35"/>
      <c r="J902" s="34">
        <v>0</v>
      </c>
    </row>
    <row r="903" spans="1:10" ht="15.75" hidden="1" thickBot="1" x14ac:dyDescent="0.3">
      <c r="A903" s="248" t="s">
        <v>222</v>
      </c>
      <c r="B903" s="251" t="s">
        <v>2201</v>
      </c>
      <c r="C903" s="28"/>
      <c r="D903" s="29" t="s">
        <v>121</v>
      </c>
      <c r="E903" s="30"/>
      <c r="F903" s="45" t="s">
        <v>23</v>
      </c>
      <c r="G903" s="31" t="str">
        <f t="shared" si="14"/>
        <v/>
      </c>
      <c r="H903" s="32"/>
      <c r="I903" s="33"/>
      <c r="J903" s="34">
        <v>0</v>
      </c>
    </row>
    <row r="904" spans="1:10" ht="15.75" hidden="1" thickBot="1" x14ac:dyDescent="0.3">
      <c r="A904" s="249"/>
      <c r="B904" s="252"/>
      <c r="C904" s="36"/>
      <c r="D904" s="36"/>
      <c r="E904" s="37"/>
      <c r="F904" s="46" t="s">
        <v>23</v>
      </c>
      <c r="G904" s="35" t="str">
        <f t="shared" si="14"/>
        <v/>
      </c>
      <c r="H904" s="39"/>
      <c r="I904" s="35"/>
      <c r="J904" s="34">
        <v>0</v>
      </c>
    </row>
    <row r="905" spans="1:10" ht="15.75" hidden="1" thickBot="1" x14ac:dyDescent="0.3">
      <c r="A905" s="249"/>
      <c r="B905" s="252"/>
      <c r="C905" s="40" t="s">
        <v>3787</v>
      </c>
      <c r="D905" s="40" t="s">
        <v>3752</v>
      </c>
      <c r="E905" s="41">
        <f>ROUND(1/3,4)</f>
        <v>0.33329999999999999</v>
      </c>
      <c r="F905" s="35">
        <v>21.963999999999999</v>
      </c>
      <c r="G905" s="38">
        <f t="shared" si="14"/>
        <v>7.3206011999999996</v>
      </c>
      <c r="H905" s="43">
        <f>SUM(G905:G905)</f>
        <v>7.3206011999999996</v>
      </c>
      <c r="I905" s="44"/>
      <c r="J905" s="34">
        <v>0</v>
      </c>
    </row>
    <row r="906" spans="1:10" ht="15.75" hidden="1" thickBot="1" x14ac:dyDescent="0.3">
      <c r="A906" s="250"/>
      <c r="B906" s="253"/>
      <c r="C906" s="40"/>
      <c r="D906" s="40"/>
      <c r="E906" s="41"/>
      <c r="F906" s="35" t="s">
        <v>23</v>
      </c>
      <c r="G906" s="35" t="str">
        <f t="shared" si="14"/>
        <v/>
      </c>
      <c r="H906" s="39"/>
      <c r="I906" s="35"/>
      <c r="J906" s="34">
        <v>0</v>
      </c>
    </row>
    <row r="907" spans="1:10" ht="15.75" hidden="1" thickBot="1" x14ac:dyDescent="0.3">
      <c r="A907" s="248" t="s">
        <v>223</v>
      </c>
      <c r="B907" s="251" t="s">
        <v>2204</v>
      </c>
      <c r="C907" s="28"/>
      <c r="D907" s="29" t="s">
        <v>28</v>
      </c>
      <c r="E907" s="30"/>
      <c r="F907" s="45" t="s">
        <v>23</v>
      </c>
      <c r="G907" s="31" t="str">
        <f t="shared" si="14"/>
        <v/>
      </c>
      <c r="H907" s="32"/>
      <c r="I907" s="33"/>
      <c r="J907" s="34">
        <v>0</v>
      </c>
    </row>
    <row r="908" spans="1:10" ht="15.75" hidden="1" thickBot="1" x14ac:dyDescent="0.3">
      <c r="A908" s="249"/>
      <c r="B908" s="252"/>
      <c r="C908" s="36"/>
      <c r="D908" s="36"/>
      <c r="E908" s="37"/>
      <c r="F908" s="46" t="s">
        <v>23</v>
      </c>
      <c r="G908" s="35" t="str">
        <f t="shared" si="14"/>
        <v/>
      </c>
      <c r="H908" s="39"/>
      <c r="I908" s="35"/>
      <c r="J908" s="34">
        <v>0</v>
      </c>
    </row>
    <row r="909" spans="1:10" ht="26.25" hidden="1" thickBot="1" x14ac:dyDescent="0.3">
      <c r="A909" s="249"/>
      <c r="B909" s="252"/>
      <c r="C909" s="40" t="s">
        <v>4110</v>
      </c>
      <c r="D909" s="40" t="s">
        <v>3752</v>
      </c>
      <c r="E909" s="41">
        <v>0.2</v>
      </c>
      <c r="F909" s="35">
        <v>27.341000000000001</v>
      </c>
      <c r="G909" s="38">
        <f t="shared" si="14"/>
        <v>5.4682000000000004</v>
      </c>
      <c r="H909" s="43">
        <f>SUM(G909:G911)</f>
        <v>21.570699999999999</v>
      </c>
      <c r="I909" s="44"/>
      <c r="J909" s="34">
        <v>0</v>
      </c>
    </row>
    <row r="910" spans="1:10" ht="26.25" hidden="1" thickBot="1" x14ac:dyDescent="0.3">
      <c r="A910" s="249"/>
      <c r="B910" s="252"/>
      <c r="C910" s="40" t="s">
        <v>3858</v>
      </c>
      <c r="D910" s="40" t="s">
        <v>291</v>
      </c>
      <c r="E910" s="41">
        <v>1</v>
      </c>
      <c r="F910" s="38">
        <v>16.102499999999999</v>
      </c>
      <c r="G910" s="59">
        <f t="shared" si="14"/>
        <v>16.102499999999999</v>
      </c>
      <c r="H910" s="39"/>
      <c r="I910" s="35"/>
      <c r="J910" s="34">
        <v>0</v>
      </c>
    </row>
    <row r="911" spans="1:10" ht="26.25" hidden="1" thickBot="1" x14ac:dyDescent="0.3">
      <c r="A911" s="249"/>
      <c r="B911" s="252"/>
      <c r="C911" s="40" t="s">
        <v>224</v>
      </c>
      <c r="D911" s="40" t="s">
        <v>28</v>
      </c>
      <c r="E911" s="41">
        <v>1</v>
      </c>
      <c r="F911" s="38" t="s">
        <v>23</v>
      </c>
      <c r="G911" s="35" t="str">
        <f t="shared" si="14"/>
        <v/>
      </c>
      <c r="H911" s="39"/>
      <c r="I911" s="35"/>
      <c r="J911" s="34">
        <v>0</v>
      </c>
    </row>
    <row r="912" spans="1:10" ht="15.75" hidden="1" thickBot="1" x14ac:dyDescent="0.3">
      <c r="A912" s="250"/>
      <c r="B912" s="253"/>
      <c r="C912" s="40"/>
      <c r="D912" s="40"/>
      <c r="E912" s="41"/>
      <c r="F912" s="35" t="s">
        <v>23</v>
      </c>
      <c r="G912" s="35" t="str">
        <f t="shared" si="14"/>
        <v/>
      </c>
      <c r="H912" s="39"/>
      <c r="I912" s="35"/>
      <c r="J912" s="34">
        <v>0</v>
      </c>
    </row>
    <row r="913" spans="1:10" ht="15.75" hidden="1" thickBot="1" x14ac:dyDescent="0.3">
      <c r="A913" s="248" t="s">
        <v>225</v>
      </c>
      <c r="B913" s="251" t="s">
        <v>2205</v>
      </c>
      <c r="C913" s="28"/>
      <c r="D913" s="29" t="s">
        <v>121</v>
      </c>
      <c r="E913" s="30"/>
      <c r="F913" s="45" t="s">
        <v>23</v>
      </c>
      <c r="G913" s="31" t="str">
        <f t="shared" si="14"/>
        <v/>
      </c>
      <c r="H913" s="32"/>
      <c r="I913" s="33"/>
      <c r="J913" s="34">
        <v>0</v>
      </c>
    </row>
    <row r="914" spans="1:10" ht="15.75" hidden="1" thickBot="1" x14ac:dyDescent="0.3">
      <c r="A914" s="249"/>
      <c r="B914" s="252"/>
      <c r="C914" s="36"/>
      <c r="D914" s="36"/>
      <c r="E914" s="37"/>
      <c r="F914" s="46" t="s">
        <v>23</v>
      </c>
      <c r="G914" s="35" t="str">
        <f t="shared" ref="G914:G977" si="15">IF(ISNUMBER(F914),E914*F914,"")</f>
        <v/>
      </c>
      <c r="H914" s="39"/>
      <c r="I914" s="35"/>
      <c r="J914" s="34">
        <v>0</v>
      </c>
    </row>
    <row r="915" spans="1:10" ht="26.25" hidden="1" thickBot="1" x14ac:dyDescent="0.3">
      <c r="A915" s="249"/>
      <c r="B915" s="252"/>
      <c r="C915" s="40" t="s">
        <v>3859</v>
      </c>
      <c r="D915" s="40" t="s">
        <v>1286</v>
      </c>
      <c r="E915" s="41">
        <v>1.0353000000000001</v>
      </c>
      <c r="F915" s="38">
        <v>27.189</v>
      </c>
      <c r="G915" s="38">
        <f t="shared" si="15"/>
        <v>28.148771700000005</v>
      </c>
      <c r="H915" s="43">
        <f>SUM(G915:G918)</f>
        <v>47.873028900000008</v>
      </c>
      <c r="I915" s="44"/>
      <c r="J915" s="34">
        <v>0</v>
      </c>
    </row>
    <row r="916" spans="1:10" ht="15.75" hidden="1" thickBot="1" x14ac:dyDescent="0.3">
      <c r="A916" s="249"/>
      <c r="B916" s="252"/>
      <c r="C916" s="40" t="s">
        <v>4498</v>
      </c>
      <c r="D916" s="40" t="s">
        <v>291</v>
      </c>
      <c r="E916" s="41">
        <v>2.24E-2</v>
      </c>
      <c r="F916" s="38">
        <v>2.1564999999999999</v>
      </c>
      <c r="G916" s="38">
        <f t="shared" si="15"/>
        <v>4.8305599999999997E-2</v>
      </c>
      <c r="H916" s="48"/>
      <c r="I916" s="49"/>
      <c r="J916" s="34">
        <v>0</v>
      </c>
    </row>
    <row r="917" spans="1:10" ht="26.25" hidden="1" thickBot="1" x14ac:dyDescent="0.3">
      <c r="A917" s="249"/>
      <c r="B917" s="252"/>
      <c r="C917" s="40" t="s">
        <v>4119</v>
      </c>
      <c r="D917" s="40" t="s">
        <v>3752</v>
      </c>
      <c r="E917" s="41">
        <v>0.40239999999999998</v>
      </c>
      <c r="F917" s="38">
        <v>21.555499999999999</v>
      </c>
      <c r="G917" s="38">
        <f t="shared" si="15"/>
        <v>8.6739331999999987</v>
      </c>
      <c r="H917" s="48"/>
      <c r="I917" s="49"/>
      <c r="J917" s="34">
        <v>0</v>
      </c>
    </row>
    <row r="918" spans="1:10" ht="26.25" hidden="1" thickBot="1" x14ac:dyDescent="0.3">
      <c r="A918" s="249"/>
      <c r="B918" s="252"/>
      <c r="C918" s="40" t="s">
        <v>4110</v>
      </c>
      <c r="D918" s="40" t="s">
        <v>3752</v>
      </c>
      <c r="E918" s="41">
        <v>0.40239999999999998</v>
      </c>
      <c r="F918" s="38">
        <v>27.341000000000001</v>
      </c>
      <c r="G918" s="38">
        <f t="shared" si="15"/>
        <v>11.002018400000001</v>
      </c>
      <c r="H918" s="48"/>
      <c r="I918" s="49"/>
      <c r="J918" s="34">
        <v>0</v>
      </c>
    </row>
    <row r="919" spans="1:10" ht="15.75" hidden="1" thickBot="1" x14ac:dyDescent="0.3">
      <c r="A919" s="250"/>
      <c r="B919" s="253"/>
      <c r="C919" s="40"/>
      <c r="D919" s="40"/>
      <c r="E919" s="41"/>
      <c r="F919" s="35" t="s">
        <v>23</v>
      </c>
      <c r="G919" s="35" t="str">
        <f t="shared" si="15"/>
        <v/>
      </c>
      <c r="H919" s="39"/>
      <c r="I919" s="35"/>
      <c r="J919" s="34">
        <v>0</v>
      </c>
    </row>
    <row r="920" spans="1:10" ht="15.75" hidden="1" thickBot="1" x14ac:dyDescent="0.3">
      <c r="A920" s="248" t="s">
        <v>226</v>
      </c>
      <c r="B920" s="251" t="s">
        <v>2206</v>
      </c>
      <c r="C920" s="28"/>
      <c r="D920" s="29" t="s">
        <v>121</v>
      </c>
      <c r="E920" s="30"/>
      <c r="F920" s="45" t="s">
        <v>23</v>
      </c>
      <c r="G920" s="31" t="str">
        <f t="shared" si="15"/>
        <v/>
      </c>
      <c r="H920" s="32"/>
      <c r="I920" s="33"/>
      <c r="J920" s="34">
        <v>0</v>
      </c>
    </row>
    <row r="921" spans="1:10" ht="15.75" hidden="1" thickBot="1" x14ac:dyDescent="0.3">
      <c r="A921" s="249"/>
      <c r="B921" s="252"/>
      <c r="C921" s="36"/>
      <c r="D921" s="36"/>
      <c r="E921" s="37"/>
      <c r="F921" s="46" t="s">
        <v>23</v>
      </c>
      <c r="G921" s="35" t="str">
        <f t="shared" si="15"/>
        <v/>
      </c>
      <c r="H921" s="39"/>
      <c r="I921" s="35"/>
      <c r="J921" s="34">
        <v>0</v>
      </c>
    </row>
    <row r="922" spans="1:10" ht="26.25" hidden="1" thickBot="1" x14ac:dyDescent="0.3">
      <c r="A922" s="249"/>
      <c r="B922" s="252"/>
      <c r="C922" s="40" t="s">
        <v>3860</v>
      </c>
      <c r="D922" s="40" t="s">
        <v>1286</v>
      </c>
      <c r="E922" s="41">
        <v>1.0349999999999999</v>
      </c>
      <c r="F922" s="38">
        <v>8.8159999999999989</v>
      </c>
      <c r="G922" s="38">
        <f t="shared" si="15"/>
        <v>9.1245599999999989</v>
      </c>
      <c r="H922" s="43">
        <f>SUM(G922:G925)</f>
        <v>16.39359425</v>
      </c>
      <c r="I922" s="44"/>
      <c r="J922" s="34">
        <v>0</v>
      </c>
    </row>
    <row r="923" spans="1:10" ht="15.75" hidden="1" thickBot="1" x14ac:dyDescent="0.3">
      <c r="A923" s="249"/>
      <c r="B923" s="252"/>
      <c r="C923" s="40" t="s">
        <v>4498</v>
      </c>
      <c r="D923" s="40" t="s">
        <v>291</v>
      </c>
      <c r="E923" s="41">
        <v>8.2000000000000007E-3</v>
      </c>
      <c r="F923" s="38">
        <v>2.1564999999999999</v>
      </c>
      <c r="G923" s="38">
        <f t="shared" si="15"/>
        <v>1.7683299999999999E-2</v>
      </c>
      <c r="H923" s="39"/>
      <c r="I923" s="35"/>
      <c r="J923" s="34">
        <v>0</v>
      </c>
    </row>
    <row r="924" spans="1:10" ht="26.25" hidden="1" thickBot="1" x14ac:dyDescent="0.3">
      <c r="A924" s="249"/>
      <c r="B924" s="252"/>
      <c r="C924" s="40" t="s">
        <v>4119</v>
      </c>
      <c r="D924" s="40" t="s">
        <v>3752</v>
      </c>
      <c r="E924" s="41">
        <v>0.14829999999999999</v>
      </c>
      <c r="F924" s="35">
        <v>21.555499999999999</v>
      </c>
      <c r="G924" s="38">
        <f t="shared" si="15"/>
        <v>3.1966806499999993</v>
      </c>
      <c r="H924" s="39"/>
      <c r="I924" s="35"/>
      <c r="J924" s="34">
        <v>0</v>
      </c>
    </row>
    <row r="925" spans="1:10" ht="26.25" hidden="1" thickBot="1" x14ac:dyDescent="0.3">
      <c r="A925" s="249"/>
      <c r="B925" s="252"/>
      <c r="C925" s="40" t="s">
        <v>4110</v>
      </c>
      <c r="D925" s="40" t="s">
        <v>3752</v>
      </c>
      <c r="E925" s="41">
        <v>0.14829999999999999</v>
      </c>
      <c r="F925" s="35">
        <v>27.341000000000001</v>
      </c>
      <c r="G925" s="38">
        <f t="shared" si="15"/>
        <v>4.0546702999999997</v>
      </c>
      <c r="H925" s="39"/>
      <c r="I925" s="35"/>
      <c r="J925" s="34">
        <v>0</v>
      </c>
    </row>
    <row r="926" spans="1:10" ht="15.75" hidden="1" thickBot="1" x14ac:dyDescent="0.3">
      <c r="A926" s="250"/>
      <c r="B926" s="253"/>
      <c r="C926" s="40"/>
      <c r="D926" s="40"/>
      <c r="E926" s="41"/>
      <c r="F926" s="35" t="s">
        <v>23</v>
      </c>
      <c r="G926" s="35" t="str">
        <f t="shared" si="15"/>
        <v/>
      </c>
      <c r="H926" s="39"/>
      <c r="I926" s="35"/>
      <c r="J926" s="34">
        <v>0</v>
      </c>
    </row>
    <row r="927" spans="1:10" ht="15.75" hidden="1" thickBot="1" x14ac:dyDescent="0.3">
      <c r="A927" s="248" t="s">
        <v>227</v>
      </c>
      <c r="B927" s="251" t="s">
        <v>2207</v>
      </c>
      <c r="C927" s="28"/>
      <c r="D927" s="29" t="s">
        <v>121</v>
      </c>
      <c r="E927" s="30"/>
      <c r="F927" s="45" t="s">
        <v>23</v>
      </c>
      <c r="G927" s="31" t="str">
        <f t="shared" si="15"/>
        <v/>
      </c>
      <c r="H927" s="32"/>
      <c r="I927" s="33"/>
      <c r="J927" s="34">
        <v>0</v>
      </c>
    </row>
    <row r="928" spans="1:10" ht="15.75" hidden="1" thickBot="1" x14ac:dyDescent="0.3">
      <c r="A928" s="249"/>
      <c r="B928" s="252"/>
      <c r="C928" s="36"/>
      <c r="D928" s="36"/>
      <c r="E928" s="37"/>
      <c r="F928" s="46" t="s">
        <v>23</v>
      </c>
      <c r="G928" s="35" t="str">
        <f t="shared" si="15"/>
        <v/>
      </c>
      <c r="H928" s="39"/>
      <c r="I928" s="35"/>
      <c r="J928" s="34">
        <v>0</v>
      </c>
    </row>
    <row r="929" spans="1:10" ht="26.25" hidden="1" thickBot="1" x14ac:dyDescent="0.3">
      <c r="A929" s="249"/>
      <c r="B929" s="252"/>
      <c r="C929" s="40" t="s">
        <v>3861</v>
      </c>
      <c r="D929" s="40" t="s">
        <v>1286</v>
      </c>
      <c r="E929" s="41">
        <v>1.0353000000000001</v>
      </c>
      <c r="F929" s="38">
        <v>12.416499999999999</v>
      </c>
      <c r="G929" s="38">
        <f t="shared" si="15"/>
        <v>12.854802450000001</v>
      </c>
      <c r="H929" s="43">
        <f>SUM(G929:G932)</f>
        <v>22.153111750000001</v>
      </c>
      <c r="I929" s="44"/>
      <c r="J929" s="34">
        <v>0</v>
      </c>
    </row>
    <row r="930" spans="1:10" ht="15.75" hidden="1" thickBot="1" x14ac:dyDescent="0.3">
      <c r="A930" s="249"/>
      <c r="B930" s="252"/>
      <c r="C930" s="40" t="s">
        <v>4498</v>
      </c>
      <c r="D930" s="40" t="s">
        <v>291</v>
      </c>
      <c r="E930" s="41">
        <v>1.0500000000000001E-2</v>
      </c>
      <c r="F930" s="38">
        <v>2.1564999999999999</v>
      </c>
      <c r="G930" s="38">
        <f t="shared" si="15"/>
        <v>2.264325E-2</v>
      </c>
      <c r="H930" s="39"/>
      <c r="I930" s="35"/>
      <c r="J930" s="34">
        <v>0</v>
      </c>
    </row>
    <row r="931" spans="1:10" ht="26.25" hidden="1" thickBot="1" x14ac:dyDescent="0.3">
      <c r="A931" s="249"/>
      <c r="B931" s="252"/>
      <c r="C931" s="40" t="s">
        <v>4119</v>
      </c>
      <c r="D931" s="40" t="s">
        <v>3752</v>
      </c>
      <c r="E931" s="41">
        <v>0.18970000000000001</v>
      </c>
      <c r="F931" s="38">
        <v>21.555499999999999</v>
      </c>
      <c r="G931" s="38">
        <f t="shared" si="15"/>
        <v>4.0890783500000003</v>
      </c>
      <c r="H931" s="39"/>
      <c r="I931" s="35"/>
      <c r="J931" s="34">
        <v>0</v>
      </c>
    </row>
    <row r="932" spans="1:10" ht="26.25" hidden="1" thickBot="1" x14ac:dyDescent="0.3">
      <c r="A932" s="249"/>
      <c r="B932" s="252"/>
      <c r="C932" s="40" t="s">
        <v>4110</v>
      </c>
      <c r="D932" s="40" t="s">
        <v>3752</v>
      </c>
      <c r="E932" s="41">
        <v>0.18970000000000001</v>
      </c>
      <c r="F932" s="38">
        <v>27.341000000000001</v>
      </c>
      <c r="G932" s="38">
        <f t="shared" si="15"/>
        <v>5.1865877000000005</v>
      </c>
      <c r="H932" s="39"/>
      <c r="I932" s="35"/>
      <c r="J932" s="34">
        <v>0</v>
      </c>
    </row>
    <row r="933" spans="1:10" ht="15.75" hidden="1" thickBot="1" x14ac:dyDescent="0.3">
      <c r="A933" s="250"/>
      <c r="B933" s="253"/>
      <c r="C933" s="40"/>
      <c r="D933" s="40"/>
      <c r="E933" s="41"/>
      <c r="F933" s="35" t="s">
        <v>23</v>
      </c>
      <c r="G933" s="35" t="str">
        <f t="shared" si="15"/>
        <v/>
      </c>
      <c r="H933" s="39"/>
      <c r="I933" s="35"/>
      <c r="J933" s="34">
        <v>0</v>
      </c>
    </row>
    <row r="934" spans="1:10" ht="15.75" hidden="1" thickBot="1" x14ac:dyDescent="0.3">
      <c r="A934" s="248" t="s">
        <v>228</v>
      </c>
      <c r="B934" s="251" t="s">
        <v>2208</v>
      </c>
      <c r="C934" s="28"/>
      <c r="D934" s="29" t="s">
        <v>121</v>
      </c>
      <c r="E934" s="30"/>
      <c r="F934" s="45" t="s">
        <v>23</v>
      </c>
      <c r="G934" s="31" t="str">
        <f t="shared" si="15"/>
        <v/>
      </c>
      <c r="H934" s="32"/>
      <c r="I934" s="33"/>
      <c r="J934" s="34">
        <v>0</v>
      </c>
    </row>
    <row r="935" spans="1:10" ht="15.75" hidden="1" thickBot="1" x14ac:dyDescent="0.3">
      <c r="A935" s="249"/>
      <c r="B935" s="252"/>
      <c r="C935" s="36"/>
      <c r="D935" s="36"/>
      <c r="E935" s="37"/>
      <c r="F935" s="46" t="s">
        <v>23</v>
      </c>
      <c r="G935" s="35" t="str">
        <f t="shared" si="15"/>
        <v/>
      </c>
      <c r="H935" s="39"/>
      <c r="I935" s="35"/>
      <c r="J935" s="34">
        <v>0</v>
      </c>
    </row>
    <row r="936" spans="1:10" ht="26.25" hidden="1" thickBot="1" x14ac:dyDescent="0.3">
      <c r="A936" s="249"/>
      <c r="B936" s="252"/>
      <c r="C936" s="40" t="s">
        <v>3862</v>
      </c>
      <c r="D936" s="40" t="s">
        <v>1286</v>
      </c>
      <c r="E936" s="41">
        <v>1.0353000000000001</v>
      </c>
      <c r="F936" s="38">
        <v>22.5245</v>
      </c>
      <c r="G936" s="38">
        <f t="shared" si="15"/>
        <v>23.319614850000001</v>
      </c>
      <c r="H936" s="43">
        <f>SUM(G936:G939)</f>
        <v>37.725447149999994</v>
      </c>
      <c r="I936" s="44"/>
      <c r="J936" s="34">
        <v>0</v>
      </c>
    </row>
    <row r="937" spans="1:10" ht="15.75" hidden="1" thickBot="1" x14ac:dyDescent="0.3">
      <c r="A937" s="249"/>
      <c r="B937" s="252"/>
      <c r="C937" s="40" t="s">
        <v>4498</v>
      </c>
      <c r="D937" s="40" t="s">
        <v>291</v>
      </c>
      <c r="E937" s="41">
        <v>1.6299999999999999E-2</v>
      </c>
      <c r="F937" s="38">
        <v>2.1564999999999999</v>
      </c>
      <c r="G937" s="38">
        <f t="shared" si="15"/>
        <v>3.5150949999999993E-2</v>
      </c>
      <c r="H937" s="48"/>
      <c r="I937" s="49"/>
      <c r="J937" s="34">
        <v>0</v>
      </c>
    </row>
    <row r="938" spans="1:10" ht="26.25" hidden="1" thickBot="1" x14ac:dyDescent="0.3">
      <c r="A938" s="249"/>
      <c r="B938" s="252"/>
      <c r="C938" s="40" t="s">
        <v>4119</v>
      </c>
      <c r="D938" s="40" t="s">
        <v>3752</v>
      </c>
      <c r="E938" s="41">
        <v>0.29389999999999999</v>
      </c>
      <c r="F938" s="35">
        <v>21.555499999999999</v>
      </c>
      <c r="G938" s="38">
        <f t="shared" si="15"/>
        <v>6.3351614499999993</v>
      </c>
      <c r="H938" s="48"/>
      <c r="I938" s="49"/>
      <c r="J938" s="34">
        <v>0</v>
      </c>
    </row>
    <row r="939" spans="1:10" ht="26.25" hidden="1" thickBot="1" x14ac:dyDescent="0.3">
      <c r="A939" s="249"/>
      <c r="B939" s="252"/>
      <c r="C939" s="40" t="s">
        <v>4110</v>
      </c>
      <c r="D939" s="40" t="s">
        <v>3752</v>
      </c>
      <c r="E939" s="41">
        <v>0.29389999999999999</v>
      </c>
      <c r="F939" s="35">
        <v>27.341000000000001</v>
      </c>
      <c r="G939" s="38">
        <f t="shared" si="15"/>
        <v>8.0355199000000006</v>
      </c>
      <c r="H939" s="48"/>
      <c r="I939" s="49"/>
      <c r="J939" s="34">
        <v>0</v>
      </c>
    </row>
    <row r="940" spans="1:10" ht="15.75" hidden="1" thickBot="1" x14ac:dyDescent="0.3">
      <c r="A940" s="250"/>
      <c r="B940" s="253"/>
      <c r="C940" s="40"/>
      <c r="D940" s="40"/>
      <c r="E940" s="41"/>
      <c r="F940" s="35" t="s">
        <v>23</v>
      </c>
      <c r="G940" s="35" t="str">
        <f t="shared" si="15"/>
        <v/>
      </c>
      <c r="H940" s="39"/>
      <c r="I940" s="35"/>
      <c r="J940" s="34">
        <v>0</v>
      </c>
    </row>
    <row r="941" spans="1:10" ht="15.75" hidden="1" thickBot="1" x14ac:dyDescent="0.3">
      <c r="A941" s="248" t="s">
        <v>229</v>
      </c>
      <c r="B941" s="251" t="s">
        <v>2209</v>
      </c>
      <c r="C941" s="28"/>
      <c r="D941" s="29" t="s">
        <v>121</v>
      </c>
      <c r="E941" s="30"/>
      <c r="F941" s="45" t="s">
        <v>23</v>
      </c>
      <c r="G941" s="31" t="str">
        <f t="shared" si="15"/>
        <v/>
      </c>
      <c r="H941" s="32"/>
      <c r="I941" s="33"/>
      <c r="J941" s="34">
        <v>0</v>
      </c>
    </row>
    <row r="942" spans="1:10" ht="15.75" hidden="1" thickBot="1" x14ac:dyDescent="0.3">
      <c r="A942" s="249"/>
      <c r="B942" s="252"/>
      <c r="C942" s="36"/>
      <c r="D942" s="36"/>
      <c r="E942" s="37"/>
      <c r="F942" s="46" t="s">
        <v>23</v>
      </c>
      <c r="G942" s="35" t="str">
        <f t="shared" si="15"/>
        <v/>
      </c>
      <c r="H942" s="39"/>
      <c r="I942" s="35"/>
      <c r="J942" s="34">
        <v>0</v>
      </c>
    </row>
    <row r="943" spans="1:10" ht="15.75" hidden="1" thickBot="1" x14ac:dyDescent="0.3">
      <c r="A943" s="249"/>
      <c r="B943" s="252"/>
      <c r="C943" s="40" t="s">
        <v>3863</v>
      </c>
      <c r="D943" s="40" t="s">
        <v>1286</v>
      </c>
      <c r="E943" s="41">
        <v>1.0492999999999999</v>
      </c>
      <c r="F943" s="38">
        <v>4.1514999999999995</v>
      </c>
      <c r="G943" s="38">
        <f t="shared" si="15"/>
        <v>4.3561689499999989</v>
      </c>
      <c r="H943" s="43">
        <f>SUM(G943:G946)</f>
        <v>5.3193549499999992</v>
      </c>
      <c r="I943" s="44"/>
      <c r="J943" s="34">
        <v>0</v>
      </c>
    </row>
    <row r="944" spans="1:10" ht="15.75" hidden="1" thickBot="1" x14ac:dyDescent="0.3">
      <c r="A944" s="249"/>
      <c r="B944" s="252"/>
      <c r="C944" s="40" t="s">
        <v>4498</v>
      </c>
      <c r="D944" s="40" t="s">
        <v>291</v>
      </c>
      <c r="E944" s="41">
        <v>4.4999999999999997E-3</v>
      </c>
      <c r="F944" s="38">
        <v>2.1564999999999999</v>
      </c>
      <c r="G944" s="38">
        <f t="shared" si="15"/>
        <v>9.7042499999999993E-3</v>
      </c>
      <c r="H944" s="39"/>
      <c r="I944" s="35"/>
      <c r="J944" s="34">
        <v>0</v>
      </c>
    </row>
    <row r="945" spans="1:10" ht="26.25" hidden="1" thickBot="1" x14ac:dyDescent="0.3">
      <c r="A945" s="249"/>
      <c r="B945" s="252"/>
      <c r="C945" s="40" t="s">
        <v>4119</v>
      </c>
      <c r="D945" s="40" t="s">
        <v>3752</v>
      </c>
      <c r="E945" s="41">
        <v>1.95E-2</v>
      </c>
      <c r="F945" s="35">
        <v>21.555499999999999</v>
      </c>
      <c r="G945" s="38">
        <f t="shared" si="15"/>
        <v>0.42033224999999996</v>
      </c>
      <c r="H945" s="39"/>
      <c r="I945" s="35"/>
      <c r="J945" s="34">
        <v>0</v>
      </c>
    </row>
    <row r="946" spans="1:10" ht="26.25" hidden="1" thickBot="1" x14ac:dyDescent="0.3">
      <c r="A946" s="249"/>
      <c r="B946" s="252"/>
      <c r="C946" s="40" t="s">
        <v>4110</v>
      </c>
      <c r="D946" s="40" t="s">
        <v>3752</v>
      </c>
      <c r="E946" s="41">
        <v>1.95E-2</v>
      </c>
      <c r="F946" s="35">
        <v>27.341000000000001</v>
      </c>
      <c r="G946" s="38">
        <f t="shared" si="15"/>
        <v>0.53314950000000005</v>
      </c>
      <c r="H946" s="39"/>
      <c r="I946" s="35"/>
      <c r="J946" s="34">
        <v>0</v>
      </c>
    </row>
    <row r="947" spans="1:10" ht="15.75" hidden="1" thickBot="1" x14ac:dyDescent="0.3">
      <c r="A947" s="250"/>
      <c r="B947" s="253"/>
      <c r="C947" s="40"/>
      <c r="D947" s="40"/>
      <c r="E947" s="41"/>
      <c r="F947" s="35" t="s">
        <v>23</v>
      </c>
      <c r="G947" s="35" t="str">
        <f t="shared" si="15"/>
        <v/>
      </c>
      <c r="H947" s="39"/>
      <c r="I947" s="35"/>
      <c r="J947" s="34">
        <v>0</v>
      </c>
    </row>
    <row r="948" spans="1:10" ht="15.75" hidden="1" thickBot="1" x14ac:dyDescent="0.3">
      <c r="A948" s="248" t="s">
        <v>230</v>
      </c>
      <c r="B948" s="251" t="s">
        <v>2210</v>
      </c>
      <c r="C948" s="28"/>
      <c r="D948" s="29" t="s">
        <v>121</v>
      </c>
      <c r="E948" s="30"/>
      <c r="F948" s="45" t="s">
        <v>23</v>
      </c>
      <c r="G948" s="31" t="str">
        <f t="shared" si="15"/>
        <v/>
      </c>
      <c r="H948" s="32"/>
      <c r="I948" s="33"/>
      <c r="J948" s="34">
        <v>0</v>
      </c>
    </row>
    <row r="949" spans="1:10" ht="15.75" hidden="1" thickBot="1" x14ac:dyDescent="0.3">
      <c r="A949" s="249"/>
      <c r="B949" s="252"/>
      <c r="C949" s="36"/>
      <c r="D949" s="36"/>
      <c r="E949" s="37"/>
      <c r="F949" s="46" t="s">
        <v>23</v>
      </c>
      <c r="G949" s="35" t="str">
        <f t="shared" si="15"/>
        <v/>
      </c>
      <c r="H949" s="39"/>
      <c r="I949" s="35"/>
      <c r="J949" s="34">
        <v>0</v>
      </c>
    </row>
    <row r="950" spans="1:10" ht="15.75" hidden="1" thickBot="1" x14ac:dyDescent="0.3">
      <c r="A950" s="249"/>
      <c r="B950" s="252"/>
      <c r="C950" s="40" t="s">
        <v>3864</v>
      </c>
      <c r="D950" s="40" t="s">
        <v>1286</v>
      </c>
      <c r="E950" s="41">
        <v>1.0609999999999999</v>
      </c>
      <c r="F950" s="38">
        <v>8.958499999999999</v>
      </c>
      <c r="G950" s="38">
        <f t="shared" si="15"/>
        <v>9.5049684999999986</v>
      </c>
      <c r="H950" s="43">
        <f>SUM(G950:G952)</f>
        <v>10.482898499999999</v>
      </c>
      <c r="I950" s="44"/>
      <c r="J950" s="34">
        <v>0</v>
      </c>
    </row>
    <row r="951" spans="1:10" ht="26.25" hidden="1" thickBot="1" x14ac:dyDescent="0.3">
      <c r="A951" s="249"/>
      <c r="B951" s="252"/>
      <c r="C951" s="40" t="s">
        <v>4119</v>
      </c>
      <c r="D951" s="40" t="s">
        <v>3752</v>
      </c>
      <c r="E951" s="41">
        <v>0.02</v>
      </c>
      <c r="F951" s="35">
        <v>21.555499999999999</v>
      </c>
      <c r="G951" s="38">
        <f t="shared" si="15"/>
        <v>0.43110999999999999</v>
      </c>
      <c r="H951" s="39"/>
      <c r="I951" s="35"/>
      <c r="J951" s="34">
        <v>0</v>
      </c>
    </row>
    <row r="952" spans="1:10" ht="26.25" hidden="1" thickBot="1" x14ac:dyDescent="0.3">
      <c r="A952" s="249"/>
      <c r="B952" s="252"/>
      <c r="C952" s="40" t="s">
        <v>4110</v>
      </c>
      <c r="D952" s="40" t="s">
        <v>3752</v>
      </c>
      <c r="E952" s="41">
        <v>0.02</v>
      </c>
      <c r="F952" s="35">
        <v>27.341000000000001</v>
      </c>
      <c r="G952" s="38">
        <f t="shared" si="15"/>
        <v>0.54682000000000008</v>
      </c>
      <c r="H952" s="39"/>
      <c r="I952" s="35"/>
      <c r="J952" s="34">
        <v>0</v>
      </c>
    </row>
    <row r="953" spans="1:10" ht="15.75" hidden="1" thickBot="1" x14ac:dyDescent="0.3">
      <c r="A953" s="250"/>
      <c r="B953" s="253"/>
      <c r="C953" s="40"/>
      <c r="D953" s="40"/>
      <c r="E953" s="41"/>
      <c r="F953" s="35" t="s">
        <v>23</v>
      </c>
      <c r="G953" s="35" t="str">
        <f t="shared" si="15"/>
        <v/>
      </c>
      <c r="H953" s="39"/>
      <c r="I953" s="35"/>
      <c r="J953" s="34">
        <v>0</v>
      </c>
    </row>
    <row r="954" spans="1:10" ht="15.75" hidden="1" thickBot="1" x14ac:dyDescent="0.3">
      <c r="A954" s="248" t="s">
        <v>231</v>
      </c>
      <c r="B954" s="251" t="s">
        <v>2211</v>
      </c>
      <c r="C954" s="28"/>
      <c r="D954" s="29" t="s">
        <v>121</v>
      </c>
      <c r="E954" s="30"/>
      <c r="F954" s="45" t="s">
        <v>23</v>
      </c>
      <c r="G954" s="31" t="str">
        <f t="shared" si="15"/>
        <v/>
      </c>
      <c r="H954" s="32"/>
      <c r="I954" s="33"/>
      <c r="J954" s="34">
        <v>0</v>
      </c>
    </row>
    <row r="955" spans="1:10" ht="15.75" hidden="1" thickBot="1" x14ac:dyDescent="0.3">
      <c r="A955" s="249"/>
      <c r="B955" s="252"/>
      <c r="C955" s="36"/>
      <c r="D955" s="36"/>
      <c r="E955" s="37"/>
      <c r="F955" s="46" t="s">
        <v>23</v>
      </c>
      <c r="G955" s="35" t="str">
        <f t="shared" si="15"/>
        <v/>
      </c>
      <c r="H955" s="39"/>
      <c r="I955" s="35"/>
      <c r="J955" s="34">
        <v>0</v>
      </c>
    </row>
    <row r="956" spans="1:10" ht="15.75" hidden="1" thickBot="1" x14ac:dyDescent="0.3">
      <c r="A956" s="249"/>
      <c r="B956" s="252"/>
      <c r="C956" s="40" t="s">
        <v>3865</v>
      </c>
      <c r="D956" s="40" t="s">
        <v>1286</v>
      </c>
      <c r="E956" s="41">
        <v>1.0609999999999999</v>
      </c>
      <c r="F956" s="38">
        <v>14.0695</v>
      </c>
      <c r="G956" s="38">
        <f t="shared" si="15"/>
        <v>14.927739499999999</v>
      </c>
      <c r="H956" s="43">
        <f>SUM(G956:G959)</f>
        <v>16.1185075</v>
      </c>
      <c r="I956" s="44"/>
      <c r="J956" s="34">
        <v>0</v>
      </c>
    </row>
    <row r="957" spans="1:10" ht="15.75" hidden="1" thickBot="1" x14ac:dyDescent="0.3">
      <c r="A957" s="249"/>
      <c r="B957" s="252"/>
      <c r="C957" s="40" t="s">
        <v>4498</v>
      </c>
      <c r="D957" s="40" t="s">
        <v>291</v>
      </c>
      <c r="E957" s="41">
        <v>8.0000000000000002E-3</v>
      </c>
      <c r="F957" s="38">
        <v>2.1564999999999999</v>
      </c>
      <c r="G957" s="38">
        <f t="shared" si="15"/>
        <v>1.7252E-2</v>
      </c>
      <c r="H957" s="39"/>
      <c r="I957" s="35"/>
      <c r="J957" s="34">
        <v>0</v>
      </c>
    </row>
    <row r="958" spans="1:10" ht="26.25" hidden="1" thickBot="1" x14ac:dyDescent="0.3">
      <c r="A958" s="249"/>
      <c r="B958" s="252"/>
      <c r="C958" s="40" t="s">
        <v>4119</v>
      </c>
      <c r="D958" s="40" t="s">
        <v>3752</v>
      </c>
      <c r="E958" s="41">
        <v>2.4E-2</v>
      </c>
      <c r="F958" s="35">
        <v>21.555499999999999</v>
      </c>
      <c r="G958" s="38">
        <f t="shared" si="15"/>
        <v>0.51733200000000001</v>
      </c>
      <c r="H958" s="39"/>
      <c r="I958" s="35"/>
      <c r="J958" s="34">
        <v>0</v>
      </c>
    </row>
    <row r="959" spans="1:10" ht="26.25" hidden="1" thickBot="1" x14ac:dyDescent="0.3">
      <c r="A959" s="249"/>
      <c r="B959" s="252"/>
      <c r="C959" s="40" t="s">
        <v>4110</v>
      </c>
      <c r="D959" s="40" t="s">
        <v>3752</v>
      </c>
      <c r="E959" s="41">
        <v>2.4E-2</v>
      </c>
      <c r="F959" s="35">
        <v>27.341000000000001</v>
      </c>
      <c r="G959" s="38">
        <f t="shared" si="15"/>
        <v>0.65618399999999999</v>
      </c>
      <c r="H959" s="39"/>
      <c r="I959" s="35"/>
      <c r="J959" s="34">
        <v>0</v>
      </c>
    </row>
    <row r="960" spans="1:10" ht="15.75" hidden="1" thickBot="1" x14ac:dyDescent="0.3">
      <c r="A960" s="250"/>
      <c r="B960" s="253"/>
      <c r="C960" s="40"/>
      <c r="D960" s="40"/>
      <c r="E960" s="41"/>
      <c r="F960" s="35" t="s">
        <v>23</v>
      </c>
      <c r="G960" s="35" t="str">
        <f t="shared" si="15"/>
        <v/>
      </c>
      <c r="H960" s="39"/>
      <c r="I960" s="35"/>
      <c r="J960" s="34">
        <v>0</v>
      </c>
    </row>
    <row r="961" spans="1:10" ht="15.75" hidden="1" thickBot="1" x14ac:dyDescent="0.3">
      <c r="A961" s="248" t="s">
        <v>232</v>
      </c>
      <c r="B961" s="251" t="s">
        <v>2212</v>
      </c>
      <c r="C961" s="28"/>
      <c r="D961" s="29" t="s">
        <v>121</v>
      </c>
      <c r="E961" s="30"/>
      <c r="F961" s="45" t="s">
        <v>23</v>
      </c>
      <c r="G961" s="31" t="str">
        <f t="shared" si="15"/>
        <v/>
      </c>
      <c r="H961" s="32"/>
      <c r="I961" s="33"/>
      <c r="J961" s="34">
        <v>0</v>
      </c>
    </row>
    <row r="962" spans="1:10" ht="15.75" hidden="1" thickBot="1" x14ac:dyDescent="0.3">
      <c r="A962" s="249"/>
      <c r="B962" s="252"/>
      <c r="C962" s="36"/>
      <c r="D962" s="36"/>
      <c r="E962" s="37"/>
      <c r="F962" s="46" t="s">
        <v>23</v>
      </c>
      <c r="G962" s="35" t="str">
        <f t="shared" si="15"/>
        <v/>
      </c>
      <c r="H962" s="39"/>
      <c r="I962" s="35"/>
      <c r="J962" s="34">
        <v>0</v>
      </c>
    </row>
    <row r="963" spans="1:10" ht="15.75" hidden="1" thickBot="1" x14ac:dyDescent="0.3">
      <c r="A963" s="249"/>
      <c r="B963" s="252"/>
      <c r="C963" s="40" t="s">
        <v>3866</v>
      </c>
      <c r="D963" s="40" t="s">
        <v>1286</v>
      </c>
      <c r="E963" s="41">
        <v>1.0609999999999999</v>
      </c>
      <c r="F963" s="38">
        <v>15.427999999999997</v>
      </c>
      <c r="G963" s="38">
        <f t="shared" si="15"/>
        <v>16.369107999999997</v>
      </c>
      <c r="H963" s="43">
        <f>SUM(G963:G966)</f>
        <v>17.808671499999996</v>
      </c>
      <c r="I963" s="44"/>
      <c r="J963" s="34">
        <v>0</v>
      </c>
    </row>
    <row r="964" spans="1:10" ht="15.75" hidden="1" thickBot="1" x14ac:dyDescent="0.3">
      <c r="A964" s="249"/>
      <c r="B964" s="252"/>
      <c r="C964" s="40" t="s">
        <v>4498</v>
      </c>
      <c r="D964" s="40" t="s">
        <v>291</v>
      </c>
      <c r="E964" s="41">
        <v>0.01</v>
      </c>
      <c r="F964" s="38">
        <v>2.1564999999999999</v>
      </c>
      <c r="G964" s="38">
        <f t="shared" si="15"/>
        <v>2.1564999999999997E-2</v>
      </c>
      <c r="H964" s="39"/>
      <c r="I964" s="35"/>
      <c r="J964" s="34">
        <v>0</v>
      </c>
    </row>
    <row r="965" spans="1:10" ht="26.25" hidden="1" thickBot="1" x14ac:dyDescent="0.3">
      <c r="A965" s="249"/>
      <c r="B965" s="252"/>
      <c r="C965" s="40" t="s">
        <v>4119</v>
      </c>
      <c r="D965" s="40" t="s">
        <v>3752</v>
      </c>
      <c r="E965" s="41">
        <v>2.9000000000000001E-2</v>
      </c>
      <c r="F965" s="35">
        <v>21.555499999999999</v>
      </c>
      <c r="G965" s="38">
        <f t="shared" si="15"/>
        <v>0.62510949999999998</v>
      </c>
      <c r="H965" s="39"/>
      <c r="I965" s="35"/>
      <c r="J965" s="34">
        <v>0</v>
      </c>
    </row>
    <row r="966" spans="1:10" ht="26.25" hidden="1" thickBot="1" x14ac:dyDescent="0.3">
      <c r="A966" s="249"/>
      <c r="B966" s="252"/>
      <c r="C966" s="40" t="s">
        <v>4110</v>
      </c>
      <c r="D966" s="40" t="s">
        <v>3752</v>
      </c>
      <c r="E966" s="41">
        <v>2.9000000000000001E-2</v>
      </c>
      <c r="F966" s="35">
        <v>27.341000000000001</v>
      </c>
      <c r="G966" s="38">
        <f t="shared" si="15"/>
        <v>0.79288900000000007</v>
      </c>
      <c r="H966" s="39"/>
      <c r="I966" s="35"/>
      <c r="J966" s="34">
        <v>0</v>
      </c>
    </row>
    <row r="967" spans="1:10" ht="15.75" hidden="1" thickBot="1" x14ac:dyDescent="0.3">
      <c r="A967" s="250"/>
      <c r="B967" s="253"/>
      <c r="C967" s="40"/>
      <c r="D967" s="40"/>
      <c r="E967" s="41"/>
      <c r="F967" s="35" t="s">
        <v>23</v>
      </c>
      <c r="G967" s="35" t="str">
        <f t="shared" si="15"/>
        <v/>
      </c>
      <c r="H967" s="39"/>
      <c r="I967" s="35"/>
      <c r="J967" s="34">
        <v>0</v>
      </c>
    </row>
    <row r="968" spans="1:10" ht="15.75" hidden="1" thickBot="1" x14ac:dyDescent="0.3">
      <c r="A968" s="248" t="s">
        <v>233</v>
      </c>
      <c r="B968" s="251" t="s">
        <v>2213</v>
      </c>
      <c r="C968" s="28"/>
      <c r="D968" s="29" t="s">
        <v>28</v>
      </c>
      <c r="E968" s="30"/>
      <c r="F968" s="45" t="s">
        <v>23</v>
      </c>
      <c r="G968" s="31" t="str">
        <f t="shared" si="15"/>
        <v/>
      </c>
      <c r="H968" s="32"/>
      <c r="I968" s="33"/>
      <c r="J968" s="34">
        <v>0</v>
      </c>
    </row>
    <row r="969" spans="1:10" ht="15.75" hidden="1" thickBot="1" x14ac:dyDescent="0.3">
      <c r="A969" s="249"/>
      <c r="B969" s="252"/>
      <c r="C969" s="36"/>
      <c r="D969" s="36"/>
      <c r="E969" s="37"/>
      <c r="F969" s="46" t="s">
        <v>23</v>
      </c>
      <c r="G969" s="35" t="str">
        <f t="shared" si="15"/>
        <v/>
      </c>
      <c r="H969" s="39"/>
      <c r="I969" s="35"/>
      <c r="J969" s="34">
        <v>0</v>
      </c>
    </row>
    <row r="970" spans="1:10" ht="26.25" hidden="1" thickBot="1" x14ac:dyDescent="0.3">
      <c r="A970" s="249"/>
      <c r="B970" s="252"/>
      <c r="C970" s="40" t="s">
        <v>234</v>
      </c>
      <c r="D970" s="53" t="s">
        <v>102</v>
      </c>
      <c r="E970" s="41">
        <v>1</v>
      </c>
      <c r="F970" s="38" t="s">
        <v>23</v>
      </c>
      <c r="G970" s="38" t="str">
        <f t="shared" si="15"/>
        <v/>
      </c>
      <c r="H970" s="43">
        <f>SUM(G970:G973)</f>
        <v>10.962927799999999</v>
      </c>
      <c r="I970" s="44"/>
      <c r="J970" s="34">
        <v>0</v>
      </c>
    </row>
    <row r="971" spans="1:10" ht="15.75" hidden="1" thickBot="1" x14ac:dyDescent="0.3">
      <c r="A971" s="249"/>
      <c r="B971" s="252"/>
      <c r="C971" s="40" t="s">
        <v>3867</v>
      </c>
      <c r="D971" s="40" t="s">
        <v>291</v>
      </c>
      <c r="E971" s="41">
        <v>1.06E-2</v>
      </c>
      <c r="F971" s="38">
        <v>13.87</v>
      </c>
      <c r="G971" s="38">
        <f t="shared" si="15"/>
        <v>0.14702199999999999</v>
      </c>
      <c r="H971" s="39"/>
      <c r="I971" s="35"/>
      <c r="J971" s="34">
        <v>0</v>
      </c>
    </row>
    <row r="972" spans="1:10" ht="26.25" hidden="1" thickBot="1" x14ac:dyDescent="0.3">
      <c r="A972" s="249"/>
      <c r="B972" s="252"/>
      <c r="C972" s="40" t="s">
        <v>4110</v>
      </c>
      <c r="D972" s="40" t="s">
        <v>3752</v>
      </c>
      <c r="E972" s="41">
        <v>0.22120000000000001</v>
      </c>
      <c r="F972" s="35">
        <v>27.341000000000001</v>
      </c>
      <c r="G972" s="38">
        <f t="shared" si="15"/>
        <v>6.0478292000000007</v>
      </c>
      <c r="H972" s="39"/>
      <c r="I972" s="35"/>
      <c r="J972" s="34">
        <v>0</v>
      </c>
    </row>
    <row r="973" spans="1:10" ht="26.25" hidden="1" thickBot="1" x14ac:dyDescent="0.3">
      <c r="A973" s="249"/>
      <c r="B973" s="252"/>
      <c r="C973" s="40" t="s">
        <v>4119</v>
      </c>
      <c r="D973" s="40" t="s">
        <v>3752</v>
      </c>
      <c r="E973" s="41">
        <v>0.22120000000000001</v>
      </c>
      <c r="F973" s="35">
        <v>21.555499999999999</v>
      </c>
      <c r="G973" s="38">
        <f t="shared" si="15"/>
        <v>4.7680765999999997</v>
      </c>
      <c r="H973" s="39"/>
      <c r="I973" s="35"/>
      <c r="J973" s="34">
        <v>0</v>
      </c>
    </row>
    <row r="974" spans="1:10" ht="15.75" hidden="1" thickBot="1" x14ac:dyDescent="0.3">
      <c r="A974" s="250"/>
      <c r="B974" s="253"/>
      <c r="C974" s="40"/>
      <c r="D974" s="40"/>
      <c r="E974" s="41"/>
      <c r="F974" s="35" t="s">
        <v>23</v>
      </c>
      <c r="G974" s="35" t="str">
        <f t="shared" si="15"/>
        <v/>
      </c>
      <c r="H974" s="39"/>
      <c r="I974" s="35"/>
      <c r="J974" s="34">
        <v>0</v>
      </c>
    </row>
    <row r="975" spans="1:10" ht="15.75" hidden="1" thickBot="1" x14ac:dyDescent="0.3">
      <c r="A975" s="248" t="s">
        <v>235</v>
      </c>
      <c r="B975" s="251" t="s">
        <v>2214</v>
      </c>
      <c r="C975" s="28"/>
      <c r="D975" s="29" t="s">
        <v>28</v>
      </c>
      <c r="E975" s="30"/>
      <c r="F975" s="45" t="s">
        <v>23</v>
      </c>
      <c r="G975" s="31" t="str">
        <f t="shared" si="15"/>
        <v/>
      </c>
      <c r="H975" s="32"/>
      <c r="I975" s="33"/>
      <c r="J975" s="34">
        <v>0</v>
      </c>
    </row>
    <row r="976" spans="1:10" ht="15.75" hidden="1" thickBot="1" x14ac:dyDescent="0.3">
      <c r="A976" s="249"/>
      <c r="B976" s="252"/>
      <c r="C976" s="36"/>
      <c r="D976" s="36"/>
      <c r="E976" s="37"/>
      <c r="F976" s="46" t="s">
        <v>23</v>
      </c>
      <c r="G976" s="35" t="str">
        <f t="shared" si="15"/>
        <v/>
      </c>
      <c r="H976" s="39"/>
      <c r="I976" s="35"/>
      <c r="J976" s="34">
        <v>0</v>
      </c>
    </row>
    <row r="977" spans="1:10" ht="15.75" hidden="1" thickBot="1" x14ac:dyDescent="0.3">
      <c r="A977" s="249"/>
      <c r="B977" s="252"/>
      <c r="C977" s="40" t="s">
        <v>4180</v>
      </c>
      <c r="D977" s="40" t="s">
        <v>291</v>
      </c>
      <c r="E977" s="41">
        <v>6.6799999999999998E-2</v>
      </c>
      <c r="F977" s="35">
        <v>65.5595</v>
      </c>
      <c r="G977" s="38">
        <f t="shared" si="15"/>
        <v>4.3793746000000002</v>
      </c>
      <c r="H977" s="43">
        <f>SUM(G977:G982)</f>
        <v>131.37608425000002</v>
      </c>
      <c r="I977" s="44"/>
      <c r="J977" s="34">
        <v>0</v>
      </c>
    </row>
    <row r="978" spans="1:10" ht="26.25" hidden="1" thickBot="1" x14ac:dyDescent="0.3">
      <c r="A978" s="249"/>
      <c r="B978" s="252"/>
      <c r="C978" s="40" t="s">
        <v>3869</v>
      </c>
      <c r="D978" s="40" t="s">
        <v>291</v>
      </c>
      <c r="E978" s="41">
        <v>1</v>
      </c>
      <c r="F978" s="35">
        <v>95.873999999999995</v>
      </c>
      <c r="G978" s="38">
        <f t="shared" ref="G978:G1041" si="16">IF(ISNUMBER(F978),E978*F978,"")</f>
        <v>95.873999999999995</v>
      </c>
      <c r="H978" s="39"/>
      <c r="I978" s="35"/>
      <c r="J978" s="34">
        <v>0</v>
      </c>
    </row>
    <row r="979" spans="1:10" ht="26.25" hidden="1" thickBot="1" x14ac:dyDescent="0.3">
      <c r="A979" s="249"/>
      <c r="B979" s="252"/>
      <c r="C979" s="40" t="s">
        <v>3870</v>
      </c>
      <c r="D979" s="40" t="s">
        <v>291</v>
      </c>
      <c r="E979" s="41">
        <v>0.104</v>
      </c>
      <c r="F979" s="38">
        <v>74.280499999999989</v>
      </c>
      <c r="G979" s="38">
        <f t="shared" si="16"/>
        <v>7.7251719999999988</v>
      </c>
      <c r="H979" s="39"/>
      <c r="I979" s="35"/>
      <c r="J979" s="34">
        <v>0</v>
      </c>
    </row>
    <row r="980" spans="1:10" ht="15.75" hidden="1" thickBot="1" x14ac:dyDescent="0.3">
      <c r="A980" s="249"/>
      <c r="B980" s="252"/>
      <c r="C980" s="40" t="s">
        <v>4498</v>
      </c>
      <c r="D980" s="40" t="s">
        <v>291</v>
      </c>
      <c r="E980" s="41">
        <v>1.84E-2</v>
      </c>
      <c r="F980" s="38">
        <v>2.1564999999999999</v>
      </c>
      <c r="G980" s="38">
        <f t="shared" si="16"/>
        <v>3.9679599999999995E-2</v>
      </c>
      <c r="H980" s="39"/>
      <c r="I980" s="35"/>
      <c r="J980" s="34">
        <v>0</v>
      </c>
    </row>
    <row r="981" spans="1:10" ht="26.25" hidden="1" thickBot="1" x14ac:dyDescent="0.3">
      <c r="A981" s="249"/>
      <c r="B981" s="252"/>
      <c r="C981" s="40" t="s">
        <v>4119</v>
      </c>
      <c r="D981" s="40" t="s">
        <v>3752</v>
      </c>
      <c r="E981" s="41">
        <v>0.47770000000000001</v>
      </c>
      <c r="F981" s="38">
        <v>21.555499999999999</v>
      </c>
      <c r="G981" s="38">
        <f t="shared" si="16"/>
        <v>10.297062349999999</v>
      </c>
      <c r="H981" s="39"/>
      <c r="I981" s="35"/>
      <c r="J981" s="34">
        <v>0</v>
      </c>
    </row>
    <row r="982" spans="1:10" ht="26.25" hidden="1" thickBot="1" x14ac:dyDescent="0.3">
      <c r="A982" s="249"/>
      <c r="B982" s="252"/>
      <c r="C982" s="40" t="s">
        <v>4110</v>
      </c>
      <c r="D982" s="40" t="s">
        <v>3752</v>
      </c>
      <c r="E982" s="41">
        <v>0.47770000000000001</v>
      </c>
      <c r="F982" s="38">
        <v>27.341000000000001</v>
      </c>
      <c r="G982" s="38">
        <f t="shared" si="16"/>
        <v>13.060795700000002</v>
      </c>
      <c r="H982" s="39"/>
      <c r="I982" s="35"/>
      <c r="J982" s="34">
        <v>0</v>
      </c>
    </row>
    <row r="983" spans="1:10" ht="15.75" hidden="1" thickBot="1" x14ac:dyDescent="0.3">
      <c r="A983" s="250"/>
      <c r="B983" s="253"/>
      <c r="C983" s="40"/>
      <c r="D983" s="40"/>
      <c r="E983" s="41"/>
      <c r="F983" s="35" t="s">
        <v>23</v>
      </c>
      <c r="G983" s="35" t="str">
        <f t="shared" si="16"/>
        <v/>
      </c>
      <c r="H983" s="39"/>
      <c r="I983" s="35"/>
      <c r="J983" s="34">
        <v>0</v>
      </c>
    </row>
    <row r="984" spans="1:10" ht="15.75" hidden="1" thickBot="1" x14ac:dyDescent="0.3">
      <c r="A984" s="248" t="s">
        <v>236</v>
      </c>
      <c r="B984" s="251" t="s">
        <v>2215</v>
      </c>
      <c r="C984" s="28"/>
      <c r="D984" s="29" t="s">
        <v>28</v>
      </c>
      <c r="E984" s="30"/>
      <c r="F984" s="45" t="s">
        <v>23</v>
      </c>
      <c r="G984" s="31" t="str">
        <f t="shared" si="16"/>
        <v/>
      </c>
      <c r="H984" s="32"/>
      <c r="I984" s="33"/>
      <c r="J984" s="34">
        <v>0</v>
      </c>
    </row>
    <row r="985" spans="1:10" ht="15.75" hidden="1" thickBot="1" x14ac:dyDescent="0.3">
      <c r="A985" s="249"/>
      <c r="B985" s="252"/>
      <c r="C985" s="36"/>
      <c r="D985" s="36"/>
      <c r="E985" s="37"/>
      <c r="F985" s="46" t="s">
        <v>23</v>
      </c>
      <c r="G985" s="35" t="str">
        <f t="shared" si="16"/>
        <v/>
      </c>
      <c r="H985" s="39"/>
      <c r="I985" s="35"/>
      <c r="J985" s="34">
        <v>0</v>
      </c>
    </row>
    <row r="986" spans="1:10" ht="15.75" hidden="1" thickBot="1" x14ac:dyDescent="0.3">
      <c r="A986" s="249"/>
      <c r="B986" s="252"/>
      <c r="C986" s="40" t="s">
        <v>4180</v>
      </c>
      <c r="D986" s="40" t="s">
        <v>291</v>
      </c>
      <c r="E986" s="41">
        <v>6.6799999999999998E-2</v>
      </c>
      <c r="F986" s="35">
        <v>65.5595</v>
      </c>
      <c r="G986" s="35">
        <f t="shared" si="16"/>
        <v>4.3793746000000002</v>
      </c>
      <c r="H986" s="43">
        <f>SUM(G986:G991)</f>
        <v>176.23508424999997</v>
      </c>
      <c r="I986" s="44"/>
      <c r="J986" s="34">
        <v>0</v>
      </c>
    </row>
    <row r="987" spans="1:10" ht="26.25" hidden="1" thickBot="1" x14ac:dyDescent="0.3">
      <c r="A987" s="249"/>
      <c r="B987" s="252"/>
      <c r="C987" s="40" t="s">
        <v>3871</v>
      </c>
      <c r="D987" s="40" t="s">
        <v>291</v>
      </c>
      <c r="E987" s="41">
        <v>1</v>
      </c>
      <c r="F987" s="35">
        <v>140.73299999999998</v>
      </c>
      <c r="G987" s="35">
        <f t="shared" si="16"/>
        <v>140.73299999999998</v>
      </c>
      <c r="H987" s="39"/>
      <c r="I987" s="35"/>
      <c r="J987" s="34">
        <v>0</v>
      </c>
    </row>
    <row r="988" spans="1:10" ht="26.25" hidden="1" thickBot="1" x14ac:dyDescent="0.3">
      <c r="A988" s="249"/>
      <c r="B988" s="252"/>
      <c r="C988" s="40" t="s">
        <v>3870</v>
      </c>
      <c r="D988" s="40" t="s">
        <v>291</v>
      </c>
      <c r="E988" s="41">
        <v>0.104</v>
      </c>
      <c r="F988" s="38">
        <v>74.280499999999989</v>
      </c>
      <c r="G988" s="35">
        <f t="shared" si="16"/>
        <v>7.7251719999999988</v>
      </c>
      <c r="H988" s="39"/>
      <c r="I988" s="35"/>
      <c r="J988" s="34">
        <v>0</v>
      </c>
    </row>
    <row r="989" spans="1:10" ht="15.75" hidden="1" thickBot="1" x14ac:dyDescent="0.3">
      <c r="A989" s="249"/>
      <c r="B989" s="252"/>
      <c r="C989" s="40" t="s">
        <v>4498</v>
      </c>
      <c r="D989" s="40" t="s">
        <v>291</v>
      </c>
      <c r="E989" s="41">
        <v>1.84E-2</v>
      </c>
      <c r="F989" s="38">
        <v>2.1564999999999999</v>
      </c>
      <c r="G989" s="35">
        <f t="shared" si="16"/>
        <v>3.9679599999999995E-2</v>
      </c>
      <c r="H989" s="39"/>
      <c r="I989" s="35"/>
      <c r="J989" s="34">
        <v>0</v>
      </c>
    </row>
    <row r="990" spans="1:10" ht="26.25" hidden="1" thickBot="1" x14ac:dyDescent="0.3">
      <c r="A990" s="249"/>
      <c r="B990" s="252"/>
      <c r="C990" s="40" t="s">
        <v>4119</v>
      </c>
      <c r="D990" s="40" t="s">
        <v>3752</v>
      </c>
      <c r="E990" s="41">
        <v>0.47770000000000001</v>
      </c>
      <c r="F990" s="38">
        <v>21.555499999999999</v>
      </c>
      <c r="G990" s="35">
        <f t="shared" si="16"/>
        <v>10.297062349999999</v>
      </c>
      <c r="H990" s="39"/>
      <c r="I990" s="35"/>
      <c r="J990" s="34">
        <v>0</v>
      </c>
    </row>
    <row r="991" spans="1:10" ht="26.25" hidden="1" thickBot="1" x14ac:dyDescent="0.3">
      <c r="A991" s="249"/>
      <c r="B991" s="252"/>
      <c r="C991" s="40" t="s">
        <v>4110</v>
      </c>
      <c r="D991" s="40" t="s">
        <v>3752</v>
      </c>
      <c r="E991" s="41">
        <v>0.47770000000000001</v>
      </c>
      <c r="F991" s="38">
        <v>27.341000000000001</v>
      </c>
      <c r="G991" s="35">
        <f t="shared" si="16"/>
        <v>13.060795700000002</v>
      </c>
      <c r="H991" s="39"/>
      <c r="I991" s="35"/>
      <c r="J991" s="34">
        <v>0</v>
      </c>
    </row>
    <row r="992" spans="1:10" ht="15.75" hidden="1" thickBot="1" x14ac:dyDescent="0.3">
      <c r="A992" s="250"/>
      <c r="B992" s="253"/>
      <c r="C992" s="40"/>
      <c r="D992" s="40"/>
      <c r="E992" s="41"/>
      <c r="F992" s="35" t="s">
        <v>23</v>
      </c>
      <c r="G992" s="35" t="str">
        <f t="shared" si="16"/>
        <v/>
      </c>
      <c r="H992" s="39"/>
      <c r="I992" s="35"/>
      <c r="J992" s="34">
        <v>0</v>
      </c>
    </row>
    <row r="993" spans="1:10" ht="15.75" hidden="1" thickBot="1" x14ac:dyDescent="0.3">
      <c r="A993" s="248" t="s">
        <v>237</v>
      </c>
      <c r="B993" s="251" t="s">
        <v>2216</v>
      </c>
      <c r="C993" s="28"/>
      <c r="D993" s="29" t="s">
        <v>28</v>
      </c>
      <c r="E993" s="30"/>
      <c r="F993" s="45" t="s">
        <v>23</v>
      </c>
      <c r="G993" s="31" t="str">
        <f t="shared" si="16"/>
        <v/>
      </c>
      <c r="H993" s="32"/>
      <c r="I993" s="33"/>
      <c r="J993" s="34">
        <v>0</v>
      </c>
    </row>
    <row r="994" spans="1:10" ht="15.75" hidden="1" thickBot="1" x14ac:dyDescent="0.3">
      <c r="A994" s="249"/>
      <c r="B994" s="252"/>
      <c r="C994" s="36"/>
      <c r="D994" s="36"/>
      <c r="E994" s="37"/>
      <c r="F994" s="46" t="s">
        <v>23</v>
      </c>
      <c r="G994" s="35" t="str">
        <f t="shared" si="16"/>
        <v/>
      </c>
      <c r="H994" s="39"/>
      <c r="I994" s="35"/>
      <c r="J994" s="34">
        <v>0</v>
      </c>
    </row>
    <row r="995" spans="1:10" ht="26.25" hidden="1" thickBot="1" x14ac:dyDescent="0.3">
      <c r="A995" s="249"/>
      <c r="B995" s="252"/>
      <c r="C995" s="40" t="s">
        <v>238</v>
      </c>
      <c r="D995" s="53" t="s">
        <v>102</v>
      </c>
      <c r="E995" s="41">
        <v>1</v>
      </c>
      <c r="F995" s="38" t="s">
        <v>23</v>
      </c>
      <c r="G995" s="38" t="str">
        <f t="shared" si="16"/>
        <v/>
      </c>
      <c r="H995" s="43">
        <f>SUM(G995:G996)</f>
        <v>3.1221749999999999</v>
      </c>
      <c r="I995" s="44"/>
      <c r="J995" s="34">
        <v>0</v>
      </c>
    </row>
    <row r="996" spans="1:10" ht="15.75" hidden="1" thickBot="1" x14ac:dyDescent="0.3">
      <c r="A996" s="249"/>
      <c r="B996" s="252"/>
      <c r="C996" s="40" t="s">
        <v>3754</v>
      </c>
      <c r="D996" s="40" t="s">
        <v>3752</v>
      </c>
      <c r="E996" s="41">
        <v>0.15</v>
      </c>
      <c r="F996" s="35">
        <v>20.814499999999999</v>
      </c>
      <c r="G996" s="38">
        <f t="shared" si="16"/>
        <v>3.1221749999999999</v>
      </c>
      <c r="H996" s="39"/>
      <c r="I996" s="35"/>
      <c r="J996" s="34">
        <v>0</v>
      </c>
    </row>
    <row r="997" spans="1:10" ht="15.75" hidden="1" thickBot="1" x14ac:dyDescent="0.3">
      <c r="A997" s="250"/>
      <c r="B997" s="253"/>
      <c r="C997" s="40"/>
      <c r="D997" s="40"/>
      <c r="E997" s="41"/>
      <c r="F997" s="35" t="s">
        <v>23</v>
      </c>
      <c r="G997" s="35" t="str">
        <f t="shared" si="16"/>
        <v/>
      </c>
      <c r="H997" s="39"/>
      <c r="I997" s="35"/>
      <c r="J997" s="34">
        <v>0</v>
      </c>
    </row>
    <row r="998" spans="1:10" ht="15.75" hidden="1" thickBot="1" x14ac:dyDescent="0.3">
      <c r="A998" s="248" t="s">
        <v>239</v>
      </c>
      <c r="B998" s="251" t="s">
        <v>2217</v>
      </c>
      <c r="C998" s="28"/>
      <c r="D998" s="29" t="s">
        <v>28</v>
      </c>
      <c r="E998" s="30"/>
      <c r="F998" s="45" t="s">
        <v>23</v>
      </c>
      <c r="G998" s="31" t="str">
        <f t="shared" si="16"/>
        <v/>
      </c>
      <c r="H998" s="32"/>
      <c r="I998" s="33"/>
      <c r="J998" s="34">
        <v>0</v>
      </c>
    </row>
    <row r="999" spans="1:10" ht="15.75" hidden="1" thickBot="1" x14ac:dyDescent="0.3">
      <c r="A999" s="249"/>
      <c r="B999" s="252"/>
      <c r="C999" s="36"/>
      <c r="D999" s="36"/>
      <c r="E999" s="37"/>
      <c r="F999" s="46" t="s">
        <v>23</v>
      </c>
      <c r="G999" s="35" t="str">
        <f t="shared" si="16"/>
        <v/>
      </c>
      <c r="H999" s="39"/>
      <c r="I999" s="35"/>
      <c r="J999" s="34">
        <v>0</v>
      </c>
    </row>
    <row r="1000" spans="1:10" ht="26.25" hidden="1" thickBot="1" x14ac:dyDescent="0.3">
      <c r="A1000" s="249"/>
      <c r="B1000" s="252"/>
      <c r="C1000" s="40" t="s">
        <v>240</v>
      </c>
      <c r="D1000" s="53" t="s">
        <v>102</v>
      </c>
      <c r="E1000" s="41">
        <v>1</v>
      </c>
      <c r="F1000" s="38" t="s">
        <v>23</v>
      </c>
      <c r="G1000" s="38" t="str">
        <f t="shared" si="16"/>
        <v/>
      </c>
      <c r="H1000" s="43">
        <f>SUM(G1000:G1001)</f>
        <v>3.1221749999999999</v>
      </c>
      <c r="I1000" s="44"/>
      <c r="J1000" s="34">
        <v>0</v>
      </c>
    </row>
    <row r="1001" spans="1:10" ht="15.75" hidden="1" thickBot="1" x14ac:dyDescent="0.3">
      <c r="A1001" s="249"/>
      <c r="B1001" s="252"/>
      <c r="C1001" s="40" t="s">
        <v>3754</v>
      </c>
      <c r="D1001" s="40" t="s">
        <v>3752</v>
      </c>
      <c r="E1001" s="41">
        <v>0.15</v>
      </c>
      <c r="F1001" s="35">
        <v>20.814499999999999</v>
      </c>
      <c r="G1001" s="38">
        <f t="shared" si="16"/>
        <v>3.1221749999999999</v>
      </c>
      <c r="H1001" s="39"/>
      <c r="I1001" s="35"/>
      <c r="J1001" s="34">
        <v>0</v>
      </c>
    </row>
    <row r="1002" spans="1:10" ht="15.75" hidden="1" thickBot="1" x14ac:dyDescent="0.3">
      <c r="A1002" s="250"/>
      <c r="B1002" s="253"/>
      <c r="C1002" s="40"/>
      <c r="D1002" s="40"/>
      <c r="E1002" s="41"/>
      <c r="F1002" s="35" t="s">
        <v>23</v>
      </c>
      <c r="G1002" s="35" t="str">
        <f t="shared" si="16"/>
        <v/>
      </c>
      <c r="H1002" s="39"/>
      <c r="I1002" s="35"/>
      <c r="J1002" s="34">
        <v>0</v>
      </c>
    </row>
    <row r="1003" spans="1:10" ht="15.75" hidden="1" thickBot="1" x14ac:dyDescent="0.3">
      <c r="A1003" s="248" t="s">
        <v>241</v>
      </c>
      <c r="B1003" s="251" t="s">
        <v>2218</v>
      </c>
      <c r="C1003" s="28"/>
      <c r="D1003" s="29" t="s">
        <v>28</v>
      </c>
      <c r="E1003" s="30"/>
      <c r="F1003" s="45" t="s">
        <v>23</v>
      </c>
      <c r="G1003" s="31" t="str">
        <f t="shared" si="16"/>
        <v/>
      </c>
      <c r="H1003" s="32"/>
      <c r="I1003" s="33"/>
      <c r="J1003" s="34">
        <v>0</v>
      </c>
    </row>
    <row r="1004" spans="1:10" ht="15.75" hidden="1" thickBot="1" x14ac:dyDescent="0.3">
      <c r="A1004" s="249"/>
      <c r="B1004" s="252"/>
      <c r="C1004" s="36"/>
      <c r="D1004" s="36"/>
      <c r="E1004" s="37"/>
      <c r="F1004" s="46" t="s">
        <v>23</v>
      </c>
      <c r="G1004" s="35" t="str">
        <f t="shared" si="16"/>
        <v/>
      </c>
      <c r="H1004" s="39"/>
      <c r="I1004" s="35"/>
      <c r="J1004" s="34">
        <v>0</v>
      </c>
    </row>
    <row r="1005" spans="1:10" ht="15.75" hidden="1" thickBot="1" x14ac:dyDescent="0.3">
      <c r="A1005" s="249"/>
      <c r="B1005" s="252"/>
      <c r="C1005" s="40" t="s">
        <v>4180</v>
      </c>
      <c r="D1005" s="40" t="s">
        <v>291</v>
      </c>
      <c r="E1005" s="41">
        <v>4.8999999999999998E-3</v>
      </c>
      <c r="F1005" s="35">
        <v>65.5595</v>
      </c>
      <c r="G1005" s="38">
        <f t="shared" si="16"/>
        <v>0.32124154999999999</v>
      </c>
      <c r="H1005" s="43">
        <f>SUM(G1005:G1010)</f>
        <v>22.219681099999999</v>
      </c>
      <c r="I1005" s="44"/>
      <c r="J1005" s="34">
        <v>0</v>
      </c>
    </row>
    <row r="1006" spans="1:10" ht="26.25" hidden="1" thickBot="1" x14ac:dyDescent="0.3">
      <c r="A1006" s="249"/>
      <c r="B1006" s="252"/>
      <c r="C1006" s="40" t="s">
        <v>3872</v>
      </c>
      <c r="D1006" s="40" t="s">
        <v>291</v>
      </c>
      <c r="E1006" s="41">
        <v>1</v>
      </c>
      <c r="F1006" s="35">
        <v>13.186</v>
      </c>
      <c r="G1006" s="38">
        <f t="shared" si="16"/>
        <v>13.186</v>
      </c>
      <c r="H1006" s="39"/>
      <c r="I1006" s="35"/>
      <c r="J1006" s="34">
        <v>0</v>
      </c>
    </row>
    <row r="1007" spans="1:10" ht="26.25" hidden="1" thickBot="1" x14ac:dyDescent="0.3">
      <c r="A1007" s="249"/>
      <c r="B1007" s="252"/>
      <c r="C1007" s="40" t="s">
        <v>3870</v>
      </c>
      <c r="D1007" s="40" t="s">
        <v>291</v>
      </c>
      <c r="E1007" s="41">
        <v>7.4999999999999997E-3</v>
      </c>
      <c r="F1007" s="38">
        <v>74.280499999999989</v>
      </c>
      <c r="G1007" s="38">
        <f t="shared" si="16"/>
        <v>0.5571037499999999</v>
      </c>
      <c r="H1007" s="39"/>
      <c r="I1007" s="35"/>
      <c r="J1007" s="34">
        <v>0</v>
      </c>
    </row>
    <row r="1008" spans="1:10" ht="15.75" hidden="1" thickBot="1" x14ac:dyDescent="0.3">
      <c r="A1008" s="249"/>
      <c r="B1008" s="252"/>
      <c r="C1008" s="40" t="s">
        <v>4498</v>
      </c>
      <c r="D1008" s="40" t="s">
        <v>291</v>
      </c>
      <c r="E1008" s="41">
        <v>3.5999999999999997E-2</v>
      </c>
      <c r="F1008" s="38">
        <v>2.1564999999999999</v>
      </c>
      <c r="G1008" s="38">
        <f t="shared" si="16"/>
        <v>7.7633999999999995E-2</v>
      </c>
      <c r="H1008" s="39"/>
      <c r="I1008" s="35"/>
      <c r="J1008" s="34">
        <v>0</v>
      </c>
    </row>
    <row r="1009" spans="1:10" ht="26.25" hidden="1" thickBot="1" x14ac:dyDescent="0.3">
      <c r="A1009" s="249"/>
      <c r="B1009" s="252"/>
      <c r="C1009" s="40" t="s">
        <v>4119</v>
      </c>
      <c r="D1009" s="40" t="s">
        <v>3752</v>
      </c>
      <c r="E1009" s="41">
        <v>0.16520000000000001</v>
      </c>
      <c r="F1009" s="38">
        <v>21.555499999999999</v>
      </c>
      <c r="G1009" s="38">
        <f t="shared" si="16"/>
        <v>3.5609686000000003</v>
      </c>
      <c r="H1009" s="39"/>
      <c r="I1009" s="35"/>
      <c r="J1009" s="34">
        <v>0</v>
      </c>
    </row>
    <row r="1010" spans="1:10" ht="26.25" hidden="1" thickBot="1" x14ac:dyDescent="0.3">
      <c r="A1010" s="249"/>
      <c r="B1010" s="252"/>
      <c r="C1010" s="40" t="s">
        <v>4110</v>
      </c>
      <c r="D1010" s="40" t="s">
        <v>3752</v>
      </c>
      <c r="E1010" s="41">
        <v>0.16520000000000001</v>
      </c>
      <c r="F1010" s="38">
        <v>27.341000000000001</v>
      </c>
      <c r="G1010" s="38">
        <f t="shared" si="16"/>
        <v>4.5167332000000009</v>
      </c>
      <c r="H1010" s="39"/>
      <c r="I1010" s="35"/>
      <c r="J1010" s="34">
        <v>0</v>
      </c>
    </row>
    <row r="1011" spans="1:10" ht="15.75" hidden="1" thickBot="1" x14ac:dyDescent="0.3">
      <c r="A1011" s="250"/>
      <c r="B1011" s="253"/>
      <c r="C1011" s="40"/>
      <c r="D1011" s="40"/>
      <c r="E1011" s="41"/>
      <c r="F1011" s="35" t="s">
        <v>23</v>
      </c>
      <c r="G1011" s="35" t="str">
        <f t="shared" si="16"/>
        <v/>
      </c>
      <c r="H1011" s="39"/>
      <c r="I1011" s="35"/>
      <c r="J1011" s="34">
        <v>0</v>
      </c>
    </row>
    <row r="1012" spans="1:10" ht="15.75" hidden="1" thickBot="1" x14ac:dyDescent="0.3">
      <c r="A1012" s="248" t="s">
        <v>242</v>
      </c>
      <c r="B1012" s="251" t="s">
        <v>2219</v>
      </c>
      <c r="C1012" s="28"/>
      <c r="D1012" s="29" t="s">
        <v>28</v>
      </c>
      <c r="E1012" s="30"/>
      <c r="F1012" s="45" t="s">
        <v>23</v>
      </c>
      <c r="G1012" s="31" t="str">
        <f t="shared" si="16"/>
        <v/>
      </c>
      <c r="H1012" s="32"/>
      <c r="I1012" s="33"/>
      <c r="J1012" s="34">
        <v>0</v>
      </c>
    </row>
    <row r="1013" spans="1:10" ht="15.75" hidden="1" thickBot="1" x14ac:dyDescent="0.3">
      <c r="A1013" s="249"/>
      <c r="B1013" s="252"/>
      <c r="C1013" s="36"/>
      <c r="D1013" s="36"/>
      <c r="E1013" s="37"/>
      <c r="F1013" s="46" t="s">
        <v>23</v>
      </c>
      <c r="G1013" s="35" t="str">
        <f t="shared" si="16"/>
        <v/>
      </c>
      <c r="H1013" s="39"/>
      <c r="I1013" s="35"/>
      <c r="J1013" s="34">
        <v>0</v>
      </c>
    </row>
    <row r="1014" spans="1:10" ht="26.25" hidden="1" thickBot="1" x14ac:dyDescent="0.3">
      <c r="A1014" s="249"/>
      <c r="B1014" s="252"/>
      <c r="C1014" s="40" t="s">
        <v>243</v>
      </c>
      <c r="D1014" s="53" t="s">
        <v>102</v>
      </c>
      <c r="E1014" s="41">
        <v>1</v>
      </c>
      <c r="F1014" s="38" t="s">
        <v>23</v>
      </c>
      <c r="G1014" s="38" t="str">
        <f t="shared" si="16"/>
        <v/>
      </c>
      <c r="H1014" s="43">
        <f>SUM(G1014:G1015)</f>
        <v>2.0814499999999998</v>
      </c>
      <c r="I1014" s="44"/>
      <c r="J1014" s="34">
        <v>0</v>
      </c>
    </row>
    <row r="1015" spans="1:10" ht="15.75" hidden="1" thickBot="1" x14ac:dyDescent="0.3">
      <c r="A1015" s="249"/>
      <c r="B1015" s="252"/>
      <c r="C1015" s="40" t="s">
        <v>3754</v>
      </c>
      <c r="D1015" s="40" t="s">
        <v>3752</v>
      </c>
      <c r="E1015" s="41">
        <v>0.1</v>
      </c>
      <c r="F1015" s="35">
        <v>20.814499999999999</v>
      </c>
      <c r="G1015" s="38">
        <f t="shared" si="16"/>
        <v>2.0814499999999998</v>
      </c>
      <c r="H1015" s="39"/>
      <c r="I1015" s="35"/>
      <c r="J1015" s="34">
        <v>0</v>
      </c>
    </row>
    <row r="1016" spans="1:10" ht="15.75" hidden="1" thickBot="1" x14ac:dyDescent="0.3">
      <c r="A1016" s="250"/>
      <c r="B1016" s="253"/>
      <c r="C1016" s="40"/>
      <c r="D1016" s="40"/>
      <c r="E1016" s="41"/>
      <c r="F1016" s="35" t="s">
        <v>23</v>
      </c>
      <c r="G1016" s="35" t="str">
        <f t="shared" si="16"/>
        <v/>
      </c>
      <c r="H1016" s="39"/>
      <c r="I1016" s="35"/>
      <c r="J1016" s="34">
        <v>0</v>
      </c>
    </row>
    <row r="1017" spans="1:10" ht="15.75" hidden="1" thickBot="1" x14ac:dyDescent="0.3">
      <c r="A1017" s="248" t="s">
        <v>244</v>
      </c>
      <c r="B1017" s="251" t="s">
        <v>2220</v>
      </c>
      <c r="C1017" s="28"/>
      <c r="D1017" s="29" t="s">
        <v>28</v>
      </c>
      <c r="E1017" s="30"/>
      <c r="F1017" s="45" t="s">
        <v>23</v>
      </c>
      <c r="G1017" s="31" t="str">
        <f t="shared" si="16"/>
        <v/>
      </c>
      <c r="H1017" s="32"/>
      <c r="I1017" s="33"/>
      <c r="J1017" s="34">
        <v>0</v>
      </c>
    </row>
    <row r="1018" spans="1:10" ht="15.75" hidden="1" thickBot="1" x14ac:dyDescent="0.3">
      <c r="A1018" s="249"/>
      <c r="B1018" s="252"/>
      <c r="C1018" s="36"/>
      <c r="D1018" s="36"/>
      <c r="E1018" s="37"/>
      <c r="F1018" s="46" t="s">
        <v>23</v>
      </c>
      <c r="G1018" s="35" t="str">
        <f t="shared" si="16"/>
        <v/>
      </c>
      <c r="H1018" s="39"/>
      <c r="I1018" s="35"/>
      <c r="J1018" s="34">
        <v>0</v>
      </c>
    </row>
    <row r="1019" spans="1:10" ht="26.25" hidden="1" thickBot="1" x14ac:dyDescent="0.3">
      <c r="A1019" s="249"/>
      <c r="B1019" s="252"/>
      <c r="C1019" s="40" t="s">
        <v>3873</v>
      </c>
      <c r="D1019" s="40" t="s">
        <v>291</v>
      </c>
      <c r="E1019" s="41">
        <v>1</v>
      </c>
      <c r="F1019" s="38">
        <v>208.905</v>
      </c>
      <c r="G1019" s="38">
        <f t="shared" si="16"/>
        <v>208.905</v>
      </c>
      <c r="H1019" s="43">
        <f>SUM(G1019:G1025)</f>
        <v>298.19258065000002</v>
      </c>
      <c r="I1019" s="44"/>
      <c r="J1019" s="34">
        <v>0</v>
      </c>
    </row>
    <row r="1020" spans="1:10" ht="26.25" hidden="1" thickBot="1" x14ac:dyDescent="0.3">
      <c r="A1020" s="249"/>
      <c r="B1020" s="252"/>
      <c r="C1020" s="40" t="s">
        <v>224</v>
      </c>
      <c r="D1020" s="40" t="s">
        <v>28</v>
      </c>
      <c r="E1020" s="41">
        <v>1</v>
      </c>
      <c r="F1020" s="38" t="s">
        <v>23</v>
      </c>
      <c r="G1020" s="38" t="str">
        <f t="shared" si="16"/>
        <v/>
      </c>
      <c r="H1020" s="39"/>
      <c r="I1020" s="35"/>
      <c r="J1020" s="34">
        <v>0</v>
      </c>
    </row>
    <row r="1021" spans="1:10" ht="39" hidden="1" thickBot="1" x14ac:dyDescent="0.3">
      <c r="A1021" s="249"/>
      <c r="B1021" s="252"/>
      <c r="C1021" s="40" t="s">
        <v>3874</v>
      </c>
      <c r="D1021" s="40" t="s">
        <v>291</v>
      </c>
      <c r="E1021" s="41">
        <v>2</v>
      </c>
      <c r="F1021" s="38">
        <v>22.799999999999997</v>
      </c>
      <c r="G1021" s="38">
        <f t="shared" si="16"/>
        <v>45.599999999999994</v>
      </c>
      <c r="H1021" s="39"/>
      <c r="I1021" s="35"/>
      <c r="J1021" s="34">
        <v>0</v>
      </c>
    </row>
    <row r="1022" spans="1:10" ht="26.25" hidden="1" thickBot="1" x14ac:dyDescent="0.3">
      <c r="A1022" s="249"/>
      <c r="B1022" s="252"/>
      <c r="C1022" s="40" t="s">
        <v>3858</v>
      </c>
      <c r="D1022" s="40" t="s">
        <v>291</v>
      </c>
      <c r="E1022" s="41">
        <v>1</v>
      </c>
      <c r="F1022" s="38">
        <v>16.102499999999999</v>
      </c>
      <c r="G1022" s="59">
        <f t="shared" si="16"/>
        <v>16.102499999999999</v>
      </c>
      <c r="H1022" s="39"/>
      <c r="I1022" s="35"/>
      <c r="J1022" s="34">
        <v>0</v>
      </c>
    </row>
    <row r="1023" spans="1:10" ht="15.75" hidden="1" thickBot="1" x14ac:dyDescent="0.3">
      <c r="A1023" s="249"/>
      <c r="B1023" s="252"/>
      <c r="C1023" s="40" t="s">
        <v>4161</v>
      </c>
      <c r="D1023" s="40" t="s">
        <v>1035</v>
      </c>
      <c r="E1023" s="41">
        <v>8.8099999999999998E-2</v>
      </c>
      <c r="F1023" s="38">
        <v>76.36099999999999</v>
      </c>
      <c r="G1023" s="38">
        <f t="shared" si="16"/>
        <v>6.7274040999999993</v>
      </c>
      <c r="H1023" s="39"/>
      <c r="I1023" s="35"/>
      <c r="J1023" s="34">
        <v>0</v>
      </c>
    </row>
    <row r="1024" spans="1:10" ht="26.25" hidden="1" thickBot="1" x14ac:dyDescent="0.3">
      <c r="A1024" s="249"/>
      <c r="B1024" s="252"/>
      <c r="C1024" s="40" t="s">
        <v>4110</v>
      </c>
      <c r="D1024" s="40" t="s">
        <v>3752</v>
      </c>
      <c r="E1024" s="41">
        <v>0.49680000000000002</v>
      </c>
      <c r="F1024" s="35">
        <v>27.341000000000001</v>
      </c>
      <c r="G1024" s="38">
        <f t="shared" si="16"/>
        <v>13.583008800000002</v>
      </c>
      <c r="H1024" s="39"/>
      <c r="I1024" s="35"/>
      <c r="J1024" s="34">
        <v>0</v>
      </c>
    </row>
    <row r="1025" spans="1:10" ht="15.75" hidden="1" thickBot="1" x14ac:dyDescent="0.3">
      <c r="A1025" s="249"/>
      <c r="B1025" s="252"/>
      <c r="C1025" s="40" t="s">
        <v>3754</v>
      </c>
      <c r="D1025" s="40" t="s">
        <v>3752</v>
      </c>
      <c r="E1025" s="41">
        <v>0.34949999999999998</v>
      </c>
      <c r="F1025" s="35">
        <v>20.814499999999999</v>
      </c>
      <c r="G1025" s="38">
        <f t="shared" si="16"/>
        <v>7.274667749999999</v>
      </c>
      <c r="H1025" s="39"/>
      <c r="I1025" s="35"/>
      <c r="J1025" s="34">
        <v>0</v>
      </c>
    </row>
    <row r="1026" spans="1:10" ht="15.75" hidden="1" thickBot="1" x14ac:dyDescent="0.3">
      <c r="A1026" s="250"/>
      <c r="B1026" s="253"/>
      <c r="C1026" s="40"/>
      <c r="D1026" s="40"/>
      <c r="E1026" s="41"/>
      <c r="F1026" s="35" t="s">
        <v>23</v>
      </c>
      <c r="G1026" s="35" t="str">
        <f t="shared" si="16"/>
        <v/>
      </c>
      <c r="H1026" s="39"/>
      <c r="I1026" s="35"/>
      <c r="J1026" s="34">
        <v>0</v>
      </c>
    </row>
    <row r="1027" spans="1:10" ht="15.75" hidden="1" thickBot="1" x14ac:dyDescent="0.3">
      <c r="A1027" s="248" t="s">
        <v>245</v>
      </c>
      <c r="B1027" s="251" t="s">
        <v>2221</v>
      </c>
      <c r="C1027" s="28"/>
      <c r="D1027" s="29" t="s">
        <v>28</v>
      </c>
      <c r="E1027" s="30"/>
      <c r="F1027" s="45" t="s">
        <v>23</v>
      </c>
      <c r="G1027" s="31" t="str">
        <f t="shared" si="16"/>
        <v/>
      </c>
      <c r="H1027" s="32"/>
      <c r="I1027" s="33"/>
      <c r="J1027" s="34">
        <v>0</v>
      </c>
    </row>
    <row r="1028" spans="1:10" ht="15.75" hidden="1" thickBot="1" x14ac:dyDescent="0.3">
      <c r="A1028" s="249"/>
      <c r="B1028" s="252"/>
      <c r="C1028" s="36"/>
      <c r="D1028" s="36"/>
      <c r="E1028" s="37"/>
      <c r="F1028" s="46" t="s">
        <v>23</v>
      </c>
      <c r="G1028" s="35" t="str">
        <f t="shared" si="16"/>
        <v/>
      </c>
      <c r="H1028" s="39"/>
      <c r="I1028" s="35"/>
      <c r="J1028" s="34">
        <v>0</v>
      </c>
    </row>
    <row r="1029" spans="1:10" ht="26.25" hidden="1" thickBot="1" x14ac:dyDescent="0.3">
      <c r="A1029" s="249"/>
      <c r="B1029" s="252"/>
      <c r="C1029" s="40" t="s">
        <v>246</v>
      </c>
      <c r="D1029" s="53" t="s">
        <v>102</v>
      </c>
      <c r="E1029" s="41">
        <v>1</v>
      </c>
      <c r="F1029" s="38" t="s">
        <v>23</v>
      </c>
      <c r="G1029" s="38" t="str">
        <f t="shared" si="16"/>
        <v/>
      </c>
      <c r="H1029" s="43">
        <f>SUM(G1029:G1034)</f>
        <v>89.287580649999995</v>
      </c>
      <c r="I1029" s="44"/>
      <c r="J1029" s="34">
        <v>0</v>
      </c>
    </row>
    <row r="1030" spans="1:10" ht="39" hidden="1" thickBot="1" x14ac:dyDescent="0.3">
      <c r="A1030" s="249"/>
      <c r="B1030" s="252"/>
      <c r="C1030" s="40" t="s">
        <v>3874</v>
      </c>
      <c r="D1030" s="40" t="s">
        <v>291</v>
      </c>
      <c r="E1030" s="41">
        <v>2</v>
      </c>
      <c r="F1030" s="38">
        <v>22.799999999999997</v>
      </c>
      <c r="G1030" s="38">
        <f t="shared" si="16"/>
        <v>45.599999999999994</v>
      </c>
      <c r="H1030" s="39"/>
      <c r="I1030" s="35"/>
      <c r="J1030" s="34">
        <v>0</v>
      </c>
    </row>
    <row r="1031" spans="1:10" ht="26.25" hidden="1" thickBot="1" x14ac:dyDescent="0.3">
      <c r="A1031" s="249"/>
      <c r="B1031" s="252"/>
      <c r="C1031" s="40" t="s">
        <v>3858</v>
      </c>
      <c r="D1031" s="40" t="s">
        <v>291</v>
      </c>
      <c r="E1031" s="41">
        <v>1</v>
      </c>
      <c r="F1031" s="38">
        <v>16.102499999999999</v>
      </c>
      <c r="G1031" s="59">
        <f t="shared" si="16"/>
        <v>16.102499999999999</v>
      </c>
      <c r="H1031" s="39"/>
      <c r="I1031" s="35"/>
      <c r="J1031" s="34">
        <v>0</v>
      </c>
    </row>
    <row r="1032" spans="1:10" ht="15.75" hidden="1" thickBot="1" x14ac:dyDescent="0.3">
      <c r="A1032" s="249"/>
      <c r="B1032" s="252"/>
      <c r="C1032" s="40" t="s">
        <v>4161</v>
      </c>
      <c r="D1032" s="40" t="s">
        <v>1035</v>
      </c>
      <c r="E1032" s="41">
        <v>8.8099999999999998E-2</v>
      </c>
      <c r="F1032" s="38">
        <v>76.36099999999999</v>
      </c>
      <c r="G1032" s="38">
        <f t="shared" si="16"/>
        <v>6.7274040999999993</v>
      </c>
      <c r="H1032" s="39"/>
      <c r="I1032" s="35"/>
      <c r="J1032" s="34">
        <v>0</v>
      </c>
    </row>
    <row r="1033" spans="1:10" ht="26.25" hidden="1" thickBot="1" x14ac:dyDescent="0.3">
      <c r="A1033" s="249"/>
      <c r="B1033" s="252"/>
      <c r="C1033" s="40" t="s">
        <v>4110</v>
      </c>
      <c r="D1033" s="40" t="s">
        <v>3752</v>
      </c>
      <c r="E1033" s="41">
        <v>0.49680000000000002</v>
      </c>
      <c r="F1033" s="35">
        <v>27.341000000000001</v>
      </c>
      <c r="G1033" s="38">
        <f t="shared" si="16"/>
        <v>13.583008800000002</v>
      </c>
      <c r="H1033" s="39"/>
      <c r="I1033" s="35"/>
      <c r="J1033" s="34">
        <v>0</v>
      </c>
    </row>
    <row r="1034" spans="1:10" ht="15.75" hidden="1" thickBot="1" x14ac:dyDescent="0.3">
      <c r="A1034" s="249"/>
      <c r="B1034" s="252"/>
      <c r="C1034" s="40" t="s">
        <v>3754</v>
      </c>
      <c r="D1034" s="40" t="s">
        <v>3752</v>
      </c>
      <c r="E1034" s="41">
        <v>0.34949999999999998</v>
      </c>
      <c r="F1034" s="35">
        <v>20.814499999999999</v>
      </c>
      <c r="G1034" s="38">
        <f t="shared" si="16"/>
        <v>7.274667749999999</v>
      </c>
      <c r="H1034" s="39"/>
      <c r="I1034" s="35"/>
      <c r="J1034" s="34">
        <v>0</v>
      </c>
    </row>
    <row r="1035" spans="1:10" ht="15.75" hidden="1" thickBot="1" x14ac:dyDescent="0.3">
      <c r="A1035" s="250"/>
      <c r="B1035" s="253"/>
      <c r="C1035" s="40"/>
      <c r="D1035" s="40"/>
      <c r="E1035" s="41"/>
      <c r="F1035" s="35" t="s">
        <v>23</v>
      </c>
      <c r="G1035" s="35" t="str">
        <f t="shared" si="16"/>
        <v/>
      </c>
      <c r="H1035" s="39"/>
      <c r="I1035" s="35"/>
      <c r="J1035" s="34">
        <v>0</v>
      </c>
    </row>
    <row r="1036" spans="1:10" ht="15.75" hidden="1" thickBot="1" x14ac:dyDescent="0.3">
      <c r="A1036" s="248" t="s">
        <v>247</v>
      </c>
      <c r="B1036" s="251" t="s">
        <v>2222</v>
      </c>
      <c r="C1036" s="28"/>
      <c r="D1036" s="29" t="s">
        <v>28</v>
      </c>
      <c r="E1036" s="30"/>
      <c r="F1036" s="45" t="s">
        <v>23</v>
      </c>
      <c r="G1036" s="31" t="str">
        <f t="shared" si="16"/>
        <v/>
      </c>
      <c r="H1036" s="32"/>
      <c r="I1036" s="33"/>
      <c r="J1036" s="34">
        <v>0</v>
      </c>
    </row>
    <row r="1037" spans="1:10" ht="15.75" hidden="1" thickBot="1" x14ac:dyDescent="0.3">
      <c r="A1037" s="249"/>
      <c r="B1037" s="252"/>
      <c r="C1037" s="36"/>
      <c r="D1037" s="36"/>
      <c r="E1037" s="37"/>
      <c r="F1037" s="46" t="s">
        <v>23</v>
      </c>
      <c r="G1037" s="35" t="str">
        <f t="shared" si="16"/>
        <v/>
      </c>
      <c r="H1037" s="39"/>
      <c r="I1037" s="35"/>
      <c r="J1037" s="34">
        <v>0</v>
      </c>
    </row>
    <row r="1038" spans="1:10" ht="15.75" hidden="1" thickBot="1" x14ac:dyDescent="0.3">
      <c r="A1038" s="249"/>
      <c r="B1038" s="252"/>
      <c r="C1038" s="40" t="s">
        <v>248</v>
      </c>
      <c r="D1038" s="53" t="s">
        <v>102</v>
      </c>
      <c r="E1038" s="41">
        <v>1</v>
      </c>
      <c r="F1038" s="38" t="s">
        <v>23</v>
      </c>
      <c r="G1038" s="38" t="str">
        <f t="shared" si="16"/>
        <v/>
      </c>
      <c r="H1038" s="43">
        <f>SUM(G1038:G1041)</f>
        <v>47.068864349999998</v>
      </c>
      <c r="I1038" s="44"/>
      <c r="J1038" s="34">
        <v>0</v>
      </c>
    </row>
    <row r="1039" spans="1:10" ht="15.75" hidden="1" thickBot="1" x14ac:dyDescent="0.3">
      <c r="A1039" s="249"/>
      <c r="B1039" s="252"/>
      <c r="C1039" s="40" t="s">
        <v>4056</v>
      </c>
      <c r="D1039" s="40" t="s">
        <v>1035</v>
      </c>
      <c r="E1039" s="41">
        <v>0.52710000000000001</v>
      </c>
      <c r="F1039" s="38">
        <v>33.971999999999994</v>
      </c>
      <c r="G1039" s="38">
        <f t="shared" si="16"/>
        <v>17.906641199999996</v>
      </c>
      <c r="H1039" s="39"/>
      <c r="I1039" s="35"/>
      <c r="J1039" s="34">
        <v>0</v>
      </c>
    </row>
    <row r="1040" spans="1:10" ht="15.75" hidden="1" thickBot="1" x14ac:dyDescent="0.3">
      <c r="A1040" s="249"/>
      <c r="B1040" s="252"/>
      <c r="C1040" s="40" t="s">
        <v>3754</v>
      </c>
      <c r="D1040" s="40" t="s">
        <v>3752</v>
      </c>
      <c r="E1040" s="41">
        <v>0.26650000000000001</v>
      </c>
      <c r="F1040" s="35">
        <v>20.814499999999999</v>
      </c>
      <c r="G1040" s="38">
        <f t="shared" si="16"/>
        <v>5.54706425</v>
      </c>
      <c r="H1040" s="39"/>
      <c r="I1040" s="35"/>
      <c r="J1040" s="34">
        <v>0</v>
      </c>
    </row>
    <row r="1041" spans="1:10" ht="15.75" hidden="1" thickBot="1" x14ac:dyDescent="0.3">
      <c r="A1041" s="249"/>
      <c r="B1041" s="252"/>
      <c r="C1041" s="40" t="s">
        <v>3826</v>
      </c>
      <c r="D1041" s="40" t="s">
        <v>3752</v>
      </c>
      <c r="E1041" s="41">
        <v>0.8458</v>
      </c>
      <c r="F1041" s="35">
        <v>27.920500000000001</v>
      </c>
      <c r="G1041" s="38">
        <f t="shared" si="16"/>
        <v>23.615158900000001</v>
      </c>
      <c r="H1041" s="39"/>
      <c r="I1041" s="35"/>
      <c r="J1041" s="34">
        <v>0</v>
      </c>
    </row>
    <row r="1042" spans="1:10" ht="15.75" hidden="1" thickBot="1" x14ac:dyDescent="0.3">
      <c r="A1042" s="250"/>
      <c r="B1042" s="253"/>
      <c r="C1042" s="40"/>
      <c r="D1042" s="40"/>
      <c r="E1042" s="41"/>
      <c r="F1042" s="35" t="s">
        <v>23</v>
      </c>
      <c r="G1042" s="35" t="str">
        <f t="shared" ref="G1042:G1105" si="17">IF(ISNUMBER(F1042),E1042*F1042,"")</f>
        <v/>
      </c>
      <c r="H1042" s="39"/>
      <c r="I1042" s="35"/>
      <c r="J1042" s="34">
        <v>0</v>
      </c>
    </row>
    <row r="1043" spans="1:10" ht="15.75" hidden="1" thickBot="1" x14ac:dyDescent="0.3">
      <c r="A1043" s="248" t="s">
        <v>249</v>
      </c>
      <c r="B1043" s="251" t="s">
        <v>2223</v>
      </c>
      <c r="C1043" s="28"/>
      <c r="D1043" s="29" t="s">
        <v>28</v>
      </c>
      <c r="E1043" s="30"/>
      <c r="F1043" s="45" t="s">
        <v>23</v>
      </c>
      <c r="G1043" s="31" t="str">
        <f t="shared" si="17"/>
        <v/>
      </c>
      <c r="H1043" s="32"/>
      <c r="I1043" s="33"/>
      <c r="J1043" s="34">
        <v>0</v>
      </c>
    </row>
    <row r="1044" spans="1:10" ht="15.75" hidden="1" thickBot="1" x14ac:dyDescent="0.3">
      <c r="A1044" s="249"/>
      <c r="B1044" s="252"/>
      <c r="C1044" s="36"/>
      <c r="D1044" s="36"/>
      <c r="E1044" s="37"/>
      <c r="F1044" s="46" t="s">
        <v>23</v>
      </c>
      <c r="G1044" s="35" t="str">
        <f t="shared" si="17"/>
        <v/>
      </c>
      <c r="H1044" s="39"/>
      <c r="I1044" s="35"/>
      <c r="J1044" s="34">
        <v>0</v>
      </c>
    </row>
    <row r="1045" spans="1:10" ht="39" hidden="1" thickBot="1" x14ac:dyDescent="0.3">
      <c r="A1045" s="249"/>
      <c r="B1045" s="252"/>
      <c r="C1045" s="40" t="s">
        <v>250</v>
      </c>
      <c r="D1045" s="53" t="s">
        <v>102</v>
      </c>
      <c r="E1045" s="41">
        <v>1</v>
      </c>
      <c r="F1045" s="38" t="s">
        <v>23</v>
      </c>
      <c r="G1045" s="38" t="str">
        <f t="shared" si="17"/>
        <v/>
      </c>
      <c r="H1045" s="43">
        <f>SUM(G1045:G1048)</f>
        <v>26.563020299999998</v>
      </c>
      <c r="I1045" s="44"/>
      <c r="J1045" s="34">
        <v>0</v>
      </c>
    </row>
    <row r="1046" spans="1:10" ht="15.75" hidden="1" thickBot="1" x14ac:dyDescent="0.3">
      <c r="A1046" s="249"/>
      <c r="B1046" s="252"/>
      <c r="C1046" s="40" t="s">
        <v>4056</v>
      </c>
      <c r="D1046" s="40" t="s">
        <v>1035</v>
      </c>
      <c r="E1046" s="41">
        <v>0.2974</v>
      </c>
      <c r="F1046" s="38">
        <v>33.971999999999994</v>
      </c>
      <c r="G1046" s="38">
        <f t="shared" si="17"/>
        <v>10.103272799999997</v>
      </c>
      <c r="H1046" s="39"/>
      <c r="I1046" s="35"/>
      <c r="J1046" s="34">
        <v>0</v>
      </c>
    </row>
    <row r="1047" spans="1:10" ht="15.75" hidden="1" thickBot="1" x14ac:dyDescent="0.3">
      <c r="A1047" s="249"/>
      <c r="B1047" s="252"/>
      <c r="C1047" s="40" t="s">
        <v>3826</v>
      </c>
      <c r="D1047" s="40" t="s">
        <v>3752</v>
      </c>
      <c r="E1047" s="41">
        <v>0.47739999999999999</v>
      </c>
      <c r="F1047" s="35">
        <v>27.920500000000001</v>
      </c>
      <c r="G1047" s="38">
        <f t="shared" si="17"/>
        <v>13.329246700000001</v>
      </c>
      <c r="H1047" s="39"/>
      <c r="I1047" s="35"/>
      <c r="J1047" s="34">
        <v>0</v>
      </c>
    </row>
    <row r="1048" spans="1:10" ht="15.75" hidden="1" thickBot="1" x14ac:dyDescent="0.3">
      <c r="A1048" s="249"/>
      <c r="B1048" s="252"/>
      <c r="C1048" s="40" t="s">
        <v>3754</v>
      </c>
      <c r="D1048" s="40" t="s">
        <v>3752</v>
      </c>
      <c r="E1048" s="41">
        <v>0.15040000000000001</v>
      </c>
      <c r="F1048" s="35">
        <v>20.814499999999999</v>
      </c>
      <c r="G1048" s="38">
        <f t="shared" si="17"/>
        <v>3.1305008000000001</v>
      </c>
      <c r="H1048" s="39"/>
      <c r="I1048" s="35"/>
      <c r="J1048" s="34">
        <v>0</v>
      </c>
    </row>
    <row r="1049" spans="1:10" ht="15.75" hidden="1" thickBot="1" x14ac:dyDescent="0.3">
      <c r="A1049" s="250"/>
      <c r="B1049" s="253"/>
      <c r="C1049" s="40"/>
      <c r="D1049" s="40"/>
      <c r="E1049" s="41"/>
      <c r="F1049" s="35" t="s">
        <v>23</v>
      </c>
      <c r="G1049" s="35" t="str">
        <f t="shared" si="17"/>
        <v/>
      </c>
      <c r="H1049" s="39"/>
      <c r="I1049" s="35"/>
      <c r="J1049" s="34">
        <v>0</v>
      </c>
    </row>
    <row r="1050" spans="1:10" ht="15.75" hidden="1" thickBot="1" x14ac:dyDescent="0.3">
      <c r="A1050" s="248" t="s">
        <v>251</v>
      </c>
      <c r="B1050" s="251" t="s">
        <v>2224</v>
      </c>
      <c r="C1050" s="28"/>
      <c r="D1050" s="29" t="s">
        <v>28</v>
      </c>
      <c r="E1050" s="30"/>
      <c r="F1050" s="45" t="s">
        <v>23</v>
      </c>
      <c r="G1050" s="31" t="str">
        <f t="shared" si="17"/>
        <v/>
      </c>
      <c r="H1050" s="32"/>
      <c r="I1050" s="33"/>
      <c r="J1050" s="34">
        <v>0</v>
      </c>
    </row>
    <row r="1051" spans="1:10" ht="15.75" hidden="1" thickBot="1" x14ac:dyDescent="0.3">
      <c r="A1051" s="249"/>
      <c r="B1051" s="252"/>
      <c r="C1051" s="36"/>
      <c r="D1051" s="36"/>
      <c r="E1051" s="37"/>
      <c r="F1051" s="46" t="s">
        <v>23</v>
      </c>
      <c r="G1051" s="35" t="str">
        <f t="shared" si="17"/>
        <v/>
      </c>
      <c r="H1051" s="39"/>
      <c r="I1051" s="35"/>
      <c r="J1051" s="34">
        <v>0</v>
      </c>
    </row>
    <row r="1052" spans="1:10" ht="15.75" hidden="1" thickBot="1" x14ac:dyDescent="0.3">
      <c r="A1052" s="249"/>
      <c r="B1052" s="252"/>
      <c r="C1052" s="40" t="s">
        <v>252</v>
      </c>
      <c r="D1052" s="53" t="s">
        <v>102</v>
      </c>
      <c r="E1052" s="41">
        <v>1</v>
      </c>
      <c r="F1052" s="38" t="s">
        <v>23</v>
      </c>
      <c r="G1052" s="38" t="str">
        <f t="shared" si="17"/>
        <v/>
      </c>
      <c r="H1052" s="43">
        <f>SUM(G1052:G1055)</f>
        <v>47.068864349999998</v>
      </c>
      <c r="I1052" s="44"/>
      <c r="J1052" s="34">
        <v>0</v>
      </c>
    </row>
    <row r="1053" spans="1:10" ht="15.75" hidden="1" thickBot="1" x14ac:dyDescent="0.3">
      <c r="A1053" s="249"/>
      <c r="B1053" s="252"/>
      <c r="C1053" s="40" t="s">
        <v>4056</v>
      </c>
      <c r="D1053" s="40" t="s">
        <v>1035</v>
      </c>
      <c r="E1053" s="41">
        <v>0.52710000000000001</v>
      </c>
      <c r="F1053" s="38">
        <v>33.971999999999994</v>
      </c>
      <c r="G1053" s="38">
        <f t="shared" si="17"/>
        <v>17.906641199999996</v>
      </c>
      <c r="H1053" s="39"/>
      <c r="I1053" s="35"/>
      <c r="J1053" s="34">
        <v>0</v>
      </c>
    </row>
    <row r="1054" spans="1:10" ht="15.75" hidden="1" thickBot="1" x14ac:dyDescent="0.3">
      <c r="A1054" s="249"/>
      <c r="B1054" s="252"/>
      <c r="C1054" s="40" t="s">
        <v>3754</v>
      </c>
      <c r="D1054" s="40" t="s">
        <v>3752</v>
      </c>
      <c r="E1054" s="41">
        <v>0.26650000000000001</v>
      </c>
      <c r="F1054" s="35">
        <v>20.814499999999999</v>
      </c>
      <c r="G1054" s="38">
        <f t="shared" si="17"/>
        <v>5.54706425</v>
      </c>
      <c r="H1054" s="39"/>
      <c r="I1054" s="35"/>
      <c r="J1054" s="34">
        <v>0</v>
      </c>
    </row>
    <row r="1055" spans="1:10" ht="15.75" hidden="1" thickBot="1" x14ac:dyDescent="0.3">
      <c r="A1055" s="249"/>
      <c r="B1055" s="252"/>
      <c r="C1055" s="40" t="s">
        <v>3826</v>
      </c>
      <c r="D1055" s="40" t="s">
        <v>3752</v>
      </c>
      <c r="E1055" s="41">
        <v>0.8458</v>
      </c>
      <c r="F1055" s="35">
        <v>27.920500000000001</v>
      </c>
      <c r="G1055" s="38">
        <f t="shared" si="17"/>
        <v>23.615158900000001</v>
      </c>
      <c r="H1055" s="39"/>
      <c r="I1055" s="35"/>
      <c r="J1055" s="34">
        <v>0</v>
      </c>
    </row>
    <row r="1056" spans="1:10" ht="15.75" hidden="1" thickBot="1" x14ac:dyDescent="0.3">
      <c r="A1056" s="250"/>
      <c r="B1056" s="253"/>
      <c r="C1056" s="40"/>
      <c r="D1056" s="40"/>
      <c r="E1056" s="41"/>
      <c r="F1056" s="35" t="s">
        <v>23</v>
      </c>
      <c r="G1056" s="35" t="str">
        <f t="shared" si="17"/>
        <v/>
      </c>
      <c r="H1056" s="39"/>
      <c r="I1056" s="35"/>
      <c r="J1056" s="34">
        <v>0</v>
      </c>
    </row>
    <row r="1057" spans="1:10" ht="15.75" hidden="1" thickBot="1" x14ac:dyDescent="0.3">
      <c r="A1057" s="248" t="s">
        <v>253</v>
      </c>
      <c r="B1057" s="251" t="s">
        <v>2225</v>
      </c>
      <c r="C1057" s="28"/>
      <c r="D1057" s="29" t="s">
        <v>28</v>
      </c>
      <c r="E1057" s="30"/>
      <c r="F1057" s="45" t="s">
        <v>23</v>
      </c>
      <c r="G1057" s="31" t="str">
        <f t="shared" si="17"/>
        <v/>
      </c>
      <c r="H1057" s="32"/>
      <c r="I1057" s="33"/>
      <c r="J1057" s="34">
        <v>0</v>
      </c>
    </row>
    <row r="1058" spans="1:10" ht="15.75" hidden="1" thickBot="1" x14ac:dyDescent="0.3">
      <c r="A1058" s="249"/>
      <c r="B1058" s="252"/>
      <c r="C1058" s="36"/>
      <c r="D1058" s="36"/>
      <c r="E1058" s="37"/>
      <c r="F1058" s="46" t="s">
        <v>23</v>
      </c>
      <c r="G1058" s="35" t="str">
        <f t="shared" si="17"/>
        <v/>
      </c>
      <c r="H1058" s="39"/>
      <c r="I1058" s="35"/>
      <c r="J1058" s="34">
        <v>0</v>
      </c>
    </row>
    <row r="1059" spans="1:10" ht="39" hidden="1" thickBot="1" x14ac:dyDescent="0.3">
      <c r="A1059" s="249"/>
      <c r="B1059" s="252"/>
      <c r="C1059" s="40" t="s">
        <v>3875</v>
      </c>
      <c r="D1059" s="40" t="s">
        <v>291</v>
      </c>
      <c r="E1059" s="41">
        <v>2</v>
      </c>
      <c r="F1059" s="38">
        <v>16.900499999999997</v>
      </c>
      <c r="G1059" s="38">
        <f t="shared" si="17"/>
        <v>33.800999999999995</v>
      </c>
      <c r="H1059" s="43">
        <f>SUM(G1059:G1062)</f>
        <v>50.628956099999996</v>
      </c>
      <c r="I1059" s="44"/>
      <c r="J1059" s="34">
        <v>0</v>
      </c>
    </row>
    <row r="1060" spans="1:10" ht="15.75" hidden="1" thickBot="1" x14ac:dyDescent="0.3">
      <c r="A1060" s="249"/>
      <c r="B1060" s="252"/>
      <c r="C1060" s="40" t="s">
        <v>4161</v>
      </c>
      <c r="D1060" s="40" t="s">
        <v>1035</v>
      </c>
      <c r="E1060" s="41">
        <v>3.04E-2</v>
      </c>
      <c r="F1060" s="38">
        <v>76.36099999999999</v>
      </c>
      <c r="G1060" s="38">
        <f t="shared" si="17"/>
        <v>2.3213743999999998</v>
      </c>
      <c r="H1060" s="39"/>
      <c r="I1060" s="35"/>
      <c r="J1060" s="34">
        <v>0</v>
      </c>
    </row>
    <row r="1061" spans="1:10" ht="26.25" hidden="1" thickBot="1" x14ac:dyDescent="0.3">
      <c r="A1061" s="249"/>
      <c r="B1061" s="252"/>
      <c r="C1061" s="40" t="s">
        <v>4110</v>
      </c>
      <c r="D1061" s="40" t="s">
        <v>3752</v>
      </c>
      <c r="E1061" s="41">
        <v>0.38700000000000001</v>
      </c>
      <c r="F1061" s="35">
        <v>27.341000000000001</v>
      </c>
      <c r="G1061" s="38">
        <f t="shared" si="17"/>
        <v>10.580967000000001</v>
      </c>
      <c r="H1061" s="39"/>
      <c r="I1061" s="35"/>
      <c r="J1061" s="34">
        <v>0</v>
      </c>
    </row>
    <row r="1062" spans="1:10" ht="15.75" hidden="1" thickBot="1" x14ac:dyDescent="0.3">
      <c r="A1062" s="249"/>
      <c r="B1062" s="252"/>
      <c r="C1062" s="40" t="s">
        <v>3754</v>
      </c>
      <c r="D1062" s="40" t="s">
        <v>3752</v>
      </c>
      <c r="E1062" s="41">
        <v>0.18859999999999999</v>
      </c>
      <c r="F1062" s="35">
        <v>20.814499999999999</v>
      </c>
      <c r="G1062" s="38">
        <f t="shared" si="17"/>
        <v>3.9256146999999997</v>
      </c>
      <c r="H1062" s="39"/>
      <c r="I1062" s="35"/>
      <c r="J1062" s="34">
        <v>0</v>
      </c>
    </row>
    <row r="1063" spans="1:10" ht="15.75" hidden="1" thickBot="1" x14ac:dyDescent="0.3">
      <c r="A1063" s="249"/>
      <c r="B1063" s="252"/>
      <c r="C1063" s="40"/>
      <c r="D1063" s="53"/>
      <c r="E1063" s="41"/>
      <c r="F1063" s="38" t="s">
        <v>23</v>
      </c>
      <c r="G1063" s="38" t="str">
        <f t="shared" si="17"/>
        <v/>
      </c>
      <c r="H1063" s="39"/>
      <c r="I1063" s="35"/>
      <c r="J1063" s="34">
        <v>0</v>
      </c>
    </row>
    <row r="1064" spans="1:10" ht="15.75" hidden="1" thickBot="1" x14ac:dyDescent="0.3">
      <c r="A1064" s="248" t="s">
        <v>254</v>
      </c>
      <c r="B1064" s="251" t="s">
        <v>2226</v>
      </c>
      <c r="C1064" s="28"/>
      <c r="D1064" s="29" t="s">
        <v>28</v>
      </c>
      <c r="E1064" s="30"/>
      <c r="F1064" s="45" t="s">
        <v>23</v>
      </c>
      <c r="G1064" s="31" t="str">
        <f t="shared" si="17"/>
        <v/>
      </c>
      <c r="H1064" s="32"/>
      <c r="I1064" s="33"/>
      <c r="J1064" s="34">
        <v>0</v>
      </c>
    </row>
    <row r="1065" spans="1:10" ht="15.75" hidden="1" thickBot="1" x14ac:dyDescent="0.3">
      <c r="A1065" s="249"/>
      <c r="B1065" s="252"/>
      <c r="C1065" s="36"/>
      <c r="D1065" s="36"/>
      <c r="E1065" s="37"/>
      <c r="F1065" s="46" t="s">
        <v>23</v>
      </c>
      <c r="G1065" s="35" t="str">
        <f t="shared" si="17"/>
        <v/>
      </c>
      <c r="H1065" s="39"/>
      <c r="I1065" s="35"/>
      <c r="J1065" s="34">
        <v>0</v>
      </c>
    </row>
    <row r="1066" spans="1:10" ht="39" hidden="1" thickBot="1" x14ac:dyDescent="0.3">
      <c r="A1066" s="249"/>
      <c r="B1066" s="252"/>
      <c r="C1066" s="40" t="s">
        <v>3875</v>
      </c>
      <c r="D1066" s="40" t="s">
        <v>291</v>
      </c>
      <c r="E1066" s="41">
        <v>2</v>
      </c>
      <c r="F1066" s="38">
        <v>16.900499999999997</v>
      </c>
      <c r="G1066" s="35">
        <f t="shared" si="17"/>
        <v>33.800999999999995</v>
      </c>
      <c r="H1066" s="43">
        <f>SUM(G1066:G1069)</f>
        <v>51.041352999999994</v>
      </c>
      <c r="I1066" s="44"/>
      <c r="J1066" s="34">
        <v>0</v>
      </c>
    </row>
    <row r="1067" spans="1:10" ht="15.75" hidden="1" thickBot="1" x14ac:dyDescent="0.3">
      <c r="A1067" s="249"/>
      <c r="B1067" s="252"/>
      <c r="C1067" s="40" t="s">
        <v>3876</v>
      </c>
      <c r="D1067" s="40" t="s">
        <v>291</v>
      </c>
      <c r="E1067" s="41">
        <v>3.6499999999999998E-2</v>
      </c>
      <c r="F1067" s="38">
        <v>3.762</v>
      </c>
      <c r="G1067" s="35">
        <f t="shared" si="17"/>
        <v>0.13731299999999999</v>
      </c>
      <c r="H1067" s="39"/>
      <c r="I1067" s="35"/>
      <c r="J1067" s="34">
        <v>0</v>
      </c>
    </row>
    <row r="1068" spans="1:10" ht="15.75" hidden="1" thickBot="1" x14ac:dyDescent="0.3">
      <c r="A1068" s="249"/>
      <c r="B1068" s="252"/>
      <c r="C1068" s="40" t="s">
        <v>3754</v>
      </c>
      <c r="D1068" s="40" t="s">
        <v>3752</v>
      </c>
      <c r="E1068" s="41">
        <f>ROUND(0.3179/2,4)</f>
        <v>0.159</v>
      </c>
      <c r="F1068" s="35">
        <v>20.814499999999999</v>
      </c>
      <c r="G1068" s="38">
        <f t="shared" si="17"/>
        <v>3.3095054999999998</v>
      </c>
      <c r="H1068" s="39"/>
      <c r="I1068" s="35"/>
      <c r="J1068" s="34">
        <v>0</v>
      </c>
    </row>
    <row r="1069" spans="1:10" ht="26.25" hidden="1" thickBot="1" x14ac:dyDescent="0.3">
      <c r="A1069" s="249"/>
      <c r="B1069" s="252"/>
      <c r="C1069" s="40" t="s">
        <v>4110</v>
      </c>
      <c r="D1069" s="40" t="s">
        <v>3752</v>
      </c>
      <c r="E1069" s="41">
        <f>1.009/2</f>
        <v>0.50449999999999995</v>
      </c>
      <c r="F1069" s="35">
        <v>27.341000000000001</v>
      </c>
      <c r="G1069" s="38">
        <f t="shared" si="17"/>
        <v>13.7935345</v>
      </c>
      <c r="H1069" s="39"/>
      <c r="I1069" s="35"/>
      <c r="J1069" s="34">
        <v>0</v>
      </c>
    </row>
    <row r="1070" spans="1:10" ht="15.75" hidden="1" thickBot="1" x14ac:dyDescent="0.3">
      <c r="A1070" s="249"/>
      <c r="B1070" s="252"/>
      <c r="C1070" s="40"/>
      <c r="D1070" s="53"/>
      <c r="E1070" s="41"/>
      <c r="F1070" s="38" t="s">
        <v>23</v>
      </c>
      <c r="G1070" s="38" t="str">
        <f t="shared" si="17"/>
        <v/>
      </c>
      <c r="H1070" s="39"/>
      <c r="I1070" s="35"/>
      <c r="J1070" s="34">
        <v>0</v>
      </c>
    </row>
    <row r="1071" spans="1:10" ht="26.25" hidden="1" thickBot="1" x14ac:dyDescent="0.3">
      <c r="A1071" s="249"/>
      <c r="B1071" s="252"/>
      <c r="C1071" s="54" t="s">
        <v>255</v>
      </c>
      <c r="D1071" s="53"/>
      <c r="E1071" s="41"/>
      <c r="F1071" s="38" t="s">
        <v>23</v>
      </c>
      <c r="G1071" s="38" t="str">
        <f t="shared" si="17"/>
        <v/>
      </c>
      <c r="H1071" s="39"/>
      <c r="I1071" s="35"/>
      <c r="J1071" s="34">
        <v>0</v>
      </c>
    </row>
    <row r="1072" spans="1:10" ht="15.75" hidden="1" thickBot="1" x14ac:dyDescent="0.3">
      <c r="A1072" s="249"/>
      <c r="B1072" s="252"/>
      <c r="C1072" s="40"/>
      <c r="D1072" s="40"/>
      <c r="E1072" s="41"/>
      <c r="F1072" s="38" t="s">
        <v>23</v>
      </c>
      <c r="G1072" s="38" t="str">
        <f t="shared" si="17"/>
        <v/>
      </c>
      <c r="H1072" s="39"/>
      <c r="I1072" s="35"/>
      <c r="J1072" s="34">
        <v>0</v>
      </c>
    </row>
    <row r="1073" spans="1:10" ht="15.75" hidden="1" thickBot="1" x14ac:dyDescent="0.3">
      <c r="A1073" s="248" t="s">
        <v>256</v>
      </c>
      <c r="B1073" s="251" t="s">
        <v>2227</v>
      </c>
      <c r="C1073" s="28"/>
      <c r="D1073" s="29" t="s">
        <v>28</v>
      </c>
      <c r="E1073" s="30"/>
      <c r="F1073" s="45" t="s">
        <v>23</v>
      </c>
      <c r="G1073" s="31" t="str">
        <f t="shared" si="17"/>
        <v/>
      </c>
      <c r="H1073" s="32"/>
      <c r="I1073" s="33"/>
      <c r="J1073" s="34">
        <v>0</v>
      </c>
    </row>
    <row r="1074" spans="1:10" ht="15.75" hidden="1" thickBot="1" x14ac:dyDescent="0.3">
      <c r="A1074" s="249"/>
      <c r="B1074" s="252"/>
      <c r="C1074" s="36"/>
      <c r="D1074" s="36"/>
      <c r="E1074" s="37"/>
      <c r="F1074" s="46" t="s">
        <v>23</v>
      </c>
      <c r="G1074" s="35" t="str">
        <f t="shared" si="17"/>
        <v/>
      </c>
      <c r="H1074" s="39"/>
      <c r="I1074" s="35"/>
      <c r="J1074" s="34">
        <v>0</v>
      </c>
    </row>
    <row r="1075" spans="1:10" ht="39" hidden="1" thickBot="1" x14ac:dyDescent="0.3">
      <c r="A1075" s="249"/>
      <c r="B1075" s="252"/>
      <c r="C1075" s="40" t="s">
        <v>3874</v>
      </c>
      <c r="D1075" s="40" t="s">
        <v>291</v>
      </c>
      <c r="E1075" s="41">
        <v>2</v>
      </c>
      <c r="F1075" s="38">
        <v>22.799999999999997</v>
      </c>
      <c r="G1075" s="38">
        <f t="shared" si="17"/>
        <v>45.599999999999994</v>
      </c>
      <c r="H1075" s="43">
        <f>SUM(G1075:G1079)</f>
        <v>89.287580649999995</v>
      </c>
      <c r="I1075" s="44"/>
      <c r="J1075" s="34">
        <v>0</v>
      </c>
    </row>
    <row r="1076" spans="1:10" ht="26.25" hidden="1" thickBot="1" x14ac:dyDescent="0.3">
      <c r="A1076" s="249"/>
      <c r="B1076" s="252"/>
      <c r="C1076" s="40" t="s">
        <v>3858</v>
      </c>
      <c r="D1076" s="40" t="s">
        <v>291</v>
      </c>
      <c r="E1076" s="41">
        <v>1</v>
      </c>
      <c r="F1076" s="38">
        <v>16.102499999999999</v>
      </c>
      <c r="G1076" s="59">
        <f t="shared" si="17"/>
        <v>16.102499999999999</v>
      </c>
      <c r="H1076" s="39"/>
      <c r="I1076" s="35"/>
      <c r="J1076" s="34">
        <v>0</v>
      </c>
    </row>
    <row r="1077" spans="1:10" ht="15.75" hidden="1" thickBot="1" x14ac:dyDescent="0.3">
      <c r="A1077" s="249"/>
      <c r="B1077" s="252"/>
      <c r="C1077" s="40" t="s">
        <v>4161</v>
      </c>
      <c r="D1077" s="40" t="s">
        <v>1035</v>
      </c>
      <c r="E1077" s="41">
        <v>8.8099999999999998E-2</v>
      </c>
      <c r="F1077" s="38">
        <v>76.36099999999999</v>
      </c>
      <c r="G1077" s="38">
        <f t="shared" si="17"/>
        <v>6.7274040999999993</v>
      </c>
      <c r="H1077" s="39"/>
      <c r="I1077" s="35"/>
      <c r="J1077" s="34">
        <v>0</v>
      </c>
    </row>
    <row r="1078" spans="1:10" ht="26.25" hidden="1" thickBot="1" x14ac:dyDescent="0.3">
      <c r="A1078" s="249"/>
      <c r="B1078" s="252"/>
      <c r="C1078" s="40" t="s">
        <v>4110</v>
      </c>
      <c r="D1078" s="40" t="s">
        <v>3752</v>
      </c>
      <c r="E1078" s="41">
        <v>0.49680000000000002</v>
      </c>
      <c r="F1078" s="35">
        <v>27.341000000000001</v>
      </c>
      <c r="G1078" s="38">
        <f t="shared" si="17"/>
        <v>13.583008800000002</v>
      </c>
      <c r="H1078" s="39"/>
      <c r="I1078" s="35"/>
      <c r="J1078" s="34">
        <v>0</v>
      </c>
    </row>
    <row r="1079" spans="1:10" ht="15.75" hidden="1" thickBot="1" x14ac:dyDescent="0.3">
      <c r="A1079" s="249"/>
      <c r="B1079" s="252"/>
      <c r="C1079" s="40" t="s">
        <v>3754</v>
      </c>
      <c r="D1079" s="40" t="s">
        <v>3752</v>
      </c>
      <c r="E1079" s="41">
        <v>0.34949999999999998</v>
      </c>
      <c r="F1079" s="35">
        <v>20.814499999999999</v>
      </c>
      <c r="G1079" s="38">
        <f t="shared" si="17"/>
        <v>7.274667749999999</v>
      </c>
      <c r="H1079" s="39"/>
      <c r="I1079" s="35"/>
      <c r="J1079" s="34">
        <v>0</v>
      </c>
    </row>
    <row r="1080" spans="1:10" ht="15.75" hidden="1" thickBot="1" x14ac:dyDescent="0.3">
      <c r="A1080" s="249"/>
      <c r="B1080" s="252"/>
      <c r="C1080" s="40"/>
      <c r="D1080" s="40"/>
      <c r="E1080" s="41"/>
      <c r="F1080" s="35" t="s">
        <v>23</v>
      </c>
      <c r="G1080" s="38" t="str">
        <f t="shared" si="17"/>
        <v/>
      </c>
      <c r="H1080" s="39"/>
      <c r="I1080" s="35"/>
      <c r="J1080" s="34">
        <v>0</v>
      </c>
    </row>
    <row r="1081" spans="1:10" ht="15.75" hidden="1" thickBot="1" x14ac:dyDescent="0.3">
      <c r="A1081" s="248" t="s">
        <v>257</v>
      </c>
      <c r="B1081" s="251" t="s">
        <v>2228</v>
      </c>
      <c r="C1081" s="28"/>
      <c r="D1081" s="29" t="s">
        <v>28</v>
      </c>
      <c r="E1081" s="30"/>
      <c r="F1081" s="45" t="s">
        <v>23</v>
      </c>
      <c r="G1081" s="31" t="str">
        <f t="shared" si="17"/>
        <v/>
      </c>
      <c r="H1081" s="32"/>
      <c r="I1081" s="33"/>
      <c r="J1081" s="34">
        <v>0</v>
      </c>
    </row>
    <row r="1082" spans="1:10" ht="15.75" hidden="1" thickBot="1" x14ac:dyDescent="0.3">
      <c r="A1082" s="249"/>
      <c r="B1082" s="252"/>
      <c r="C1082" s="36"/>
      <c r="D1082" s="36"/>
      <c r="E1082" s="37"/>
      <c r="F1082" s="46" t="s">
        <v>23</v>
      </c>
      <c r="G1082" s="35" t="str">
        <f t="shared" si="17"/>
        <v/>
      </c>
      <c r="H1082" s="39"/>
      <c r="I1082" s="35"/>
      <c r="J1082" s="34">
        <v>0</v>
      </c>
    </row>
    <row r="1083" spans="1:10" ht="26.25" hidden="1" thickBot="1" x14ac:dyDescent="0.3">
      <c r="A1083" s="249"/>
      <c r="B1083" s="252"/>
      <c r="C1083" s="40" t="s">
        <v>3877</v>
      </c>
      <c r="D1083" s="40" t="s">
        <v>291</v>
      </c>
      <c r="E1083" s="41">
        <v>1</v>
      </c>
      <c r="F1083" s="38">
        <v>94.581999999999994</v>
      </c>
      <c r="G1083" s="38">
        <f t="shared" si="17"/>
        <v>94.581999999999994</v>
      </c>
      <c r="H1083" s="43">
        <f>SUM(G1083:G1087)</f>
        <v>145.2109561</v>
      </c>
      <c r="I1083" s="44"/>
      <c r="J1083" s="34">
        <v>0</v>
      </c>
    </row>
    <row r="1084" spans="1:10" ht="39" hidden="1" thickBot="1" x14ac:dyDescent="0.3">
      <c r="A1084" s="249"/>
      <c r="B1084" s="252"/>
      <c r="C1084" s="40" t="s">
        <v>3875</v>
      </c>
      <c r="D1084" s="40" t="s">
        <v>291</v>
      </c>
      <c r="E1084" s="41">
        <v>2</v>
      </c>
      <c r="F1084" s="38">
        <v>16.900499999999997</v>
      </c>
      <c r="G1084" s="38">
        <f t="shared" si="17"/>
        <v>33.800999999999995</v>
      </c>
      <c r="H1084" s="39"/>
      <c r="I1084" s="35"/>
      <c r="J1084" s="34">
        <v>0</v>
      </c>
    </row>
    <row r="1085" spans="1:10" ht="15.75" hidden="1" thickBot="1" x14ac:dyDescent="0.3">
      <c r="A1085" s="249"/>
      <c r="B1085" s="252"/>
      <c r="C1085" s="40" t="s">
        <v>4161</v>
      </c>
      <c r="D1085" s="40" t="s">
        <v>1035</v>
      </c>
      <c r="E1085" s="41">
        <v>3.04E-2</v>
      </c>
      <c r="F1085" s="38">
        <v>76.36099999999999</v>
      </c>
      <c r="G1085" s="38">
        <f t="shared" si="17"/>
        <v>2.3213743999999998</v>
      </c>
      <c r="H1085" s="39"/>
      <c r="I1085" s="35"/>
      <c r="J1085" s="34">
        <v>0</v>
      </c>
    </row>
    <row r="1086" spans="1:10" ht="26.25" hidden="1" thickBot="1" x14ac:dyDescent="0.3">
      <c r="A1086" s="249"/>
      <c r="B1086" s="252"/>
      <c r="C1086" s="40" t="s">
        <v>4110</v>
      </c>
      <c r="D1086" s="40" t="s">
        <v>3752</v>
      </c>
      <c r="E1086" s="41">
        <v>0.38700000000000001</v>
      </c>
      <c r="F1086" s="35">
        <v>27.341000000000001</v>
      </c>
      <c r="G1086" s="38">
        <f t="shared" si="17"/>
        <v>10.580967000000001</v>
      </c>
      <c r="H1086" s="39"/>
      <c r="I1086" s="35"/>
      <c r="J1086" s="34">
        <v>0</v>
      </c>
    </row>
    <row r="1087" spans="1:10" ht="15.75" hidden="1" thickBot="1" x14ac:dyDescent="0.3">
      <c r="A1087" s="249"/>
      <c r="B1087" s="252"/>
      <c r="C1087" s="40" t="s">
        <v>3754</v>
      </c>
      <c r="D1087" s="40" t="s">
        <v>3752</v>
      </c>
      <c r="E1087" s="41">
        <v>0.18859999999999999</v>
      </c>
      <c r="F1087" s="35">
        <v>20.814499999999999</v>
      </c>
      <c r="G1087" s="38">
        <f t="shared" si="17"/>
        <v>3.9256146999999997</v>
      </c>
      <c r="H1087" s="39"/>
      <c r="I1087" s="35"/>
      <c r="J1087" s="34">
        <v>0</v>
      </c>
    </row>
    <row r="1088" spans="1:10" ht="15.75" hidden="1" thickBot="1" x14ac:dyDescent="0.3">
      <c r="A1088" s="250"/>
      <c r="B1088" s="253"/>
      <c r="C1088" s="40"/>
      <c r="D1088" s="40"/>
      <c r="E1088" s="41"/>
      <c r="F1088" s="35" t="s">
        <v>23</v>
      </c>
      <c r="G1088" s="35" t="str">
        <f t="shared" si="17"/>
        <v/>
      </c>
      <c r="H1088" s="39"/>
      <c r="I1088" s="35"/>
      <c r="J1088" s="34">
        <v>0</v>
      </c>
    </row>
    <row r="1089" spans="1:10" ht="15.75" hidden="1" thickBot="1" x14ac:dyDescent="0.3">
      <c r="A1089" s="248" t="s">
        <v>258</v>
      </c>
      <c r="B1089" s="251" t="s">
        <v>2229</v>
      </c>
      <c r="C1089" s="28"/>
      <c r="D1089" s="29" t="s">
        <v>28</v>
      </c>
      <c r="E1089" s="30"/>
      <c r="F1089" s="45" t="s">
        <v>23</v>
      </c>
      <c r="G1089" s="31" t="str">
        <f t="shared" si="17"/>
        <v/>
      </c>
      <c r="H1089" s="32"/>
      <c r="I1089" s="33"/>
      <c r="J1089" s="34">
        <v>0</v>
      </c>
    </row>
    <row r="1090" spans="1:10" ht="15.75" hidden="1" thickBot="1" x14ac:dyDescent="0.3">
      <c r="A1090" s="249"/>
      <c r="B1090" s="252"/>
      <c r="C1090" s="36"/>
      <c r="D1090" s="36"/>
      <c r="E1090" s="37"/>
      <c r="F1090" s="46" t="s">
        <v>23</v>
      </c>
      <c r="G1090" s="35" t="str">
        <f t="shared" si="17"/>
        <v/>
      </c>
      <c r="H1090" s="39"/>
      <c r="I1090" s="35"/>
      <c r="J1090" s="34">
        <v>0</v>
      </c>
    </row>
    <row r="1091" spans="1:10" ht="26.25" hidden="1" thickBot="1" x14ac:dyDescent="0.3">
      <c r="A1091" s="249"/>
      <c r="B1091" s="252"/>
      <c r="C1091" s="40" t="s">
        <v>3878</v>
      </c>
      <c r="D1091" s="40" t="s">
        <v>291</v>
      </c>
      <c r="E1091" s="41">
        <v>1</v>
      </c>
      <c r="F1091" s="38">
        <v>363.71699999999998</v>
      </c>
      <c r="G1091" s="38">
        <f t="shared" si="17"/>
        <v>363.71699999999998</v>
      </c>
      <c r="H1091" s="43">
        <f>SUM(G1091:G1095)</f>
        <v>414.758353</v>
      </c>
      <c r="I1091" s="44"/>
      <c r="J1091" s="34">
        <v>0</v>
      </c>
    </row>
    <row r="1092" spans="1:10" ht="39" hidden="1" thickBot="1" x14ac:dyDescent="0.3">
      <c r="A1092" s="249"/>
      <c r="B1092" s="252"/>
      <c r="C1092" s="40" t="s">
        <v>3875</v>
      </c>
      <c r="D1092" s="40" t="s">
        <v>291</v>
      </c>
      <c r="E1092" s="41">
        <v>2</v>
      </c>
      <c r="F1092" s="38">
        <v>16.900499999999997</v>
      </c>
      <c r="G1092" s="35">
        <f t="shared" si="17"/>
        <v>33.800999999999995</v>
      </c>
      <c r="H1092" s="39"/>
      <c r="I1092" s="35"/>
      <c r="J1092" s="34">
        <v>0</v>
      </c>
    </row>
    <row r="1093" spans="1:10" ht="15.75" hidden="1" thickBot="1" x14ac:dyDescent="0.3">
      <c r="A1093" s="249"/>
      <c r="B1093" s="252"/>
      <c r="C1093" s="40" t="s">
        <v>3876</v>
      </c>
      <c r="D1093" s="40" t="s">
        <v>291</v>
      </c>
      <c r="E1093" s="41">
        <v>3.6499999999999998E-2</v>
      </c>
      <c r="F1093" s="38">
        <v>3.762</v>
      </c>
      <c r="G1093" s="35">
        <f t="shared" si="17"/>
        <v>0.13731299999999999</v>
      </c>
      <c r="H1093" s="39"/>
      <c r="I1093" s="35"/>
      <c r="J1093" s="34">
        <v>0</v>
      </c>
    </row>
    <row r="1094" spans="1:10" ht="15.75" hidden="1" thickBot="1" x14ac:dyDescent="0.3">
      <c r="A1094" s="249"/>
      <c r="B1094" s="252"/>
      <c r="C1094" s="40" t="s">
        <v>3754</v>
      </c>
      <c r="D1094" s="40" t="s">
        <v>3752</v>
      </c>
      <c r="E1094" s="41">
        <f>ROUND(0.3179/2,4)</f>
        <v>0.159</v>
      </c>
      <c r="F1094" s="35">
        <v>20.814499999999999</v>
      </c>
      <c r="G1094" s="38">
        <f t="shared" si="17"/>
        <v>3.3095054999999998</v>
      </c>
      <c r="H1094" s="39"/>
      <c r="I1094" s="35"/>
      <c r="J1094" s="34">
        <v>0</v>
      </c>
    </row>
    <row r="1095" spans="1:10" ht="26.25" hidden="1" thickBot="1" x14ac:dyDescent="0.3">
      <c r="A1095" s="249"/>
      <c r="B1095" s="252"/>
      <c r="C1095" s="40" t="s">
        <v>4110</v>
      </c>
      <c r="D1095" s="40" t="s">
        <v>3752</v>
      </c>
      <c r="E1095" s="41">
        <f>1.009/2</f>
        <v>0.50449999999999995</v>
      </c>
      <c r="F1095" s="35">
        <v>27.341000000000001</v>
      </c>
      <c r="G1095" s="38">
        <f t="shared" si="17"/>
        <v>13.7935345</v>
      </c>
      <c r="H1095" s="39"/>
      <c r="I1095" s="35"/>
      <c r="J1095" s="34">
        <v>0</v>
      </c>
    </row>
    <row r="1096" spans="1:10" ht="15.75" hidden="1" thickBot="1" x14ac:dyDescent="0.3">
      <c r="A1096" s="249"/>
      <c r="B1096" s="252"/>
      <c r="C1096" s="40"/>
      <c r="D1096" s="53"/>
      <c r="E1096" s="41"/>
      <c r="F1096" s="38" t="s">
        <v>23</v>
      </c>
      <c r="G1096" s="38" t="str">
        <f t="shared" si="17"/>
        <v/>
      </c>
      <c r="H1096" s="39"/>
      <c r="I1096" s="35"/>
      <c r="J1096" s="34">
        <v>0</v>
      </c>
    </row>
    <row r="1097" spans="1:10" ht="26.25" hidden="1" thickBot="1" x14ac:dyDescent="0.3">
      <c r="A1097" s="249"/>
      <c r="B1097" s="252"/>
      <c r="C1097" s="54" t="s">
        <v>255</v>
      </c>
      <c r="D1097" s="53"/>
      <c r="E1097" s="41"/>
      <c r="F1097" s="38" t="s">
        <v>23</v>
      </c>
      <c r="G1097" s="38" t="str">
        <f t="shared" si="17"/>
        <v/>
      </c>
      <c r="H1097" s="39"/>
      <c r="I1097" s="35"/>
      <c r="J1097" s="34">
        <v>0</v>
      </c>
    </row>
    <row r="1098" spans="1:10" ht="15.75" hidden="1" thickBot="1" x14ac:dyDescent="0.3">
      <c r="A1098" s="249"/>
      <c r="B1098" s="252"/>
      <c r="C1098" s="40"/>
      <c r="D1098" s="53"/>
      <c r="E1098" s="41"/>
      <c r="F1098" s="38" t="s">
        <v>23</v>
      </c>
      <c r="G1098" s="38" t="str">
        <f t="shared" si="17"/>
        <v/>
      </c>
      <c r="H1098" s="39"/>
      <c r="I1098" s="35"/>
      <c r="J1098" s="34">
        <v>0</v>
      </c>
    </row>
    <row r="1099" spans="1:10" ht="15.75" hidden="1" thickBot="1" x14ac:dyDescent="0.3">
      <c r="A1099" s="248" t="s">
        <v>259</v>
      </c>
      <c r="B1099" s="251" t="s">
        <v>2230</v>
      </c>
      <c r="C1099" s="28"/>
      <c r="D1099" s="29" t="s">
        <v>28</v>
      </c>
      <c r="E1099" s="30"/>
      <c r="F1099" s="45" t="s">
        <v>23</v>
      </c>
      <c r="G1099" s="31" t="str">
        <f t="shared" si="17"/>
        <v/>
      </c>
      <c r="H1099" s="32"/>
      <c r="I1099" s="33"/>
      <c r="J1099" s="34">
        <v>0</v>
      </c>
    </row>
    <row r="1100" spans="1:10" ht="15.75" hidden="1" thickBot="1" x14ac:dyDescent="0.3">
      <c r="A1100" s="249"/>
      <c r="B1100" s="252"/>
      <c r="C1100" s="36"/>
      <c r="D1100" s="36"/>
      <c r="E1100" s="37"/>
      <c r="F1100" s="46" t="s">
        <v>23</v>
      </c>
      <c r="G1100" s="35" t="str">
        <f t="shared" si="17"/>
        <v/>
      </c>
      <c r="H1100" s="39"/>
      <c r="I1100" s="35"/>
      <c r="J1100" s="34">
        <v>0</v>
      </c>
    </row>
    <row r="1101" spans="1:10" ht="26.25" hidden="1" thickBot="1" x14ac:dyDescent="0.3">
      <c r="A1101" s="249"/>
      <c r="B1101" s="252"/>
      <c r="C1101" s="40" t="s">
        <v>260</v>
      </c>
      <c r="D1101" s="53" t="s">
        <v>102</v>
      </c>
      <c r="E1101" s="41">
        <v>1</v>
      </c>
      <c r="F1101" s="38" t="s">
        <v>23</v>
      </c>
      <c r="G1101" s="38" t="str">
        <f t="shared" si="17"/>
        <v/>
      </c>
      <c r="H1101" s="43">
        <f>SUM(G1101:G1105)</f>
        <v>100.24346229999998</v>
      </c>
      <c r="I1101" s="44"/>
      <c r="J1101" s="34">
        <v>0</v>
      </c>
    </row>
    <row r="1102" spans="1:10" ht="39" hidden="1" thickBot="1" x14ac:dyDescent="0.3">
      <c r="A1102" s="249"/>
      <c r="B1102" s="252"/>
      <c r="C1102" s="40" t="s">
        <v>3875</v>
      </c>
      <c r="D1102" s="40" t="s">
        <v>291</v>
      </c>
      <c r="E1102" s="41">
        <v>4</v>
      </c>
      <c r="F1102" s="38">
        <v>16.900499999999997</v>
      </c>
      <c r="G1102" s="38">
        <f t="shared" si="17"/>
        <v>67.60199999999999</v>
      </c>
      <c r="H1102" s="39"/>
      <c r="I1102" s="35"/>
      <c r="J1102" s="34">
        <v>0</v>
      </c>
    </row>
    <row r="1103" spans="1:10" ht="15.75" hidden="1" thickBot="1" x14ac:dyDescent="0.3">
      <c r="A1103" s="249"/>
      <c r="B1103" s="252"/>
      <c r="C1103" s="40" t="s">
        <v>4161</v>
      </c>
      <c r="D1103" s="40" t="s">
        <v>1035</v>
      </c>
      <c r="E1103" s="41">
        <v>3.9E-2</v>
      </c>
      <c r="F1103" s="38">
        <v>76.36099999999999</v>
      </c>
      <c r="G1103" s="38">
        <f t="shared" si="17"/>
        <v>2.9780789999999997</v>
      </c>
      <c r="H1103" s="39"/>
      <c r="I1103" s="35"/>
      <c r="J1103" s="34">
        <v>0</v>
      </c>
    </row>
    <row r="1104" spans="1:10" ht="26.25" hidden="1" thickBot="1" x14ac:dyDescent="0.3">
      <c r="A1104" s="249"/>
      <c r="B1104" s="252"/>
      <c r="C1104" s="40" t="s">
        <v>4110</v>
      </c>
      <c r="D1104" s="40" t="s">
        <v>3752</v>
      </c>
      <c r="E1104" s="41">
        <v>0.8226</v>
      </c>
      <c r="F1104" s="35">
        <v>27.341000000000001</v>
      </c>
      <c r="G1104" s="38">
        <f t="shared" si="17"/>
        <v>22.490706599999999</v>
      </c>
      <c r="H1104" s="39"/>
      <c r="I1104" s="35"/>
      <c r="J1104" s="34">
        <v>0</v>
      </c>
    </row>
    <row r="1105" spans="1:10" ht="15.75" hidden="1" thickBot="1" x14ac:dyDescent="0.3">
      <c r="A1105" s="249"/>
      <c r="B1105" s="252"/>
      <c r="C1105" s="40" t="s">
        <v>3754</v>
      </c>
      <c r="D1105" s="40" t="s">
        <v>3752</v>
      </c>
      <c r="E1105" s="41">
        <v>0.34460000000000002</v>
      </c>
      <c r="F1105" s="35">
        <v>20.814499999999999</v>
      </c>
      <c r="G1105" s="38">
        <f t="shared" si="17"/>
        <v>7.1726767000000002</v>
      </c>
      <c r="H1105" s="39"/>
      <c r="I1105" s="35"/>
      <c r="J1105" s="34">
        <v>0</v>
      </c>
    </row>
    <row r="1106" spans="1:10" ht="15.75" hidden="1" thickBot="1" x14ac:dyDescent="0.3">
      <c r="A1106" s="250"/>
      <c r="B1106" s="253"/>
      <c r="C1106" s="40"/>
      <c r="D1106" s="40"/>
      <c r="E1106" s="41"/>
      <c r="F1106" s="35" t="s">
        <v>23</v>
      </c>
      <c r="G1106" s="35" t="str">
        <f t="shared" ref="G1106:G1169" si="18">IF(ISNUMBER(F1106),E1106*F1106,"")</f>
        <v/>
      </c>
      <c r="H1106" s="39"/>
      <c r="I1106" s="35"/>
      <c r="J1106" s="34">
        <v>0</v>
      </c>
    </row>
    <row r="1107" spans="1:10" ht="15.75" hidden="1" thickBot="1" x14ac:dyDescent="0.3">
      <c r="A1107" s="248" t="s">
        <v>261</v>
      </c>
      <c r="B1107" s="251" t="s">
        <v>2231</v>
      </c>
      <c r="C1107" s="28"/>
      <c r="D1107" s="29" t="s">
        <v>28</v>
      </c>
      <c r="E1107" s="30"/>
      <c r="F1107" s="45" t="s">
        <v>23</v>
      </c>
      <c r="G1107" s="31" t="str">
        <f t="shared" si="18"/>
        <v/>
      </c>
      <c r="H1107" s="32"/>
      <c r="I1107" s="33"/>
      <c r="J1107" s="34">
        <v>0</v>
      </c>
    </row>
    <row r="1108" spans="1:10" ht="15.75" hidden="1" thickBot="1" x14ac:dyDescent="0.3">
      <c r="A1108" s="249"/>
      <c r="B1108" s="252"/>
      <c r="C1108" s="36"/>
      <c r="D1108" s="36"/>
      <c r="E1108" s="37"/>
      <c r="F1108" s="46" t="s">
        <v>23</v>
      </c>
      <c r="G1108" s="35" t="str">
        <f t="shared" si="18"/>
        <v/>
      </c>
      <c r="H1108" s="39"/>
      <c r="I1108" s="35"/>
      <c r="J1108" s="34">
        <v>0</v>
      </c>
    </row>
    <row r="1109" spans="1:10" ht="26.25" hidden="1" thickBot="1" x14ac:dyDescent="0.3">
      <c r="A1109" s="249"/>
      <c r="B1109" s="252"/>
      <c r="C1109" s="40" t="s">
        <v>262</v>
      </c>
      <c r="D1109" s="53" t="s">
        <v>102</v>
      </c>
      <c r="E1109" s="41">
        <v>1</v>
      </c>
      <c r="F1109" s="38" t="s">
        <v>23</v>
      </c>
      <c r="G1109" s="38" t="str">
        <f t="shared" si="18"/>
        <v/>
      </c>
      <c r="H1109" s="43">
        <f>SUM(G1109:G1110)</f>
        <v>2.1872800000000003</v>
      </c>
      <c r="I1109" s="44"/>
      <c r="J1109" s="34">
        <v>0</v>
      </c>
    </row>
    <row r="1110" spans="1:10" ht="26.25" hidden="1" thickBot="1" x14ac:dyDescent="0.3">
      <c r="A1110" s="249"/>
      <c r="B1110" s="252"/>
      <c r="C1110" s="40" t="s">
        <v>4110</v>
      </c>
      <c r="D1110" s="40" t="s">
        <v>3752</v>
      </c>
      <c r="E1110" s="41">
        <v>0.08</v>
      </c>
      <c r="F1110" s="35">
        <v>27.341000000000001</v>
      </c>
      <c r="G1110" s="38">
        <f t="shared" si="18"/>
        <v>2.1872800000000003</v>
      </c>
      <c r="H1110" s="39"/>
      <c r="I1110" s="35"/>
      <c r="J1110" s="34">
        <v>0</v>
      </c>
    </row>
    <row r="1111" spans="1:10" ht="15.75" hidden="1" thickBot="1" x14ac:dyDescent="0.3">
      <c r="A1111" s="250"/>
      <c r="B1111" s="253"/>
      <c r="C1111" s="54"/>
      <c r="D1111" s="40"/>
      <c r="E1111" s="41"/>
      <c r="F1111" s="35" t="s">
        <v>23</v>
      </c>
      <c r="G1111" s="35" t="str">
        <f t="shared" si="18"/>
        <v/>
      </c>
      <c r="H1111" s="39"/>
      <c r="I1111" s="35"/>
      <c r="J1111" s="34">
        <v>0</v>
      </c>
    </row>
    <row r="1112" spans="1:10" ht="15.75" hidden="1" thickBot="1" x14ac:dyDescent="0.3">
      <c r="A1112" s="248" t="s">
        <v>263</v>
      </c>
      <c r="B1112" s="251" t="s">
        <v>2232</v>
      </c>
      <c r="C1112" s="28"/>
      <c r="D1112" s="29" t="s">
        <v>28</v>
      </c>
      <c r="E1112" s="30"/>
      <c r="F1112" s="45" t="s">
        <v>23</v>
      </c>
      <c r="G1112" s="31" t="str">
        <f t="shared" si="18"/>
        <v/>
      </c>
      <c r="H1112" s="32"/>
      <c r="I1112" s="33"/>
      <c r="J1112" s="34">
        <v>0</v>
      </c>
    </row>
    <row r="1113" spans="1:10" ht="15.75" hidden="1" thickBot="1" x14ac:dyDescent="0.3">
      <c r="A1113" s="249"/>
      <c r="B1113" s="252"/>
      <c r="C1113" s="36"/>
      <c r="D1113" s="36"/>
      <c r="E1113" s="37"/>
      <c r="F1113" s="46" t="s">
        <v>23</v>
      </c>
      <c r="G1113" s="35" t="str">
        <f t="shared" si="18"/>
        <v/>
      </c>
      <c r="H1113" s="39"/>
      <c r="I1113" s="35"/>
      <c r="J1113" s="34">
        <v>0</v>
      </c>
    </row>
    <row r="1114" spans="1:10" ht="26.25" hidden="1" thickBot="1" x14ac:dyDescent="0.3">
      <c r="A1114" s="249"/>
      <c r="B1114" s="252"/>
      <c r="C1114" s="40" t="s">
        <v>264</v>
      </c>
      <c r="D1114" s="53" t="s">
        <v>102</v>
      </c>
      <c r="E1114" s="41">
        <v>1</v>
      </c>
      <c r="F1114" s="38" t="s">
        <v>23</v>
      </c>
      <c r="G1114" s="38" t="str">
        <f t="shared" si="18"/>
        <v/>
      </c>
      <c r="H1114" s="43">
        <f>SUM(G1114:G1115)</f>
        <v>2.1872800000000003</v>
      </c>
      <c r="I1114" s="44"/>
      <c r="J1114" s="34">
        <v>0</v>
      </c>
    </row>
    <row r="1115" spans="1:10" ht="26.25" hidden="1" thickBot="1" x14ac:dyDescent="0.3">
      <c r="A1115" s="249"/>
      <c r="B1115" s="252"/>
      <c r="C1115" s="40" t="s">
        <v>4110</v>
      </c>
      <c r="D1115" s="40" t="s">
        <v>3752</v>
      </c>
      <c r="E1115" s="41">
        <v>0.08</v>
      </c>
      <c r="F1115" s="35">
        <v>27.341000000000001</v>
      </c>
      <c r="G1115" s="38">
        <f t="shared" si="18"/>
        <v>2.1872800000000003</v>
      </c>
      <c r="H1115" s="39"/>
      <c r="I1115" s="35"/>
      <c r="J1115" s="34">
        <v>0</v>
      </c>
    </row>
    <row r="1116" spans="1:10" ht="15.75" hidden="1" thickBot="1" x14ac:dyDescent="0.3">
      <c r="A1116" s="250"/>
      <c r="B1116" s="253"/>
      <c r="C1116" s="40"/>
      <c r="D1116" s="40"/>
      <c r="E1116" s="41"/>
      <c r="F1116" s="35" t="s">
        <v>23</v>
      </c>
      <c r="G1116" s="35" t="str">
        <f t="shared" si="18"/>
        <v/>
      </c>
      <c r="H1116" s="39"/>
      <c r="I1116" s="35"/>
      <c r="J1116" s="34">
        <v>0</v>
      </c>
    </row>
    <row r="1117" spans="1:10" ht="15.75" hidden="1" thickBot="1" x14ac:dyDescent="0.3">
      <c r="A1117" s="248" t="s">
        <v>265</v>
      </c>
      <c r="B1117" s="251" t="s">
        <v>2233</v>
      </c>
      <c r="C1117" s="28"/>
      <c r="D1117" s="29" t="s">
        <v>28</v>
      </c>
      <c r="E1117" s="30"/>
      <c r="F1117" s="45" t="s">
        <v>23</v>
      </c>
      <c r="G1117" s="31" t="str">
        <f t="shared" si="18"/>
        <v/>
      </c>
      <c r="H1117" s="32"/>
      <c r="I1117" s="33"/>
      <c r="J1117" s="34">
        <v>0</v>
      </c>
    </row>
    <row r="1118" spans="1:10" ht="15.75" hidden="1" thickBot="1" x14ac:dyDescent="0.3">
      <c r="A1118" s="249"/>
      <c r="B1118" s="252"/>
      <c r="C1118" s="36"/>
      <c r="D1118" s="36"/>
      <c r="E1118" s="37"/>
      <c r="F1118" s="46" t="s">
        <v>23</v>
      </c>
      <c r="G1118" s="35" t="str">
        <f t="shared" si="18"/>
        <v/>
      </c>
      <c r="H1118" s="39"/>
      <c r="I1118" s="35"/>
      <c r="J1118" s="34">
        <v>0</v>
      </c>
    </row>
    <row r="1119" spans="1:10" ht="26.25" hidden="1" thickBot="1" x14ac:dyDescent="0.3">
      <c r="A1119" s="249"/>
      <c r="B1119" s="252"/>
      <c r="C1119" s="40" t="s">
        <v>266</v>
      </c>
      <c r="D1119" s="53" t="s">
        <v>102</v>
      </c>
      <c r="E1119" s="41">
        <v>1</v>
      </c>
      <c r="F1119" s="38" t="s">
        <v>23</v>
      </c>
      <c r="G1119" s="38" t="str">
        <f t="shared" si="18"/>
        <v/>
      </c>
      <c r="H1119" s="43">
        <f>SUM(G1119:G1121)</f>
        <v>24.448250000000002</v>
      </c>
      <c r="I1119" s="44"/>
      <c r="J1119" s="34">
        <v>0</v>
      </c>
    </row>
    <row r="1120" spans="1:10" ht="26.25" hidden="1" thickBot="1" x14ac:dyDescent="0.3">
      <c r="A1120" s="249"/>
      <c r="B1120" s="252"/>
      <c r="C1120" s="40" t="s">
        <v>4110</v>
      </c>
      <c r="D1120" s="40" t="s">
        <v>3752</v>
      </c>
      <c r="E1120" s="41">
        <v>0.5</v>
      </c>
      <c r="F1120" s="35">
        <v>27.341000000000001</v>
      </c>
      <c r="G1120" s="38">
        <f t="shared" si="18"/>
        <v>13.670500000000001</v>
      </c>
      <c r="H1120" s="39"/>
      <c r="I1120" s="35"/>
      <c r="J1120" s="34">
        <v>0</v>
      </c>
    </row>
    <row r="1121" spans="1:10" ht="26.25" hidden="1" thickBot="1" x14ac:dyDescent="0.3">
      <c r="A1121" s="249"/>
      <c r="B1121" s="252"/>
      <c r="C1121" s="40" t="s">
        <v>4119</v>
      </c>
      <c r="D1121" s="40" t="s">
        <v>3752</v>
      </c>
      <c r="E1121" s="41">
        <v>0.5</v>
      </c>
      <c r="F1121" s="35">
        <v>21.555499999999999</v>
      </c>
      <c r="G1121" s="38">
        <f t="shared" si="18"/>
        <v>10.777749999999999</v>
      </c>
      <c r="H1121" s="39"/>
      <c r="I1121" s="35"/>
      <c r="J1121" s="34">
        <v>0</v>
      </c>
    </row>
    <row r="1122" spans="1:10" ht="15.75" hidden="1" thickBot="1" x14ac:dyDescent="0.3">
      <c r="A1122" s="250"/>
      <c r="B1122" s="253"/>
      <c r="C1122" s="40"/>
      <c r="D1122" s="40"/>
      <c r="E1122" s="41"/>
      <c r="F1122" s="35" t="s">
        <v>23</v>
      </c>
      <c r="G1122" s="35" t="str">
        <f t="shared" si="18"/>
        <v/>
      </c>
      <c r="H1122" s="39"/>
      <c r="I1122" s="35"/>
      <c r="J1122" s="34">
        <v>0</v>
      </c>
    </row>
    <row r="1123" spans="1:10" ht="15.75" hidden="1" thickBot="1" x14ac:dyDescent="0.3">
      <c r="A1123" s="248" t="s">
        <v>267</v>
      </c>
      <c r="B1123" s="251" t="s">
        <v>2234</v>
      </c>
      <c r="C1123" s="28"/>
      <c r="D1123" s="29" t="s">
        <v>28</v>
      </c>
      <c r="E1123" s="30"/>
      <c r="F1123" s="45" t="s">
        <v>23</v>
      </c>
      <c r="G1123" s="31" t="str">
        <f t="shared" si="18"/>
        <v/>
      </c>
      <c r="H1123" s="32"/>
      <c r="I1123" s="33"/>
      <c r="J1123" s="34">
        <v>0</v>
      </c>
    </row>
    <row r="1124" spans="1:10" ht="15.75" hidden="1" thickBot="1" x14ac:dyDescent="0.3">
      <c r="A1124" s="249"/>
      <c r="B1124" s="252"/>
      <c r="C1124" s="36"/>
      <c r="D1124" s="36"/>
      <c r="E1124" s="37"/>
      <c r="F1124" s="46" t="s">
        <v>23</v>
      </c>
      <c r="G1124" s="35" t="str">
        <f t="shared" si="18"/>
        <v/>
      </c>
      <c r="H1124" s="39"/>
      <c r="I1124" s="35"/>
      <c r="J1124" s="34">
        <v>0</v>
      </c>
    </row>
    <row r="1125" spans="1:10" ht="26.25" hidden="1" thickBot="1" x14ac:dyDescent="0.3">
      <c r="A1125" s="249"/>
      <c r="B1125" s="252"/>
      <c r="C1125" s="40" t="s">
        <v>4110</v>
      </c>
      <c r="D1125" s="40" t="s">
        <v>3752</v>
      </c>
      <c r="E1125" s="41">
        <v>0.16209999999999999</v>
      </c>
      <c r="F1125" s="35">
        <v>27.341000000000001</v>
      </c>
      <c r="G1125" s="38">
        <f t="shared" si="18"/>
        <v>4.4319761</v>
      </c>
      <c r="H1125" s="43">
        <f>SUM(G1125:G1126)</f>
        <v>4.9212859499999997</v>
      </c>
      <c r="I1125" s="44"/>
      <c r="J1125" s="34">
        <v>0</v>
      </c>
    </row>
    <row r="1126" spans="1:10" ht="26.25" hidden="1" thickBot="1" x14ac:dyDescent="0.3">
      <c r="A1126" s="249"/>
      <c r="B1126" s="252"/>
      <c r="C1126" s="40" t="s">
        <v>4119</v>
      </c>
      <c r="D1126" s="40" t="s">
        <v>3752</v>
      </c>
      <c r="E1126" s="41">
        <v>2.2700000000000001E-2</v>
      </c>
      <c r="F1126" s="35">
        <v>21.555499999999999</v>
      </c>
      <c r="G1126" s="38">
        <f t="shared" si="18"/>
        <v>0.48930984999999999</v>
      </c>
      <c r="H1126" s="48"/>
      <c r="I1126" s="49"/>
      <c r="J1126" s="34">
        <v>0</v>
      </c>
    </row>
    <row r="1127" spans="1:10" ht="15.75" hidden="1" thickBot="1" x14ac:dyDescent="0.3">
      <c r="A1127" s="250"/>
      <c r="B1127" s="253"/>
      <c r="C1127" s="40"/>
      <c r="D1127" s="40"/>
      <c r="E1127" s="41"/>
      <c r="F1127" s="35" t="s">
        <v>23</v>
      </c>
      <c r="G1127" s="35" t="str">
        <f t="shared" si="18"/>
        <v/>
      </c>
      <c r="H1127" s="39"/>
      <c r="I1127" s="35"/>
      <c r="J1127" s="34">
        <v>0</v>
      </c>
    </row>
    <row r="1128" spans="1:10" ht="15.75" hidden="1" thickBot="1" x14ac:dyDescent="0.3">
      <c r="A1128" s="248" t="s">
        <v>268</v>
      </c>
      <c r="B1128" s="251" t="s">
        <v>2235</v>
      </c>
      <c r="C1128" s="28"/>
      <c r="D1128" s="29" t="s">
        <v>28</v>
      </c>
      <c r="E1128" s="30"/>
      <c r="F1128" s="45" t="s">
        <v>23</v>
      </c>
      <c r="G1128" s="31" t="str">
        <f t="shared" si="18"/>
        <v/>
      </c>
      <c r="H1128" s="32"/>
      <c r="I1128" s="33"/>
      <c r="J1128" s="34">
        <v>0</v>
      </c>
    </row>
    <row r="1129" spans="1:10" ht="15.75" hidden="1" thickBot="1" x14ac:dyDescent="0.3">
      <c r="A1129" s="249"/>
      <c r="B1129" s="252"/>
      <c r="C1129" s="36"/>
      <c r="D1129" s="36"/>
      <c r="E1129" s="37"/>
      <c r="F1129" s="46" t="s">
        <v>23</v>
      </c>
      <c r="G1129" s="35" t="str">
        <f t="shared" si="18"/>
        <v/>
      </c>
      <c r="H1129" s="39"/>
      <c r="I1129" s="35"/>
      <c r="J1129" s="34">
        <v>0</v>
      </c>
    </row>
    <row r="1130" spans="1:10" ht="15.75" hidden="1" thickBot="1" x14ac:dyDescent="0.3">
      <c r="A1130" s="249"/>
      <c r="B1130" s="252"/>
      <c r="C1130" s="40" t="s">
        <v>3879</v>
      </c>
      <c r="D1130" s="40" t="s">
        <v>291</v>
      </c>
      <c r="E1130" s="41">
        <v>1</v>
      </c>
      <c r="F1130" s="38">
        <v>34.941000000000003</v>
      </c>
      <c r="G1130" s="38">
        <f t="shared" si="18"/>
        <v>34.941000000000003</v>
      </c>
      <c r="H1130" s="43">
        <f>SUM(G1130:G1133)</f>
        <v>40.148710000000001</v>
      </c>
      <c r="I1130" s="44"/>
      <c r="J1130" s="34">
        <v>0</v>
      </c>
    </row>
    <row r="1131" spans="1:10" ht="15.75" hidden="1" thickBot="1" x14ac:dyDescent="0.3">
      <c r="A1131" s="249"/>
      <c r="B1131" s="252"/>
      <c r="C1131" s="40" t="s">
        <v>3876</v>
      </c>
      <c r="D1131" s="40" t="s">
        <v>291</v>
      </c>
      <c r="E1131" s="41">
        <v>1.7500000000000002E-2</v>
      </c>
      <c r="F1131" s="38">
        <v>3.762</v>
      </c>
      <c r="G1131" s="38">
        <f t="shared" si="18"/>
        <v>6.5835000000000005E-2</v>
      </c>
      <c r="H1131" s="39"/>
      <c r="I1131" s="35"/>
      <c r="J1131" s="34">
        <v>0</v>
      </c>
    </row>
    <row r="1132" spans="1:10" ht="26.25" hidden="1" thickBot="1" x14ac:dyDescent="0.3">
      <c r="A1132" s="249"/>
      <c r="B1132" s="252"/>
      <c r="C1132" s="40" t="s">
        <v>4110</v>
      </c>
      <c r="D1132" s="40" t="s">
        <v>3752</v>
      </c>
      <c r="E1132" s="41">
        <v>0.15</v>
      </c>
      <c r="F1132" s="35">
        <v>27.341000000000001</v>
      </c>
      <c r="G1132" s="38">
        <f t="shared" si="18"/>
        <v>4.1011499999999996</v>
      </c>
      <c r="H1132" s="39"/>
      <c r="I1132" s="35"/>
      <c r="J1132" s="34">
        <v>0</v>
      </c>
    </row>
    <row r="1133" spans="1:10" ht="15.75" hidden="1" thickBot="1" x14ac:dyDescent="0.3">
      <c r="A1133" s="249"/>
      <c r="B1133" s="252"/>
      <c r="C1133" s="40" t="s">
        <v>3754</v>
      </c>
      <c r="D1133" s="40" t="s">
        <v>3752</v>
      </c>
      <c r="E1133" s="41">
        <v>0.05</v>
      </c>
      <c r="F1133" s="35">
        <v>20.814499999999999</v>
      </c>
      <c r="G1133" s="38">
        <f t="shared" si="18"/>
        <v>1.0407249999999999</v>
      </c>
      <c r="H1133" s="39"/>
      <c r="I1133" s="35"/>
      <c r="J1133" s="34">
        <v>0</v>
      </c>
    </row>
    <row r="1134" spans="1:10" ht="15.75" hidden="1" thickBot="1" x14ac:dyDescent="0.3">
      <c r="A1134" s="250"/>
      <c r="B1134" s="253"/>
      <c r="C1134" s="40"/>
      <c r="D1134" s="40"/>
      <c r="E1134" s="41"/>
      <c r="F1134" s="35" t="s">
        <v>23</v>
      </c>
      <c r="G1134" s="35" t="str">
        <f t="shared" si="18"/>
        <v/>
      </c>
      <c r="H1134" s="39"/>
      <c r="I1134" s="35"/>
      <c r="J1134" s="34">
        <v>0</v>
      </c>
    </row>
    <row r="1135" spans="1:10" ht="15.75" hidden="1" thickBot="1" x14ac:dyDescent="0.3">
      <c r="A1135" s="248" t="s">
        <v>269</v>
      </c>
      <c r="B1135" s="251" t="s">
        <v>2236</v>
      </c>
      <c r="C1135" s="28"/>
      <c r="D1135" s="29" t="s">
        <v>28</v>
      </c>
      <c r="E1135" s="30"/>
      <c r="F1135" s="45" t="s">
        <v>23</v>
      </c>
      <c r="G1135" s="31" t="str">
        <f t="shared" si="18"/>
        <v/>
      </c>
      <c r="H1135" s="32"/>
      <c r="I1135" s="33"/>
      <c r="J1135" s="34">
        <v>0</v>
      </c>
    </row>
    <row r="1136" spans="1:10" ht="15.75" hidden="1" thickBot="1" x14ac:dyDescent="0.3">
      <c r="A1136" s="249"/>
      <c r="B1136" s="252"/>
      <c r="C1136" s="36"/>
      <c r="D1136" s="36"/>
      <c r="E1136" s="37"/>
      <c r="F1136" s="46" t="s">
        <v>23</v>
      </c>
      <c r="G1136" s="35" t="str">
        <f t="shared" si="18"/>
        <v/>
      </c>
      <c r="H1136" s="39"/>
      <c r="I1136" s="35"/>
      <c r="J1136" s="34">
        <v>0</v>
      </c>
    </row>
    <row r="1137" spans="1:10" ht="26.25" hidden="1" thickBot="1" x14ac:dyDescent="0.3">
      <c r="A1137" s="249"/>
      <c r="B1137" s="252"/>
      <c r="C1137" s="40" t="s">
        <v>270</v>
      </c>
      <c r="D1137" s="53" t="s">
        <v>102</v>
      </c>
      <c r="E1137" s="41">
        <v>1</v>
      </c>
      <c r="F1137" s="38" t="s">
        <v>23</v>
      </c>
      <c r="G1137" s="38" t="str">
        <f t="shared" si="18"/>
        <v/>
      </c>
      <c r="H1137" s="43">
        <f>SUM(G1137:G1140)</f>
        <v>9.3941376999999999</v>
      </c>
      <c r="I1137" s="44"/>
      <c r="J1137" s="34">
        <v>0</v>
      </c>
    </row>
    <row r="1138" spans="1:10" ht="15.75" hidden="1" thickBot="1" x14ac:dyDescent="0.3">
      <c r="A1138" s="249"/>
      <c r="B1138" s="252"/>
      <c r="C1138" s="40" t="s">
        <v>3876</v>
      </c>
      <c r="D1138" s="40" t="s">
        <v>291</v>
      </c>
      <c r="E1138" s="41">
        <v>3.32E-2</v>
      </c>
      <c r="F1138" s="38">
        <v>3.762</v>
      </c>
      <c r="G1138" s="38">
        <f t="shared" si="18"/>
        <v>0.12489840000000001</v>
      </c>
      <c r="H1138" s="39"/>
      <c r="I1138" s="35"/>
      <c r="J1138" s="34">
        <v>0</v>
      </c>
    </row>
    <row r="1139" spans="1:10" ht="15.75" hidden="1" thickBot="1" x14ac:dyDescent="0.3">
      <c r="A1139" s="249"/>
      <c r="B1139" s="252"/>
      <c r="C1139" s="40" t="s">
        <v>3754</v>
      </c>
      <c r="D1139" s="40" t="s">
        <v>3752</v>
      </c>
      <c r="E1139" s="41">
        <v>8.6199999999999999E-2</v>
      </c>
      <c r="F1139" s="35">
        <v>20.814499999999999</v>
      </c>
      <c r="G1139" s="38">
        <f t="shared" si="18"/>
        <v>1.7942098999999998</v>
      </c>
      <c r="H1139" s="39"/>
      <c r="I1139" s="35"/>
      <c r="J1139" s="34">
        <v>0</v>
      </c>
    </row>
    <row r="1140" spans="1:10" ht="26.25" hidden="1" thickBot="1" x14ac:dyDescent="0.3">
      <c r="A1140" s="249"/>
      <c r="B1140" s="252"/>
      <c r="C1140" s="40" t="s">
        <v>4110</v>
      </c>
      <c r="D1140" s="40" t="s">
        <v>3752</v>
      </c>
      <c r="E1140" s="41">
        <v>0.27339999999999998</v>
      </c>
      <c r="F1140" s="35">
        <v>27.341000000000001</v>
      </c>
      <c r="G1140" s="38">
        <f t="shared" si="18"/>
        <v>7.4750293999999995</v>
      </c>
      <c r="H1140" s="39"/>
      <c r="I1140" s="35"/>
      <c r="J1140" s="34">
        <v>0</v>
      </c>
    </row>
    <row r="1141" spans="1:10" ht="15.75" hidden="1" thickBot="1" x14ac:dyDescent="0.3">
      <c r="A1141" s="250"/>
      <c r="B1141" s="253"/>
      <c r="C1141" s="40"/>
      <c r="D1141" s="40"/>
      <c r="E1141" s="41"/>
      <c r="F1141" s="35" t="s">
        <v>23</v>
      </c>
      <c r="G1141" s="35" t="str">
        <f t="shared" si="18"/>
        <v/>
      </c>
      <c r="H1141" s="39"/>
      <c r="I1141" s="35"/>
      <c r="J1141" s="34">
        <v>0</v>
      </c>
    </row>
    <row r="1142" spans="1:10" ht="15.75" hidden="1" thickBot="1" x14ac:dyDescent="0.3">
      <c r="A1142" s="248" t="s">
        <v>271</v>
      </c>
      <c r="B1142" s="251" t="s">
        <v>2237</v>
      </c>
      <c r="C1142" s="28"/>
      <c r="D1142" s="29" t="s">
        <v>28</v>
      </c>
      <c r="E1142" s="30"/>
      <c r="F1142" s="45" t="s">
        <v>23</v>
      </c>
      <c r="G1142" s="31" t="str">
        <f t="shared" si="18"/>
        <v/>
      </c>
      <c r="H1142" s="32"/>
      <c r="I1142" s="33"/>
      <c r="J1142" s="34">
        <v>0</v>
      </c>
    </row>
    <row r="1143" spans="1:10" ht="15.75" hidden="1" thickBot="1" x14ac:dyDescent="0.3">
      <c r="A1143" s="249"/>
      <c r="B1143" s="252"/>
      <c r="C1143" s="36"/>
      <c r="D1143" s="36"/>
      <c r="E1143" s="37"/>
      <c r="F1143" s="46" t="s">
        <v>23</v>
      </c>
      <c r="G1143" s="35" t="str">
        <f t="shared" si="18"/>
        <v/>
      </c>
      <c r="H1143" s="39"/>
      <c r="I1143" s="35"/>
      <c r="J1143" s="34">
        <v>0</v>
      </c>
    </row>
    <row r="1144" spans="1:10" ht="15.75" hidden="1" thickBot="1" x14ac:dyDescent="0.3">
      <c r="A1144" s="249"/>
      <c r="B1144" s="252"/>
      <c r="C1144" s="40" t="s">
        <v>3880</v>
      </c>
      <c r="D1144" s="40" t="s">
        <v>291</v>
      </c>
      <c r="E1144" s="41">
        <v>1</v>
      </c>
      <c r="F1144" s="38">
        <v>139.19400000000002</v>
      </c>
      <c r="G1144" s="38">
        <f t="shared" si="18"/>
        <v>139.19400000000002</v>
      </c>
      <c r="H1144" s="43">
        <f>SUM(G1144:G1147)</f>
        <v>148.58813770000003</v>
      </c>
      <c r="I1144" s="44"/>
      <c r="J1144" s="34">
        <v>0</v>
      </c>
    </row>
    <row r="1145" spans="1:10" ht="15.75" hidden="1" thickBot="1" x14ac:dyDescent="0.3">
      <c r="A1145" s="249"/>
      <c r="B1145" s="252"/>
      <c r="C1145" s="40" t="s">
        <v>3876</v>
      </c>
      <c r="D1145" s="40" t="s">
        <v>291</v>
      </c>
      <c r="E1145" s="41">
        <v>3.32E-2</v>
      </c>
      <c r="F1145" s="38">
        <v>3.762</v>
      </c>
      <c r="G1145" s="38">
        <f t="shared" si="18"/>
        <v>0.12489840000000001</v>
      </c>
      <c r="H1145" s="39"/>
      <c r="I1145" s="35"/>
      <c r="J1145" s="34">
        <v>0</v>
      </c>
    </row>
    <row r="1146" spans="1:10" ht="26.25" hidden="1" thickBot="1" x14ac:dyDescent="0.3">
      <c r="A1146" s="249"/>
      <c r="B1146" s="252"/>
      <c r="C1146" s="40" t="s">
        <v>4110</v>
      </c>
      <c r="D1146" s="40" t="s">
        <v>3752</v>
      </c>
      <c r="E1146" s="41">
        <v>0.27339999999999998</v>
      </c>
      <c r="F1146" s="35">
        <v>27.341000000000001</v>
      </c>
      <c r="G1146" s="38">
        <f t="shared" si="18"/>
        <v>7.4750293999999995</v>
      </c>
      <c r="H1146" s="39"/>
      <c r="I1146" s="35"/>
      <c r="J1146" s="34">
        <v>0</v>
      </c>
    </row>
    <row r="1147" spans="1:10" ht="15.75" hidden="1" thickBot="1" x14ac:dyDescent="0.3">
      <c r="A1147" s="249"/>
      <c r="B1147" s="252"/>
      <c r="C1147" s="40" t="s">
        <v>3754</v>
      </c>
      <c r="D1147" s="40" t="s">
        <v>3752</v>
      </c>
      <c r="E1147" s="41">
        <v>8.6199999999999999E-2</v>
      </c>
      <c r="F1147" s="35">
        <v>20.814499999999999</v>
      </c>
      <c r="G1147" s="38">
        <f t="shared" si="18"/>
        <v>1.7942098999999998</v>
      </c>
      <c r="H1147" s="39"/>
      <c r="I1147" s="35"/>
      <c r="J1147" s="34">
        <v>0</v>
      </c>
    </row>
    <row r="1148" spans="1:10" ht="15.75" hidden="1" thickBot="1" x14ac:dyDescent="0.3">
      <c r="A1148" s="250"/>
      <c r="B1148" s="253"/>
      <c r="C1148" s="40"/>
      <c r="D1148" s="40"/>
      <c r="E1148" s="41"/>
      <c r="F1148" s="35" t="s">
        <v>23</v>
      </c>
      <c r="G1148" s="35" t="str">
        <f t="shared" si="18"/>
        <v/>
      </c>
      <c r="H1148" s="39"/>
      <c r="I1148" s="35"/>
      <c r="J1148" s="34">
        <v>0</v>
      </c>
    </row>
    <row r="1149" spans="1:10" ht="15.75" hidden="1" thickBot="1" x14ac:dyDescent="0.3">
      <c r="A1149" s="248" t="s">
        <v>272</v>
      </c>
      <c r="B1149" s="251" t="s">
        <v>2238</v>
      </c>
      <c r="C1149" s="28"/>
      <c r="D1149" s="29" t="s">
        <v>28</v>
      </c>
      <c r="E1149" s="30"/>
      <c r="F1149" s="45" t="s">
        <v>23</v>
      </c>
      <c r="G1149" s="31" t="str">
        <f t="shared" si="18"/>
        <v/>
      </c>
      <c r="H1149" s="32"/>
      <c r="I1149" s="33"/>
      <c r="J1149" s="34">
        <v>0</v>
      </c>
    </row>
    <row r="1150" spans="1:10" ht="15.75" hidden="1" thickBot="1" x14ac:dyDescent="0.3">
      <c r="A1150" s="249"/>
      <c r="B1150" s="252"/>
      <c r="C1150" s="36"/>
      <c r="D1150" s="36"/>
      <c r="E1150" s="37"/>
      <c r="F1150" s="46" t="s">
        <v>23</v>
      </c>
      <c r="G1150" s="35" t="str">
        <f t="shared" si="18"/>
        <v/>
      </c>
      <c r="H1150" s="39"/>
      <c r="I1150" s="35"/>
      <c r="J1150" s="34">
        <v>0</v>
      </c>
    </row>
    <row r="1151" spans="1:10" ht="15.75" hidden="1" thickBot="1" x14ac:dyDescent="0.3">
      <c r="A1151" s="249"/>
      <c r="B1151" s="252"/>
      <c r="C1151" s="40" t="s">
        <v>3876</v>
      </c>
      <c r="D1151" s="40" t="s">
        <v>291</v>
      </c>
      <c r="E1151" s="41">
        <v>3.32E-2</v>
      </c>
      <c r="F1151" s="38">
        <v>3.762</v>
      </c>
      <c r="G1151" s="38">
        <f t="shared" si="18"/>
        <v>0.12489840000000001</v>
      </c>
      <c r="H1151" s="43">
        <f>SUM(G1151:G1154)</f>
        <v>156.80563769999998</v>
      </c>
      <c r="I1151" s="44"/>
      <c r="J1151" s="34">
        <v>0</v>
      </c>
    </row>
    <row r="1152" spans="1:10" ht="15.75" hidden="1" thickBot="1" x14ac:dyDescent="0.3">
      <c r="A1152" s="249"/>
      <c r="B1152" s="252"/>
      <c r="C1152" s="40" t="s">
        <v>3754</v>
      </c>
      <c r="D1152" s="40" t="s">
        <v>3752</v>
      </c>
      <c r="E1152" s="41">
        <v>8.6199999999999999E-2</v>
      </c>
      <c r="F1152" s="35">
        <v>20.814499999999999</v>
      </c>
      <c r="G1152" s="38">
        <f t="shared" si="18"/>
        <v>1.7942098999999998</v>
      </c>
      <c r="H1152" s="48"/>
      <c r="I1152" s="49"/>
      <c r="J1152" s="34">
        <v>0</v>
      </c>
    </row>
    <row r="1153" spans="1:10" ht="26.25" hidden="1" thickBot="1" x14ac:dyDescent="0.3">
      <c r="A1153" s="249"/>
      <c r="B1153" s="252"/>
      <c r="C1153" s="40" t="s">
        <v>4110</v>
      </c>
      <c r="D1153" s="40" t="s">
        <v>3752</v>
      </c>
      <c r="E1153" s="41">
        <v>0.27339999999999998</v>
      </c>
      <c r="F1153" s="35">
        <v>27.341000000000001</v>
      </c>
      <c r="G1153" s="38">
        <f t="shared" si="18"/>
        <v>7.4750293999999995</v>
      </c>
      <c r="H1153" s="39"/>
      <c r="I1153" s="35"/>
      <c r="J1153" s="34">
        <v>0</v>
      </c>
    </row>
    <row r="1154" spans="1:10" ht="15.75" hidden="1" thickBot="1" x14ac:dyDescent="0.3">
      <c r="A1154" s="249"/>
      <c r="B1154" s="252"/>
      <c r="C1154" s="40" t="s">
        <v>3881</v>
      </c>
      <c r="D1154" s="40" t="s">
        <v>291</v>
      </c>
      <c r="E1154" s="41">
        <v>1</v>
      </c>
      <c r="F1154" s="38">
        <v>147.41149999999999</v>
      </c>
      <c r="G1154" s="35">
        <f t="shared" si="18"/>
        <v>147.41149999999999</v>
      </c>
      <c r="H1154" s="39"/>
      <c r="I1154" s="35"/>
      <c r="J1154" s="34">
        <v>0</v>
      </c>
    </row>
    <row r="1155" spans="1:10" ht="15.75" hidden="1" thickBot="1" x14ac:dyDescent="0.3">
      <c r="A1155" s="250"/>
      <c r="B1155" s="253"/>
      <c r="C1155" s="40"/>
      <c r="D1155" s="40"/>
      <c r="E1155" s="41"/>
      <c r="F1155" s="35" t="s">
        <v>23</v>
      </c>
      <c r="G1155" s="35" t="str">
        <f t="shared" si="18"/>
        <v/>
      </c>
      <c r="H1155" s="39"/>
      <c r="I1155" s="35"/>
      <c r="J1155" s="34">
        <v>0</v>
      </c>
    </row>
    <row r="1156" spans="1:10" ht="15.75" hidden="1" thickBot="1" x14ac:dyDescent="0.3">
      <c r="A1156" s="248" t="s">
        <v>273</v>
      </c>
      <c r="B1156" s="251" t="s">
        <v>2239</v>
      </c>
      <c r="C1156" s="28"/>
      <c r="D1156" s="29" t="s">
        <v>28</v>
      </c>
      <c r="E1156" s="30"/>
      <c r="F1156" s="45" t="s">
        <v>23</v>
      </c>
      <c r="G1156" s="31" t="str">
        <f t="shared" si="18"/>
        <v/>
      </c>
      <c r="H1156" s="32"/>
      <c r="I1156" s="33"/>
      <c r="J1156" s="34">
        <v>0</v>
      </c>
    </row>
    <row r="1157" spans="1:10" ht="15.75" hidden="1" thickBot="1" x14ac:dyDescent="0.3">
      <c r="A1157" s="249"/>
      <c r="B1157" s="252"/>
      <c r="C1157" s="36"/>
      <c r="D1157" s="36"/>
      <c r="E1157" s="37"/>
      <c r="F1157" s="46" t="s">
        <v>23</v>
      </c>
      <c r="G1157" s="35" t="str">
        <f t="shared" si="18"/>
        <v/>
      </c>
      <c r="H1157" s="39"/>
      <c r="I1157" s="35"/>
      <c r="J1157" s="34">
        <v>0</v>
      </c>
    </row>
    <row r="1158" spans="1:10" ht="15.75" hidden="1" thickBot="1" x14ac:dyDescent="0.3">
      <c r="A1158" s="249"/>
      <c r="B1158" s="252"/>
      <c r="C1158" s="40" t="s">
        <v>274</v>
      </c>
      <c r="D1158" s="53" t="s">
        <v>102</v>
      </c>
      <c r="E1158" s="41">
        <v>1</v>
      </c>
      <c r="F1158" s="38" t="s">
        <v>23</v>
      </c>
      <c r="G1158" s="38" t="str">
        <f t="shared" si="18"/>
        <v/>
      </c>
      <c r="H1158" s="43">
        <f>SUM(G1158:G1161)</f>
        <v>5.7295079499999995</v>
      </c>
      <c r="I1158" s="44"/>
      <c r="J1158" s="34">
        <v>0</v>
      </c>
    </row>
    <row r="1159" spans="1:10" ht="15.75" hidden="1" thickBot="1" x14ac:dyDescent="0.3">
      <c r="A1159" s="249"/>
      <c r="B1159" s="252"/>
      <c r="C1159" s="40" t="s">
        <v>3876</v>
      </c>
      <c r="D1159" s="40" t="s">
        <v>291</v>
      </c>
      <c r="E1159" s="41">
        <v>2.1000000000000001E-2</v>
      </c>
      <c r="F1159" s="38">
        <v>3.762</v>
      </c>
      <c r="G1159" s="38">
        <f t="shared" si="18"/>
        <v>7.9002000000000003E-2</v>
      </c>
      <c r="H1159" s="39"/>
      <c r="I1159" s="35"/>
      <c r="J1159" s="34">
        <v>0</v>
      </c>
    </row>
    <row r="1160" spans="1:10" ht="26.25" hidden="1" thickBot="1" x14ac:dyDescent="0.3">
      <c r="A1160" s="249"/>
      <c r="B1160" s="252"/>
      <c r="C1160" s="40" t="s">
        <v>4110</v>
      </c>
      <c r="D1160" s="40" t="s">
        <v>3752</v>
      </c>
      <c r="E1160" s="41">
        <v>0.16669999999999999</v>
      </c>
      <c r="F1160" s="35">
        <v>27.341000000000001</v>
      </c>
      <c r="G1160" s="38">
        <f t="shared" si="18"/>
        <v>4.5577446999999998</v>
      </c>
      <c r="H1160" s="39"/>
      <c r="I1160" s="35"/>
      <c r="J1160" s="34">
        <v>0</v>
      </c>
    </row>
    <row r="1161" spans="1:10" ht="15.75" hidden="1" thickBot="1" x14ac:dyDescent="0.3">
      <c r="A1161" s="249"/>
      <c r="B1161" s="252"/>
      <c r="C1161" s="40" t="s">
        <v>3754</v>
      </c>
      <c r="D1161" s="40" t="s">
        <v>3752</v>
      </c>
      <c r="E1161" s="41">
        <v>5.2499999999999998E-2</v>
      </c>
      <c r="F1161" s="35">
        <v>20.814499999999999</v>
      </c>
      <c r="G1161" s="38">
        <f t="shared" si="18"/>
        <v>1.0927612499999999</v>
      </c>
      <c r="H1161" s="39"/>
      <c r="I1161" s="35"/>
      <c r="J1161" s="34">
        <v>0</v>
      </c>
    </row>
    <row r="1162" spans="1:10" ht="15.75" hidden="1" thickBot="1" x14ac:dyDescent="0.3">
      <c r="A1162" s="250"/>
      <c r="B1162" s="253"/>
      <c r="C1162" s="40"/>
      <c r="D1162" s="40"/>
      <c r="E1162" s="41"/>
      <c r="F1162" s="35" t="s">
        <v>23</v>
      </c>
      <c r="G1162" s="35" t="str">
        <f t="shared" si="18"/>
        <v/>
      </c>
      <c r="H1162" s="39"/>
      <c r="I1162" s="35"/>
      <c r="J1162" s="34">
        <v>0</v>
      </c>
    </row>
    <row r="1163" spans="1:10" ht="15.75" hidden="1" thickBot="1" x14ac:dyDescent="0.3">
      <c r="A1163" s="248" t="s">
        <v>275</v>
      </c>
      <c r="B1163" s="251" t="s">
        <v>2240</v>
      </c>
      <c r="C1163" s="28"/>
      <c r="D1163" s="29" t="s">
        <v>28</v>
      </c>
      <c r="E1163" s="30"/>
      <c r="F1163" s="45" t="s">
        <v>23</v>
      </c>
      <c r="G1163" s="31" t="str">
        <f t="shared" si="18"/>
        <v/>
      </c>
      <c r="H1163" s="32"/>
      <c r="I1163" s="33"/>
      <c r="J1163" s="34">
        <v>0</v>
      </c>
    </row>
    <row r="1164" spans="1:10" ht="15.75" hidden="1" thickBot="1" x14ac:dyDescent="0.3">
      <c r="A1164" s="249"/>
      <c r="B1164" s="252"/>
      <c r="C1164" s="36"/>
      <c r="D1164" s="36"/>
      <c r="E1164" s="37"/>
      <c r="F1164" s="46" t="s">
        <v>23</v>
      </c>
      <c r="G1164" s="35" t="str">
        <f t="shared" si="18"/>
        <v/>
      </c>
      <c r="H1164" s="39"/>
      <c r="I1164" s="35"/>
      <c r="J1164" s="34">
        <v>0</v>
      </c>
    </row>
    <row r="1165" spans="1:10" ht="26.25" hidden="1" thickBot="1" x14ac:dyDescent="0.3">
      <c r="A1165" s="249"/>
      <c r="B1165" s="252"/>
      <c r="C1165" s="40" t="s">
        <v>276</v>
      </c>
      <c r="D1165" s="53" t="s">
        <v>102</v>
      </c>
      <c r="E1165" s="41">
        <v>1</v>
      </c>
      <c r="F1165" s="38" t="s">
        <v>23</v>
      </c>
      <c r="G1165" s="38" t="str">
        <f t="shared" si="18"/>
        <v/>
      </c>
      <c r="H1165" s="43">
        <f>SUM(G1165:G1168)</f>
        <v>5.7295079499999995</v>
      </c>
      <c r="I1165" s="44"/>
      <c r="J1165" s="34">
        <v>0</v>
      </c>
    </row>
    <row r="1166" spans="1:10" ht="15.75" hidden="1" thickBot="1" x14ac:dyDescent="0.3">
      <c r="A1166" s="249"/>
      <c r="B1166" s="252"/>
      <c r="C1166" s="40" t="s">
        <v>3876</v>
      </c>
      <c r="D1166" s="40" t="s">
        <v>291</v>
      </c>
      <c r="E1166" s="41">
        <v>2.1000000000000001E-2</v>
      </c>
      <c r="F1166" s="38">
        <v>3.762</v>
      </c>
      <c r="G1166" s="38">
        <f t="shared" si="18"/>
        <v>7.9002000000000003E-2</v>
      </c>
      <c r="H1166" s="39"/>
      <c r="I1166" s="35"/>
      <c r="J1166" s="34">
        <v>0</v>
      </c>
    </row>
    <row r="1167" spans="1:10" ht="26.25" hidden="1" thickBot="1" x14ac:dyDescent="0.3">
      <c r="A1167" s="249"/>
      <c r="B1167" s="252"/>
      <c r="C1167" s="40" t="s">
        <v>4110</v>
      </c>
      <c r="D1167" s="40" t="s">
        <v>3752</v>
      </c>
      <c r="E1167" s="41">
        <v>0.16669999999999999</v>
      </c>
      <c r="F1167" s="35">
        <v>27.341000000000001</v>
      </c>
      <c r="G1167" s="38">
        <f t="shared" si="18"/>
        <v>4.5577446999999998</v>
      </c>
      <c r="H1167" s="39"/>
      <c r="I1167" s="35"/>
      <c r="J1167" s="34">
        <v>0</v>
      </c>
    </row>
    <row r="1168" spans="1:10" ht="15.75" hidden="1" thickBot="1" x14ac:dyDescent="0.3">
      <c r="A1168" s="249"/>
      <c r="B1168" s="252"/>
      <c r="C1168" s="40" t="s">
        <v>3754</v>
      </c>
      <c r="D1168" s="40" t="s">
        <v>3752</v>
      </c>
      <c r="E1168" s="41">
        <v>5.2499999999999998E-2</v>
      </c>
      <c r="F1168" s="35">
        <v>20.814499999999999</v>
      </c>
      <c r="G1168" s="38">
        <f t="shared" si="18"/>
        <v>1.0927612499999999</v>
      </c>
      <c r="H1168" s="39"/>
      <c r="I1168" s="35"/>
      <c r="J1168" s="34">
        <v>0</v>
      </c>
    </row>
    <row r="1169" spans="1:10" ht="15.75" hidden="1" thickBot="1" x14ac:dyDescent="0.3">
      <c r="A1169" s="250"/>
      <c r="B1169" s="253"/>
      <c r="C1169" s="40"/>
      <c r="D1169" s="40"/>
      <c r="E1169" s="41"/>
      <c r="F1169" s="35" t="s">
        <v>23</v>
      </c>
      <c r="G1169" s="35" t="str">
        <f t="shared" si="18"/>
        <v/>
      </c>
      <c r="H1169" s="39"/>
      <c r="I1169" s="35"/>
      <c r="J1169" s="34">
        <v>0</v>
      </c>
    </row>
    <row r="1170" spans="1:10" ht="15.75" hidden="1" thickBot="1" x14ac:dyDescent="0.3">
      <c r="A1170" s="248" t="s">
        <v>277</v>
      </c>
      <c r="B1170" s="251" t="s">
        <v>2241</v>
      </c>
      <c r="C1170" s="28"/>
      <c r="D1170" s="29" t="s">
        <v>28</v>
      </c>
      <c r="E1170" s="30"/>
      <c r="F1170" s="45" t="s">
        <v>23</v>
      </c>
      <c r="G1170" s="31" t="str">
        <f t="shared" ref="G1170:G1233" si="19">IF(ISNUMBER(F1170),E1170*F1170,"")</f>
        <v/>
      </c>
      <c r="H1170" s="32"/>
      <c r="I1170" s="33"/>
      <c r="J1170" s="34">
        <v>0</v>
      </c>
    </row>
    <row r="1171" spans="1:10" ht="15.75" hidden="1" thickBot="1" x14ac:dyDescent="0.3">
      <c r="A1171" s="249"/>
      <c r="B1171" s="252"/>
      <c r="C1171" s="36"/>
      <c r="D1171" s="36"/>
      <c r="E1171" s="37"/>
      <c r="F1171" s="46" t="s">
        <v>23</v>
      </c>
      <c r="G1171" s="35" t="str">
        <f t="shared" si="19"/>
        <v/>
      </c>
      <c r="H1171" s="39"/>
      <c r="I1171" s="35"/>
      <c r="J1171" s="34">
        <v>0</v>
      </c>
    </row>
    <row r="1172" spans="1:10" ht="26.25" hidden="1" thickBot="1" x14ac:dyDescent="0.3">
      <c r="A1172" s="249"/>
      <c r="B1172" s="252"/>
      <c r="C1172" s="40" t="s">
        <v>278</v>
      </c>
      <c r="D1172" s="53" t="s">
        <v>102</v>
      </c>
      <c r="E1172" s="41">
        <v>1</v>
      </c>
      <c r="F1172" s="38" t="s">
        <v>23</v>
      </c>
      <c r="G1172" s="38" t="str">
        <f t="shared" si="19"/>
        <v/>
      </c>
      <c r="H1172" s="43">
        <f>SUM(G1172:G1175)</f>
        <v>3.3344173499999998</v>
      </c>
      <c r="I1172" s="44"/>
      <c r="J1172" s="34">
        <v>0</v>
      </c>
    </row>
    <row r="1173" spans="1:10" ht="15.75" hidden="1" thickBot="1" x14ac:dyDescent="0.3">
      <c r="A1173" s="249"/>
      <c r="B1173" s="252"/>
      <c r="C1173" s="40" t="s">
        <v>3876</v>
      </c>
      <c r="D1173" s="40" t="s">
        <v>291</v>
      </c>
      <c r="E1173" s="41">
        <v>2.1000000000000001E-2</v>
      </c>
      <c r="F1173" s="38">
        <v>3.762</v>
      </c>
      <c r="G1173" s="38">
        <f t="shared" si="19"/>
        <v>7.9002000000000003E-2</v>
      </c>
      <c r="H1173" s="39"/>
      <c r="I1173" s="35"/>
      <c r="J1173" s="34">
        <v>0</v>
      </c>
    </row>
    <row r="1174" spans="1:10" ht="26.25" hidden="1" thickBot="1" x14ac:dyDescent="0.3">
      <c r="A1174" s="249"/>
      <c r="B1174" s="252"/>
      <c r="C1174" s="40" t="s">
        <v>4110</v>
      </c>
      <c r="D1174" s="40" t="s">
        <v>3752</v>
      </c>
      <c r="E1174" s="41">
        <v>9.6000000000000002E-2</v>
      </c>
      <c r="F1174" s="35">
        <v>27.341000000000001</v>
      </c>
      <c r="G1174" s="38">
        <f t="shared" si="19"/>
        <v>2.624736</v>
      </c>
      <c r="H1174" s="39"/>
      <c r="I1174" s="35"/>
      <c r="J1174" s="34">
        <v>0</v>
      </c>
    </row>
    <row r="1175" spans="1:10" ht="15.75" hidden="1" thickBot="1" x14ac:dyDescent="0.3">
      <c r="A1175" s="249"/>
      <c r="B1175" s="252"/>
      <c r="C1175" s="40" t="s">
        <v>3754</v>
      </c>
      <c r="D1175" s="40" t="s">
        <v>3752</v>
      </c>
      <c r="E1175" s="41">
        <v>3.0300000000000001E-2</v>
      </c>
      <c r="F1175" s="35">
        <v>20.814499999999999</v>
      </c>
      <c r="G1175" s="38">
        <f t="shared" si="19"/>
        <v>0.63067934999999997</v>
      </c>
      <c r="H1175" s="39"/>
      <c r="I1175" s="35"/>
      <c r="J1175" s="34">
        <v>0</v>
      </c>
    </row>
    <row r="1176" spans="1:10" ht="15.75" hidden="1" thickBot="1" x14ac:dyDescent="0.3">
      <c r="A1176" s="250"/>
      <c r="B1176" s="253"/>
      <c r="C1176" s="40"/>
      <c r="D1176" s="40"/>
      <c r="E1176" s="41"/>
      <c r="F1176" s="35" t="s">
        <v>23</v>
      </c>
      <c r="G1176" s="35" t="str">
        <f t="shared" si="19"/>
        <v/>
      </c>
      <c r="H1176" s="39"/>
      <c r="I1176" s="35"/>
      <c r="J1176" s="34">
        <v>0</v>
      </c>
    </row>
    <row r="1177" spans="1:10" ht="15.75" hidden="1" thickBot="1" x14ac:dyDescent="0.3">
      <c r="A1177" s="248" t="s">
        <v>279</v>
      </c>
      <c r="B1177" s="251" t="s">
        <v>2242</v>
      </c>
      <c r="C1177" s="28"/>
      <c r="D1177" s="29" t="s">
        <v>28</v>
      </c>
      <c r="E1177" s="30"/>
      <c r="F1177" s="45" t="s">
        <v>23</v>
      </c>
      <c r="G1177" s="31" t="str">
        <f t="shared" si="19"/>
        <v/>
      </c>
      <c r="H1177" s="32"/>
      <c r="I1177" s="33"/>
      <c r="J1177" s="34">
        <v>0</v>
      </c>
    </row>
    <row r="1178" spans="1:10" ht="15.75" hidden="1" thickBot="1" x14ac:dyDescent="0.3">
      <c r="A1178" s="249"/>
      <c r="B1178" s="252"/>
      <c r="C1178" s="36"/>
      <c r="D1178" s="36"/>
      <c r="E1178" s="37"/>
      <c r="F1178" s="46" t="s">
        <v>23</v>
      </c>
      <c r="G1178" s="35" t="str">
        <f t="shared" si="19"/>
        <v/>
      </c>
      <c r="H1178" s="39"/>
      <c r="I1178" s="35"/>
      <c r="J1178" s="34">
        <v>0</v>
      </c>
    </row>
    <row r="1179" spans="1:10" ht="26.25" hidden="1" thickBot="1" x14ac:dyDescent="0.3">
      <c r="A1179" s="249"/>
      <c r="B1179" s="252"/>
      <c r="C1179" s="40" t="s">
        <v>280</v>
      </c>
      <c r="D1179" s="53" t="s">
        <v>102</v>
      </c>
      <c r="E1179" s="41">
        <v>1</v>
      </c>
      <c r="F1179" s="38" t="s">
        <v>23</v>
      </c>
      <c r="G1179" s="38" t="str">
        <f t="shared" si="19"/>
        <v/>
      </c>
      <c r="H1179" s="43">
        <f>SUM(G1179:G1182)</f>
        <v>3.3344173499999998</v>
      </c>
      <c r="I1179" s="44"/>
      <c r="J1179" s="34">
        <v>0</v>
      </c>
    </row>
    <row r="1180" spans="1:10" ht="15.75" hidden="1" thickBot="1" x14ac:dyDescent="0.3">
      <c r="A1180" s="249"/>
      <c r="B1180" s="252"/>
      <c r="C1180" s="40" t="s">
        <v>3876</v>
      </c>
      <c r="D1180" s="40" t="s">
        <v>291</v>
      </c>
      <c r="E1180" s="41">
        <v>2.1000000000000001E-2</v>
      </c>
      <c r="F1180" s="38">
        <v>3.762</v>
      </c>
      <c r="G1180" s="38">
        <f t="shared" si="19"/>
        <v>7.9002000000000003E-2</v>
      </c>
      <c r="H1180" s="39"/>
      <c r="I1180" s="35"/>
      <c r="J1180" s="34">
        <v>0</v>
      </c>
    </row>
    <row r="1181" spans="1:10" ht="26.25" hidden="1" thickBot="1" x14ac:dyDescent="0.3">
      <c r="A1181" s="249"/>
      <c r="B1181" s="252"/>
      <c r="C1181" s="40" t="s">
        <v>4110</v>
      </c>
      <c r="D1181" s="40" t="s">
        <v>3752</v>
      </c>
      <c r="E1181" s="41">
        <v>9.6000000000000002E-2</v>
      </c>
      <c r="F1181" s="35">
        <v>27.341000000000001</v>
      </c>
      <c r="G1181" s="38">
        <f t="shared" si="19"/>
        <v>2.624736</v>
      </c>
      <c r="H1181" s="39"/>
      <c r="I1181" s="35"/>
      <c r="J1181" s="34">
        <v>0</v>
      </c>
    </row>
    <row r="1182" spans="1:10" ht="15.75" hidden="1" thickBot="1" x14ac:dyDescent="0.3">
      <c r="A1182" s="249"/>
      <c r="B1182" s="252"/>
      <c r="C1182" s="40" t="s">
        <v>3754</v>
      </c>
      <c r="D1182" s="40" t="s">
        <v>3752</v>
      </c>
      <c r="E1182" s="41">
        <v>3.0300000000000001E-2</v>
      </c>
      <c r="F1182" s="35">
        <v>20.814499999999999</v>
      </c>
      <c r="G1182" s="38">
        <f t="shared" si="19"/>
        <v>0.63067934999999997</v>
      </c>
      <c r="H1182" s="39"/>
      <c r="I1182" s="35"/>
      <c r="J1182" s="34">
        <v>0</v>
      </c>
    </row>
    <row r="1183" spans="1:10" ht="15.75" hidden="1" thickBot="1" x14ac:dyDescent="0.3">
      <c r="A1183" s="250"/>
      <c r="B1183" s="253"/>
      <c r="C1183" s="40"/>
      <c r="D1183" s="40"/>
      <c r="E1183" s="41"/>
      <c r="F1183" s="35" t="s">
        <v>23</v>
      </c>
      <c r="G1183" s="35" t="str">
        <f t="shared" si="19"/>
        <v/>
      </c>
      <c r="H1183" s="39"/>
      <c r="I1183" s="35"/>
      <c r="J1183" s="34">
        <v>0</v>
      </c>
    </row>
    <row r="1184" spans="1:10" ht="15.75" hidden="1" thickBot="1" x14ac:dyDescent="0.3">
      <c r="A1184" s="248" t="s">
        <v>281</v>
      </c>
      <c r="B1184" s="251" t="s">
        <v>2243</v>
      </c>
      <c r="C1184" s="28"/>
      <c r="D1184" s="29" t="s">
        <v>28</v>
      </c>
      <c r="E1184" s="30"/>
      <c r="F1184" s="45" t="s">
        <v>23</v>
      </c>
      <c r="G1184" s="31" t="str">
        <f t="shared" si="19"/>
        <v/>
      </c>
      <c r="H1184" s="32"/>
      <c r="I1184" s="33"/>
      <c r="J1184" s="34">
        <v>0</v>
      </c>
    </row>
    <row r="1185" spans="1:10" ht="15.75" hidden="1" thickBot="1" x14ac:dyDescent="0.3">
      <c r="A1185" s="249"/>
      <c r="B1185" s="252"/>
      <c r="C1185" s="36"/>
      <c r="D1185" s="36"/>
      <c r="E1185" s="37"/>
      <c r="F1185" s="46" t="s">
        <v>23</v>
      </c>
      <c r="G1185" s="35" t="str">
        <f t="shared" si="19"/>
        <v/>
      </c>
      <c r="H1185" s="39"/>
      <c r="I1185" s="35"/>
      <c r="J1185" s="34">
        <v>0</v>
      </c>
    </row>
    <row r="1186" spans="1:10" ht="26.25" hidden="1" thickBot="1" x14ac:dyDescent="0.3">
      <c r="A1186" s="249"/>
      <c r="B1186" s="252"/>
      <c r="C1186" s="40" t="s">
        <v>282</v>
      </c>
      <c r="D1186" s="53" t="s">
        <v>102</v>
      </c>
      <c r="E1186" s="41">
        <v>1</v>
      </c>
      <c r="F1186" s="38" t="s">
        <v>23</v>
      </c>
      <c r="G1186" s="38" t="str">
        <f t="shared" si="19"/>
        <v/>
      </c>
      <c r="H1186" s="43">
        <f>SUM(G1186:G1189)</f>
        <v>3.3344173499999998</v>
      </c>
      <c r="I1186" s="44"/>
      <c r="J1186" s="34">
        <v>0</v>
      </c>
    </row>
    <row r="1187" spans="1:10" ht="15.75" hidden="1" thickBot="1" x14ac:dyDescent="0.3">
      <c r="A1187" s="249"/>
      <c r="B1187" s="252"/>
      <c r="C1187" s="40" t="s">
        <v>3876</v>
      </c>
      <c r="D1187" s="40" t="s">
        <v>291</v>
      </c>
      <c r="E1187" s="41">
        <v>2.1000000000000001E-2</v>
      </c>
      <c r="F1187" s="38">
        <v>3.762</v>
      </c>
      <c r="G1187" s="38">
        <f t="shared" si="19"/>
        <v>7.9002000000000003E-2</v>
      </c>
      <c r="H1187" s="39"/>
      <c r="I1187" s="35"/>
      <c r="J1187" s="34">
        <v>0</v>
      </c>
    </row>
    <row r="1188" spans="1:10" ht="26.25" hidden="1" thickBot="1" x14ac:dyDescent="0.3">
      <c r="A1188" s="249"/>
      <c r="B1188" s="252"/>
      <c r="C1188" s="40" t="s">
        <v>4110</v>
      </c>
      <c r="D1188" s="40" t="s">
        <v>3752</v>
      </c>
      <c r="E1188" s="41">
        <v>9.6000000000000002E-2</v>
      </c>
      <c r="F1188" s="35">
        <v>27.341000000000001</v>
      </c>
      <c r="G1188" s="38">
        <f t="shared" si="19"/>
        <v>2.624736</v>
      </c>
      <c r="H1188" s="39"/>
      <c r="I1188" s="35"/>
      <c r="J1188" s="34">
        <v>0</v>
      </c>
    </row>
    <row r="1189" spans="1:10" ht="15.75" hidden="1" thickBot="1" x14ac:dyDescent="0.3">
      <c r="A1189" s="249"/>
      <c r="B1189" s="252"/>
      <c r="C1189" s="40" t="s">
        <v>3754</v>
      </c>
      <c r="D1189" s="40" t="s">
        <v>3752</v>
      </c>
      <c r="E1189" s="41">
        <v>3.0300000000000001E-2</v>
      </c>
      <c r="F1189" s="35">
        <v>20.814499999999999</v>
      </c>
      <c r="G1189" s="38">
        <f t="shared" si="19"/>
        <v>0.63067934999999997</v>
      </c>
      <c r="H1189" s="39"/>
      <c r="I1189" s="35"/>
      <c r="J1189" s="34">
        <v>0</v>
      </c>
    </row>
    <row r="1190" spans="1:10" ht="15.75" hidden="1" thickBot="1" x14ac:dyDescent="0.3">
      <c r="A1190" s="250"/>
      <c r="B1190" s="253"/>
      <c r="C1190" s="40"/>
      <c r="D1190" s="40"/>
      <c r="E1190" s="41"/>
      <c r="F1190" s="35" t="s">
        <v>23</v>
      </c>
      <c r="G1190" s="35" t="str">
        <f t="shared" si="19"/>
        <v/>
      </c>
      <c r="H1190" s="39"/>
      <c r="I1190" s="35"/>
      <c r="J1190" s="34">
        <v>0</v>
      </c>
    </row>
    <row r="1191" spans="1:10" ht="15.75" hidden="1" thickBot="1" x14ac:dyDescent="0.3">
      <c r="A1191" s="248" t="s">
        <v>283</v>
      </c>
      <c r="B1191" s="251" t="s">
        <v>2244</v>
      </c>
      <c r="C1191" s="28"/>
      <c r="D1191" s="29" t="s">
        <v>28</v>
      </c>
      <c r="E1191" s="30"/>
      <c r="F1191" s="45" t="s">
        <v>23</v>
      </c>
      <c r="G1191" s="31" t="str">
        <f t="shared" si="19"/>
        <v/>
      </c>
      <c r="H1191" s="32"/>
      <c r="I1191" s="33"/>
      <c r="J1191" s="34">
        <v>0</v>
      </c>
    </row>
    <row r="1192" spans="1:10" ht="15.75" hidden="1" thickBot="1" x14ac:dyDescent="0.3">
      <c r="A1192" s="249"/>
      <c r="B1192" s="252"/>
      <c r="C1192" s="36"/>
      <c r="D1192" s="36"/>
      <c r="E1192" s="37"/>
      <c r="F1192" s="46" t="s">
        <v>23</v>
      </c>
      <c r="G1192" s="35" t="str">
        <f t="shared" si="19"/>
        <v/>
      </c>
      <c r="H1192" s="39"/>
      <c r="I1192" s="35"/>
      <c r="J1192" s="34">
        <v>0</v>
      </c>
    </row>
    <row r="1193" spans="1:10" ht="26.25" hidden="1" thickBot="1" x14ac:dyDescent="0.3">
      <c r="A1193" s="249"/>
      <c r="B1193" s="252"/>
      <c r="C1193" s="40" t="s">
        <v>3882</v>
      </c>
      <c r="D1193" s="40" t="s">
        <v>291</v>
      </c>
      <c r="E1193" s="41">
        <v>1</v>
      </c>
      <c r="F1193" s="38">
        <v>116.20399999999999</v>
      </c>
      <c r="G1193" s="38">
        <f t="shared" si="19"/>
        <v>116.20399999999999</v>
      </c>
      <c r="H1193" s="43">
        <f>SUM(G1193:G1196)</f>
        <v>119.53841734999999</v>
      </c>
      <c r="I1193" s="44"/>
      <c r="J1193" s="34">
        <v>0</v>
      </c>
    </row>
    <row r="1194" spans="1:10" ht="15.75" hidden="1" thickBot="1" x14ac:dyDescent="0.3">
      <c r="A1194" s="249"/>
      <c r="B1194" s="252"/>
      <c r="C1194" s="40" t="s">
        <v>3876</v>
      </c>
      <c r="D1194" s="40" t="s">
        <v>291</v>
      </c>
      <c r="E1194" s="41">
        <v>2.1000000000000001E-2</v>
      </c>
      <c r="F1194" s="38">
        <v>3.762</v>
      </c>
      <c r="G1194" s="38">
        <f t="shared" si="19"/>
        <v>7.9002000000000003E-2</v>
      </c>
      <c r="H1194" s="39"/>
      <c r="I1194" s="35"/>
      <c r="J1194" s="34">
        <v>0</v>
      </c>
    </row>
    <row r="1195" spans="1:10" ht="26.25" hidden="1" thickBot="1" x14ac:dyDescent="0.3">
      <c r="A1195" s="249"/>
      <c r="B1195" s="252"/>
      <c r="C1195" s="40" t="s">
        <v>4110</v>
      </c>
      <c r="D1195" s="40" t="s">
        <v>3752</v>
      </c>
      <c r="E1195" s="41">
        <v>9.6000000000000002E-2</v>
      </c>
      <c r="F1195" s="35">
        <v>27.341000000000001</v>
      </c>
      <c r="G1195" s="38">
        <f t="shared" si="19"/>
        <v>2.624736</v>
      </c>
      <c r="H1195" s="39"/>
      <c r="I1195" s="35"/>
      <c r="J1195" s="34">
        <v>0</v>
      </c>
    </row>
    <row r="1196" spans="1:10" ht="15.75" hidden="1" thickBot="1" x14ac:dyDescent="0.3">
      <c r="A1196" s="249"/>
      <c r="B1196" s="252"/>
      <c r="C1196" s="40" t="s">
        <v>3754</v>
      </c>
      <c r="D1196" s="40" t="s">
        <v>3752</v>
      </c>
      <c r="E1196" s="41">
        <v>3.0300000000000001E-2</v>
      </c>
      <c r="F1196" s="35">
        <v>20.814499999999999</v>
      </c>
      <c r="G1196" s="38">
        <f t="shared" si="19"/>
        <v>0.63067934999999997</v>
      </c>
      <c r="H1196" s="39"/>
      <c r="I1196" s="35"/>
      <c r="J1196" s="34">
        <v>0</v>
      </c>
    </row>
    <row r="1197" spans="1:10" ht="15.75" hidden="1" thickBot="1" x14ac:dyDescent="0.3">
      <c r="A1197" s="250"/>
      <c r="B1197" s="253"/>
      <c r="C1197" s="40"/>
      <c r="D1197" s="40"/>
      <c r="E1197" s="41"/>
      <c r="F1197" s="35" t="s">
        <v>23</v>
      </c>
      <c r="G1197" s="35" t="str">
        <f t="shared" si="19"/>
        <v/>
      </c>
      <c r="H1197" s="39"/>
      <c r="I1197" s="35"/>
      <c r="J1197" s="34">
        <v>0</v>
      </c>
    </row>
    <row r="1198" spans="1:10" ht="15.75" hidden="1" thickBot="1" x14ac:dyDescent="0.3">
      <c r="A1198" s="248" t="s">
        <v>284</v>
      </c>
      <c r="B1198" s="251" t="s">
        <v>2245</v>
      </c>
      <c r="C1198" s="28"/>
      <c r="D1198" s="29" t="s">
        <v>28</v>
      </c>
      <c r="E1198" s="30"/>
      <c r="F1198" s="45" t="s">
        <v>23</v>
      </c>
      <c r="G1198" s="31" t="str">
        <f t="shared" si="19"/>
        <v/>
      </c>
      <c r="H1198" s="32"/>
      <c r="I1198" s="33"/>
      <c r="J1198" s="34">
        <v>0</v>
      </c>
    </row>
    <row r="1199" spans="1:10" ht="15.75" hidden="1" thickBot="1" x14ac:dyDescent="0.3">
      <c r="A1199" s="249"/>
      <c r="B1199" s="252"/>
      <c r="C1199" s="36"/>
      <c r="D1199" s="36"/>
      <c r="E1199" s="37"/>
      <c r="F1199" s="46" t="s">
        <v>23</v>
      </c>
      <c r="G1199" s="35" t="str">
        <f t="shared" si="19"/>
        <v/>
      </c>
      <c r="H1199" s="39"/>
      <c r="I1199" s="35"/>
      <c r="J1199" s="34">
        <v>0</v>
      </c>
    </row>
    <row r="1200" spans="1:10" ht="26.25" hidden="1" thickBot="1" x14ac:dyDescent="0.3">
      <c r="A1200" s="249"/>
      <c r="B1200" s="252"/>
      <c r="C1200" s="40" t="s">
        <v>285</v>
      </c>
      <c r="D1200" s="53" t="s">
        <v>102</v>
      </c>
      <c r="E1200" s="41">
        <v>1</v>
      </c>
      <c r="F1200" s="38" t="s">
        <v>23</v>
      </c>
      <c r="G1200" s="38" t="str">
        <f t="shared" si="19"/>
        <v/>
      </c>
      <c r="H1200" s="43">
        <f>SUM(G1200:G1203)</f>
        <v>4.0253865500000003</v>
      </c>
      <c r="I1200" s="44"/>
      <c r="J1200" s="34">
        <v>0</v>
      </c>
    </row>
    <row r="1201" spans="1:10" ht="15.75" hidden="1" thickBot="1" x14ac:dyDescent="0.3">
      <c r="A1201" s="249"/>
      <c r="B1201" s="252"/>
      <c r="C1201" s="40" t="s">
        <v>3876</v>
      </c>
      <c r="D1201" s="40" t="s">
        <v>291</v>
      </c>
      <c r="E1201" s="41">
        <v>2.1000000000000001E-2</v>
      </c>
      <c r="F1201" s="38">
        <v>3.762</v>
      </c>
      <c r="G1201" s="38">
        <f t="shared" si="19"/>
        <v>7.9002000000000003E-2</v>
      </c>
      <c r="H1201" s="39"/>
      <c r="I1201" s="35"/>
      <c r="J1201" s="34">
        <v>0</v>
      </c>
    </row>
    <row r="1202" spans="1:10" ht="26.25" hidden="1" thickBot="1" x14ac:dyDescent="0.3">
      <c r="A1202" s="249"/>
      <c r="B1202" s="252"/>
      <c r="C1202" s="40" t="s">
        <v>4110</v>
      </c>
      <c r="D1202" s="40" t="s">
        <v>3752</v>
      </c>
      <c r="E1202" s="41">
        <v>0.1164</v>
      </c>
      <c r="F1202" s="35">
        <v>27.341000000000001</v>
      </c>
      <c r="G1202" s="38">
        <f t="shared" si="19"/>
        <v>3.1824924000000001</v>
      </c>
      <c r="H1202" s="39"/>
      <c r="I1202" s="35"/>
      <c r="J1202" s="34">
        <v>0</v>
      </c>
    </row>
    <row r="1203" spans="1:10" ht="15.75" hidden="1" thickBot="1" x14ac:dyDescent="0.3">
      <c r="A1203" s="249"/>
      <c r="B1203" s="252"/>
      <c r="C1203" s="40" t="s">
        <v>3754</v>
      </c>
      <c r="D1203" s="40" t="s">
        <v>3752</v>
      </c>
      <c r="E1203" s="41">
        <v>3.6700000000000003E-2</v>
      </c>
      <c r="F1203" s="35">
        <v>20.814499999999999</v>
      </c>
      <c r="G1203" s="38">
        <f t="shared" si="19"/>
        <v>0.76389214999999999</v>
      </c>
      <c r="H1203" s="39"/>
      <c r="I1203" s="35"/>
      <c r="J1203" s="34">
        <v>0</v>
      </c>
    </row>
    <row r="1204" spans="1:10" ht="15.75" hidden="1" thickBot="1" x14ac:dyDescent="0.3">
      <c r="A1204" s="250"/>
      <c r="B1204" s="253"/>
      <c r="C1204" s="40"/>
      <c r="D1204" s="40"/>
      <c r="E1204" s="41"/>
      <c r="F1204" s="35" t="s">
        <v>23</v>
      </c>
      <c r="G1204" s="35" t="str">
        <f t="shared" si="19"/>
        <v/>
      </c>
      <c r="H1204" s="39"/>
      <c r="I1204" s="35"/>
      <c r="J1204" s="34">
        <v>0</v>
      </c>
    </row>
    <row r="1205" spans="1:10" ht="15.75" hidden="1" thickBot="1" x14ac:dyDescent="0.3">
      <c r="A1205" s="248" t="s">
        <v>286</v>
      </c>
      <c r="B1205" s="251" t="s">
        <v>2246</v>
      </c>
      <c r="C1205" s="28"/>
      <c r="D1205" s="29" t="s">
        <v>28</v>
      </c>
      <c r="E1205" s="30"/>
      <c r="F1205" s="45" t="s">
        <v>23</v>
      </c>
      <c r="G1205" s="31" t="str">
        <f t="shared" si="19"/>
        <v/>
      </c>
      <c r="H1205" s="32"/>
      <c r="I1205" s="33"/>
      <c r="J1205" s="34">
        <v>0</v>
      </c>
    </row>
    <row r="1206" spans="1:10" ht="15.75" hidden="1" thickBot="1" x14ac:dyDescent="0.3">
      <c r="A1206" s="249"/>
      <c r="B1206" s="252"/>
      <c r="C1206" s="36"/>
      <c r="D1206" s="36"/>
      <c r="E1206" s="37"/>
      <c r="F1206" s="46" t="s">
        <v>23</v>
      </c>
      <c r="G1206" s="35" t="str">
        <f t="shared" si="19"/>
        <v/>
      </c>
      <c r="H1206" s="39"/>
      <c r="I1206" s="35"/>
      <c r="J1206" s="34">
        <v>0</v>
      </c>
    </row>
    <row r="1207" spans="1:10" ht="15.75" hidden="1" thickBot="1" x14ac:dyDescent="0.3">
      <c r="A1207" s="249"/>
      <c r="B1207" s="252"/>
      <c r="C1207" s="40" t="s">
        <v>3876</v>
      </c>
      <c r="D1207" s="40" t="s">
        <v>291</v>
      </c>
      <c r="E1207" s="41">
        <v>2.1000000000000001E-2</v>
      </c>
      <c r="F1207" s="38">
        <v>3.762</v>
      </c>
      <c r="G1207" s="38">
        <f t="shared" si="19"/>
        <v>7.9002000000000003E-2</v>
      </c>
      <c r="H1207" s="43">
        <f>SUM(G1207:G1210)</f>
        <v>51.72368195</v>
      </c>
      <c r="I1207" s="44"/>
      <c r="J1207" s="34">
        <v>0</v>
      </c>
    </row>
    <row r="1208" spans="1:10" ht="26.25" hidden="1" thickBot="1" x14ac:dyDescent="0.3">
      <c r="A1208" s="249"/>
      <c r="B1208" s="252"/>
      <c r="C1208" s="40" t="s">
        <v>4110</v>
      </c>
      <c r="D1208" s="40" t="s">
        <v>3752</v>
      </c>
      <c r="E1208" s="41">
        <v>0.1525</v>
      </c>
      <c r="F1208" s="35">
        <v>27.341000000000001</v>
      </c>
      <c r="G1208" s="38">
        <f t="shared" si="19"/>
        <v>4.1695025000000001</v>
      </c>
      <c r="H1208" s="39"/>
      <c r="I1208" s="35"/>
      <c r="J1208" s="34">
        <v>0</v>
      </c>
    </row>
    <row r="1209" spans="1:10" ht="15.75" hidden="1" thickBot="1" x14ac:dyDescent="0.3">
      <c r="A1209" s="249"/>
      <c r="B1209" s="252"/>
      <c r="C1209" s="40" t="s">
        <v>3754</v>
      </c>
      <c r="D1209" s="40" t="s">
        <v>3752</v>
      </c>
      <c r="E1209" s="41">
        <v>4.8099999999999997E-2</v>
      </c>
      <c r="F1209" s="35">
        <v>20.814499999999999</v>
      </c>
      <c r="G1209" s="38">
        <f t="shared" si="19"/>
        <v>1.0011774499999999</v>
      </c>
      <c r="H1209" s="39"/>
      <c r="I1209" s="35"/>
      <c r="J1209" s="34">
        <v>0</v>
      </c>
    </row>
    <row r="1210" spans="1:10" ht="39" hidden="1" thickBot="1" x14ac:dyDescent="0.3">
      <c r="A1210" s="249"/>
      <c r="B1210" s="252"/>
      <c r="C1210" s="40" t="s">
        <v>3883</v>
      </c>
      <c r="D1210" s="40" t="s">
        <v>291</v>
      </c>
      <c r="E1210" s="41">
        <v>1</v>
      </c>
      <c r="F1210" s="38">
        <v>46.473999999999997</v>
      </c>
      <c r="G1210" s="35">
        <f t="shared" si="19"/>
        <v>46.473999999999997</v>
      </c>
      <c r="H1210" s="39"/>
      <c r="I1210" s="35"/>
      <c r="J1210" s="34">
        <v>0</v>
      </c>
    </row>
    <row r="1211" spans="1:10" ht="15.75" hidden="1" thickBot="1" x14ac:dyDescent="0.3">
      <c r="A1211" s="250"/>
      <c r="B1211" s="253"/>
      <c r="C1211" s="40"/>
      <c r="D1211" s="40"/>
      <c r="E1211" s="41"/>
      <c r="F1211" s="35" t="s">
        <v>23</v>
      </c>
      <c r="G1211" s="35" t="str">
        <f t="shared" si="19"/>
        <v/>
      </c>
      <c r="H1211" s="39"/>
      <c r="I1211" s="35"/>
      <c r="J1211" s="34">
        <v>0</v>
      </c>
    </row>
    <row r="1212" spans="1:10" ht="15.75" hidden="1" thickBot="1" x14ac:dyDescent="0.3">
      <c r="A1212" s="248" t="s">
        <v>287</v>
      </c>
      <c r="B1212" s="251" t="s">
        <v>2247</v>
      </c>
      <c r="C1212" s="28"/>
      <c r="D1212" s="29" t="s">
        <v>28</v>
      </c>
      <c r="E1212" s="30"/>
      <c r="F1212" s="45" t="s">
        <v>23</v>
      </c>
      <c r="G1212" s="31" t="str">
        <f t="shared" si="19"/>
        <v/>
      </c>
      <c r="H1212" s="32"/>
      <c r="I1212" s="33"/>
      <c r="J1212" s="34">
        <v>0</v>
      </c>
    </row>
    <row r="1213" spans="1:10" ht="15.75" hidden="1" thickBot="1" x14ac:dyDescent="0.3">
      <c r="A1213" s="249"/>
      <c r="B1213" s="252"/>
      <c r="C1213" s="36"/>
      <c r="D1213" s="36"/>
      <c r="E1213" s="37"/>
      <c r="F1213" s="46" t="s">
        <v>23</v>
      </c>
      <c r="G1213" s="35" t="str">
        <f t="shared" si="19"/>
        <v/>
      </c>
      <c r="H1213" s="39"/>
      <c r="I1213" s="35"/>
      <c r="J1213" s="34">
        <v>0</v>
      </c>
    </row>
    <row r="1214" spans="1:10" ht="26.25" hidden="1" thickBot="1" x14ac:dyDescent="0.3">
      <c r="A1214" s="249"/>
      <c r="B1214" s="252"/>
      <c r="C1214" s="70" t="s">
        <v>288</v>
      </c>
      <c r="D1214" s="53" t="s">
        <v>102</v>
      </c>
      <c r="E1214" s="41">
        <v>1</v>
      </c>
      <c r="F1214" s="38" t="s">
        <v>23</v>
      </c>
      <c r="G1214" s="38" t="str">
        <f t="shared" si="19"/>
        <v/>
      </c>
      <c r="H1214" s="43">
        <f>SUM(G1214:G1216)</f>
        <v>24.448250000000002</v>
      </c>
      <c r="I1214" s="44"/>
      <c r="J1214" s="34">
        <v>0</v>
      </c>
    </row>
    <row r="1215" spans="1:10" ht="26.25" hidden="1" thickBot="1" x14ac:dyDescent="0.3">
      <c r="A1215" s="249"/>
      <c r="B1215" s="252"/>
      <c r="C1215" s="40" t="s">
        <v>4119</v>
      </c>
      <c r="D1215" s="40" t="s">
        <v>3752</v>
      </c>
      <c r="E1215" s="41">
        <v>0.5</v>
      </c>
      <c r="F1215" s="35">
        <v>21.555499999999999</v>
      </c>
      <c r="G1215" s="38">
        <f t="shared" si="19"/>
        <v>10.777749999999999</v>
      </c>
      <c r="H1215" s="39"/>
      <c r="I1215" s="35"/>
      <c r="J1215" s="34">
        <v>0</v>
      </c>
    </row>
    <row r="1216" spans="1:10" ht="26.25" hidden="1" thickBot="1" x14ac:dyDescent="0.3">
      <c r="A1216" s="249"/>
      <c r="B1216" s="252"/>
      <c r="C1216" s="40" t="s">
        <v>4110</v>
      </c>
      <c r="D1216" s="40" t="s">
        <v>3752</v>
      </c>
      <c r="E1216" s="41">
        <v>0.5</v>
      </c>
      <c r="F1216" s="35">
        <v>27.341000000000001</v>
      </c>
      <c r="G1216" s="38">
        <f t="shared" si="19"/>
        <v>13.670500000000001</v>
      </c>
      <c r="H1216" s="39"/>
      <c r="I1216" s="35"/>
      <c r="J1216" s="34">
        <v>0</v>
      </c>
    </row>
    <row r="1217" spans="1:10" ht="15.75" hidden="1" thickBot="1" x14ac:dyDescent="0.3">
      <c r="A1217" s="250"/>
      <c r="B1217" s="253"/>
      <c r="C1217" s="40"/>
      <c r="D1217" s="40"/>
      <c r="E1217" s="41"/>
      <c r="F1217" s="35" t="s">
        <v>23</v>
      </c>
      <c r="G1217" s="35" t="str">
        <f t="shared" si="19"/>
        <v/>
      </c>
      <c r="H1217" s="39"/>
      <c r="I1217" s="35"/>
      <c r="J1217" s="34">
        <v>0</v>
      </c>
    </row>
    <row r="1218" spans="1:10" ht="15.75" hidden="1" thickBot="1" x14ac:dyDescent="0.3">
      <c r="A1218" s="248" t="s">
        <v>289</v>
      </c>
      <c r="B1218" s="251" t="s">
        <v>2248</v>
      </c>
      <c r="C1218" s="28"/>
      <c r="D1218" s="29" t="s">
        <v>28</v>
      </c>
      <c r="E1218" s="30"/>
      <c r="F1218" s="45" t="s">
        <v>23</v>
      </c>
      <c r="G1218" s="31" t="str">
        <f t="shared" si="19"/>
        <v/>
      </c>
      <c r="H1218" s="32"/>
      <c r="I1218" s="33"/>
      <c r="J1218" s="34">
        <v>0</v>
      </c>
    </row>
    <row r="1219" spans="1:10" ht="15.75" hidden="1" thickBot="1" x14ac:dyDescent="0.3">
      <c r="A1219" s="249"/>
      <c r="B1219" s="252"/>
      <c r="C1219" s="36"/>
      <c r="D1219" s="36"/>
      <c r="E1219" s="37"/>
      <c r="F1219" s="46" t="s">
        <v>23</v>
      </c>
      <c r="G1219" s="35" t="str">
        <f t="shared" si="19"/>
        <v/>
      </c>
      <c r="H1219" s="39"/>
      <c r="I1219" s="35"/>
      <c r="J1219" s="34">
        <v>0</v>
      </c>
    </row>
    <row r="1220" spans="1:10" ht="15.75" hidden="1" thickBot="1" x14ac:dyDescent="0.3">
      <c r="A1220" s="249"/>
      <c r="B1220" s="252"/>
      <c r="C1220" s="70" t="s">
        <v>290</v>
      </c>
      <c r="D1220" s="53" t="s">
        <v>291</v>
      </c>
      <c r="E1220" s="41">
        <v>1</v>
      </c>
      <c r="F1220" s="38" t="s">
        <v>23</v>
      </c>
      <c r="G1220" s="38" t="str">
        <f t="shared" si="19"/>
        <v/>
      </c>
      <c r="H1220" s="43">
        <f>SUM(G1220:G1222)</f>
        <v>24.448250000000002</v>
      </c>
      <c r="I1220" s="44"/>
      <c r="J1220" s="34">
        <v>0</v>
      </c>
    </row>
    <row r="1221" spans="1:10" ht="26.25" hidden="1" thickBot="1" x14ac:dyDescent="0.3">
      <c r="A1221" s="249"/>
      <c r="B1221" s="252"/>
      <c r="C1221" s="40" t="s">
        <v>4119</v>
      </c>
      <c r="D1221" s="40" t="s">
        <v>3752</v>
      </c>
      <c r="E1221" s="41">
        <v>0.5</v>
      </c>
      <c r="F1221" s="35">
        <v>21.555499999999999</v>
      </c>
      <c r="G1221" s="38">
        <f t="shared" si="19"/>
        <v>10.777749999999999</v>
      </c>
      <c r="H1221" s="39"/>
      <c r="I1221" s="35"/>
      <c r="J1221" s="34">
        <v>0</v>
      </c>
    </row>
    <row r="1222" spans="1:10" ht="26.25" hidden="1" thickBot="1" x14ac:dyDescent="0.3">
      <c r="A1222" s="249"/>
      <c r="B1222" s="252"/>
      <c r="C1222" s="40" t="s">
        <v>4110</v>
      </c>
      <c r="D1222" s="40" t="s">
        <v>3752</v>
      </c>
      <c r="E1222" s="41">
        <v>0.5</v>
      </c>
      <c r="F1222" s="35">
        <v>27.341000000000001</v>
      </c>
      <c r="G1222" s="38">
        <f t="shared" si="19"/>
        <v>13.670500000000001</v>
      </c>
      <c r="H1222" s="39"/>
      <c r="I1222" s="35"/>
      <c r="J1222" s="34">
        <v>0</v>
      </c>
    </row>
    <row r="1223" spans="1:10" ht="15.75" hidden="1" thickBot="1" x14ac:dyDescent="0.3">
      <c r="A1223" s="250"/>
      <c r="B1223" s="253"/>
      <c r="C1223" s="40"/>
      <c r="D1223" s="40"/>
      <c r="E1223" s="41"/>
      <c r="F1223" s="35" t="s">
        <v>23</v>
      </c>
      <c r="G1223" s="35" t="str">
        <f t="shared" si="19"/>
        <v/>
      </c>
      <c r="H1223" s="39"/>
      <c r="I1223" s="35"/>
      <c r="J1223" s="34">
        <v>0</v>
      </c>
    </row>
    <row r="1224" spans="1:10" ht="15.75" hidden="1" thickBot="1" x14ac:dyDescent="0.3">
      <c r="A1224" s="248" t="s">
        <v>292</v>
      </c>
      <c r="B1224" s="251" t="s">
        <v>2249</v>
      </c>
      <c r="C1224" s="28"/>
      <c r="D1224" s="29" t="s">
        <v>28</v>
      </c>
      <c r="E1224" s="30"/>
      <c r="F1224" s="45" t="s">
        <v>23</v>
      </c>
      <c r="G1224" s="31" t="str">
        <f t="shared" si="19"/>
        <v/>
      </c>
      <c r="H1224" s="32"/>
      <c r="I1224" s="33"/>
      <c r="J1224" s="34">
        <v>0</v>
      </c>
    </row>
    <row r="1225" spans="1:10" ht="15.75" hidden="1" thickBot="1" x14ac:dyDescent="0.3">
      <c r="A1225" s="249"/>
      <c r="B1225" s="252"/>
      <c r="C1225" s="36"/>
      <c r="D1225" s="36"/>
      <c r="E1225" s="37"/>
      <c r="F1225" s="46" t="s">
        <v>23</v>
      </c>
      <c r="G1225" s="35" t="str">
        <f t="shared" si="19"/>
        <v/>
      </c>
      <c r="H1225" s="39"/>
      <c r="I1225" s="35"/>
      <c r="J1225" s="34">
        <v>0</v>
      </c>
    </row>
    <row r="1226" spans="1:10" ht="26.25" hidden="1" thickBot="1" x14ac:dyDescent="0.3">
      <c r="A1226" s="249"/>
      <c r="B1226" s="252"/>
      <c r="C1226" s="70" t="s">
        <v>293</v>
      </c>
      <c r="D1226" s="53" t="s">
        <v>102</v>
      </c>
      <c r="E1226" s="41">
        <v>1</v>
      </c>
      <c r="F1226" s="38" t="s">
        <v>23</v>
      </c>
      <c r="G1226" s="38" t="str">
        <f t="shared" si="19"/>
        <v/>
      </c>
      <c r="H1226" s="43">
        <f>SUM(G1226:G1228)</f>
        <v>24.448250000000002</v>
      </c>
      <c r="I1226" s="44"/>
      <c r="J1226" s="34">
        <v>0</v>
      </c>
    </row>
    <row r="1227" spans="1:10" ht="26.25" hidden="1" thickBot="1" x14ac:dyDescent="0.3">
      <c r="A1227" s="249"/>
      <c r="B1227" s="252"/>
      <c r="C1227" s="40" t="s">
        <v>4119</v>
      </c>
      <c r="D1227" s="40" t="s">
        <v>3752</v>
      </c>
      <c r="E1227" s="41">
        <v>0.5</v>
      </c>
      <c r="F1227" s="35">
        <v>21.555499999999999</v>
      </c>
      <c r="G1227" s="38">
        <f t="shared" si="19"/>
        <v>10.777749999999999</v>
      </c>
      <c r="H1227" s="39"/>
      <c r="I1227" s="35"/>
      <c r="J1227" s="34">
        <v>0</v>
      </c>
    </row>
    <row r="1228" spans="1:10" ht="26.25" hidden="1" thickBot="1" x14ac:dyDescent="0.3">
      <c r="A1228" s="249"/>
      <c r="B1228" s="252"/>
      <c r="C1228" s="40" t="s">
        <v>4110</v>
      </c>
      <c r="D1228" s="40" t="s">
        <v>3752</v>
      </c>
      <c r="E1228" s="41">
        <v>0.5</v>
      </c>
      <c r="F1228" s="35">
        <v>27.341000000000001</v>
      </c>
      <c r="G1228" s="38">
        <f t="shared" si="19"/>
        <v>13.670500000000001</v>
      </c>
      <c r="H1228" s="39"/>
      <c r="I1228" s="35"/>
      <c r="J1228" s="34">
        <v>0</v>
      </c>
    </row>
    <row r="1229" spans="1:10" ht="15.75" hidden="1" thickBot="1" x14ac:dyDescent="0.3">
      <c r="A1229" s="250"/>
      <c r="B1229" s="253"/>
      <c r="C1229" s="40"/>
      <c r="D1229" s="40"/>
      <c r="E1229" s="41"/>
      <c r="F1229" s="35" t="s">
        <v>23</v>
      </c>
      <c r="G1229" s="35" t="str">
        <f t="shared" si="19"/>
        <v/>
      </c>
      <c r="H1229" s="39"/>
      <c r="I1229" s="35"/>
      <c r="J1229" s="34">
        <v>0</v>
      </c>
    </row>
    <row r="1230" spans="1:10" ht="15.75" hidden="1" thickBot="1" x14ac:dyDescent="0.3">
      <c r="A1230" s="248" t="s">
        <v>294</v>
      </c>
      <c r="B1230" s="251" t="s">
        <v>2250</v>
      </c>
      <c r="C1230" s="28"/>
      <c r="D1230" s="29" t="s">
        <v>28</v>
      </c>
      <c r="E1230" s="30"/>
      <c r="F1230" s="45" t="s">
        <v>23</v>
      </c>
      <c r="G1230" s="31" t="str">
        <f t="shared" si="19"/>
        <v/>
      </c>
      <c r="H1230" s="32"/>
      <c r="I1230" s="33"/>
      <c r="J1230" s="34">
        <v>0</v>
      </c>
    </row>
    <row r="1231" spans="1:10" ht="15.75" hidden="1" thickBot="1" x14ac:dyDescent="0.3">
      <c r="A1231" s="249"/>
      <c r="B1231" s="252"/>
      <c r="C1231" s="36"/>
      <c r="D1231" s="36"/>
      <c r="E1231" s="37"/>
      <c r="F1231" s="46" t="s">
        <v>23</v>
      </c>
      <c r="G1231" s="35" t="str">
        <f t="shared" si="19"/>
        <v/>
      </c>
      <c r="H1231" s="39"/>
      <c r="I1231" s="35"/>
      <c r="J1231" s="34">
        <v>0</v>
      </c>
    </row>
    <row r="1232" spans="1:10" ht="15.75" hidden="1" thickBot="1" x14ac:dyDescent="0.3">
      <c r="A1232" s="249"/>
      <c r="B1232" s="252"/>
      <c r="C1232" s="70" t="s">
        <v>290</v>
      </c>
      <c r="D1232" s="53" t="s">
        <v>102</v>
      </c>
      <c r="E1232" s="41">
        <v>1</v>
      </c>
      <c r="F1232" s="38" t="s">
        <v>23</v>
      </c>
      <c r="G1232" s="38" t="str">
        <f t="shared" si="19"/>
        <v/>
      </c>
      <c r="H1232" s="43">
        <f>SUM(G1232:G1234)</f>
        <v>24.448250000000002</v>
      </c>
      <c r="I1232" s="44"/>
      <c r="J1232" s="34">
        <v>0</v>
      </c>
    </row>
    <row r="1233" spans="1:10" ht="26.25" hidden="1" thickBot="1" x14ac:dyDescent="0.3">
      <c r="A1233" s="249"/>
      <c r="B1233" s="252"/>
      <c r="C1233" s="40" t="s">
        <v>4119</v>
      </c>
      <c r="D1233" s="40" t="s">
        <v>3752</v>
      </c>
      <c r="E1233" s="41">
        <v>0.5</v>
      </c>
      <c r="F1233" s="35">
        <v>21.555499999999999</v>
      </c>
      <c r="G1233" s="38">
        <f t="shared" si="19"/>
        <v>10.777749999999999</v>
      </c>
      <c r="H1233" s="39"/>
      <c r="I1233" s="35"/>
      <c r="J1233" s="34">
        <v>0</v>
      </c>
    </row>
    <row r="1234" spans="1:10" ht="26.25" hidden="1" thickBot="1" x14ac:dyDescent="0.3">
      <c r="A1234" s="249"/>
      <c r="B1234" s="252"/>
      <c r="C1234" s="40" t="s">
        <v>4110</v>
      </c>
      <c r="D1234" s="40" t="s">
        <v>3752</v>
      </c>
      <c r="E1234" s="41">
        <v>0.5</v>
      </c>
      <c r="F1234" s="35">
        <v>27.341000000000001</v>
      </c>
      <c r="G1234" s="38">
        <f t="shared" ref="G1234:G1297" si="20">IF(ISNUMBER(F1234),E1234*F1234,"")</f>
        <v>13.670500000000001</v>
      </c>
      <c r="H1234" s="39"/>
      <c r="I1234" s="35"/>
      <c r="J1234" s="34">
        <v>0</v>
      </c>
    </row>
    <row r="1235" spans="1:10" ht="15.75" hidden="1" thickBot="1" x14ac:dyDescent="0.3">
      <c r="A1235" s="250"/>
      <c r="B1235" s="253"/>
      <c r="C1235" s="40"/>
      <c r="D1235" s="40"/>
      <c r="E1235" s="41"/>
      <c r="F1235" s="35" t="s">
        <v>23</v>
      </c>
      <c r="G1235" s="35" t="str">
        <f t="shared" si="20"/>
        <v/>
      </c>
      <c r="H1235" s="39"/>
      <c r="I1235" s="35"/>
      <c r="J1235" s="34">
        <v>0</v>
      </c>
    </row>
    <row r="1236" spans="1:10" ht="15.75" hidden="1" thickBot="1" x14ac:dyDescent="0.3">
      <c r="A1236" s="248" t="s">
        <v>295</v>
      </c>
      <c r="B1236" s="251" t="s">
        <v>2251</v>
      </c>
      <c r="C1236" s="28"/>
      <c r="D1236" s="29" t="s">
        <v>28</v>
      </c>
      <c r="E1236" s="30"/>
      <c r="F1236" s="45" t="s">
        <v>23</v>
      </c>
      <c r="G1236" s="31" t="str">
        <f t="shared" si="20"/>
        <v/>
      </c>
      <c r="H1236" s="32"/>
      <c r="I1236" s="33"/>
      <c r="J1236" s="34">
        <v>0</v>
      </c>
    </row>
    <row r="1237" spans="1:10" ht="15.75" hidden="1" thickBot="1" x14ac:dyDescent="0.3">
      <c r="A1237" s="249"/>
      <c r="B1237" s="252"/>
      <c r="C1237" s="36"/>
      <c r="D1237" s="36"/>
      <c r="E1237" s="37"/>
      <c r="F1237" s="46" t="s">
        <v>23</v>
      </c>
      <c r="G1237" s="35" t="str">
        <f t="shared" si="20"/>
        <v/>
      </c>
      <c r="H1237" s="39"/>
      <c r="I1237" s="35"/>
      <c r="J1237" s="34">
        <v>0</v>
      </c>
    </row>
    <row r="1238" spans="1:10" ht="15.75" hidden="1" thickBot="1" x14ac:dyDescent="0.3">
      <c r="A1238" s="249"/>
      <c r="B1238" s="252"/>
      <c r="C1238" s="40" t="s">
        <v>3884</v>
      </c>
      <c r="D1238" s="40" t="s">
        <v>291</v>
      </c>
      <c r="E1238" s="41">
        <v>1</v>
      </c>
      <c r="F1238" s="38">
        <v>34.798500000000004</v>
      </c>
      <c r="G1238" s="38">
        <f t="shared" si="20"/>
        <v>34.798500000000004</v>
      </c>
      <c r="H1238" s="43">
        <f>SUM(G1238:G1241)</f>
        <v>40.877044600000005</v>
      </c>
      <c r="I1238" s="44"/>
      <c r="J1238" s="34">
        <v>0</v>
      </c>
    </row>
    <row r="1239" spans="1:10" ht="15.75" hidden="1" thickBot="1" x14ac:dyDescent="0.3">
      <c r="A1239" s="249"/>
      <c r="B1239" s="252"/>
      <c r="C1239" s="40" t="s">
        <v>3876</v>
      </c>
      <c r="D1239" s="40" t="s">
        <v>291</v>
      </c>
      <c r="E1239" s="41">
        <v>4.8000000000000001E-2</v>
      </c>
      <c r="F1239" s="38">
        <v>3.762</v>
      </c>
      <c r="G1239" s="38">
        <f t="shared" si="20"/>
        <v>0.18057600000000001</v>
      </c>
      <c r="H1239" s="39"/>
      <c r="I1239" s="35"/>
      <c r="J1239" s="34">
        <v>0</v>
      </c>
    </row>
    <row r="1240" spans="1:10" ht="26.25" hidden="1" thickBot="1" x14ac:dyDescent="0.3">
      <c r="A1240" s="249"/>
      <c r="B1240" s="252"/>
      <c r="C1240" s="40" t="s">
        <v>4110</v>
      </c>
      <c r="D1240" s="40" t="s">
        <v>3752</v>
      </c>
      <c r="E1240" s="41">
        <v>0.17399999999999999</v>
      </c>
      <c r="F1240" s="35">
        <v>27.341000000000001</v>
      </c>
      <c r="G1240" s="38">
        <f t="shared" si="20"/>
        <v>4.7573340000000002</v>
      </c>
      <c r="H1240" s="39"/>
      <c r="I1240" s="35"/>
      <c r="J1240" s="34">
        <v>0</v>
      </c>
    </row>
    <row r="1241" spans="1:10" ht="15.75" hidden="1" thickBot="1" x14ac:dyDescent="0.3">
      <c r="A1241" s="249"/>
      <c r="B1241" s="252"/>
      <c r="C1241" s="40" t="s">
        <v>3754</v>
      </c>
      <c r="D1241" s="40" t="s">
        <v>3752</v>
      </c>
      <c r="E1241" s="41">
        <v>5.4800000000000001E-2</v>
      </c>
      <c r="F1241" s="35">
        <v>20.814499999999999</v>
      </c>
      <c r="G1241" s="38">
        <f t="shared" si="20"/>
        <v>1.1406346000000001</v>
      </c>
      <c r="H1241" s="39"/>
      <c r="I1241" s="35"/>
      <c r="J1241" s="34">
        <v>0</v>
      </c>
    </row>
    <row r="1242" spans="1:10" ht="15.75" hidden="1" thickBot="1" x14ac:dyDescent="0.3">
      <c r="A1242" s="250"/>
      <c r="B1242" s="253"/>
      <c r="C1242" s="40"/>
      <c r="D1242" s="40"/>
      <c r="E1242" s="41"/>
      <c r="F1242" s="35" t="s">
        <v>23</v>
      </c>
      <c r="G1242" s="35" t="str">
        <f t="shared" si="20"/>
        <v/>
      </c>
      <c r="H1242" s="39"/>
      <c r="I1242" s="35"/>
      <c r="J1242" s="34">
        <v>0</v>
      </c>
    </row>
    <row r="1243" spans="1:10" ht="15.75" hidden="1" thickBot="1" x14ac:dyDescent="0.3">
      <c r="A1243" s="248" t="s">
        <v>296</v>
      </c>
      <c r="B1243" s="251" t="s">
        <v>2252</v>
      </c>
      <c r="C1243" s="28"/>
      <c r="D1243" s="29" t="s">
        <v>28</v>
      </c>
      <c r="E1243" s="30"/>
      <c r="F1243" s="45" t="s">
        <v>23</v>
      </c>
      <c r="G1243" s="31" t="str">
        <f t="shared" si="20"/>
        <v/>
      </c>
      <c r="H1243" s="32"/>
      <c r="I1243" s="33"/>
      <c r="J1243" s="34">
        <v>0</v>
      </c>
    </row>
    <row r="1244" spans="1:10" ht="15.75" hidden="1" thickBot="1" x14ac:dyDescent="0.3">
      <c r="A1244" s="249"/>
      <c r="B1244" s="252"/>
      <c r="C1244" s="36"/>
      <c r="D1244" s="36"/>
      <c r="E1244" s="37"/>
      <c r="F1244" s="46" t="s">
        <v>23</v>
      </c>
      <c r="G1244" s="35" t="str">
        <f t="shared" si="20"/>
        <v/>
      </c>
      <c r="H1244" s="39"/>
      <c r="I1244" s="35"/>
      <c r="J1244" s="34">
        <v>0</v>
      </c>
    </row>
    <row r="1245" spans="1:10" ht="15.75" hidden="1" thickBot="1" x14ac:dyDescent="0.3">
      <c r="A1245" s="249"/>
      <c r="B1245" s="252"/>
      <c r="C1245" s="40" t="s">
        <v>3876</v>
      </c>
      <c r="D1245" s="40" t="s">
        <v>291</v>
      </c>
      <c r="E1245" s="41">
        <v>3.32E-2</v>
      </c>
      <c r="F1245" s="38">
        <v>3.762</v>
      </c>
      <c r="G1245" s="38">
        <f t="shared" si="20"/>
        <v>0.12489840000000001</v>
      </c>
      <c r="H1245" s="43">
        <f>SUM(G1245:G1248)</f>
        <v>48.086412199999998</v>
      </c>
      <c r="I1245" s="44"/>
      <c r="J1245" s="34">
        <v>0</v>
      </c>
    </row>
    <row r="1246" spans="1:10" ht="26.25" hidden="1" thickBot="1" x14ac:dyDescent="0.3">
      <c r="A1246" s="249"/>
      <c r="B1246" s="252"/>
      <c r="C1246" s="40" t="s">
        <v>3885</v>
      </c>
      <c r="D1246" s="40" t="s">
        <v>291</v>
      </c>
      <c r="E1246" s="41">
        <v>1</v>
      </c>
      <c r="F1246" s="38">
        <v>43.785499999999999</v>
      </c>
      <c r="G1246" s="38">
        <f t="shared" si="20"/>
        <v>43.785499999999999</v>
      </c>
      <c r="H1246" s="39"/>
      <c r="I1246" s="35"/>
      <c r="J1246" s="34">
        <v>0</v>
      </c>
    </row>
    <row r="1247" spans="1:10" ht="26.25" hidden="1" thickBot="1" x14ac:dyDescent="0.3">
      <c r="A1247" s="249"/>
      <c r="B1247" s="252"/>
      <c r="C1247" s="40" t="s">
        <v>4110</v>
      </c>
      <c r="D1247" s="40" t="s">
        <v>3752</v>
      </c>
      <c r="E1247" s="41">
        <v>0.1232</v>
      </c>
      <c r="F1247" s="35">
        <v>27.341000000000001</v>
      </c>
      <c r="G1247" s="38">
        <f t="shared" si="20"/>
        <v>3.3684112000000002</v>
      </c>
      <c r="H1247" s="39"/>
      <c r="I1247" s="35"/>
      <c r="J1247" s="34">
        <v>0</v>
      </c>
    </row>
    <row r="1248" spans="1:10" ht="15.75" hidden="1" thickBot="1" x14ac:dyDescent="0.3">
      <c r="A1248" s="249"/>
      <c r="B1248" s="252"/>
      <c r="C1248" s="40" t="s">
        <v>3754</v>
      </c>
      <c r="D1248" s="40" t="s">
        <v>3752</v>
      </c>
      <c r="E1248" s="41">
        <v>3.8800000000000001E-2</v>
      </c>
      <c r="F1248" s="35">
        <v>20.814499999999999</v>
      </c>
      <c r="G1248" s="38">
        <f t="shared" si="20"/>
        <v>0.80760259999999995</v>
      </c>
      <c r="H1248" s="39"/>
      <c r="I1248" s="35"/>
      <c r="J1248" s="34">
        <v>0</v>
      </c>
    </row>
    <row r="1249" spans="1:10" ht="15.75" hidden="1" thickBot="1" x14ac:dyDescent="0.3">
      <c r="A1249" s="250"/>
      <c r="B1249" s="253"/>
      <c r="C1249" s="40"/>
      <c r="D1249" s="40"/>
      <c r="E1249" s="41"/>
      <c r="F1249" s="35" t="s">
        <v>23</v>
      </c>
      <c r="G1249" s="35" t="str">
        <f t="shared" si="20"/>
        <v/>
      </c>
      <c r="H1249" s="39"/>
      <c r="I1249" s="35"/>
      <c r="J1249" s="34">
        <v>0</v>
      </c>
    </row>
    <row r="1250" spans="1:10" ht="15.75" hidden="1" thickBot="1" x14ac:dyDescent="0.3">
      <c r="A1250" s="248" t="s">
        <v>297</v>
      </c>
      <c r="B1250" s="251" t="s">
        <v>2253</v>
      </c>
      <c r="C1250" s="28"/>
      <c r="D1250" s="29" t="s">
        <v>28</v>
      </c>
      <c r="E1250" s="30"/>
      <c r="F1250" s="45" t="s">
        <v>23</v>
      </c>
      <c r="G1250" s="31" t="str">
        <f t="shared" si="20"/>
        <v/>
      </c>
      <c r="H1250" s="32"/>
      <c r="I1250" s="33"/>
      <c r="J1250" s="34">
        <v>0</v>
      </c>
    </row>
    <row r="1251" spans="1:10" ht="15.75" hidden="1" thickBot="1" x14ac:dyDescent="0.3">
      <c r="A1251" s="249"/>
      <c r="B1251" s="252"/>
      <c r="C1251" s="36"/>
      <c r="D1251" s="36"/>
      <c r="E1251" s="37"/>
      <c r="F1251" s="46" t="s">
        <v>23</v>
      </c>
      <c r="G1251" s="35" t="str">
        <f t="shared" si="20"/>
        <v/>
      </c>
      <c r="H1251" s="39"/>
      <c r="I1251" s="35"/>
      <c r="J1251" s="34">
        <v>0</v>
      </c>
    </row>
    <row r="1252" spans="1:10" ht="26.25" hidden="1" thickBot="1" x14ac:dyDescent="0.3">
      <c r="A1252" s="249"/>
      <c r="B1252" s="252"/>
      <c r="C1252" s="40" t="s">
        <v>3886</v>
      </c>
      <c r="D1252" s="40" t="s">
        <v>291</v>
      </c>
      <c r="E1252" s="41">
        <v>1</v>
      </c>
      <c r="F1252" s="38">
        <v>247.65549999999999</v>
      </c>
      <c r="G1252" s="35">
        <f t="shared" si="20"/>
        <v>247.65549999999999</v>
      </c>
      <c r="H1252" s="43">
        <f>SUM(G1252:G1255)</f>
        <v>293.14617684999996</v>
      </c>
      <c r="I1252" s="44"/>
      <c r="J1252" s="34">
        <v>0</v>
      </c>
    </row>
    <row r="1253" spans="1:10" ht="15.75" hidden="1" thickBot="1" x14ac:dyDescent="0.3">
      <c r="A1253" s="249"/>
      <c r="B1253" s="252"/>
      <c r="C1253" s="40" t="s">
        <v>3867</v>
      </c>
      <c r="D1253" s="40" t="s">
        <v>291</v>
      </c>
      <c r="E1253" s="41">
        <v>1.9199999999999998E-2</v>
      </c>
      <c r="F1253" s="38">
        <v>13.87</v>
      </c>
      <c r="G1253" s="35">
        <f t="shared" si="20"/>
        <v>0.26630399999999999</v>
      </c>
      <c r="H1253" s="39"/>
      <c r="I1253" s="35"/>
      <c r="J1253" s="34">
        <v>0</v>
      </c>
    </row>
    <row r="1254" spans="1:10" ht="26.25" hidden="1" thickBot="1" x14ac:dyDescent="0.3">
      <c r="A1254" s="249"/>
      <c r="B1254" s="252"/>
      <c r="C1254" s="40" t="s">
        <v>4119</v>
      </c>
      <c r="D1254" s="40" t="s">
        <v>3752</v>
      </c>
      <c r="E1254" s="41">
        <v>0.92490000000000006</v>
      </c>
      <c r="F1254" s="35">
        <v>21.555499999999999</v>
      </c>
      <c r="G1254" s="35">
        <f t="shared" si="20"/>
        <v>19.936681950000001</v>
      </c>
      <c r="H1254" s="39"/>
      <c r="I1254" s="35"/>
      <c r="J1254" s="34">
        <v>0</v>
      </c>
    </row>
    <row r="1255" spans="1:10" ht="26.25" hidden="1" thickBot="1" x14ac:dyDescent="0.3">
      <c r="A1255" s="249"/>
      <c r="B1255" s="252"/>
      <c r="C1255" s="40" t="s">
        <v>4110</v>
      </c>
      <c r="D1255" s="40" t="s">
        <v>3752</v>
      </c>
      <c r="E1255" s="41">
        <v>0.92490000000000006</v>
      </c>
      <c r="F1255" s="35">
        <v>27.341000000000001</v>
      </c>
      <c r="G1255" s="38">
        <f t="shared" si="20"/>
        <v>25.287690900000001</v>
      </c>
      <c r="H1255" s="39"/>
      <c r="I1255" s="35"/>
      <c r="J1255" s="34">
        <v>0</v>
      </c>
    </row>
    <row r="1256" spans="1:10" ht="15.75" hidden="1" thickBot="1" x14ac:dyDescent="0.3">
      <c r="A1256" s="250"/>
      <c r="B1256" s="253"/>
      <c r="C1256" s="40"/>
      <c r="D1256" s="40"/>
      <c r="E1256" s="41"/>
      <c r="F1256" s="35" t="s">
        <v>23</v>
      </c>
      <c r="G1256" s="35" t="str">
        <f t="shared" si="20"/>
        <v/>
      </c>
      <c r="H1256" s="39"/>
      <c r="I1256" s="35"/>
      <c r="J1256" s="34">
        <v>0</v>
      </c>
    </row>
    <row r="1257" spans="1:10" ht="15.75" hidden="1" thickBot="1" x14ac:dyDescent="0.3">
      <c r="A1257" s="248" t="s">
        <v>298</v>
      </c>
      <c r="B1257" s="251" t="s">
        <v>2254</v>
      </c>
      <c r="C1257" s="28"/>
      <c r="D1257" s="29" t="s">
        <v>28</v>
      </c>
      <c r="E1257" s="30"/>
      <c r="F1257" s="45" t="s">
        <v>23</v>
      </c>
      <c r="G1257" s="31" t="str">
        <f t="shared" si="20"/>
        <v/>
      </c>
      <c r="H1257" s="32"/>
      <c r="I1257" s="33"/>
      <c r="J1257" s="34">
        <v>0</v>
      </c>
    </row>
    <row r="1258" spans="1:10" ht="15.75" hidden="1" thickBot="1" x14ac:dyDescent="0.3">
      <c r="A1258" s="249"/>
      <c r="B1258" s="252"/>
      <c r="C1258" s="36"/>
      <c r="D1258" s="36"/>
      <c r="E1258" s="37"/>
      <c r="F1258" s="46" t="s">
        <v>23</v>
      </c>
      <c r="G1258" s="35" t="str">
        <f t="shared" si="20"/>
        <v/>
      </c>
      <c r="H1258" s="39"/>
      <c r="I1258" s="35"/>
      <c r="J1258" s="34">
        <v>0</v>
      </c>
    </row>
    <row r="1259" spans="1:10" ht="15.75" hidden="1" thickBot="1" x14ac:dyDescent="0.3">
      <c r="A1259" s="249"/>
      <c r="B1259" s="252"/>
      <c r="C1259" s="40" t="s">
        <v>3760</v>
      </c>
      <c r="D1259" s="40" t="s">
        <v>3752</v>
      </c>
      <c r="E1259" s="41">
        <v>0.28999999999999998</v>
      </c>
      <c r="F1259" s="35">
        <v>28.385999999999999</v>
      </c>
      <c r="G1259" s="35">
        <f t="shared" si="20"/>
        <v>8.2319399999999998</v>
      </c>
      <c r="H1259" s="43">
        <f>SUM(G1259:G1261)</f>
        <v>14.598744999999999</v>
      </c>
      <c r="I1259" s="44"/>
      <c r="J1259" s="34">
        <v>0</v>
      </c>
    </row>
    <row r="1260" spans="1:10" ht="15.75" hidden="1" thickBot="1" x14ac:dyDescent="0.3">
      <c r="A1260" s="249"/>
      <c r="B1260" s="252"/>
      <c r="C1260" s="40" t="s">
        <v>3770</v>
      </c>
      <c r="D1260" s="40" t="s">
        <v>3752</v>
      </c>
      <c r="E1260" s="41">
        <v>0.28999999999999998</v>
      </c>
      <c r="F1260" s="35">
        <v>21.954499999999999</v>
      </c>
      <c r="G1260" s="35">
        <f t="shared" si="20"/>
        <v>6.3668049999999994</v>
      </c>
      <c r="H1260" s="39"/>
      <c r="I1260" s="35"/>
      <c r="J1260" s="34">
        <v>0</v>
      </c>
    </row>
    <row r="1261" spans="1:10" ht="26.25" hidden="1" thickBot="1" x14ac:dyDescent="0.3">
      <c r="A1261" s="249"/>
      <c r="B1261" s="252"/>
      <c r="C1261" s="40" t="s">
        <v>299</v>
      </c>
      <c r="D1261" s="40" t="s">
        <v>102</v>
      </c>
      <c r="E1261" s="41">
        <v>1</v>
      </c>
      <c r="F1261" s="38" t="s">
        <v>23</v>
      </c>
      <c r="G1261" s="35" t="str">
        <f t="shared" si="20"/>
        <v/>
      </c>
      <c r="H1261" s="39"/>
      <c r="I1261" s="35"/>
      <c r="J1261" s="34">
        <v>0</v>
      </c>
    </row>
    <row r="1262" spans="1:10" ht="15.75" hidden="1" thickBot="1" x14ac:dyDescent="0.3">
      <c r="A1262" s="250"/>
      <c r="B1262" s="253"/>
      <c r="C1262" s="40"/>
      <c r="D1262" s="40"/>
      <c r="E1262" s="41"/>
      <c r="F1262" s="35" t="s">
        <v>23</v>
      </c>
      <c r="G1262" s="35" t="str">
        <f t="shared" si="20"/>
        <v/>
      </c>
      <c r="H1262" s="39"/>
      <c r="I1262" s="35"/>
      <c r="J1262" s="34">
        <v>0</v>
      </c>
    </row>
    <row r="1263" spans="1:10" ht="15.75" hidden="1" thickBot="1" x14ac:dyDescent="0.3">
      <c r="A1263" s="248" t="s">
        <v>300</v>
      </c>
      <c r="B1263" s="251" t="s">
        <v>2255</v>
      </c>
      <c r="C1263" s="28"/>
      <c r="D1263" s="29" t="s">
        <v>28</v>
      </c>
      <c r="E1263" s="30"/>
      <c r="F1263" s="45" t="s">
        <v>23</v>
      </c>
      <c r="G1263" s="31" t="str">
        <f t="shared" si="20"/>
        <v/>
      </c>
      <c r="H1263" s="32"/>
      <c r="I1263" s="33"/>
      <c r="J1263" s="34">
        <v>0</v>
      </c>
    </row>
    <row r="1264" spans="1:10" ht="15.75" hidden="1" thickBot="1" x14ac:dyDescent="0.3">
      <c r="A1264" s="249"/>
      <c r="B1264" s="252"/>
      <c r="C1264" s="36"/>
      <c r="D1264" s="36"/>
      <c r="E1264" s="37"/>
      <c r="F1264" s="46" t="s">
        <v>23</v>
      </c>
      <c r="G1264" s="35" t="str">
        <f t="shared" si="20"/>
        <v/>
      </c>
      <c r="H1264" s="39"/>
      <c r="I1264" s="35"/>
      <c r="J1264" s="34">
        <v>0</v>
      </c>
    </row>
    <row r="1265" spans="1:10" ht="26.25" hidden="1" thickBot="1" x14ac:dyDescent="0.3">
      <c r="A1265" s="249"/>
      <c r="B1265" s="252"/>
      <c r="C1265" s="40" t="s">
        <v>301</v>
      </c>
      <c r="D1265" s="53" t="s">
        <v>102</v>
      </c>
      <c r="E1265" s="41">
        <v>1</v>
      </c>
      <c r="F1265" s="38" t="s">
        <v>23</v>
      </c>
      <c r="G1265" s="38" t="str">
        <f t="shared" si="20"/>
        <v/>
      </c>
      <c r="H1265" s="43">
        <f>SUM(G1265:G1268)</f>
        <v>52.744</v>
      </c>
      <c r="I1265" s="44"/>
      <c r="J1265" s="34">
        <v>0</v>
      </c>
    </row>
    <row r="1266" spans="1:10" ht="39" hidden="1" thickBot="1" x14ac:dyDescent="0.3">
      <c r="A1266" s="249"/>
      <c r="B1266" s="252"/>
      <c r="C1266" s="40" t="s">
        <v>3887</v>
      </c>
      <c r="D1266" s="40" t="s">
        <v>291</v>
      </c>
      <c r="E1266" s="41">
        <v>6</v>
      </c>
      <c r="F1266" s="38">
        <v>0.64600000000000002</v>
      </c>
      <c r="G1266" s="38">
        <f t="shared" si="20"/>
        <v>3.8760000000000003</v>
      </c>
      <c r="H1266" s="39"/>
      <c r="I1266" s="35"/>
      <c r="J1266" s="34">
        <v>0</v>
      </c>
    </row>
    <row r="1267" spans="1:10" ht="15.75" hidden="1" thickBot="1" x14ac:dyDescent="0.3">
      <c r="A1267" s="249"/>
      <c r="B1267" s="252"/>
      <c r="C1267" s="40" t="s">
        <v>3757</v>
      </c>
      <c r="D1267" s="40" t="s">
        <v>3752</v>
      </c>
      <c r="E1267" s="41">
        <v>1</v>
      </c>
      <c r="F1267" s="35">
        <v>28.0535</v>
      </c>
      <c r="G1267" s="38">
        <f t="shared" si="20"/>
        <v>28.0535</v>
      </c>
      <c r="H1267" s="39"/>
      <c r="I1267" s="35"/>
      <c r="J1267" s="34">
        <v>0</v>
      </c>
    </row>
    <row r="1268" spans="1:10" ht="15.75" hidden="1" thickBot="1" x14ac:dyDescent="0.3">
      <c r="A1268" s="249"/>
      <c r="B1268" s="252"/>
      <c r="C1268" s="40" t="s">
        <v>3754</v>
      </c>
      <c r="D1268" s="40" t="s">
        <v>3752</v>
      </c>
      <c r="E1268" s="41">
        <v>1</v>
      </c>
      <c r="F1268" s="35">
        <v>20.814499999999999</v>
      </c>
      <c r="G1268" s="38">
        <f t="shared" si="20"/>
        <v>20.814499999999999</v>
      </c>
      <c r="H1268" s="39"/>
      <c r="I1268" s="35"/>
      <c r="J1268" s="34">
        <v>0</v>
      </c>
    </row>
    <row r="1269" spans="1:10" ht="15.75" hidden="1" thickBot="1" x14ac:dyDescent="0.3">
      <c r="A1269" s="250"/>
      <c r="B1269" s="253"/>
      <c r="C1269" s="40"/>
      <c r="D1269" s="40"/>
      <c r="E1269" s="41"/>
      <c r="F1269" s="35" t="s">
        <v>23</v>
      </c>
      <c r="G1269" s="35" t="str">
        <f t="shared" si="20"/>
        <v/>
      </c>
      <c r="H1269" s="39"/>
      <c r="I1269" s="35"/>
      <c r="J1269" s="34">
        <v>0</v>
      </c>
    </row>
    <row r="1270" spans="1:10" ht="15.75" hidden="1" thickBot="1" x14ac:dyDescent="0.3">
      <c r="A1270" s="248" t="s">
        <v>302</v>
      </c>
      <c r="B1270" s="251" t="s">
        <v>2256</v>
      </c>
      <c r="C1270" s="28"/>
      <c r="D1270" s="29" t="s">
        <v>28</v>
      </c>
      <c r="E1270" s="30"/>
      <c r="F1270" s="45" t="s">
        <v>23</v>
      </c>
      <c r="G1270" s="31" t="str">
        <f t="shared" si="20"/>
        <v/>
      </c>
      <c r="H1270" s="32"/>
      <c r="I1270" s="33"/>
      <c r="J1270" s="34">
        <v>0</v>
      </c>
    </row>
    <row r="1271" spans="1:10" ht="15.75" hidden="1" thickBot="1" x14ac:dyDescent="0.3">
      <c r="A1271" s="249"/>
      <c r="B1271" s="252"/>
      <c r="C1271" s="36"/>
      <c r="D1271" s="36"/>
      <c r="E1271" s="37"/>
      <c r="F1271" s="46" t="s">
        <v>23</v>
      </c>
      <c r="G1271" s="35" t="str">
        <f t="shared" si="20"/>
        <v/>
      </c>
      <c r="H1271" s="39"/>
      <c r="I1271" s="35"/>
      <c r="J1271" s="34">
        <v>0</v>
      </c>
    </row>
    <row r="1272" spans="1:10" ht="26.25" hidden="1" thickBot="1" x14ac:dyDescent="0.3">
      <c r="A1272" s="249"/>
      <c r="B1272" s="252"/>
      <c r="C1272" s="40" t="s">
        <v>303</v>
      </c>
      <c r="D1272" s="53" t="s">
        <v>102</v>
      </c>
      <c r="E1272" s="41">
        <v>1</v>
      </c>
      <c r="F1272" s="38" t="s">
        <v>23</v>
      </c>
      <c r="G1272" s="38" t="str">
        <f t="shared" si="20"/>
        <v/>
      </c>
      <c r="H1272" s="43">
        <f>SUM(G1272:G1275)</f>
        <v>52.744</v>
      </c>
      <c r="I1272" s="44"/>
      <c r="J1272" s="34">
        <v>0</v>
      </c>
    </row>
    <row r="1273" spans="1:10" ht="39" hidden="1" thickBot="1" x14ac:dyDescent="0.3">
      <c r="A1273" s="249"/>
      <c r="B1273" s="252"/>
      <c r="C1273" s="40" t="s">
        <v>3887</v>
      </c>
      <c r="D1273" s="40" t="s">
        <v>291</v>
      </c>
      <c r="E1273" s="41">
        <v>6</v>
      </c>
      <c r="F1273" s="38">
        <v>0.64600000000000002</v>
      </c>
      <c r="G1273" s="38">
        <f t="shared" si="20"/>
        <v>3.8760000000000003</v>
      </c>
      <c r="H1273" s="39"/>
      <c r="I1273" s="35"/>
      <c r="J1273" s="34">
        <v>0</v>
      </c>
    </row>
    <row r="1274" spans="1:10" ht="15.75" hidden="1" thickBot="1" x14ac:dyDescent="0.3">
      <c r="A1274" s="249"/>
      <c r="B1274" s="252"/>
      <c r="C1274" s="40" t="s">
        <v>3757</v>
      </c>
      <c r="D1274" s="40" t="s">
        <v>3752</v>
      </c>
      <c r="E1274" s="41">
        <v>1</v>
      </c>
      <c r="F1274" s="35">
        <v>28.0535</v>
      </c>
      <c r="G1274" s="38">
        <f t="shared" si="20"/>
        <v>28.0535</v>
      </c>
      <c r="H1274" s="39"/>
      <c r="I1274" s="35"/>
      <c r="J1274" s="34">
        <v>0</v>
      </c>
    </row>
    <row r="1275" spans="1:10" ht="15.75" hidden="1" thickBot="1" x14ac:dyDescent="0.3">
      <c r="A1275" s="249"/>
      <c r="B1275" s="252"/>
      <c r="C1275" s="40" t="s">
        <v>3754</v>
      </c>
      <c r="D1275" s="40" t="s">
        <v>3752</v>
      </c>
      <c r="E1275" s="41">
        <v>1</v>
      </c>
      <c r="F1275" s="35">
        <v>20.814499999999999</v>
      </c>
      <c r="G1275" s="38">
        <f t="shared" si="20"/>
        <v>20.814499999999999</v>
      </c>
      <c r="H1275" s="39"/>
      <c r="I1275" s="35"/>
      <c r="J1275" s="34">
        <v>0</v>
      </c>
    </row>
    <row r="1276" spans="1:10" ht="15.75" hidden="1" thickBot="1" x14ac:dyDescent="0.3">
      <c r="A1276" s="250"/>
      <c r="B1276" s="253"/>
      <c r="C1276" s="40"/>
      <c r="D1276" s="40"/>
      <c r="E1276" s="41"/>
      <c r="F1276" s="35" t="s">
        <v>23</v>
      </c>
      <c r="G1276" s="35" t="str">
        <f t="shared" si="20"/>
        <v/>
      </c>
      <c r="H1276" s="39"/>
      <c r="I1276" s="35"/>
      <c r="J1276" s="34">
        <v>0</v>
      </c>
    </row>
    <row r="1277" spans="1:10" ht="15.75" hidden="1" thickBot="1" x14ac:dyDescent="0.3">
      <c r="A1277" s="248" t="s">
        <v>304</v>
      </c>
      <c r="B1277" s="251" t="s">
        <v>2257</v>
      </c>
      <c r="C1277" s="28"/>
      <c r="D1277" s="29" t="s">
        <v>28</v>
      </c>
      <c r="E1277" s="30"/>
      <c r="F1277" s="45" t="s">
        <v>23</v>
      </c>
      <c r="G1277" s="31" t="str">
        <f t="shared" si="20"/>
        <v/>
      </c>
      <c r="H1277" s="32"/>
      <c r="I1277" s="33"/>
      <c r="J1277" s="34">
        <v>0</v>
      </c>
    </row>
    <row r="1278" spans="1:10" ht="15.75" hidden="1" thickBot="1" x14ac:dyDescent="0.3">
      <c r="A1278" s="249"/>
      <c r="B1278" s="252"/>
      <c r="C1278" s="36"/>
      <c r="D1278" s="36"/>
      <c r="E1278" s="37"/>
      <c r="F1278" s="46" t="s">
        <v>23</v>
      </c>
      <c r="G1278" s="35" t="str">
        <f t="shared" si="20"/>
        <v/>
      </c>
      <c r="H1278" s="39"/>
      <c r="I1278" s="35"/>
      <c r="J1278" s="34">
        <v>0</v>
      </c>
    </row>
    <row r="1279" spans="1:10" ht="26.25" hidden="1" thickBot="1" x14ac:dyDescent="0.3">
      <c r="A1279" s="249"/>
      <c r="B1279" s="252"/>
      <c r="C1279" s="40" t="s">
        <v>305</v>
      </c>
      <c r="D1279" s="53" t="s">
        <v>102</v>
      </c>
      <c r="E1279" s="41">
        <v>1</v>
      </c>
      <c r="F1279" s="38" t="s">
        <v>23</v>
      </c>
      <c r="G1279" s="38" t="str">
        <f t="shared" si="20"/>
        <v/>
      </c>
      <c r="H1279" s="43">
        <f>SUM(G1279:G1282)</f>
        <v>52.744</v>
      </c>
      <c r="I1279" s="44"/>
      <c r="J1279" s="34">
        <v>0</v>
      </c>
    </row>
    <row r="1280" spans="1:10" ht="39" hidden="1" thickBot="1" x14ac:dyDescent="0.3">
      <c r="A1280" s="249"/>
      <c r="B1280" s="252"/>
      <c r="C1280" s="40" t="s">
        <v>3887</v>
      </c>
      <c r="D1280" s="40" t="s">
        <v>291</v>
      </c>
      <c r="E1280" s="41">
        <v>6</v>
      </c>
      <c r="F1280" s="38">
        <v>0.64600000000000002</v>
      </c>
      <c r="G1280" s="38">
        <f t="shared" si="20"/>
        <v>3.8760000000000003</v>
      </c>
      <c r="H1280" s="39"/>
      <c r="I1280" s="35"/>
      <c r="J1280" s="34">
        <v>0</v>
      </c>
    </row>
    <row r="1281" spans="1:10" ht="15.75" hidden="1" thickBot="1" x14ac:dyDescent="0.3">
      <c r="A1281" s="249"/>
      <c r="B1281" s="252"/>
      <c r="C1281" s="40" t="s">
        <v>3757</v>
      </c>
      <c r="D1281" s="40" t="s">
        <v>3752</v>
      </c>
      <c r="E1281" s="41">
        <v>1</v>
      </c>
      <c r="F1281" s="35">
        <v>28.0535</v>
      </c>
      <c r="G1281" s="38">
        <f t="shared" si="20"/>
        <v>28.0535</v>
      </c>
      <c r="H1281" s="39"/>
      <c r="I1281" s="35"/>
      <c r="J1281" s="34">
        <v>0</v>
      </c>
    </row>
    <row r="1282" spans="1:10" ht="15.75" hidden="1" thickBot="1" x14ac:dyDescent="0.3">
      <c r="A1282" s="249"/>
      <c r="B1282" s="252"/>
      <c r="C1282" s="40" t="s">
        <v>3754</v>
      </c>
      <c r="D1282" s="40" t="s">
        <v>3752</v>
      </c>
      <c r="E1282" s="41">
        <v>1</v>
      </c>
      <c r="F1282" s="35">
        <v>20.814499999999999</v>
      </c>
      <c r="G1282" s="38">
        <f t="shared" si="20"/>
        <v>20.814499999999999</v>
      </c>
      <c r="H1282" s="39"/>
      <c r="I1282" s="35"/>
      <c r="J1282" s="34">
        <v>0</v>
      </c>
    </row>
    <row r="1283" spans="1:10" ht="15.75" hidden="1" thickBot="1" x14ac:dyDescent="0.3">
      <c r="A1283" s="250"/>
      <c r="B1283" s="253"/>
      <c r="C1283" s="40"/>
      <c r="D1283" s="40"/>
      <c r="E1283" s="41"/>
      <c r="F1283" s="35" t="s">
        <v>23</v>
      </c>
      <c r="G1283" s="35" t="str">
        <f t="shared" si="20"/>
        <v/>
      </c>
      <c r="H1283" s="39"/>
      <c r="I1283" s="35"/>
      <c r="J1283" s="34">
        <v>0</v>
      </c>
    </row>
    <row r="1284" spans="1:10" ht="15.75" hidden="1" thickBot="1" x14ac:dyDescent="0.3">
      <c r="A1284" s="248" t="s">
        <v>306</v>
      </c>
      <c r="B1284" s="251" t="s">
        <v>2258</v>
      </c>
      <c r="C1284" s="28"/>
      <c r="D1284" s="29" t="s">
        <v>28</v>
      </c>
      <c r="E1284" s="30"/>
      <c r="F1284" s="45" t="s">
        <v>23</v>
      </c>
      <c r="G1284" s="31" t="str">
        <f t="shared" si="20"/>
        <v/>
      </c>
      <c r="H1284" s="32"/>
      <c r="I1284" s="33"/>
      <c r="J1284" s="34">
        <v>0</v>
      </c>
    </row>
    <row r="1285" spans="1:10" ht="15.75" hidden="1" thickBot="1" x14ac:dyDescent="0.3">
      <c r="A1285" s="249"/>
      <c r="B1285" s="252"/>
      <c r="C1285" s="36"/>
      <c r="D1285" s="36"/>
      <c r="E1285" s="37"/>
      <c r="F1285" s="46" t="s">
        <v>23</v>
      </c>
      <c r="G1285" s="35" t="str">
        <f t="shared" si="20"/>
        <v/>
      </c>
      <c r="H1285" s="39"/>
      <c r="I1285" s="35"/>
      <c r="J1285" s="34">
        <v>0</v>
      </c>
    </row>
    <row r="1286" spans="1:10" ht="15.75" hidden="1" thickBot="1" x14ac:dyDescent="0.3">
      <c r="A1286" s="249"/>
      <c r="B1286" s="252"/>
      <c r="C1286" s="40" t="s">
        <v>3757</v>
      </c>
      <c r="D1286" s="40" t="s">
        <v>3752</v>
      </c>
      <c r="E1286" s="41">
        <v>1</v>
      </c>
      <c r="F1286" s="35">
        <v>28.0535</v>
      </c>
      <c r="G1286" s="38">
        <f t="shared" si="20"/>
        <v>28.0535</v>
      </c>
      <c r="H1286" s="43">
        <f>SUM(G1286:G1289)</f>
        <v>52.743999999999993</v>
      </c>
      <c r="I1286" s="44"/>
      <c r="J1286" s="34">
        <v>0</v>
      </c>
    </row>
    <row r="1287" spans="1:10" ht="15.75" hidden="1" thickBot="1" x14ac:dyDescent="0.3">
      <c r="A1287" s="249"/>
      <c r="B1287" s="252"/>
      <c r="C1287" s="40" t="s">
        <v>3754</v>
      </c>
      <c r="D1287" s="40" t="s">
        <v>3752</v>
      </c>
      <c r="E1287" s="41">
        <v>1</v>
      </c>
      <c r="F1287" s="35">
        <v>20.814499999999999</v>
      </c>
      <c r="G1287" s="38">
        <f t="shared" si="20"/>
        <v>20.814499999999999</v>
      </c>
      <c r="H1287" s="39"/>
      <c r="I1287" s="35"/>
      <c r="J1287" s="34">
        <v>0</v>
      </c>
    </row>
    <row r="1288" spans="1:10" ht="26.25" hidden="1" thickBot="1" x14ac:dyDescent="0.3">
      <c r="A1288" s="249"/>
      <c r="B1288" s="252"/>
      <c r="C1288" s="40" t="s">
        <v>307</v>
      </c>
      <c r="D1288" s="40" t="s">
        <v>28</v>
      </c>
      <c r="E1288" s="41">
        <v>1</v>
      </c>
      <c r="F1288" s="38" t="s">
        <v>23</v>
      </c>
      <c r="G1288" s="35" t="str">
        <f t="shared" si="20"/>
        <v/>
      </c>
      <c r="H1288" s="39"/>
      <c r="I1288" s="35"/>
      <c r="J1288" s="34">
        <v>0</v>
      </c>
    </row>
    <row r="1289" spans="1:10" ht="39" hidden="1" thickBot="1" x14ac:dyDescent="0.3">
      <c r="A1289" s="249"/>
      <c r="B1289" s="252"/>
      <c r="C1289" s="40" t="s">
        <v>3887</v>
      </c>
      <c r="D1289" s="40" t="s">
        <v>291</v>
      </c>
      <c r="E1289" s="41">
        <v>6</v>
      </c>
      <c r="F1289" s="38">
        <v>0.64600000000000002</v>
      </c>
      <c r="G1289" s="38">
        <f t="shared" si="20"/>
        <v>3.8760000000000003</v>
      </c>
      <c r="H1289" s="39"/>
      <c r="I1289" s="35"/>
      <c r="J1289" s="34">
        <v>0</v>
      </c>
    </row>
    <row r="1290" spans="1:10" ht="15.75" hidden="1" thickBot="1" x14ac:dyDescent="0.3">
      <c r="A1290" s="250"/>
      <c r="B1290" s="253"/>
      <c r="C1290" s="40"/>
      <c r="D1290" s="40"/>
      <c r="E1290" s="41"/>
      <c r="F1290" s="35" t="s">
        <v>23</v>
      </c>
      <c r="G1290" s="35" t="str">
        <f t="shared" si="20"/>
        <v/>
      </c>
      <c r="H1290" s="39"/>
      <c r="I1290" s="35"/>
      <c r="J1290" s="34">
        <v>0</v>
      </c>
    </row>
    <row r="1291" spans="1:10" ht="15.75" hidden="1" thickBot="1" x14ac:dyDescent="0.3">
      <c r="A1291" s="248" t="s">
        <v>308</v>
      </c>
      <c r="B1291" s="251" t="s">
        <v>2259</v>
      </c>
      <c r="C1291" s="28"/>
      <c r="D1291" s="29" t="s">
        <v>28</v>
      </c>
      <c r="E1291" s="30"/>
      <c r="F1291" s="45" t="s">
        <v>23</v>
      </c>
      <c r="G1291" s="31" t="str">
        <f t="shared" si="20"/>
        <v/>
      </c>
      <c r="H1291" s="32"/>
      <c r="I1291" s="33"/>
      <c r="J1291" s="34">
        <v>0</v>
      </c>
    </row>
    <row r="1292" spans="1:10" ht="15.75" hidden="1" thickBot="1" x14ac:dyDescent="0.3">
      <c r="A1292" s="249"/>
      <c r="B1292" s="252"/>
      <c r="C1292" s="36"/>
      <c r="D1292" s="36"/>
      <c r="E1292" s="37"/>
      <c r="F1292" s="46" t="s">
        <v>23</v>
      </c>
      <c r="G1292" s="35" t="str">
        <f t="shared" si="20"/>
        <v/>
      </c>
      <c r="H1292" s="39"/>
      <c r="I1292" s="35"/>
      <c r="J1292" s="34">
        <v>0</v>
      </c>
    </row>
    <row r="1293" spans="1:10" ht="26.25" hidden="1" thickBot="1" x14ac:dyDescent="0.3">
      <c r="A1293" s="249"/>
      <c r="B1293" s="252"/>
      <c r="C1293" s="40" t="s">
        <v>309</v>
      </c>
      <c r="D1293" s="53" t="s">
        <v>102</v>
      </c>
      <c r="E1293" s="41">
        <v>1</v>
      </c>
      <c r="F1293" s="38" t="s">
        <v>23</v>
      </c>
      <c r="G1293" s="38" t="str">
        <f t="shared" si="20"/>
        <v/>
      </c>
      <c r="H1293" s="43">
        <f>SUM(G1293:G1297)</f>
        <v>50.628956099999996</v>
      </c>
      <c r="I1293" s="44"/>
      <c r="J1293" s="34">
        <v>0</v>
      </c>
    </row>
    <row r="1294" spans="1:10" ht="39" hidden="1" thickBot="1" x14ac:dyDescent="0.3">
      <c r="A1294" s="249"/>
      <c r="B1294" s="252"/>
      <c r="C1294" s="40" t="s">
        <v>3875</v>
      </c>
      <c r="D1294" s="40" t="s">
        <v>291</v>
      </c>
      <c r="E1294" s="41">
        <v>2</v>
      </c>
      <c r="F1294" s="38">
        <v>16.900499999999997</v>
      </c>
      <c r="G1294" s="38">
        <f t="shared" si="20"/>
        <v>33.800999999999995</v>
      </c>
      <c r="H1294" s="39"/>
      <c r="I1294" s="35"/>
      <c r="J1294" s="34">
        <v>0</v>
      </c>
    </row>
    <row r="1295" spans="1:10" ht="15.75" hidden="1" thickBot="1" x14ac:dyDescent="0.3">
      <c r="A1295" s="249"/>
      <c r="B1295" s="252"/>
      <c r="C1295" s="40" t="s">
        <v>4161</v>
      </c>
      <c r="D1295" s="40" t="s">
        <v>1035</v>
      </c>
      <c r="E1295" s="41">
        <v>3.04E-2</v>
      </c>
      <c r="F1295" s="38">
        <v>76.36099999999999</v>
      </c>
      <c r="G1295" s="38">
        <f t="shared" si="20"/>
        <v>2.3213743999999998</v>
      </c>
      <c r="H1295" s="39"/>
      <c r="I1295" s="35"/>
      <c r="J1295" s="34">
        <v>0</v>
      </c>
    </row>
    <row r="1296" spans="1:10" ht="26.25" hidden="1" thickBot="1" x14ac:dyDescent="0.3">
      <c r="A1296" s="249"/>
      <c r="B1296" s="252"/>
      <c r="C1296" s="40" t="s">
        <v>4110</v>
      </c>
      <c r="D1296" s="40" t="s">
        <v>3752</v>
      </c>
      <c r="E1296" s="41">
        <v>0.38700000000000001</v>
      </c>
      <c r="F1296" s="35">
        <v>27.341000000000001</v>
      </c>
      <c r="G1296" s="38">
        <f t="shared" si="20"/>
        <v>10.580967000000001</v>
      </c>
      <c r="H1296" s="39"/>
      <c r="I1296" s="35"/>
      <c r="J1296" s="34">
        <v>0</v>
      </c>
    </row>
    <row r="1297" spans="1:10" ht="15.75" hidden="1" thickBot="1" x14ac:dyDescent="0.3">
      <c r="A1297" s="249"/>
      <c r="B1297" s="252"/>
      <c r="C1297" s="40" t="s">
        <v>3754</v>
      </c>
      <c r="D1297" s="40" t="s">
        <v>3752</v>
      </c>
      <c r="E1297" s="41">
        <v>0.18859999999999999</v>
      </c>
      <c r="F1297" s="35">
        <v>20.814499999999999</v>
      </c>
      <c r="G1297" s="38">
        <f t="shared" si="20"/>
        <v>3.9256146999999997</v>
      </c>
      <c r="H1297" s="39"/>
      <c r="I1297" s="35"/>
      <c r="J1297" s="34">
        <v>0</v>
      </c>
    </row>
    <row r="1298" spans="1:10" ht="15.75" hidden="1" thickBot="1" x14ac:dyDescent="0.3">
      <c r="A1298" s="250"/>
      <c r="B1298" s="253"/>
      <c r="C1298" s="40"/>
      <c r="D1298" s="40"/>
      <c r="E1298" s="41"/>
      <c r="F1298" s="35" t="s">
        <v>23</v>
      </c>
      <c r="G1298" s="35" t="str">
        <f t="shared" ref="G1298:G1361" si="21">IF(ISNUMBER(F1298),E1298*F1298,"")</f>
        <v/>
      </c>
      <c r="H1298" s="39"/>
      <c r="I1298" s="35"/>
      <c r="J1298" s="34">
        <v>0</v>
      </c>
    </row>
    <row r="1299" spans="1:10" ht="15.75" hidden="1" thickBot="1" x14ac:dyDescent="0.3">
      <c r="A1299" s="248" t="s">
        <v>310</v>
      </c>
      <c r="B1299" s="251" t="s">
        <v>2260</v>
      </c>
      <c r="C1299" s="28"/>
      <c r="D1299" s="29" t="s">
        <v>28</v>
      </c>
      <c r="E1299" s="30"/>
      <c r="F1299" s="45" t="s">
        <v>23</v>
      </c>
      <c r="G1299" s="31" t="str">
        <f t="shared" si="21"/>
        <v/>
      </c>
      <c r="H1299" s="32"/>
      <c r="I1299" s="33"/>
      <c r="J1299" s="34">
        <v>0</v>
      </c>
    </row>
    <row r="1300" spans="1:10" ht="15.75" hidden="1" thickBot="1" x14ac:dyDescent="0.3">
      <c r="A1300" s="249"/>
      <c r="B1300" s="252"/>
      <c r="C1300" s="36"/>
      <c r="D1300" s="36"/>
      <c r="E1300" s="37"/>
      <c r="F1300" s="46" t="s">
        <v>23</v>
      </c>
      <c r="G1300" s="35" t="str">
        <f t="shared" si="21"/>
        <v/>
      </c>
      <c r="H1300" s="39"/>
      <c r="I1300" s="35"/>
      <c r="J1300" s="34">
        <v>0</v>
      </c>
    </row>
    <row r="1301" spans="1:10" ht="26.25" hidden="1" thickBot="1" x14ac:dyDescent="0.3">
      <c r="A1301" s="249"/>
      <c r="B1301" s="252"/>
      <c r="C1301" s="40" t="s">
        <v>4110</v>
      </c>
      <c r="D1301" s="40" t="s">
        <v>3752</v>
      </c>
      <c r="E1301" s="41">
        <v>1.4666999999999999</v>
      </c>
      <c r="F1301" s="35">
        <v>27.341000000000001</v>
      </c>
      <c r="G1301" s="38">
        <f t="shared" si="21"/>
        <v>40.101044699999996</v>
      </c>
      <c r="H1301" s="43">
        <f>SUM(G1301:G1306)</f>
        <v>161.68171694999998</v>
      </c>
      <c r="I1301" s="44"/>
      <c r="J1301" s="34">
        <v>0</v>
      </c>
    </row>
    <row r="1302" spans="1:10" ht="15.75" hidden="1" thickBot="1" x14ac:dyDescent="0.3">
      <c r="A1302" s="249"/>
      <c r="B1302" s="252"/>
      <c r="C1302" s="40" t="s">
        <v>3754</v>
      </c>
      <c r="D1302" s="40" t="s">
        <v>3752</v>
      </c>
      <c r="E1302" s="41">
        <v>0.65169999999999995</v>
      </c>
      <c r="F1302" s="35">
        <v>20.814499999999999</v>
      </c>
      <c r="G1302" s="38">
        <f t="shared" si="21"/>
        <v>13.564809649999997</v>
      </c>
      <c r="H1302" s="39"/>
      <c r="I1302" s="35"/>
      <c r="J1302" s="34">
        <v>0</v>
      </c>
    </row>
    <row r="1303" spans="1:10" ht="26.25" hidden="1" thickBot="1" x14ac:dyDescent="0.3">
      <c r="A1303" s="249"/>
      <c r="B1303" s="252"/>
      <c r="C1303" s="40" t="s">
        <v>309</v>
      </c>
      <c r="D1303" s="53" t="s">
        <v>102</v>
      </c>
      <c r="E1303" s="41">
        <v>1</v>
      </c>
      <c r="F1303" s="38" t="s">
        <v>23</v>
      </c>
      <c r="G1303" s="38" t="str">
        <f t="shared" si="21"/>
        <v/>
      </c>
      <c r="H1303" s="39"/>
      <c r="I1303" s="35"/>
      <c r="J1303" s="34">
        <v>0</v>
      </c>
    </row>
    <row r="1304" spans="1:10" ht="39" hidden="1" thickBot="1" x14ac:dyDescent="0.3">
      <c r="A1304" s="249"/>
      <c r="B1304" s="252"/>
      <c r="C1304" s="40" t="s">
        <v>3875</v>
      </c>
      <c r="D1304" s="40" t="s">
        <v>291</v>
      </c>
      <c r="E1304" s="41">
        <v>6</v>
      </c>
      <c r="F1304" s="38">
        <v>16.900499999999997</v>
      </c>
      <c r="G1304" s="38">
        <f t="shared" si="21"/>
        <v>101.40299999999999</v>
      </c>
      <c r="H1304" s="39"/>
      <c r="I1304" s="35"/>
      <c r="J1304" s="34">
        <v>0</v>
      </c>
    </row>
    <row r="1305" spans="1:10" ht="15.75" hidden="1" thickBot="1" x14ac:dyDescent="0.3">
      <c r="A1305" s="249"/>
      <c r="B1305" s="252"/>
      <c r="C1305" s="40" t="s">
        <v>4161</v>
      </c>
      <c r="D1305" s="40" t="s">
        <v>1035</v>
      </c>
      <c r="E1305" s="41">
        <v>8.6599999999999996E-2</v>
      </c>
      <c r="F1305" s="38">
        <v>76.36099999999999</v>
      </c>
      <c r="G1305" s="38">
        <f t="shared" si="21"/>
        <v>6.6128625999999988</v>
      </c>
      <c r="H1305" s="39"/>
      <c r="I1305" s="35"/>
      <c r="J1305" s="34">
        <v>0</v>
      </c>
    </row>
    <row r="1306" spans="1:10" ht="26.25" hidden="1" thickBot="1" x14ac:dyDescent="0.3">
      <c r="A1306" s="249"/>
      <c r="B1306" s="252"/>
      <c r="C1306" s="40" t="s">
        <v>311</v>
      </c>
      <c r="D1306" s="40" t="s">
        <v>28</v>
      </c>
      <c r="E1306" s="41">
        <v>1</v>
      </c>
      <c r="F1306" s="38" t="s">
        <v>23</v>
      </c>
      <c r="G1306" s="35" t="str">
        <f t="shared" si="21"/>
        <v/>
      </c>
      <c r="H1306" s="39"/>
      <c r="I1306" s="35"/>
      <c r="J1306" s="34">
        <v>0</v>
      </c>
    </row>
    <row r="1307" spans="1:10" ht="15.75" hidden="1" thickBot="1" x14ac:dyDescent="0.3">
      <c r="A1307" s="249"/>
      <c r="B1307" s="252"/>
      <c r="C1307" s="40"/>
      <c r="D1307" s="40"/>
      <c r="E1307" s="41"/>
      <c r="F1307" s="38" t="s">
        <v>23</v>
      </c>
      <c r="G1307" s="35" t="str">
        <f t="shared" si="21"/>
        <v/>
      </c>
      <c r="H1307" s="39"/>
      <c r="I1307" s="35"/>
      <c r="J1307" s="34">
        <v>0</v>
      </c>
    </row>
    <row r="1308" spans="1:10" ht="15.75" hidden="1" thickBot="1" x14ac:dyDescent="0.3">
      <c r="A1308" s="248" t="s">
        <v>312</v>
      </c>
      <c r="B1308" s="251" t="s">
        <v>2261</v>
      </c>
      <c r="C1308" s="28"/>
      <c r="D1308" s="29" t="s">
        <v>28</v>
      </c>
      <c r="E1308" s="30"/>
      <c r="F1308" s="45" t="s">
        <v>23</v>
      </c>
      <c r="G1308" s="31" t="str">
        <f t="shared" si="21"/>
        <v/>
      </c>
      <c r="H1308" s="32"/>
      <c r="I1308" s="33"/>
      <c r="J1308" s="34">
        <v>0</v>
      </c>
    </row>
    <row r="1309" spans="1:10" ht="15.75" hidden="1" thickBot="1" x14ac:dyDescent="0.3">
      <c r="A1309" s="249"/>
      <c r="B1309" s="252"/>
      <c r="C1309" s="36"/>
      <c r="D1309" s="36"/>
      <c r="E1309" s="37"/>
      <c r="F1309" s="46" t="s">
        <v>23</v>
      </c>
      <c r="G1309" s="35" t="str">
        <f t="shared" si="21"/>
        <v/>
      </c>
      <c r="H1309" s="39"/>
      <c r="I1309" s="35"/>
      <c r="J1309" s="34">
        <v>0</v>
      </c>
    </row>
    <row r="1310" spans="1:10" ht="15.75" hidden="1" thickBot="1" x14ac:dyDescent="0.3">
      <c r="A1310" s="249"/>
      <c r="B1310" s="252"/>
      <c r="C1310" s="40" t="s">
        <v>313</v>
      </c>
      <c r="D1310" s="53" t="s">
        <v>102</v>
      </c>
      <c r="E1310" s="41">
        <v>1</v>
      </c>
      <c r="F1310" s="38" t="s">
        <v>23</v>
      </c>
      <c r="G1310" s="38" t="str">
        <f t="shared" si="21"/>
        <v/>
      </c>
      <c r="H1310" s="43">
        <f>SUM(G1310:G1312)</f>
        <v>10.7183484</v>
      </c>
      <c r="I1310" s="44"/>
      <c r="J1310" s="34">
        <v>0</v>
      </c>
    </row>
    <row r="1311" spans="1:10" ht="26.25" hidden="1" thickBot="1" x14ac:dyDescent="0.3">
      <c r="A1311" s="249"/>
      <c r="B1311" s="252"/>
      <c r="C1311" s="40" t="s">
        <v>4110</v>
      </c>
      <c r="D1311" s="40" t="s">
        <v>3752</v>
      </c>
      <c r="E1311" s="41">
        <v>0.31619999999999998</v>
      </c>
      <c r="F1311" s="35">
        <v>27.341000000000001</v>
      </c>
      <c r="G1311" s="38">
        <f t="shared" si="21"/>
        <v>8.6452241999999995</v>
      </c>
      <c r="H1311" s="39"/>
      <c r="I1311" s="35"/>
      <c r="J1311" s="34">
        <v>0</v>
      </c>
    </row>
    <row r="1312" spans="1:10" ht="15.75" hidden="1" thickBot="1" x14ac:dyDescent="0.3">
      <c r="A1312" s="249"/>
      <c r="B1312" s="252"/>
      <c r="C1312" s="40" t="s">
        <v>3754</v>
      </c>
      <c r="D1312" s="40" t="s">
        <v>3752</v>
      </c>
      <c r="E1312" s="41">
        <v>9.9599999999999994E-2</v>
      </c>
      <c r="F1312" s="35">
        <v>20.814499999999999</v>
      </c>
      <c r="G1312" s="38">
        <f t="shared" si="21"/>
        <v>2.0731241999999996</v>
      </c>
      <c r="H1312" s="39"/>
      <c r="I1312" s="35"/>
      <c r="J1312" s="34">
        <v>0</v>
      </c>
    </row>
    <row r="1313" spans="1:10" ht="15.75" hidden="1" thickBot="1" x14ac:dyDescent="0.3">
      <c r="A1313" s="250"/>
      <c r="B1313" s="253"/>
      <c r="C1313" s="40"/>
      <c r="D1313" s="40"/>
      <c r="E1313" s="41"/>
      <c r="F1313" s="35" t="s">
        <v>23</v>
      </c>
      <c r="G1313" s="35" t="str">
        <f t="shared" si="21"/>
        <v/>
      </c>
      <c r="H1313" s="39"/>
      <c r="I1313" s="35"/>
      <c r="J1313" s="34">
        <v>0</v>
      </c>
    </row>
    <row r="1314" spans="1:10" ht="15.75" hidden="1" thickBot="1" x14ac:dyDescent="0.3">
      <c r="A1314" s="248" t="s">
        <v>314</v>
      </c>
      <c r="B1314" s="251" t="s">
        <v>2262</v>
      </c>
      <c r="C1314" s="28"/>
      <c r="D1314" s="29" t="s">
        <v>28</v>
      </c>
      <c r="E1314" s="30"/>
      <c r="F1314" s="45" t="s">
        <v>23</v>
      </c>
      <c r="G1314" s="31" t="str">
        <f t="shared" si="21"/>
        <v/>
      </c>
      <c r="H1314" s="32"/>
      <c r="I1314" s="33"/>
      <c r="J1314" s="34">
        <v>0</v>
      </c>
    </row>
    <row r="1315" spans="1:10" ht="15.75" hidden="1" thickBot="1" x14ac:dyDescent="0.3">
      <c r="A1315" s="249"/>
      <c r="B1315" s="252"/>
      <c r="C1315" s="36"/>
      <c r="D1315" s="36"/>
      <c r="E1315" s="37"/>
      <c r="F1315" s="46" t="s">
        <v>23</v>
      </c>
      <c r="G1315" s="35" t="str">
        <f t="shared" si="21"/>
        <v/>
      </c>
      <c r="H1315" s="39"/>
      <c r="I1315" s="35"/>
      <c r="J1315" s="34">
        <v>0</v>
      </c>
    </row>
    <row r="1316" spans="1:10" ht="15.75" hidden="1" thickBot="1" x14ac:dyDescent="0.3">
      <c r="A1316" s="249"/>
      <c r="B1316" s="252"/>
      <c r="C1316" s="40" t="s">
        <v>315</v>
      </c>
      <c r="D1316" s="53" t="s">
        <v>102</v>
      </c>
      <c r="E1316" s="41">
        <v>1</v>
      </c>
      <c r="F1316" s="38" t="s">
        <v>23</v>
      </c>
      <c r="G1316" s="38" t="str">
        <f t="shared" si="21"/>
        <v/>
      </c>
      <c r="H1316" s="43">
        <f>SUM(G1316:G1318)</f>
        <v>10.7183484</v>
      </c>
      <c r="I1316" s="44"/>
      <c r="J1316" s="34">
        <v>0</v>
      </c>
    </row>
    <row r="1317" spans="1:10" ht="26.25" hidden="1" thickBot="1" x14ac:dyDescent="0.3">
      <c r="A1317" s="249"/>
      <c r="B1317" s="252"/>
      <c r="C1317" s="40" t="s">
        <v>4110</v>
      </c>
      <c r="D1317" s="40" t="s">
        <v>3752</v>
      </c>
      <c r="E1317" s="41">
        <v>0.31619999999999998</v>
      </c>
      <c r="F1317" s="35">
        <v>27.341000000000001</v>
      </c>
      <c r="G1317" s="38">
        <f t="shared" si="21"/>
        <v>8.6452241999999995</v>
      </c>
      <c r="H1317" s="39"/>
      <c r="I1317" s="35"/>
      <c r="J1317" s="34">
        <v>0</v>
      </c>
    </row>
    <row r="1318" spans="1:10" ht="15.75" hidden="1" thickBot="1" x14ac:dyDescent="0.3">
      <c r="A1318" s="249"/>
      <c r="B1318" s="252"/>
      <c r="C1318" s="40" t="s">
        <v>3754</v>
      </c>
      <c r="D1318" s="40" t="s">
        <v>3752</v>
      </c>
      <c r="E1318" s="41">
        <v>9.9599999999999994E-2</v>
      </c>
      <c r="F1318" s="35">
        <v>20.814499999999999</v>
      </c>
      <c r="G1318" s="38">
        <f t="shared" si="21"/>
        <v>2.0731241999999996</v>
      </c>
      <c r="H1318" s="39"/>
      <c r="I1318" s="35"/>
      <c r="J1318" s="34">
        <v>0</v>
      </c>
    </row>
    <row r="1319" spans="1:10" ht="15.75" hidden="1" thickBot="1" x14ac:dyDescent="0.3">
      <c r="A1319" s="250"/>
      <c r="B1319" s="253"/>
      <c r="C1319" s="40"/>
      <c r="D1319" s="40"/>
      <c r="E1319" s="41"/>
      <c r="F1319" s="35" t="s">
        <v>23</v>
      </c>
      <c r="G1319" s="35" t="str">
        <f t="shared" si="21"/>
        <v/>
      </c>
      <c r="H1319" s="39"/>
      <c r="I1319" s="35"/>
      <c r="J1319" s="34">
        <v>0</v>
      </c>
    </row>
    <row r="1320" spans="1:10" ht="15.75" hidden="1" thickBot="1" x14ac:dyDescent="0.3">
      <c r="A1320" s="248" t="s">
        <v>316</v>
      </c>
      <c r="B1320" s="251" t="s">
        <v>2263</v>
      </c>
      <c r="C1320" s="28"/>
      <c r="D1320" s="29" t="s">
        <v>28</v>
      </c>
      <c r="E1320" s="30"/>
      <c r="F1320" s="45" t="s">
        <v>23</v>
      </c>
      <c r="G1320" s="31" t="str">
        <f t="shared" si="21"/>
        <v/>
      </c>
      <c r="H1320" s="32"/>
      <c r="I1320" s="33"/>
      <c r="J1320" s="34">
        <v>0</v>
      </c>
    </row>
    <row r="1321" spans="1:10" ht="15.75" hidden="1" thickBot="1" x14ac:dyDescent="0.3">
      <c r="A1321" s="249"/>
      <c r="B1321" s="252"/>
      <c r="C1321" s="36"/>
      <c r="D1321" s="36"/>
      <c r="E1321" s="37"/>
      <c r="F1321" s="46" t="s">
        <v>23</v>
      </c>
      <c r="G1321" s="35" t="str">
        <f t="shared" si="21"/>
        <v/>
      </c>
      <c r="H1321" s="39"/>
      <c r="I1321" s="35"/>
      <c r="J1321" s="34">
        <v>0</v>
      </c>
    </row>
    <row r="1322" spans="1:10" ht="26.25" hidden="1" thickBot="1" x14ac:dyDescent="0.3">
      <c r="A1322" s="249"/>
      <c r="B1322" s="252"/>
      <c r="C1322" s="40" t="s">
        <v>317</v>
      </c>
      <c r="D1322" s="53" t="s">
        <v>102</v>
      </c>
      <c r="E1322" s="41">
        <v>1</v>
      </c>
      <c r="F1322" s="38" t="s">
        <v>23</v>
      </c>
      <c r="G1322" s="38" t="str">
        <f t="shared" si="21"/>
        <v/>
      </c>
      <c r="H1322" s="43">
        <f>SUM(G1322:G1324)</f>
        <v>10.7183484</v>
      </c>
      <c r="I1322" s="44"/>
      <c r="J1322" s="34">
        <v>0</v>
      </c>
    </row>
    <row r="1323" spans="1:10" ht="26.25" hidden="1" thickBot="1" x14ac:dyDescent="0.3">
      <c r="A1323" s="249"/>
      <c r="B1323" s="252"/>
      <c r="C1323" s="40" t="s">
        <v>4110</v>
      </c>
      <c r="D1323" s="40" t="s">
        <v>3752</v>
      </c>
      <c r="E1323" s="41">
        <v>0.31619999999999998</v>
      </c>
      <c r="F1323" s="35">
        <v>27.341000000000001</v>
      </c>
      <c r="G1323" s="38">
        <f t="shared" si="21"/>
        <v>8.6452241999999995</v>
      </c>
      <c r="H1323" s="39"/>
      <c r="I1323" s="35"/>
      <c r="J1323" s="34">
        <v>0</v>
      </c>
    </row>
    <row r="1324" spans="1:10" ht="15.75" hidden="1" thickBot="1" x14ac:dyDescent="0.3">
      <c r="A1324" s="249"/>
      <c r="B1324" s="252"/>
      <c r="C1324" s="40" t="s">
        <v>3754</v>
      </c>
      <c r="D1324" s="40" t="s">
        <v>3752</v>
      </c>
      <c r="E1324" s="41">
        <v>9.9599999999999994E-2</v>
      </c>
      <c r="F1324" s="35">
        <v>20.814499999999999</v>
      </c>
      <c r="G1324" s="38">
        <f t="shared" si="21"/>
        <v>2.0731241999999996</v>
      </c>
      <c r="H1324" s="39"/>
      <c r="I1324" s="35"/>
      <c r="J1324" s="34">
        <v>0</v>
      </c>
    </row>
    <row r="1325" spans="1:10" ht="15.75" hidden="1" thickBot="1" x14ac:dyDescent="0.3">
      <c r="A1325" s="250"/>
      <c r="B1325" s="253"/>
      <c r="C1325" s="40"/>
      <c r="D1325" s="40"/>
      <c r="E1325" s="41"/>
      <c r="F1325" s="35" t="s">
        <v>23</v>
      </c>
      <c r="G1325" s="35" t="str">
        <f t="shared" si="21"/>
        <v/>
      </c>
      <c r="H1325" s="39"/>
      <c r="I1325" s="35"/>
      <c r="J1325" s="34">
        <v>0</v>
      </c>
    </row>
    <row r="1326" spans="1:10" ht="15.75" hidden="1" thickBot="1" x14ac:dyDescent="0.3">
      <c r="A1326" s="248" t="s">
        <v>318</v>
      </c>
      <c r="B1326" s="251" t="s">
        <v>2264</v>
      </c>
      <c r="C1326" s="28"/>
      <c r="D1326" s="29" t="s">
        <v>28</v>
      </c>
      <c r="E1326" s="30"/>
      <c r="F1326" s="45" t="s">
        <v>23</v>
      </c>
      <c r="G1326" s="31" t="str">
        <f t="shared" si="21"/>
        <v/>
      </c>
      <c r="H1326" s="32"/>
      <c r="I1326" s="33"/>
      <c r="J1326" s="34">
        <v>0</v>
      </c>
    </row>
    <row r="1327" spans="1:10" ht="15.75" hidden="1" thickBot="1" x14ac:dyDescent="0.3">
      <c r="A1327" s="249"/>
      <c r="B1327" s="252"/>
      <c r="C1327" s="36"/>
      <c r="D1327" s="36"/>
      <c r="E1327" s="37"/>
      <c r="F1327" s="46" t="s">
        <v>23</v>
      </c>
      <c r="G1327" s="35" t="str">
        <f t="shared" si="21"/>
        <v/>
      </c>
      <c r="H1327" s="39"/>
      <c r="I1327" s="35"/>
      <c r="J1327" s="34">
        <v>0</v>
      </c>
    </row>
    <row r="1328" spans="1:10" ht="26.25" hidden="1" thickBot="1" x14ac:dyDescent="0.3">
      <c r="A1328" s="249"/>
      <c r="B1328" s="252"/>
      <c r="C1328" s="40" t="s">
        <v>319</v>
      </c>
      <c r="D1328" s="53" t="s">
        <v>102</v>
      </c>
      <c r="E1328" s="41">
        <v>1</v>
      </c>
      <c r="F1328" s="38" t="s">
        <v>23</v>
      </c>
      <c r="G1328" s="38" t="str">
        <f t="shared" si="21"/>
        <v/>
      </c>
      <c r="H1328" s="43">
        <f>SUM(G1328:G1330)</f>
        <v>21.433962700000002</v>
      </c>
      <c r="I1328" s="44"/>
      <c r="J1328" s="34">
        <v>0</v>
      </c>
    </row>
    <row r="1329" spans="1:10" ht="26.25" hidden="1" thickBot="1" x14ac:dyDescent="0.3">
      <c r="A1329" s="249"/>
      <c r="B1329" s="252"/>
      <c r="C1329" s="40" t="s">
        <v>4110</v>
      </c>
      <c r="D1329" s="40" t="s">
        <v>3752</v>
      </c>
      <c r="E1329" s="41">
        <v>0.63229999999999997</v>
      </c>
      <c r="F1329" s="35">
        <v>27.341000000000001</v>
      </c>
      <c r="G1329" s="38">
        <f t="shared" si="21"/>
        <v>17.287714300000001</v>
      </c>
      <c r="H1329" s="39"/>
      <c r="I1329" s="35"/>
      <c r="J1329" s="34">
        <v>0</v>
      </c>
    </row>
    <row r="1330" spans="1:10" ht="15.75" hidden="1" thickBot="1" x14ac:dyDescent="0.3">
      <c r="A1330" s="249"/>
      <c r="B1330" s="252"/>
      <c r="C1330" s="40" t="s">
        <v>3754</v>
      </c>
      <c r="D1330" s="40" t="s">
        <v>3752</v>
      </c>
      <c r="E1330" s="41">
        <v>0.19919999999999999</v>
      </c>
      <c r="F1330" s="35">
        <v>20.814499999999999</v>
      </c>
      <c r="G1330" s="38">
        <f t="shared" si="21"/>
        <v>4.1462483999999993</v>
      </c>
      <c r="H1330" s="39"/>
      <c r="I1330" s="35"/>
      <c r="J1330" s="34">
        <v>0</v>
      </c>
    </row>
    <row r="1331" spans="1:10" ht="15.75" hidden="1" thickBot="1" x14ac:dyDescent="0.3">
      <c r="A1331" s="250"/>
      <c r="B1331" s="253"/>
      <c r="C1331" s="40"/>
      <c r="D1331" s="40"/>
      <c r="E1331" s="41"/>
      <c r="F1331" s="35" t="s">
        <v>23</v>
      </c>
      <c r="G1331" s="35" t="str">
        <f t="shared" si="21"/>
        <v/>
      </c>
      <c r="H1331" s="39"/>
      <c r="I1331" s="35"/>
      <c r="J1331" s="34">
        <v>0</v>
      </c>
    </row>
    <row r="1332" spans="1:10" ht="15.75" hidden="1" thickBot="1" x14ac:dyDescent="0.3">
      <c r="A1332" s="248" t="s">
        <v>320</v>
      </c>
      <c r="B1332" s="251" t="s">
        <v>2265</v>
      </c>
      <c r="C1332" s="28"/>
      <c r="D1332" s="29" t="s">
        <v>28</v>
      </c>
      <c r="E1332" s="30"/>
      <c r="F1332" s="45" t="s">
        <v>23</v>
      </c>
      <c r="G1332" s="31" t="str">
        <f t="shared" si="21"/>
        <v/>
      </c>
      <c r="H1332" s="32"/>
      <c r="I1332" s="33"/>
      <c r="J1332" s="34">
        <v>0</v>
      </c>
    </row>
    <row r="1333" spans="1:10" ht="15.75" hidden="1" thickBot="1" x14ac:dyDescent="0.3">
      <c r="A1333" s="249"/>
      <c r="B1333" s="252"/>
      <c r="C1333" s="36"/>
      <c r="D1333" s="36"/>
      <c r="E1333" s="37"/>
      <c r="F1333" s="46" t="s">
        <v>23</v>
      </c>
      <c r="G1333" s="35" t="str">
        <f t="shared" si="21"/>
        <v/>
      </c>
      <c r="H1333" s="39"/>
      <c r="I1333" s="35"/>
      <c r="J1333" s="34">
        <v>0</v>
      </c>
    </row>
    <row r="1334" spans="1:10" ht="15.75" hidden="1" thickBot="1" x14ac:dyDescent="0.3">
      <c r="A1334" s="249"/>
      <c r="B1334" s="252"/>
      <c r="C1334" s="40" t="s">
        <v>3770</v>
      </c>
      <c r="D1334" s="40" t="s">
        <v>3752</v>
      </c>
      <c r="E1334" s="41">
        <v>0.14499999999999999</v>
      </c>
      <c r="F1334" s="35">
        <v>21.954499999999999</v>
      </c>
      <c r="G1334" s="38">
        <f t="shared" si="21"/>
        <v>3.1834024999999997</v>
      </c>
      <c r="H1334" s="43">
        <f>SUM(G1334:G1337)</f>
        <v>11.226088793043749</v>
      </c>
      <c r="I1334" s="44"/>
      <c r="J1334" s="34">
        <v>0</v>
      </c>
    </row>
    <row r="1335" spans="1:10" ht="15.75" hidden="1" thickBot="1" x14ac:dyDescent="0.3">
      <c r="A1335" s="249"/>
      <c r="B1335" s="252"/>
      <c r="C1335" s="40" t="s">
        <v>3760</v>
      </c>
      <c r="D1335" s="40" t="s">
        <v>3752</v>
      </c>
      <c r="E1335" s="41">
        <v>0.14499999999999999</v>
      </c>
      <c r="F1335" s="35">
        <v>28.385999999999999</v>
      </c>
      <c r="G1335" s="38">
        <f t="shared" si="21"/>
        <v>4.1159699999999999</v>
      </c>
      <c r="H1335" s="39"/>
      <c r="I1335" s="35"/>
      <c r="J1335" s="34">
        <v>0</v>
      </c>
    </row>
    <row r="1336" spans="1:10" ht="26.25" hidden="1" thickBot="1" x14ac:dyDescent="0.3">
      <c r="A1336" s="249"/>
      <c r="B1336" s="252"/>
      <c r="C1336" s="40" t="s">
        <v>4740</v>
      </c>
      <c r="D1336" s="40" t="s">
        <v>3764</v>
      </c>
      <c r="E1336" s="41">
        <v>8.9999999999999998E-4</v>
      </c>
      <c r="F1336" s="38">
        <v>763.57365893749989</v>
      </c>
      <c r="G1336" s="38">
        <f t="shared" si="21"/>
        <v>0.68721629304374987</v>
      </c>
      <c r="H1336" s="39"/>
      <c r="I1336" s="35"/>
      <c r="J1336" s="34">
        <v>0</v>
      </c>
    </row>
    <row r="1337" spans="1:10" ht="26.25" hidden="1" thickBot="1" x14ac:dyDescent="0.3">
      <c r="A1337" s="249"/>
      <c r="B1337" s="252"/>
      <c r="C1337" s="40" t="s">
        <v>3888</v>
      </c>
      <c r="D1337" s="40" t="s">
        <v>291</v>
      </c>
      <c r="E1337" s="41">
        <v>1</v>
      </c>
      <c r="F1337" s="38">
        <v>3.2395</v>
      </c>
      <c r="G1337" s="35">
        <f t="shared" si="21"/>
        <v>3.2395</v>
      </c>
      <c r="H1337" s="39"/>
      <c r="I1337" s="35"/>
      <c r="J1337" s="34">
        <v>0</v>
      </c>
    </row>
    <row r="1338" spans="1:10" ht="15.75" hidden="1" thickBot="1" x14ac:dyDescent="0.3">
      <c r="A1338" s="250"/>
      <c r="B1338" s="253"/>
      <c r="C1338" s="40"/>
      <c r="D1338" s="40"/>
      <c r="E1338" s="41"/>
      <c r="F1338" s="35" t="s">
        <v>23</v>
      </c>
      <c r="G1338" s="35" t="str">
        <f t="shared" si="21"/>
        <v/>
      </c>
      <c r="H1338" s="39"/>
      <c r="I1338" s="35"/>
      <c r="J1338" s="34">
        <v>0</v>
      </c>
    </row>
    <row r="1339" spans="1:10" ht="15.75" hidden="1" thickBot="1" x14ac:dyDescent="0.3">
      <c r="A1339" s="248" t="s">
        <v>321</v>
      </c>
      <c r="B1339" s="251" t="s">
        <v>2266</v>
      </c>
      <c r="C1339" s="28"/>
      <c r="D1339" s="29" t="s">
        <v>28</v>
      </c>
      <c r="E1339" s="30"/>
      <c r="F1339" s="45" t="s">
        <v>23</v>
      </c>
      <c r="G1339" s="31" t="str">
        <f t="shared" si="21"/>
        <v/>
      </c>
      <c r="H1339" s="32"/>
      <c r="I1339" s="33"/>
      <c r="J1339" s="34">
        <v>0</v>
      </c>
    </row>
    <row r="1340" spans="1:10" ht="15.75" hidden="1" thickBot="1" x14ac:dyDescent="0.3">
      <c r="A1340" s="249"/>
      <c r="B1340" s="252"/>
      <c r="C1340" s="36"/>
      <c r="D1340" s="36"/>
      <c r="E1340" s="37"/>
      <c r="F1340" s="46" t="s">
        <v>23</v>
      </c>
      <c r="G1340" s="35" t="str">
        <f t="shared" si="21"/>
        <v/>
      </c>
      <c r="H1340" s="39"/>
      <c r="I1340" s="35"/>
      <c r="J1340" s="34">
        <v>0</v>
      </c>
    </row>
    <row r="1341" spans="1:10" ht="15.75" hidden="1" thickBot="1" x14ac:dyDescent="0.3">
      <c r="A1341" s="249"/>
      <c r="B1341" s="252"/>
      <c r="C1341" s="40" t="s">
        <v>3770</v>
      </c>
      <c r="D1341" s="40" t="s">
        <v>3752</v>
      </c>
      <c r="E1341" s="41">
        <v>0.14499999999999999</v>
      </c>
      <c r="F1341" s="35">
        <v>21.954499999999999</v>
      </c>
      <c r="G1341" s="38">
        <f t="shared" si="21"/>
        <v>3.1834024999999997</v>
      </c>
      <c r="H1341" s="43">
        <f>SUM(G1341:G1343)</f>
        <v>7.2993724999999996</v>
      </c>
      <c r="I1341" s="44"/>
      <c r="J1341" s="34">
        <v>0</v>
      </c>
    </row>
    <row r="1342" spans="1:10" ht="15.75" hidden="1" thickBot="1" x14ac:dyDescent="0.3">
      <c r="A1342" s="249"/>
      <c r="B1342" s="252"/>
      <c r="C1342" s="40" t="s">
        <v>3760</v>
      </c>
      <c r="D1342" s="40" t="s">
        <v>3752</v>
      </c>
      <c r="E1342" s="41">
        <v>0.14499999999999999</v>
      </c>
      <c r="F1342" s="35">
        <v>28.385999999999999</v>
      </c>
      <c r="G1342" s="38">
        <f t="shared" si="21"/>
        <v>4.1159699999999999</v>
      </c>
      <c r="H1342" s="39"/>
      <c r="I1342" s="35"/>
      <c r="J1342" s="34">
        <v>0</v>
      </c>
    </row>
    <row r="1343" spans="1:10" ht="15.75" hidden="1" thickBot="1" x14ac:dyDescent="0.3">
      <c r="A1343" s="249"/>
      <c r="B1343" s="252"/>
      <c r="C1343" s="40" t="s">
        <v>322</v>
      </c>
      <c r="D1343" s="40" t="s">
        <v>28</v>
      </c>
      <c r="E1343" s="41">
        <v>1</v>
      </c>
      <c r="F1343" s="38" t="s">
        <v>23</v>
      </c>
      <c r="G1343" s="35" t="str">
        <f t="shared" si="21"/>
        <v/>
      </c>
      <c r="H1343" s="39"/>
      <c r="I1343" s="35"/>
      <c r="J1343" s="34">
        <v>0</v>
      </c>
    </row>
    <row r="1344" spans="1:10" ht="15.75" hidden="1" thickBot="1" x14ac:dyDescent="0.3">
      <c r="A1344" s="250"/>
      <c r="B1344" s="253"/>
      <c r="C1344" s="40"/>
      <c r="D1344" s="40"/>
      <c r="E1344" s="41"/>
      <c r="F1344" s="35" t="s">
        <v>23</v>
      </c>
      <c r="G1344" s="35" t="str">
        <f t="shared" si="21"/>
        <v/>
      </c>
      <c r="H1344" s="39"/>
      <c r="I1344" s="35"/>
      <c r="J1344" s="34">
        <v>0</v>
      </c>
    </row>
    <row r="1345" spans="1:10" ht="15.75" hidden="1" thickBot="1" x14ac:dyDescent="0.3">
      <c r="A1345" s="248" t="s">
        <v>323</v>
      </c>
      <c r="B1345" s="251" t="s">
        <v>2267</v>
      </c>
      <c r="C1345" s="28"/>
      <c r="D1345" s="29" t="s">
        <v>28</v>
      </c>
      <c r="E1345" s="30"/>
      <c r="F1345" s="45" t="s">
        <v>23</v>
      </c>
      <c r="G1345" s="31" t="str">
        <f t="shared" si="21"/>
        <v/>
      </c>
      <c r="H1345" s="32"/>
      <c r="I1345" s="33"/>
      <c r="J1345" s="34">
        <v>0</v>
      </c>
    </row>
    <row r="1346" spans="1:10" ht="15.75" hidden="1" thickBot="1" x14ac:dyDescent="0.3">
      <c r="A1346" s="249"/>
      <c r="B1346" s="252"/>
      <c r="C1346" s="36"/>
      <c r="D1346" s="36"/>
      <c r="E1346" s="37"/>
      <c r="F1346" s="46" t="s">
        <v>23</v>
      </c>
      <c r="G1346" s="35" t="str">
        <f t="shared" si="21"/>
        <v/>
      </c>
      <c r="H1346" s="39"/>
      <c r="I1346" s="35"/>
      <c r="J1346" s="34">
        <v>0</v>
      </c>
    </row>
    <row r="1347" spans="1:10" ht="15.75" hidden="1" thickBot="1" x14ac:dyDescent="0.3">
      <c r="A1347" s="249"/>
      <c r="B1347" s="252"/>
      <c r="C1347" s="40" t="s">
        <v>3770</v>
      </c>
      <c r="D1347" s="40" t="s">
        <v>3752</v>
      </c>
      <c r="E1347" s="41">
        <v>0.16900000000000001</v>
      </c>
      <c r="F1347" s="35">
        <v>21.954499999999999</v>
      </c>
      <c r="G1347" s="38">
        <f t="shared" si="21"/>
        <v>3.7103105000000003</v>
      </c>
      <c r="H1347" s="43">
        <f>SUM(G1347:G1350)</f>
        <v>15.864832890725001</v>
      </c>
      <c r="I1347" s="44"/>
      <c r="J1347" s="34">
        <v>0</v>
      </c>
    </row>
    <row r="1348" spans="1:10" ht="15.75" hidden="1" thickBot="1" x14ac:dyDescent="0.3">
      <c r="A1348" s="249"/>
      <c r="B1348" s="252"/>
      <c r="C1348" s="40" t="s">
        <v>3760</v>
      </c>
      <c r="D1348" s="40" t="s">
        <v>3752</v>
      </c>
      <c r="E1348" s="41">
        <v>0.16900000000000001</v>
      </c>
      <c r="F1348" s="35">
        <v>28.385999999999999</v>
      </c>
      <c r="G1348" s="38">
        <f t="shared" si="21"/>
        <v>4.7972340000000004</v>
      </c>
      <c r="H1348" s="39"/>
      <c r="I1348" s="35"/>
      <c r="J1348" s="34">
        <v>0</v>
      </c>
    </row>
    <row r="1349" spans="1:10" ht="26.25" hidden="1" thickBot="1" x14ac:dyDescent="0.3">
      <c r="A1349" s="249"/>
      <c r="B1349" s="252"/>
      <c r="C1349" s="40" t="s">
        <v>4740</v>
      </c>
      <c r="D1349" s="40" t="s">
        <v>3764</v>
      </c>
      <c r="E1349" s="41">
        <v>1.1999999999999999E-3</v>
      </c>
      <c r="F1349" s="38">
        <v>763.57365893749989</v>
      </c>
      <c r="G1349" s="38">
        <f t="shared" si="21"/>
        <v>0.91628839072499979</v>
      </c>
      <c r="H1349" s="39"/>
      <c r="I1349" s="35"/>
      <c r="J1349" s="34">
        <v>0</v>
      </c>
    </row>
    <row r="1350" spans="1:10" ht="26.25" hidden="1" thickBot="1" x14ac:dyDescent="0.3">
      <c r="A1350" s="249"/>
      <c r="B1350" s="252"/>
      <c r="C1350" s="40" t="s">
        <v>3889</v>
      </c>
      <c r="D1350" s="40" t="s">
        <v>291</v>
      </c>
      <c r="E1350" s="41">
        <v>1</v>
      </c>
      <c r="F1350" s="38">
        <v>6.4409999999999998</v>
      </c>
      <c r="G1350" s="35">
        <f t="shared" si="21"/>
        <v>6.4409999999999998</v>
      </c>
      <c r="H1350" s="39"/>
      <c r="I1350" s="35"/>
      <c r="J1350" s="34">
        <v>0</v>
      </c>
    </row>
    <row r="1351" spans="1:10" ht="15.75" hidden="1" thickBot="1" x14ac:dyDescent="0.3">
      <c r="A1351" s="250"/>
      <c r="B1351" s="253"/>
      <c r="C1351" s="40"/>
      <c r="D1351" s="40"/>
      <c r="E1351" s="41"/>
      <c r="F1351" s="35" t="s">
        <v>23</v>
      </c>
      <c r="G1351" s="35" t="str">
        <f t="shared" si="21"/>
        <v/>
      </c>
      <c r="H1351" s="39"/>
      <c r="I1351" s="35"/>
      <c r="J1351" s="34">
        <v>0</v>
      </c>
    </row>
    <row r="1352" spans="1:10" ht="15.75" hidden="1" thickBot="1" x14ac:dyDescent="0.3">
      <c r="A1352" s="248" t="s">
        <v>324</v>
      </c>
      <c r="B1352" s="251" t="s">
        <v>2268</v>
      </c>
      <c r="C1352" s="28"/>
      <c r="D1352" s="29" t="s">
        <v>28</v>
      </c>
      <c r="E1352" s="30"/>
      <c r="F1352" s="45" t="s">
        <v>23</v>
      </c>
      <c r="G1352" s="31" t="str">
        <f t="shared" si="21"/>
        <v/>
      </c>
      <c r="H1352" s="32"/>
      <c r="I1352" s="33"/>
      <c r="J1352" s="34">
        <v>0</v>
      </c>
    </row>
    <row r="1353" spans="1:10" ht="15.75" hidden="1" thickBot="1" x14ac:dyDescent="0.3">
      <c r="A1353" s="249"/>
      <c r="B1353" s="252"/>
      <c r="C1353" s="36"/>
      <c r="D1353" s="36"/>
      <c r="E1353" s="37"/>
      <c r="F1353" s="46" t="s">
        <v>23</v>
      </c>
      <c r="G1353" s="35" t="str">
        <f t="shared" si="21"/>
        <v/>
      </c>
      <c r="H1353" s="39"/>
      <c r="I1353" s="35"/>
      <c r="J1353" s="34">
        <v>0</v>
      </c>
    </row>
    <row r="1354" spans="1:10" ht="15.75" hidden="1" thickBot="1" x14ac:dyDescent="0.3">
      <c r="A1354" s="249"/>
      <c r="B1354" s="252"/>
      <c r="C1354" s="40" t="s">
        <v>3770</v>
      </c>
      <c r="D1354" s="40" t="s">
        <v>3752</v>
      </c>
      <c r="E1354" s="41">
        <v>0.16900000000000001</v>
      </c>
      <c r="F1354" s="35">
        <v>21.954499999999999</v>
      </c>
      <c r="G1354" s="38">
        <f t="shared" si="21"/>
        <v>3.7103105000000003</v>
      </c>
      <c r="H1354" s="43">
        <f>SUM(G1354:G1356)</f>
        <v>8.5075445000000016</v>
      </c>
      <c r="I1354" s="44"/>
      <c r="J1354" s="34">
        <v>0</v>
      </c>
    </row>
    <row r="1355" spans="1:10" ht="15.75" hidden="1" thickBot="1" x14ac:dyDescent="0.3">
      <c r="A1355" s="249"/>
      <c r="B1355" s="252"/>
      <c r="C1355" s="40" t="s">
        <v>3760</v>
      </c>
      <c r="D1355" s="40" t="s">
        <v>3752</v>
      </c>
      <c r="E1355" s="41">
        <v>0.16900000000000001</v>
      </c>
      <c r="F1355" s="35">
        <v>28.385999999999999</v>
      </c>
      <c r="G1355" s="38">
        <f t="shared" si="21"/>
        <v>4.7972340000000004</v>
      </c>
      <c r="H1355" s="39"/>
      <c r="I1355" s="35"/>
      <c r="J1355" s="34">
        <v>0</v>
      </c>
    </row>
    <row r="1356" spans="1:10" ht="15.75" hidden="1" thickBot="1" x14ac:dyDescent="0.3">
      <c r="A1356" s="249"/>
      <c r="B1356" s="252"/>
      <c r="C1356" s="40" t="s">
        <v>325</v>
      </c>
      <c r="D1356" s="40" t="s">
        <v>28</v>
      </c>
      <c r="E1356" s="41">
        <v>1</v>
      </c>
      <c r="F1356" s="38" t="s">
        <v>23</v>
      </c>
      <c r="G1356" s="35" t="str">
        <f t="shared" si="21"/>
        <v/>
      </c>
      <c r="H1356" s="39"/>
      <c r="I1356" s="35"/>
      <c r="J1356" s="34">
        <v>0</v>
      </c>
    </row>
    <row r="1357" spans="1:10" ht="15.75" hidden="1" thickBot="1" x14ac:dyDescent="0.3">
      <c r="A1357" s="250"/>
      <c r="B1357" s="253"/>
      <c r="C1357" s="40"/>
      <c r="D1357" s="40"/>
      <c r="E1357" s="41"/>
      <c r="F1357" s="35" t="s">
        <v>23</v>
      </c>
      <c r="G1357" s="35" t="str">
        <f t="shared" si="21"/>
        <v/>
      </c>
      <c r="H1357" s="39"/>
      <c r="I1357" s="35"/>
      <c r="J1357" s="34">
        <v>0</v>
      </c>
    </row>
    <row r="1358" spans="1:10" ht="15.75" hidden="1" thickBot="1" x14ac:dyDescent="0.3">
      <c r="A1358" s="248" t="s">
        <v>326</v>
      </c>
      <c r="B1358" s="251" t="s">
        <v>2269</v>
      </c>
      <c r="C1358" s="28"/>
      <c r="D1358" s="29" t="s">
        <v>28</v>
      </c>
      <c r="E1358" s="30"/>
      <c r="F1358" s="45" t="s">
        <v>23</v>
      </c>
      <c r="G1358" s="31" t="str">
        <f t="shared" si="21"/>
        <v/>
      </c>
      <c r="H1358" s="32"/>
      <c r="I1358" s="33"/>
      <c r="J1358" s="34">
        <v>0</v>
      </c>
    </row>
    <row r="1359" spans="1:10" ht="15.75" hidden="1" thickBot="1" x14ac:dyDescent="0.3">
      <c r="A1359" s="249"/>
      <c r="B1359" s="252"/>
      <c r="C1359" s="36"/>
      <c r="D1359" s="36"/>
      <c r="E1359" s="37"/>
      <c r="F1359" s="46" t="s">
        <v>23</v>
      </c>
      <c r="G1359" s="35" t="str">
        <f t="shared" si="21"/>
        <v/>
      </c>
      <c r="H1359" s="39"/>
      <c r="I1359" s="35"/>
      <c r="J1359" s="34">
        <v>0</v>
      </c>
    </row>
    <row r="1360" spans="1:10" ht="15.75" hidden="1" thickBot="1" x14ac:dyDescent="0.3">
      <c r="A1360" s="249"/>
      <c r="B1360" s="252"/>
      <c r="C1360" s="40" t="s">
        <v>3770</v>
      </c>
      <c r="D1360" s="40" t="s">
        <v>3752</v>
      </c>
      <c r="E1360" s="41">
        <v>0.34599999999999997</v>
      </c>
      <c r="F1360" s="35">
        <v>21.954499999999999</v>
      </c>
      <c r="G1360" s="38">
        <f t="shared" si="21"/>
        <v>7.5962569999999996</v>
      </c>
      <c r="H1360" s="43">
        <f>SUM(G1360:G1362)</f>
        <v>17.417812999999999</v>
      </c>
      <c r="I1360" s="44"/>
      <c r="J1360" s="34">
        <v>0</v>
      </c>
    </row>
    <row r="1361" spans="1:10" ht="15.75" hidden="1" thickBot="1" x14ac:dyDescent="0.3">
      <c r="A1361" s="249"/>
      <c r="B1361" s="252"/>
      <c r="C1361" s="40" t="s">
        <v>3760</v>
      </c>
      <c r="D1361" s="40" t="s">
        <v>3752</v>
      </c>
      <c r="E1361" s="41">
        <v>0.34599999999999997</v>
      </c>
      <c r="F1361" s="35">
        <v>28.385999999999999</v>
      </c>
      <c r="G1361" s="38">
        <f t="shared" si="21"/>
        <v>9.8215559999999993</v>
      </c>
      <c r="H1361" s="39"/>
      <c r="I1361" s="35"/>
      <c r="J1361" s="34">
        <v>0</v>
      </c>
    </row>
    <row r="1362" spans="1:10" ht="15.75" hidden="1" thickBot="1" x14ac:dyDescent="0.3">
      <c r="A1362" s="249"/>
      <c r="B1362" s="252"/>
      <c r="C1362" s="40" t="s">
        <v>327</v>
      </c>
      <c r="D1362" s="40" t="s">
        <v>121</v>
      </c>
      <c r="E1362" s="41">
        <v>1</v>
      </c>
      <c r="F1362" s="38" t="s">
        <v>23</v>
      </c>
      <c r="G1362" s="38" t="str">
        <f t="shared" ref="G1362:G1425" si="22">IF(ISNUMBER(F1362),E1362*F1362,"")</f>
        <v/>
      </c>
      <c r="H1362" s="39"/>
      <c r="I1362" s="35"/>
      <c r="J1362" s="34">
        <v>0</v>
      </c>
    </row>
    <row r="1363" spans="1:10" ht="15.75" hidden="1" thickBot="1" x14ac:dyDescent="0.3">
      <c r="A1363" s="250"/>
      <c r="B1363" s="253"/>
      <c r="C1363" s="40"/>
      <c r="D1363" s="40"/>
      <c r="E1363" s="41"/>
      <c r="F1363" s="35" t="s">
        <v>23</v>
      </c>
      <c r="G1363" s="35" t="str">
        <f t="shared" si="22"/>
        <v/>
      </c>
      <c r="H1363" s="39"/>
      <c r="I1363" s="35"/>
      <c r="J1363" s="34">
        <v>0</v>
      </c>
    </row>
    <row r="1364" spans="1:10" ht="15.75" hidden="1" thickBot="1" x14ac:dyDescent="0.3">
      <c r="A1364" s="248" t="s">
        <v>328</v>
      </c>
      <c r="B1364" s="251" t="s">
        <v>2270</v>
      </c>
      <c r="C1364" s="28"/>
      <c r="D1364" s="29" t="s">
        <v>28</v>
      </c>
      <c r="E1364" s="30"/>
      <c r="F1364" s="45" t="s">
        <v>23</v>
      </c>
      <c r="G1364" s="31" t="str">
        <f t="shared" si="22"/>
        <v/>
      </c>
      <c r="H1364" s="32"/>
      <c r="I1364" s="33"/>
      <c r="J1364" s="34">
        <v>0</v>
      </c>
    </row>
    <row r="1365" spans="1:10" ht="15.75" hidden="1" thickBot="1" x14ac:dyDescent="0.3">
      <c r="A1365" s="249"/>
      <c r="B1365" s="252"/>
      <c r="C1365" s="36"/>
      <c r="D1365" s="36"/>
      <c r="E1365" s="37"/>
      <c r="F1365" s="46" t="s">
        <v>23</v>
      </c>
      <c r="G1365" s="35" t="str">
        <f t="shared" si="22"/>
        <v/>
      </c>
      <c r="H1365" s="39"/>
      <c r="I1365" s="35"/>
      <c r="J1365" s="34">
        <v>0</v>
      </c>
    </row>
    <row r="1366" spans="1:10" ht="15.75" hidden="1" thickBot="1" x14ac:dyDescent="0.3">
      <c r="A1366" s="249"/>
      <c r="B1366" s="252"/>
      <c r="C1366" s="40" t="s">
        <v>3770</v>
      </c>
      <c r="D1366" s="40" t="s">
        <v>3752</v>
      </c>
      <c r="E1366" s="41">
        <v>0.34599999999999997</v>
      </c>
      <c r="F1366" s="35">
        <v>21.954499999999999</v>
      </c>
      <c r="G1366" s="38">
        <f t="shared" si="22"/>
        <v>7.5962569999999996</v>
      </c>
      <c r="H1366" s="43">
        <f>SUM(G1366:G1369)</f>
        <v>17.417812999999999</v>
      </c>
      <c r="I1366" s="44"/>
      <c r="J1366" s="34">
        <v>0</v>
      </c>
    </row>
    <row r="1367" spans="1:10" ht="15.75" hidden="1" thickBot="1" x14ac:dyDescent="0.3">
      <c r="A1367" s="249"/>
      <c r="B1367" s="252"/>
      <c r="C1367" s="40" t="s">
        <v>3760</v>
      </c>
      <c r="D1367" s="40" t="s">
        <v>3752</v>
      </c>
      <c r="E1367" s="41">
        <v>0.34599999999999997</v>
      </c>
      <c r="F1367" s="35">
        <v>28.385999999999999</v>
      </c>
      <c r="G1367" s="38">
        <f t="shared" si="22"/>
        <v>9.8215559999999993</v>
      </c>
      <c r="H1367" s="39"/>
      <c r="I1367" s="35"/>
      <c r="J1367" s="34">
        <v>0</v>
      </c>
    </row>
    <row r="1368" spans="1:10" ht="15.75" hidden="1" thickBot="1" x14ac:dyDescent="0.3">
      <c r="A1368" s="249"/>
      <c r="B1368" s="252"/>
      <c r="C1368" s="40" t="s">
        <v>329</v>
      </c>
      <c r="D1368" s="40" t="s">
        <v>121</v>
      </c>
      <c r="E1368" s="41">
        <v>1</v>
      </c>
      <c r="F1368" s="38" t="s">
        <v>23</v>
      </c>
      <c r="G1368" s="38" t="str">
        <f t="shared" si="22"/>
        <v/>
      </c>
      <c r="H1368" s="39"/>
      <c r="I1368" s="35"/>
      <c r="J1368" s="34">
        <v>0</v>
      </c>
    </row>
    <row r="1369" spans="1:10" ht="15.75" hidden="1" thickBot="1" x14ac:dyDescent="0.3">
      <c r="A1369" s="249"/>
      <c r="B1369" s="252"/>
      <c r="C1369" s="40" t="s">
        <v>330</v>
      </c>
      <c r="D1369" s="40" t="s">
        <v>28</v>
      </c>
      <c r="E1369" s="41">
        <v>2</v>
      </c>
      <c r="F1369" s="38" t="s">
        <v>23</v>
      </c>
      <c r="G1369" s="38" t="str">
        <f t="shared" si="22"/>
        <v/>
      </c>
      <c r="H1369" s="39"/>
      <c r="I1369" s="35"/>
      <c r="J1369" s="34">
        <v>0</v>
      </c>
    </row>
    <row r="1370" spans="1:10" ht="15.75" hidden="1" thickBot="1" x14ac:dyDescent="0.3">
      <c r="A1370" s="250"/>
      <c r="B1370" s="253"/>
      <c r="C1370" s="40"/>
      <c r="D1370" s="40"/>
      <c r="E1370" s="41"/>
      <c r="F1370" s="35" t="s">
        <v>23</v>
      </c>
      <c r="G1370" s="35" t="str">
        <f t="shared" si="22"/>
        <v/>
      </c>
      <c r="H1370" s="39"/>
      <c r="I1370" s="35"/>
      <c r="J1370" s="34">
        <v>0</v>
      </c>
    </row>
    <row r="1371" spans="1:10" ht="15.75" hidden="1" thickBot="1" x14ac:dyDescent="0.3">
      <c r="A1371" s="248" t="s">
        <v>331</v>
      </c>
      <c r="B1371" s="251" t="s">
        <v>2271</v>
      </c>
      <c r="C1371" s="28"/>
      <c r="D1371" s="29" t="s">
        <v>28</v>
      </c>
      <c r="E1371" s="30"/>
      <c r="F1371" s="45" t="s">
        <v>23</v>
      </c>
      <c r="G1371" s="31" t="str">
        <f t="shared" si="22"/>
        <v/>
      </c>
      <c r="H1371" s="32"/>
      <c r="I1371" s="33"/>
      <c r="J1371" s="34">
        <v>0</v>
      </c>
    </row>
    <row r="1372" spans="1:10" ht="15.75" hidden="1" thickBot="1" x14ac:dyDescent="0.3">
      <c r="A1372" s="249"/>
      <c r="B1372" s="252"/>
      <c r="C1372" s="36"/>
      <c r="D1372" s="36"/>
      <c r="E1372" s="37"/>
      <c r="F1372" s="46" t="s">
        <v>23</v>
      </c>
      <c r="G1372" s="35" t="str">
        <f t="shared" si="22"/>
        <v/>
      </c>
      <c r="H1372" s="39"/>
      <c r="I1372" s="35"/>
      <c r="J1372" s="34">
        <v>0</v>
      </c>
    </row>
    <row r="1373" spans="1:10" ht="15.75" hidden="1" thickBot="1" x14ac:dyDescent="0.3">
      <c r="A1373" s="249"/>
      <c r="B1373" s="252"/>
      <c r="C1373" s="40" t="s">
        <v>3760</v>
      </c>
      <c r="D1373" s="40" t="s">
        <v>3752</v>
      </c>
      <c r="E1373" s="41">
        <v>0.34599999999999997</v>
      </c>
      <c r="F1373" s="35">
        <v>28.385999999999999</v>
      </c>
      <c r="G1373" s="38">
        <f t="shared" si="22"/>
        <v>9.8215559999999993</v>
      </c>
      <c r="H1373" s="43">
        <f>SUM(G1373:G1375)</f>
        <v>78.222373000000005</v>
      </c>
      <c r="I1373" s="44"/>
      <c r="J1373" s="34">
        <v>0</v>
      </c>
    </row>
    <row r="1374" spans="1:10" ht="15.75" hidden="1" thickBot="1" x14ac:dyDescent="0.3">
      <c r="A1374" s="249"/>
      <c r="B1374" s="252"/>
      <c r="C1374" s="40" t="s">
        <v>3754</v>
      </c>
      <c r="D1374" s="40" t="s">
        <v>3752</v>
      </c>
      <c r="E1374" s="41">
        <v>0.34599999999999997</v>
      </c>
      <c r="F1374" s="35">
        <v>20.814499999999999</v>
      </c>
      <c r="G1374" s="38">
        <f t="shared" si="22"/>
        <v>7.2018169999999992</v>
      </c>
      <c r="H1374" s="39"/>
      <c r="I1374" s="35"/>
      <c r="J1374" s="34">
        <v>0</v>
      </c>
    </row>
    <row r="1375" spans="1:10" ht="26.25" hidden="1" thickBot="1" x14ac:dyDescent="0.3">
      <c r="A1375" s="249"/>
      <c r="B1375" s="252"/>
      <c r="C1375" s="40" t="s">
        <v>3890</v>
      </c>
      <c r="D1375" s="40" t="s">
        <v>291</v>
      </c>
      <c r="E1375" s="41">
        <v>1</v>
      </c>
      <c r="F1375" s="38">
        <v>61.198999999999998</v>
      </c>
      <c r="G1375" s="35">
        <f t="shared" si="22"/>
        <v>61.198999999999998</v>
      </c>
      <c r="H1375" s="39"/>
      <c r="I1375" s="35"/>
      <c r="J1375" s="34">
        <v>0</v>
      </c>
    </row>
    <row r="1376" spans="1:10" ht="15.75" hidden="1" thickBot="1" x14ac:dyDescent="0.3">
      <c r="A1376" s="250"/>
      <c r="B1376" s="253"/>
      <c r="C1376" s="40"/>
      <c r="D1376" s="40"/>
      <c r="E1376" s="41"/>
      <c r="F1376" s="35" t="s">
        <v>23</v>
      </c>
      <c r="G1376" s="35" t="str">
        <f t="shared" si="22"/>
        <v/>
      </c>
      <c r="H1376" s="39"/>
      <c r="I1376" s="35"/>
      <c r="J1376" s="34">
        <v>0</v>
      </c>
    </row>
    <row r="1377" spans="1:10" ht="15.75" hidden="1" thickBot="1" x14ac:dyDescent="0.3">
      <c r="A1377" s="248" t="s">
        <v>332</v>
      </c>
      <c r="B1377" s="251" t="s">
        <v>2272</v>
      </c>
      <c r="C1377" s="28"/>
      <c r="D1377" s="29" t="s">
        <v>28</v>
      </c>
      <c r="E1377" s="30"/>
      <c r="F1377" s="45" t="s">
        <v>23</v>
      </c>
      <c r="G1377" s="31" t="str">
        <f t="shared" si="22"/>
        <v/>
      </c>
      <c r="H1377" s="32"/>
      <c r="I1377" s="33"/>
      <c r="J1377" s="34">
        <v>0</v>
      </c>
    </row>
    <row r="1378" spans="1:10" ht="15.75" hidden="1" thickBot="1" x14ac:dyDescent="0.3">
      <c r="A1378" s="249"/>
      <c r="B1378" s="252"/>
      <c r="C1378" s="36"/>
      <c r="D1378" s="36"/>
      <c r="E1378" s="37"/>
      <c r="F1378" s="46" t="s">
        <v>23</v>
      </c>
      <c r="G1378" s="35" t="str">
        <f t="shared" si="22"/>
        <v/>
      </c>
      <c r="H1378" s="39"/>
      <c r="I1378" s="35"/>
      <c r="J1378" s="34">
        <v>0</v>
      </c>
    </row>
    <row r="1379" spans="1:10" ht="15.75" hidden="1" thickBot="1" x14ac:dyDescent="0.3">
      <c r="A1379" s="249"/>
      <c r="B1379" s="252"/>
      <c r="C1379" s="40" t="s">
        <v>3760</v>
      </c>
      <c r="D1379" s="40" t="s">
        <v>3752</v>
      </c>
      <c r="E1379" s="41">
        <v>0.34599999999999997</v>
      </c>
      <c r="F1379" s="35">
        <v>28.385999999999999</v>
      </c>
      <c r="G1379" s="35">
        <f t="shared" si="22"/>
        <v>9.8215559999999993</v>
      </c>
      <c r="H1379" s="43">
        <f>SUM(G1379:G1381)</f>
        <v>17.417812999999999</v>
      </c>
      <c r="I1379" s="44"/>
      <c r="J1379" s="34">
        <v>0</v>
      </c>
    </row>
    <row r="1380" spans="1:10" ht="15.75" hidden="1" thickBot="1" x14ac:dyDescent="0.3">
      <c r="A1380" s="249"/>
      <c r="B1380" s="252"/>
      <c r="C1380" s="40" t="s">
        <v>3770</v>
      </c>
      <c r="D1380" s="40" t="s">
        <v>3752</v>
      </c>
      <c r="E1380" s="41">
        <v>0.34599999999999997</v>
      </c>
      <c r="F1380" s="35">
        <v>21.954499999999999</v>
      </c>
      <c r="G1380" s="35">
        <f t="shared" si="22"/>
        <v>7.5962569999999996</v>
      </c>
      <c r="H1380" s="39"/>
      <c r="I1380" s="35"/>
      <c r="J1380" s="34">
        <v>0</v>
      </c>
    </row>
    <row r="1381" spans="1:10" ht="26.25" hidden="1" thickBot="1" x14ac:dyDescent="0.3">
      <c r="A1381" s="249"/>
      <c r="B1381" s="252"/>
      <c r="C1381" s="40" t="s">
        <v>333</v>
      </c>
      <c r="D1381" s="53" t="s">
        <v>28</v>
      </c>
      <c r="E1381" s="41">
        <v>1</v>
      </c>
      <c r="F1381" s="38" t="s">
        <v>23</v>
      </c>
      <c r="G1381" s="35" t="str">
        <f t="shared" si="22"/>
        <v/>
      </c>
      <c r="H1381" s="39"/>
      <c r="I1381" s="35"/>
      <c r="J1381" s="34">
        <v>0</v>
      </c>
    </row>
    <row r="1382" spans="1:10" ht="15.75" hidden="1" thickBot="1" x14ac:dyDescent="0.3">
      <c r="A1382" s="249"/>
      <c r="B1382" s="252"/>
      <c r="C1382" s="40"/>
      <c r="D1382" s="53"/>
      <c r="E1382" s="41"/>
      <c r="F1382" s="38" t="s">
        <v>23</v>
      </c>
      <c r="G1382" s="35" t="str">
        <f t="shared" si="22"/>
        <v/>
      </c>
      <c r="H1382" s="39"/>
      <c r="I1382" s="35"/>
      <c r="J1382" s="34">
        <v>0</v>
      </c>
    </row>
    <row r="1383" spans="1:10" ht="15.75" hidden="1" thickBot="1" x14ac:dyDescent="0.3">
      <c r="A1383" s="248" t="s">
        <v>334</v>
      </c>
      <c r="B1383" s="251" t="s">
        <v>2273</v>
      </c>
      <c r="C1383" s="28"/>
      <c r="D1383" s="29" t="s">
        <v>121</v>
      </c>
      <c r="E1383" s="30"/>
      <c r="F1383" s="45" t="s">
        <v>23</v>
      </c>
      <c r="G1383" s="31" t="str">
        <f t="shared" si="22"/>
        <v/>
      </c>
      <c r="H1383" s="32"/>
      <c r="I1383" s="33"/>
      <c r="J1383" s="34">
        <v>0</v>
      </c>
    </row>
    <row r="1384" spans="1:10" ht="15.75" hidden="1" thickBot="1" x14ac:dyDescent="0.3">
      <c r="A1384" s="249"/>
      <c r="B1384" s="252"/>
      <c r="C1384" s="36"/>
      <c r="D1384" s="36"/>
      <c r="E1384" s="37"/>
      <c r="F1384" s="46" t="s">
        <v>23</v>
      </c>
      <c r="G1384" s="35" t="str">
        <f t="shared" si="22"/>
        <v/>
      </c>
      <c r="H1384" s="39"/>
      <c r="I1384" s="35"/>
      <c r="J1384" s="34">
        <v>0</v>
      </c>
    </row>
    <row r="1385" spans="1:10" ht="26.25" hidden="1" thickBot="1" x14ac:dyDescent="0.3">
      <c r="A1385" s="249"/>
      <c r="B1385" s="252"/>
      <c r="C1385" s="40" t="s">
        <v>335</v>
      </c>
      <c r="D1385" s="40" t="s">
        <v>121</v>
      </c>
      <c r="E1385" s="41">
        <v>1.1499999999999999</v>
      </c>
      <c r="F1385" s="38" t="s">
        <v>23</v>
      </c>
      <c r="G1385" s="38" t="str">
        <f t="shared" si="22"/>
        <v/>
      </c>
      <c r="H1385" s="43">
        <f>SUM(G1385:G1387)</f>
        <v>9.0612899999999996</v>
      </c>
      <c r="I1385" s="44"/>
      <c r="J1385" s="34">
        <v>0</v>
      </c>
    </row>
    <row r="1386" spans="1:10" ht="15.75" hidden="1" thickBot="1" x14ac:dyDescent="0.3">
      <c r="A1386" s="249"/>
      <c r="B1386" s="252"/>
      <c r="C1386" s="40" t="s">
        <v>3770</v>
      </c>
      <c r="D1386" s="40" t="s">
        <v>3752</v>
      </c>
      <c r="E1386" s="41">
        <v>0.18</v>
      </c>
      <c r="F1386" s="35">
        <v>21.954499999999999</v>
      </c>
      <c r="G1386" s="38">
        <f t="shared" si="22"/>
        <v>3.9518099999999996</v>
      </c>
      <c r="H1386" s="39"/>
      <c r="I1386" s="35"/>
      <c r="J1386" s="34">
        <v>0</v>
      </c>
    </row>
    <row r="1387" spans="1:10" ht="15.75" hidden="1" thickBot="1" x14ac:dyDescent="0.3">
      <c r="A1387" s="249"/>
      <c r="B1387" s="252"/>
      <c r="C1387" s="40" t="s">
        <v>3760</v>
      </c>
      <c r="D1387" s="40" t="s">
        <v>3752</v>
      </c>
      <c r="E1387" s="41">
        <v>0.18</v>
      </c>
      <c r="F1387" s="35">
        <v>28.385999999999999</v>
      </c>
      <c r="G1387" s="38">
        <f t="shared" si="22"/>
        <v>5.1094799999999996</v>
      </c>
      <c r="H1387" s="39"/>
      <c r="I1387" s="35"/>
      <c r="J1387" s="34">
        <v>0</v>
      </c>
    </row>
    <row r="1388" spans="1:10" ht="15.75" hidden="1" thickBot="1" x14ac:dyDescent="0.3">
      <c r="A1388" s="250"/>
      <c r="B1388" s="253"/>
      <c r="C1388" s="40"/>
      <c r="D1388" s="40"/>
      <c r="E1388" s="41"/>
      <c r="F1388" s="35" t="s">
        <v>23</v>
      </c>
      <c r="G1388" s="35" t="str">
        <f t="shared" si="22"/>
        <v/>
      </c>
      <c r="H1388" s="39"/>
      <c r="I1388" s="35"/>
      <c r="J1388" s="34">
        <v>0</v>
      </c>
    </row>
    <row r="1389" spans="1:10" ht="15.75" hidden="1" thickBot="1" x14ac:dyDescent="0.3">
      <c r="A1389" s="248" t="s">
        <v>336</v>
      </c>
      <c r="B1389" s="251" t="s">
        <v>2274</v>
      </c>
      <c r="C1389" s="28"/>
      <c r="D1389" s="29" t="s">
        <v>28</v>
      </c>
      <c r="E1389" s="30"/>
      <c r="F1389" s="45" t="s">
        <v>23</v>
      </c>
      <c r="G1389" s="31" t="str">
        <f t="shared" si="22"/>
        <v/>
      </c>
      <c r="H1389" s="32"/>
      <c r="I1389" s="33"/>
      <c r="J1389" s="34">
        <v>0</v>
      </c>
    </row>
    <row r="1390" spans="1:10" ht="15.75" hidden="1" thickBot="1" x14ac:dyDescent="0.3">
      <c r="A1390" s="249"/>
      <c r="B1390" s="252"/>
      <c r="C1390" s="36"/>
      <c r="D1390" s="36"/>
      <c r="E1390" s="37"/>
      <c r="F1390" s="46" t="s">
        <v>23</v>
      </c>
      <c r="G1390" s="35" t="str">
        <f t="shared" si="22"/>
        <v/>
      </c>
      <c r="H1390" s="39"/>
      <c r="I1390" s="35"/>
      <c r="J1390" s="34">
        <v>0</v>
      </c>
    </row>
    <row r="1391" spans="1:10" ht="15.75" hidden="1" thickBot="1" x14ac:dyDescent="0.3">
      <c r="A1391" s="249"/>
      <c r="B1391" s="252"/>
      <c r="C1391" s="40" t="s">
        <v>3770</v>
      </c>
      <c r="D1391" s="40" t="s">
        <v>3752</v>
      </c>
      <c r="E1391" s="41">
        <v>0.52539999999999998</v>
      </c>
      <c r="F1391" s="35">
        <v>21.954499999999999</v>
      </c>
      <c r="G1391" s="38">
        <f t="shared" si="22"/>
        <v>11.534894299999999</v>
      </c>
      <c r="H1391" s="43">
        <f>SUM(G1391:G1394)</f>
        <v>41.990898700000002</v>
      </c>
      <c r="I1391" s="44"/>
      <c r="J1391" s="34">
        <v>0</v>
      </c>
    </row>
    <row r="1392" spans="1:10" ht="15.75" hidden="1" thickBot="1" x14ac:dyDescent="0.3">
      <c r="A1392" s="249"/>
      <c r="B1392" s="252"/>
      <c r="C1392" s="40" t="s">
        <v>3760</v>
      </c>
      <c r="D1392" s="40" t="s">
        <v>3752</v>
      </c>
      <c r="E1392" s="41">
        <v>0.52539999999999998</v>
      </c>
      <c r="F1392" s="35">
        <v>28.385999999999999</v>
      </c>
      <c r="G1392" s="38">
        <f t="shared" si="22"/>
        <v>14.9140044</v>
      </c>
      <c r="H1392" s="39"/>
      <c r="I1392" s="35"/>
      <c r="J1392" s="34">
        <v>0</v>
      </c>
    </row>
    <row r="1393" spans="1:10" ht="39" hidden="1" thickBot="1" x14ac:dyDescent="0.3">
      <c r="A1393" s="249"/>
      <c r="B1393" s="252"/>
      <c r="C1393" s="40" t="s">
        <v>4148</v>
      </c>
      <c r="D1393" s="40" t="s">
        <v>291</v>
      </c>
      <c r="E1393" s="41">
        <v>2</v>
      </c>
      <c r="F1393" s="38">
        <v>0.35149999999999998</v>
      </c>
      <c r="G1393" s="38">
        <f t="shared" si="22"/>
        <v>0.70299999999999996</v>
      </c>
      <c r="H1393" s="39"/>
      <c r="I1393" s="35"/>
      <c r="J1393" s="34">
        <v>0</v>
      </c>
    </row>
    <row r="1394" spans="1:10" ht="26.25" hidden="1" thickBot="1" x14ac:dyDescent="0.3">
      <c r="A1394" s="249"/>
      <c r="B1394" s="252"/>
      <c r="C1394" s="40" t="s">
        <v>3892</v>
      </c>
      <c r="D1394" s="40" t="s">
        <v>291</v>
      </c>
      <c r="E1394" s="41">
        <v>1</v>
      </c>
      <c r="F1394" s="38">
        <v>14.838999999999999</v>
      </c>
      <c r="G1394" s="35">
        <f t="shared" si="22"/>
        <v>14.838999999999999</v>
      </c>
      <c r="H1394" s="39"/>
      <c r="I1394" s="35"/>
      <c r="J1394" s="34">
        <v>0</v>
      </c>
    </row>
    <row r="1395" spans="1:10" ht="15.75" hidden="1" thickBot="1" x14ac:dyDescent="0.3">
      <c r="A1395" s="250"/>
      <c r="B1395" s="253"/>
      <c r="C1395" s="40"/>
      <c r="D1395" s="40"/>
      <c r="E1395" s="41"/>
      <c r="F1395" s="35" t="s">
        <v>23</v>
      </c>
      <c r="G1395" s="35" t="str">
        <f t="shared" si="22"/>
        <v/>
      </c>
      <c r="H1395" s="39"/>
      <c r="I1395" s="35"/>
      <c r="J1395" s="34">
        <v>0</v>
      </c>
    </row>
    <row r="1396" spans="1:10" ht="15.75" hidden="1" thickBot="1" x14ac:dyDescent="0.3">
      <c r="A1396" s="248" t="s">
        <v>337</v>
      </c>
      <c r="B1396" s="251" t="s">
        <v>2275</v>
      </c>
      <c r="C1396" s="28"/>
      <c r="D1396" s="29" t="s">
        <v>121</v>
      </c>
      <c r="E1396" s="30"/>
      <c r="F1396" s="45" t="s">
        <v>23</v>
      </c>
      <c r="G1396" s="31" t="str">
        <f t="shared" si="22"/>
        <v/>
      </c>
      <c r="H1396" s="32"/>
      <c r="I1396" s="33"/>
      <c r="J1396" s="34">
        <v>0</v>
      </c>
    </row>
    <row r="1397" spans="1:10" ht="15.75" hidden="1" thickBot="1" x14ac:dyDescent="0.3">
      <c r="A1397" s="249"/>
      <c r="B1397" s="252"/>
      <c r="C1397" s="36"/>
      <c r="D1397" s="36"/>
      <c r="E1397" s="37"/>
      <c r="F1397" s="46" t="s">
        <v>23</v>
      </c>
      <c r="G1397" s="35" t="str">
        <f t="shared" si="22"/>
        <v/>
      </c>
      <c r="H1397" s="39"/>
      <c r="I1397" s="35"/>
      <c r="J1397" s="34">
        <v>0</v>
      </c>
    </row>
    <row r="1398" spans="1:10" ht="15.75" hidden="1" thickBot="1" x14ac:dyDescent="0.3">
      <c r="A1398" s="249"/>
      <c r="B1398" s="252"/>
      <c r="C1398" s="40" t="s">
        <v>3760</v>
      </c>
      <c r="D1398" s="40" t="s">
        <v>3752</v>
      </c>
      <c r="E1398" s="41">
        <v>0.45</v>
      </c>
      <c r="F1398" s="35">
        <v>28.385999999999999</v>
      </c>
      <c r="G1398" s="35">
        <f t="shared" si="22"/>
        <v>12.7737</v>
      </c>
      <c r="H1398" s="43">
        <f>SUM(G1398:G1409)</f>
        <v>23.8702282</v>
      </c>
      <c r="I1398" s="44"/>
      <c r="J1398" s="34">
        <v>0</v>
      </c>
    </row>
    <row r="1399" spans="1:10" ht="15.75" hidden="1" thickBot="1" x14ac:dyDescent="0.3">
      <c r="A1399" s="249"/>
      <c r="B1399" s="252"/>
      <c r="C1399" s="40" t="s">
        <v>3770</v>
      </c>
      <c r="D1399" s="40" t="s">
        <v>3752</v>
      </c>
      <c r="E1399" s="41">
        <v>0.45</v>
      </c>
      <c r="F1399" s="35">
        <v>21.954499999999999</v>
      </c>
      <c r="G1399" s="35">
        <f t="shared" si="22"/>
        <v>9.8795249999999992</v>
      </c>
      <c r="H1399" s="39"/>
      <c r="I1399" s="35"/>
      <c r="J1399" s="34">
        <v>0</v>
      </c>
    </row>
    <row r="1400" spans="1:10" ht="26.25" hidden="1" thickBot="1" x14ac:dyDescent="0.3">
      <c r="A1400" s="249"/>
      <c r="B1400" s="252"/>
      <c r="C1400" s="40" t="s">
        <v>338</v>
      </c>
      <c r="D1400" s="40" t="s">
        <v>102</v>
      </c>
      <c r="E1400" s="41">
        <v>0.67</v>
      </c>
      <c r="F1400" s="35">
        <v>0</v>
      </c>
      <c r="G1400" s="35">
        <f t="shared" si="22"/>
        <v>0</v>
      </c>
      <c r="H1400" s="71"/>
      <c r="I1400" s="1"/>
      <c r="J1400" s="34">
        <v>0</v>
      </c>
    </row>
    <row r="1401" spans="1:10" ht="26.25" hidden="1" thickBot="1" x14ac:dyDescent="0.3">
      <c r="A1401" s="249"/>
      <c r="B1401" s="252"/>
      <c r="C1401" s="40" t="s">
        <v>339</v>
      </c>
      <c r="D1401" s="40" t="s">
        <v>121</v>
      </c>
      <c r="E1401" s="41">
        <v>1.05</v>
      </c>
      <c r="F1401" s="38" t="s">
        <v>23</v>
      </c>
      <c r="G1401" s="35" t="str">
        <f t="shared" si="22"/>
        <v/>
      </c>
      <c r="H1401" s="39"/>
      <c r="I1401" s="35"/>
      <c r="J1401" s="34">
        <v>0</v>
      </c>
    </row>
    <row r="1402" spans="1:10" ht="15.75" hidden="1" thickBot="1" x14ac:dyDescent="0.3">
      <c r="A1402" s="249"/>
      <c r="B1402" s="252"/>
      <c r="C1402" s="40" t="s">
        <v>340</v>
      </c>
      <c r="D1402" s="40" t="s">
        <v>121</v>
      </c>
      <c r="E1402" s="41">
        <v>0.8</v>
      </c>
      <c r="F1402" s="35">
        <v>0</v>
      </c>
      <c r="G1402" s="35">
        <f t="shared" si="22"/>
        <v>0</v>
      </c>
      <c r="H1402" s="39"/>
      <c r="I1402" s="35"/>
      <c r="J1402" s="34">
        <v>0</v>
      </c>
    </row>
    <row r="1403" spans="1:10" ht="15.75" hidden="1" thickBot="1" x14ac:dyDescent="0.3">
      <c r="A1403" s="249"/>
      <c r="B1403" s="252"/>
      <c r="C1403" s="40" t="s">
        <v>3893</v>
      </c>
      <c r="D1403" s="40" t="s">
        <v>291</v>
      </c>
      <c r="E1403" s="41">
        <v>4.0033000000000003</v>
      </c>
      <c r="F1403" s="38">
        <v>0.30399999999999999</v>
      </c>
      <c r="G1403" s="35">
        <f t="shared" si="22"/>
        <v>1.2170032</v>
      </c>
      <c r="H1403" s="39"/>
      <c r="I1403" s="35"/>
      <c r="J1403" s="34">
        <v>0</v>
      </c>
    </row>
    <row r="1404" spans="1:10" ht="15.75" hidden="1" thickBot="1" x14ac:dyDescent="0.3">
      <c r="A1404" s="249"/>
      <c r="B1404" s="252"/>
      <c r="C1404" s="40" t="s">
        <v>341</v>
      </c>
      <c r="D1404" s="40" t="s">
        <v>102</v>
      </c>
      <c r="E1404" s="41">
        <v>4.0033000000000003</v>
      </c>
      <c r="F1404" s="35">
        <v>0</v>
      </c>
      <c r="G1404" s="35">
        <f t="shared" si="22"/>
        <v>0</v>
      </c>
      <c r="H1404" s="39"/>
      <c r="I1404" s="35"/>
      <c r="J1404" s="34">
        <v>0</v>
      </c>
    </row>
    <row r="1405" spans="1:10" ht="15.75" hidden="1" thickBot="1" x14ac:dyDescent="0.3">
      <c r="A1405" s="249"/>
      <c r="B1405" s="252"/>
      <c r="C1405" s="40" t="s">
        <v>342</v>
      </c>
      <c r="D1405" s="40" t="s">
        <v>102</v>
      </c>
      <c r="E1405" s="41">
        <v>0.67</v>
      </c>
      <c r="F1405" s="35">
        <v>0</v>
      </c>
      <c r="G1405" s="35">
        <f t="shared" si="22"/>
        <v>0</v>
      </c>
      <c r="H1405" s="39"/>
      <c r="I1405" s="35"/>
      <c r="J1405" s="34">
        <v>0</v>
      </c>
    </row>
    <row r="1406" spans="1:10" ht="15.75" hidden="1" thickBot="1" x14ac:dyDescent="0.3">
      <c r="A1406" s="249"/>
      <c r="B1406" s="252"/>
      <c r="C1406" s="40" t="s">
        <v>343</v>
      </c>
      <c r="D1406" s="40" t="s">
        <v>102</v>
      </c>
      <c r="E1406" s="41">
        <v>0.67</v>
      </c>
      <c r="F1406" s="35">
        <v>0</v>
      </c>
      <c r="G1406" s="35">
        <f t="shared" si="22"/>
        <v>0</v>
      </c>
      <c r="H1406" s="39"/>
      <c r="I1406" s="35"/>
      <c r="J1406" s="34">
        <v>0</v>
      </c>
    </row>
    <row r="1407" spans="1:10" ht="15.75" hidden="1" thickBot="1" x14ac:dyDescent="0.3">
      <c r="A1407" s="249"/>
      <c r="B1407" s="252"/>
      <c r="C1407" s="40" t="s">
        <v>344</v>
      </c>
      <c r="D1407" s="40" t="s">
        <v>28</v>
      </c>
      <c r="E1407" s="41">
        <v>2.67</v>
      </c>
      <c r="F1407" s="35">
        <v>0</v>
      </c>
      <c r="G1407" s="35">
        <f t="shared" si="22"/>
        <v>0</v>
      </c>
      <c r="H1407" s="39"/>
      <c r="I1407" s="35"/>
      <c r="J1407" s="34">
        <v>0</v>
      </c>
    </row>
    <row r="1408" spans="1:10" ht="15.75" hidden="1" thickBot="1" x14ac:dyDescent="0.3">
      <c r="A1408" s="249"/>
      <c r="B1408" s="252"/>
      <c r="C1408" s="40" t="s">
        <v>345</v>
      </c>
      <c r="D1408" s="40" t="s">
        <v>102</v>
      </c>
      <c r="E1408" s="41">
        <v>0.66669999999999996</v>
      </c>
      <c r="F1408" s="35">
        <v>0</v>
      </c>
      <c r="G1408" s="35">
        <f t="shared" si="22"/>
        <v>0</v>
      </c>
      <c r="H1408" s="39"/>
      <c r="I1408" s="35"/>
      <c r="J1408" s="34">
        <v>0</v>
      </c>
    </row>
    <row r="1409" spans="1:10" ht="26.25" hidden="1" thickBot="1" x14ac:dyDescent="0.3">
      <c r="A1409" s="249"/>
      <c r="B1409" s="252"/>
      <c r="C1409" s="40" t="s">
        <v>346</v>
      </c>
      <c r="D1409" s="40" t="s">
        <v>121</v>
      </c>
      <c r="E1409" s="41">
        <v>1.05</v>
      </c>
      <c r="F1409" s="38" t="s">
        <v>23</v>
      </c>
      <c r="G1409" s="35" t="str">
        <f t="shared" si="22"/>
        <v/>
      </c>
      <c r="H1409" s="39"/>
      <c r="I1409" s="35"/>
      <c r="J1409" s="34">
        <v>0</v>
      </c>
    </row>
    <row r="1410" spans="1:10" ht="15.75" hidden="1" thickBot="1" x14ac:dyDescent="0.3">
      <c r="A1410" s="250"/>
      <c r="B1410" s="253"/>
      <c r="C1410" s="40"/>
      <c r="D1410" s="40"/>
      <c r="E1410" s="41"/>
      <c r="F1410" s="35" t="s">
        <v>23</v>
      </c>
      <c r="G1410" s="35" t="str">
        <f t="shared" si="22"/>
        <v/>
      </c>
      <c r="H1410" s="39"/>
      <c r="I1410" s="35"/>
      <c r="J1410" s="34">
        <v>0</v>
      </c>
    </row>
    <row r="1411" spans="1:10" ht="15.75" hidden="1" thickBot="1" x14ac:dyDescent="0.3">
      <c r="A1411" s="248" t="s">
        <v>347</v>
      </c>
      <c r="B1411" s="251" t="s">
        <v>2276</v>
      </c>
      <c r="C1411" s="28"/>
      <c r="D1411" s="29" t="s">
        <v>121</v>
      </c>
      <c r="E1411" s="30"/>
      <c r="F1411" s="45" t="s">
        <v>23</v>
      </c>
      <c r="G1411" s="31" t="str">
        <f t="shared" si="22"/>
        <v/>
      </c>
      <c r="H1411" s="32"/>
      <c r="I1411" s="33"/>
      <c r="J1411" s="34">
        <v>0</v>
      </c>
    </row>
    <row r="1412" spans="1:10" ht="15.75" hidden="1" thickBot="1" x14ac:dyDescent="0.3">
      <c r="A1412" s="249"/>
      <c r="B1412" s="252"/>
      <c r="C1412" s="36"/>
      <c r="D1412" s="36"/>
      <c r="E1412" s="37"/>
      <c r="F1412" s="46" t="s">
        <v>23</v>
      </c>
      <c r="G1412" s="35" t="str">
        <f t="shared" si="22"/>
        <v/>
      </c>
      <c r="H1412" s="39"/>
      <c r="I1412" s="35"/>
      <c r="J1412" s="34">
        <v>0</v>
      </c>
    </row>
    <row r="1413" spans="1:10" ht="15.75" hidden="1" thickBot="1" x14ac:dyDescent="0.3">
      <c r="A1413" s="249"/>
      <c r="B1413" s="252"/>
      <c r="C1413" s="40" t="s">
        <v>3760</v>
      </c>
      <c r="D1413" s="40" t="s">
        <v>3752</v>
      </c>
      <c r="E1413" s="41">
        <v>0.6</v>
      </c>
      <c r="F1413" s="35">
        <v>28.385999999999999</v>
      </c>
      <c r="G1413" s="35">
        <f t="shared" si="22"/>
        <v>17.031599999999997</v>
      </c>
      <c r="H1413" s="43">
        <f>SUM(G1413:G1424)</f>
        <v>31.826656799999995</v>
      </c>
      <c r="I1413" s="44"/>
      <c r="J1413" s="34">
        <v>0</v>
      </c>
    </row>
    <row r="1414" spans="1:10" ht="15.75" hidden="1" thickBot="1" x14ac:dyDescent="0.3">
      <c r="A1414" s="249"/>
      <c r="B1414" s="252"/>
      <c r="C1414" s="40" t="s">
        <v>3770</v>
      </c>
      <c r="D1414" s="40" t="s">
        <v>3752</v>
      </c>
      <c r="E1414" s="41">
        <v>0.6</v>
      </c>
      <c r="F1414" s="35">
        <v>21.954499999999999</v>
      </c>
      <c r="G1414" s="35">
        <f t="shared" si="22"/>
        <v>13.172699999999999</v>
      </c>
      <c r="H1414" s="39"/>
      <c r="I1414" s="35"/>
      <c r="J1414" s="34">
        <v>0</v>
      </c>
    </row>
    <row r="1415" spans="1:10" ht="26.25" hidden="1" thickBot="1" x14ac:dyDescent="0.3">
      <c r="A1415" s="249"/>
      <c r="B1415" s="252"/>
      <c r="C1415" s="40" t="s">
        <v>338</v>
      </c>
      <c r="D1415" s="40" t="s">
        <v>102</v>
      </c>
      <c r="E1415" s="41">
        <v>1.3332999999999999</v>
      </c>
      <c r="F1415" s="35">
        <v>0</v>
      </c>
      <c r="G1415" s="35">
        <f t="shared" si="22"/>
        <v>0</v>
      </c>
      <c r="H1415" s="71"/>
      <c r="I1415" s="1"/>
      <c r="J1415" s="34">
        <v>0</v>
      </c>
    </row>
    <row r="1416" spans="1:10" ht="26.25" hidden="1" thickBot="1" x14ac:dyDescent="0.3">
      <c r="A1416" s="249"/>
      <c r="B1416" s="252"/>
      <c r="C1416" s="40" t="s">
        <v>348</v>
      </c>
      <c r="D1416" s="40" t="s">
        <v>121</v>
      </c>
      <c r="E1416" s="41">
        <v>1.05</v>
      </c>
      <c r="F1416" s="38" t="s">
        <v>23</v>
      </c>
      <c r="G1416" s="35" t="str">
        <f t="shared" si="22"/>
        <v/>
      </c>
      <c r="H1416" s="39"/>
      <c r="I1416" s="35"/>
      <c r="J1416" s="34">
        <v>0</v>
      </c>
    </row>
    <row r="1417" spans="1:10" ht="15.75" hidden="1" thickBot="1" x14ac:dyDescent="0.3">
      <c r="A1417" s="249"/>
      <c r="B1417" s="252"/>
      <c r="C1417" s="40" t="s">
        <v>340</v>
      </c>
      <c r="D1417" s="40" t="s">
        <v>121</v>
      </c>
      <c r="E1417" s="41">
        <v>1.6</v>
      </c>
      <c r="F1417" s="35">
        <v>0</v>
      </c>
      <c r="G1417" s="35">
        <f t="shared" si="22"/>
        <v>0</v>
      </c>
      <c r="H1417" s="39"/>
      <c r="I1417" s="35"/>
      <c r="J1417" s="34">
        <v>0</v>
      </c>
    </row>
    <row r="1418" spans="1:10" ht="15.75" hidden="1" thickBot="1" x14ac:dyDescent="0.3">
      <c r="A1418" s="249"/>
      <c r="B1418" s="252"/>
      <c r="C1418" s="40" t="s">
        <v>3893</v>
      </c>
      <c r="D1418" s="40" t="s">
        <v>291</v>
      </c>
      <c r="E1418" s="41">
        <v>5.3367000000000004</v>
      </c>
      <c r="F1418" s="38">
        <v>0.30399999999999999</v>
      </c>
      <c r="G1418" s="35">
        <f t="shared" si="22"/>
        <v>1.6223568000000002</v>
      </c>
      <c r="H1418" s="39"/>
      <c r="I1418" s="35"/>
      <c r="J1418" s="34">
        <v>0</v>
      </c>
    </row>
    <row r="1419" spans="1:10" ht="15.75" hidden="1" thickBot="1" x14ac:dyDescent="0.3">
      <c r="A1419" s="249"/>
      <c r="B1419" s="252"/>
      <c r="C1419" s="40" t="s">
        <v>341</v>
      </c>
      <c r="D1419" s="40" t="s">
        <v>102</v>
      </c>
      <c r="E1419" s="41">
        <v>5.34</v>
      </c>
      <c r="F1419" s="35">
        <v>0</v>
      </c>
      <c r="G1419" s="35">
        <f t="shared" si="22"/>
        <v>0</v>
      </c>
      <c r="H1419" s="39"/>
      <c r="I1419" s="35"/>
      <c r="J1419" s="34">
        <v>0</v>
      </c>
    </row>
    <row r="1420" spans="1:10" ht="15.75" hidden="1" thickBot="1" x14ac:dyDescent="0.3">
      <c r="A1420" s="249"/>
      <c r="B1420" s="252"/>
      <c r="C1420" s="40" t="s">
        <v>349</v>
      </c>
      <c r="D1420" s="40" t="s">
        <v>102</v>
      </c>
      <c r="E1420" s="41">
        <v>0.67</v>
      </c>
      <c r="F1420" s="35">
        <v>0</v>
      </c>
      <c r="G1420" s="35">
        <f t="shared" si="22"/>
        <v>0</v>
      </c>
      <c r="H1420" s="39"/>
      <c r="I1420" s="35"/>
      <c r="J1420" s="34">
        <v>0</v>
      </c>
    </row>
    <row r="1421" spans="1:10" ht="15.75" hidden="1" thickBot="1" x14ac:dyDescent="0.3">
      <c r="A1421" s="249"/>
      <c r="B1421" s="252"/>
      <c r="C1421" s="40" t="s">
        <v>343</v>
      </c>
      <c r="D1421" s="40" t="s">
        <v>102</v>
      </c>
      <c r="E1421" s="41">
        <v>1.3332999999999999</v>
      </c>
      <c r="F1421" s="35">
        <v>0</v>
      </c>
      <c r="G1421" s="35">
        <f t="shared" si="22"/>
        <v>0</v>
      </c>
      <c r="H1421" s="39"/>
      <c r="I1421" s="35"/>
      <c r="J1421" s="34">
        <v>0</v>
      </c>
    </row>
    <row r="1422" spans="1:10" ht="15.75" hidden="1" thickBot="1" x14ac:dyDescent="0.3">
      <c r="A1422" s="249"/>
      <c r="B1422" s="252"/>
      <c r="C1422" s="40" t="s">
        <v>344</v>
      </c>
      <c r="D1422" s="40" t="s">
        <v>28</v>
      </c>
      <c r="E1422" s="41">
        <v>2.67</v>
      </c>
      <c r="F1422" s="35">
        <v>0</v>
      </c>
      <c r="G1422" s="35">
        <f t="shared" si="22"/>
        <v>0</v>
      </c>
      <c r="H1422" s="39"/>
      <c r="I1422" s="35"/>
      <c r="J1422" s="34">
        <v>0</v>
      </c>
    </row>
    <row r="1423" spans="1:10" ht="15.75" hidden="1" thickBot="1" x14ac:dyDescent="0.3">
      <c r="A1423" s="249"/>
      <c r="B1423" s="252"/>
      <c r="C1423" s="40" t="s">
        <v>350</v>
      </c>
      <c r="D1423" s="40" t="s">
        <v>102</v>
      </c>
      <c r="E1423" s="41">
        <v>0.67</v>
      </c>
      <c r="F1423" s="35">
        <v>0</v>
      </c>
      <c r="G1423" s="35">
        <f t="shared" si="22"/>
        <v>0</v>
      </c>
      <c r="H1423" s="39"/>
      <c r="I1423" s="35"/>
      <c r="J1423" s="34">
        <v>0</v>
      </c>
    </row>
    <row r="1424" spans="1:10" ht="26.25" hidden="1" thickBot="1" x14ac:dyDescent="0.3">
      <c r="A1424" s="249"/>
      <c r="B1424" s="252"/>
      <c r="C1424" s="40" t="s">
        <v>351</v>
      </c>
      <c r="D1424" s="40" t="s">
        <v>121</v>
      </c>
      <c r="E1424" s="41">
        <v>1.05</v>
      </c>
      <c r="F1424" s="38" t="s">
        <v>23</v>
      </c>
      <c r="G1424" s="35" t="str">
        <f t="shared" si="22"/>
        <v/>
      </c>
      <c r="H1424" s="39"/>
      <c r="I1424" s="35"/>
      <c r="J1424" s="34">
        <v>0</v>
      </c>
    </row>
    <row r="1425" spans="1:10" ht="15.75" hidden="1" thickBot="1" x14ac:dyDescent="0.3">
      <c r="A1425" s="250"/>
      <c r="B1425" s="253"/>
      <c r="C1425" s="40"/>
      <c r="D1425" s="40"/>
      <c r="E1425" s="41"/>
      <c r="F1425" s="35" t="s">
        <v>23</v>
      </c>
      <c r="G1425" s="35" t="str">
        <f t="shared" si="22"/>
        <v/>
      </c>
      <c r="H1425" s="39"/>
      <c r="I1425" s="35"/>
      <c r="J1425" s="34">
        <v>0</v>
      </c>
    </row>
    <row r="1426" spans="1:10" ht="15.75" hidden="1" thickBot="1" x14ac:dyDescent="0.3">
      <c r="A1426" s="248" t="s">
        <v>352</v>
      </c>
      <c r="B1426" s="251" t="s">
        <v>2277</v>
      </c>
      <c r="C1426" s="28"/>
      <c r="D1426" s="29" t="s">
        <v>121</v>
      </c>
      <c r="E1426" s="30"/>
      <c r="F1426" s="45" t="s">
        <v>23</v>
      </c>
      <c r="G1426" s="31" t="str">
        <f t="shared" ref="G1426:G1489" si="23">IF(ISNUMBER(F1426),E1426*F1426,"")</f>
        <v/>
      </c>
      <c r="H1426" s="32"/>
      <c r="I1426" s="33"/>
      <c r="J1426" s="34">
        <v>0</v>
      </c>
    </row>
    <row r="1427" spans="1:10" ht="15.75" hidden="1" thickBot="1" x14ac:dyDescent="0.3">
      <c r="A1427" s="249"/>
      <c r="B1427" s="252"/>
      <c r="C1427" s="36"/>
      <c r="D1427" s="36"/>
      <c r="E1427" s="37"/>
      <c r="F1427" s="46" t="s">
        <v>23</v>
      </c>
      <c r="G1427" s="35" t="str">
        <f t="shared" si="23"/>
        <v/>
      </c>
      <c r="H1427" s="39"/>
      <c r="I1427" s="35"/>
      <c r="J1427" s="34">
        <v>0</v>
      </c>
    </row>
    <row r="1428" spans="1:10" ht="15.75" hidden="1" thickBot="1" x14ac:dyDescent="0.3">
      <c r="A1428" s="249"/>
      <c r="B1428" s="252"/>
      <c r="C1428" s="40" t="s">
        <v>3760</v>
      </c>
      <c r="D1428" s="40" t="s">
        <v>3752</v>
      </c>
      <c r="E1428" s="41">
        <v>0.5</v>
      </c>
      <c r="F1428" s="35">
        <v>28.385999999999999</v>
      </c>
      <c r="G1428" s="35">
        <f t="shared" si="23"/>
        <v>14.193</v>
      </c>
      <c r="H1428" s="43">
        <f>SUM(G1428:G1439)</f>
        <v>26.792606799999998</v>
      </c>
      <c r="I1428" s="44"/>
      <c r="J1428" s="34">
        <v>0</v>
      </c>
    </row>
    <row r="1429" spans="1:10" ht="15.75" hidden="1" thickBot="1" x14ac:dyDescent="0.3">
      <c r="A1429" s="249"/>
      <c r="B1429" s="252"/>
      <c r="C1429" s="40" t="s">
        <v>3770</v>
      </c>
      <c r="D1429" s="40" t="s">
        <v>3752</v>
      </c>
      <c r="E1429" s="41">
        <v>0.5</v>
      </c>
      <c r="F1429" s="35">
        <v>21.954499999999999</v>
      </c>
      <c r="G1429" s="35">
        <f t="shared" si="23"/>
        <v>10.97725</v>
      </c>
      <c r="H1429" s="39"/>
      <c r="I1429" s="35"/>
      <c r="J1429" s="34">
        <v>0</v>
      </c>
    </row>
    <row r="1430" spans="1:10" ht="26.25" hidden="1" thickBot="1" x14ac:dyDescent="0.3">
      <c r="A1430" s="249"/>
      <c r="B1430" s="252"/>
      <c r="C1430" s="40" t="s">
        <v>338</v>
      </c>
      <c r="D1430" s="40" t="s">
        <v>102</v>
      </c>
      <c r="E1430" s="41">
        <v>1.3332999999999999</v>
      </c>
      <c r="F1430" s="35">
        <v>0</v>
      </c>
      <c r="G1430" s="35">
        <f t="shared" si="23"/>
        <v>0</v>
      </c>
      <c r="H1430" s="71"/>
      <c r="I1430" s="1"/>
      <c r="J1430" s="34">
        <v>0</v>
      </c>
    </row>
    <row r="1431" spans="1:10" ht="26.25" hidden="1" thickBot="1" x14ac:dyDescent="0.3">
      <c r="A1431" s="249"/>
      <c r="B1431" s="252"/>
      <c r="C1431" s="40" t="s">
        <v>353</v>
      </c>
      <c r="D1431" s="40" t="s">
        <v>121</v>
      </c>
      <c r="E1431" s="41">
        <v>1.05</v>
      </c>
      <c r="F1431" s="38" t="s">
        <v>23</v>
      </c>
      <c r="G1431" s="35" t="str">
        <f t="shared" si="23"/>
        <v/>
      </c>
      <c r="H1431" s="39"/>
      <c r="I1431" s="35"/>
      <c r="J1431" s="34">
        <v>0</v>
      </c>
    </row>
    <row r="1432" spans="1:10" ht="15.75" hidden="1" thickBot="1" x14ac:dyDescent="0.3">
      <c r="A1432" s="249"/>
      <c r="B1432" s="252"/>
      <c r="C1432" s="40" t="s">
        <v>340</v>
      </c>
      <c r="D1432" s="40" t="s">
        <v>121</v>
      </c>
      <c r="E1432" s="41">
        <v>1.6</v>
      </c>
      <c r="F1432" s="35">
        <v>0</v>
      </c>
      <c r="G1432" s="35">
        <f t="shared" si="23"/>
        <v>0</v>
      </c>
      <c r="H1432" s="39"/>
      <c r="I1432" s="35"/>
      <c r="J1432" s="34">
        <v>0</v>
      </c>
    </row>
    <row r="1433" spans="1:10" ht="15.75" hidden="1" thickBot="1" x14ac:dyDescent="0.3">
      <c r="A1433" s="249"/>
      <c r="B1433" s="252"/>
      <c r="C1433" s="40" t="s">
        <v>3893</v>
      </c>
      <c r="D1433" s="40" t="s">
        <v>291</v>
      </c>
      <c r="E1433" s="41">
        <v>5.3367000000000004</v>
      </c>
      <c r="F1433" s="38">
        <v>0.30399999999999999</v>
      </c>
      <c r="G1433" s="35">
        <f t="shared" si="23"/>
        <v>1.6223568000000002</v>
      </c>
      <c r="H1433" s="39"/>
      <c r="I1433" s="35"/>
      <c r="J1433" s="34">
        <v>0</v>
      </c>
    </row>
    <row r="1434" spans="1:10" ht="15.75" hidden="1" thickBot="1" x14ac:dyDescent="0.3">
      <c r="A1434" s="249"/>
      <c r="B1434" s="252"/>
      <c r="C1434" s="40" t="s">
        <v>341</v>
      </c>
      <c r="D1434" s="40" t="s">
        <v>102</v>
      </c>
      <c r="E1434" s="41">
        <v>5.34</v>
      </c>
      <c r="F1434" s="35">
        <v>0</v>
      </c>
      <c r="G1434" s="35">
        <f t="shared" si="23"/>
        <v>0</v>
      </c>
      <c r="H1434" s="39"/>
      <c r="I1434" s="35"/>
      <c r="J1434" s="34">
        <v>0</v>
      </c>
    </row>
    <row r="1435" spans="1:10" ht="15.75" hidden="1" thickBot="1" x14ac:dyDescent="0.3">
      <c r="A1435" s="249"/>
      <c r="B1435" s="252"/>
      <c r="C1435" s="40" t="s">
        <v>354</v>
      </c>
      <c r="D1435" s="40" t="s">
        <v>102</v>
      </c>
      <c r="E1435" s="41">
        <v>0.67</v>
      </c>
      <c r="F1435" s="35">
        <v>0</v>
      </c>
      <c r="G1435" s="35">
        <f t="shared" si="23"/>
        <v>0</v>
      </c>
      <c r="H1435" s="39"/>
      <c r="I1435" s="35"/>
      <c r="J1435" s="34">
        <v>0</v>
      </c>
    </row>
    <row r="1436" spans="1:10" ht="15.75" hidden="1" thickBot="1" x14ac:dyDescent="0.3">
      <c r="A1436" s="249"/>
      <c r="B1436" s="252"/>
      <c r="C1436" s="40" t="s">
        <v>343</v>
      </c>
      <c r="D1436" s="40" t="s">
        <v>102</v>
      </c>
      <c r="E1436" s="41">
        <v>1.3332999999999999</v>
      </c>
      <c r="F1436" s="35">
        <v>0</v>
      </c>
      <c r="G1436" s="35">
        <f t="shared" si="23"/>
        <v>0</v>
      </c>
      <c r="H1436" s="39"/>
      <c r="I1436" s="35"/>
      <c r="J1436" s="34">
        <v>0</v>
      </c>
    </row>
    <row r="1437" spans="1:10" ht="15.75" hidden="1" thickBot="1" x14ac:dyDescent="0.3">
      <c r="A1437" s="249"/>
      <c r="B1437" s="252"/>
      <c r="C1437" s="40" t="s">
        <v>344</v>
      </c>
      <c r="D1437" s="40" t="s">
        <v>28</v>
      </c>
      <c r="E1437" s="41">
        <v>2.67</v>
      </c>
      <c r="F1437" s="35">
        <v>0</v>
      </c>
      <c r="G1437" s="35">
        <f t="shared" si="23"/>
        <v>0</v>
      </c>
      <c r="H1437" s="39"/>
      <c r="I1437" s="35"/>
      <c r="J1437" s="34">
        <v>0</v>
      </c>
    </row>
    <row r="1438" spans="1:10" ht="15.75" hidden="1" thickBot="1" x14ac:dyDescent="0.3">
      <c r="A1438" s="249"/>
      <c r="B1438" s="252"/>
      <c r="C1438" s="40" t="s">
        <v>345</v>
      </c>
      <c r="D1438" s="40" t="s">
        <v>102</v>
      </c>
      <c r="E1438" s="41">
        <v>0.67</v>
      </c>
      <c r="F1438" s="35">
        <v>0</v>
      </c>
      <c r="G1438" s="35">
        <f t="shared" si="23"/>
        <v>0</v>
      </c>
      <c r="H1438" s="39"/>
      <c r="I1438" s="35"/>
      <c r="J1438" s="34">
        <v>0</v>
      </c>
    </row>
    <row r="1439" spans="1:10" ht="26.25" hidden="1" thickBot="1" x14ac:dyDescent="0.3">
      <c r="A1439" s="249"/>
      <c r="B1439" s="252"/>
      <c r="C1439" s="40" t="s">
        <v>351</v>
      </c>
      <c r="D1439" s="40" t="s">
        <v>121</v>
      </c>
      <c r="E1439" s="41">
        <v>1.05</v>
      </c>
      <c r="F1439" s="38" t="s">
        <v>23</v>
      </c>
      <c r="G1439" s="35" t="str">
        <f t="shared" si="23"/>
        <v/>
      </c>
      <c r="H1439" s="39"/>
      <c r="I1439" s="35"/>
      <c r="J1439" s="34">
        <v>0</v>
      </c>
    </row>
    <row r="1440" spans="1:10" ht="15.75" hidden="1" thickBot="1" x14ac:dyDescent="0.3">
      <c r="A1440" s="250"/>
      <c r="B1440" s="253"/>
      <c r="C1440" s="40"/>
      <c r="D1440" s="40"/>
      <c r="E1440" s="41"/>
      <c r="F1440" s="35" t="s">
        <v>23</v>
      </c>
      <c r="G1440" s="35" t="str">
        <f t="shared" si="23"/>
        <v/>
      </c>
      <c r="H1440" s="39"/>
      <c r="I1440" s="35"/>
      <c r="J1440" s="34">
        <v>0</v>
      </c>
    </row>
    <row r="1441" spans="1:10" ht="15.75" hidden="1" thickBot="1" x14ac:dyDescent="0.3">
      <c r="A1441" s="248" t="s">
        <v>355</v>
      </c>
      <c r="B1441" s="251" t="s">
        <v>2278</v>
      </c>
      <c r="C1441" s="28"/>
      <c r="D1441" s="29" t="s">
        <v>121</v>
      </c>
      <c r="E1441" s="30"/>
      <c r="F1441" s="45" t="s">
        <v>23</v>
      </c>
      <c r="G1441" s="31" t="str">
        <f t="shared" si="23"/>
        <v/>
      </c>
      <c r="H1441" s="32"/>
      <c r="I1441" s="33"/>
      <c r="J1441" s="34">
        <v>0</v>
      </c>
    </row>
    <row r="1442" spans="1:10" ht="15.75" hidden="1" thickBot="1" x14ac:dyDescent="0.3">
      <c r="A1442" s="249"/>
      <c r="B1442" s="252"/>
      <c r="C1442" s="36"/>
      <c r="D1442" s="36"/>
      <c r="E1442" s="37"/>
      <c r="F1442" s="46" t="s">
        <v>23</v>
      </c>
      <c r="G1442" s="35" t="str">
        <f t="shared" si="23"/>
        <v/>
      </c>
      <c r="H1442" s="39"/>
      <c r="I1442" s="35"/>
      <c r="J1442" s="34">
        <v>0</v>
      </c>
    </row>
    <row r="1443" spans="1:10" ht="15.75" hidden="1" thickBot="1" x14ac:dyDescent="0.3">
      <c r="A1443" s="249"/>
      <c r="B1443" s="252"/>
      <c r="C1443" s="40" t="s">
        <v>3760</v>
      </c>
      <c r="D1443" s="40" t="s">
        <v>3752</v>
      </c>
      <c r="E1443" s="41">
        <v>0.65</v>
      </c>
      <c r="F1443" s="35">
        <v>28.385999999999999</v>
      </c>
      <c r="G1443" s="35">
        <f t="shared" si="23"/>
        <v>18.450900000000001</v>
      </c>
      <c r="H1443" s="43">
        <f>SUM(G1443:G1454)</f>
        <v>34.343681799999999</v>
      </c>
      <c r="I1443" s="44"/>
      <c r="J1443" s="34">
        <v>0</v>
      </c>
    </row>
    <row r="1444" spans="1:10" ht="15.75" hidden="1" thickBot="1" x14ac:dyDescent="0.3">
      <c r="A1444" s="249"/>
      <c r="B1444" s="252"/>
      <c r="C1444" s="40" t="s">
        <v>3770</v>
      </c>
      <c r="D1444" s="40" t="s">
        <v>3752</v>
      </c>
      <c r="E1444" s="41">
        <v>0.65</v>
      </c>
      <c r="F1444" s="35">
        <v>21.954499999999999</v>
      </c>
      <c r="G1444" s="35">
        <f t="shared" si="23"/>
        <v>14.270424999999999</v>
      </c>
      <c r="H1444" s="39"/>
      <c r="I1444" s="35"/>
      <c r="J1444" s="34">
        <v>0</v>
      </c>
    </row>
    <row r="1445" spans="1:10" ht="26.25" hidden="1" thickBot="1" x14ac:dyDescent="0.3">
      <c r="A1445" s="249"/>
      <c r="B1445" s="252"/>
      <c r="C1445" s="40" t="s">
        <v>338</v>
      </c>
      <c r="D1445" s="40" t="s">
        <v>102</v>
      </c>
      <c r="E1445" s="41">
        <v>1.3332999999999999</v>
      </c>
      <c r="F1445" s="35">
        <v>0</v>
      </c>
      <c r="G1445" s="35">
        <f t="shared" si="23"/>
        <v>0</v>
      </c>
      <c r="H1445" s="71"/>
      <c r="I1445" s="1"/>
      <c r="J1445" s="34">
        <v>0</v>
      </c>
    </row>
    <row r="1446" spans="1:10" ht="26.25" hidden="1" thickBot="1" x14ac:dyDescent="0.3">
      <c r="A1446" s="249"/>
      <c r="B1446" s="252"/>
      <c r="C1446" s="40" t="s">
        <v>356</v>
      </c>
      <c r="D1446" s="40" t="s">
        <v>121</v>
      </c>
      <c r="E1446" s="41">
        <v>1.05</v>
      </c>
      <c r="F1446" s="38" t="s">
        <v>23</v>
      </c>
      <c r="G1446" s="35" t="str">
        <f t="shared" si="23"/>
        <v/>
      </c>
      <c r="H1446" s="39"/>
      <c r="I1446" s="35"/>
      <c r="J1446" s="34">
        <v>0</v>
      </c>
    </row>
    <row r="1447" spans="1:10" ht="15.75" hidden="1" thickBot="1" x14ac:dyDescent="0.3">
      <c r="A1447" s="249"/>
      <c r="B1447" s="252"/>
      <c r="C1447" s="40" t="s">
        <v>340</v>
      </c>
      <c r="D1447" s="40" t="s">
        <v>121</v>
      </c>
      <c r="E1447" s="41">
        <v>1.6</v>
      </c>
      <c r="F1447" s="35">
        <v>0</v>
      </c>
      <c r="G1447" s="35">
        <f t="shared" si="23"/>
        <v>0</v>
      </c>
      <c r="H1447" s="39"/>
      <c r="I1447" s="35"/>
      <c r="J1447" s="34">
        <v>0</v>
      </c>
    </row>
    <row r="1448" spans="1:10" ht="15.75" hidden="1" thickBot="1" x14ac:dyDescent="0.3">
      <c r="A1448" s="249"/>
      <c r="B1448" s="252"/>
      <c r="C1448" s="40" t="s">
        <v>3893</v>
      </c>
      <c r="D1448" s="40" t="s">
        <v>291</v>
      </c>
      <c r="E1448" s="41">
        <v>5.3367000000000004</v>
      </c>
      <c r="F1448" s="38">
        <v>0.30399999999999999</v>
      </c>
      <c r="G1448" s="35">
        <f t="shared" si="23"/>
        <v>1.6223568000000002</v>
      </c>
      <c r="H1448" s="39"/>
      <c r="I1448" s="35"/>
      <c r="J1448" s="34">
        <v>0</v>
      </c>
    </row>
    <row r="1449" spans="1:10" ht="15.75" hidden="1" thickBot="1" x14ac:dyDescent="0.3">
      <c r="A1449" s="249"/>
      <c r="B1449" s="252"/>
      <c r="C1449" s="40" t="s">
        <v>341</v>
      </c>
      <c r="D1449" s="40" t="s">
        <v>102</v>
      </c>
      <c r="E1449" s="41">
        <v>5.34</v>
      </c>
      <c r="F1449" s="35">
        <v>0</v>
      </c>
      <c r="G1449" s="35">
        <f t="shared" si="23"/>
        <v>0</v>
      </c>
      <c r="H1449" s="39"/>
      <c r="I1449" s="35"/>
      <c r="J1449" s="34">
        <v>0</v>
      </c>
    </row>
    <row r="1450" spans="1:10" ht="15.75" hidden="1" thickBot="1" x14ac:dyDescent="0.3">
      <c r="A1450" s="249"/>
      <c r="B1450" s="252"/>
      <c r="C1450" s="40" t="s">
        <v>357</v>
      </c>
      <c r="D1450" s="40" t="s">
        <v>102</v>
      </c>
      <c r="E1450" s="41">
        <v>0.67</v>
      </c>
      <c r="F1450" s="35">
        <v>0</v>
      </c>
      <c r="G1450" s="35">
        <f t="shared" si="23"/>
        <v>0</v>
      </c>
      <c r="H1450" s="39"/>
      <c r="I1450" s="35"/>
      <c r="J1450" s="34">
        <v>0</v>
      </c>
    </row>
    <row r="1451" spans="1:10" ht="15.75" hidden="1" thickBot="1" x14ac:dyDescent="0.3">
      <c r="A1451" s="249"/>
      <c r="B1451" s="252"/>
      <c r="C1451" s="40" t="s">
        <v>343</v>
      </c>
      <c r="D1451" s="40" t="s">
        <v>102</v>
      </c>
      <c r="E1451" s="41">
        <v>1.3332999999999999</v>
      </c>
      <c r="F1451" s="35">
        <v>0</v>
      </c>
      <c r="G1451" s="35">
        <f t="shared" si="23"/>
        <v>0</v>
      </c>
      <c r="H1451" s="39"/>
      <c r="I1451" s="35"/>
      <c r="J1451" s="34">
        <v>0</v>
      </c>
    </row>
    <row r="1452" spans="1:10" ht="15.75" hidden="1" thickBot="1" x14ac:dyDescent="0.3">
      <c r="A1452" s="249"/>
      <c r="B1452" s="252"/>
      <c r="C1452" s="40" t="s">
        <v>344</v>
      </c>
      <c r="D1452" s="40" t="s">
        <v>28</v>
      </c>
      <c r="E1452" s="41">
        <v>2.67</v>
      </c>
      <c r="F1452" s="35">
        <v>0</v>
      </c>
      <c r="G1452" s="35">
        <f t="shared" si="23"/>
        <v>0</v>
      </c>
      <c r="H1452" s="39"/>
      <c r="I1452" s="35"/>
      <c r="J1452" s="34">
        <v>0</v>
      </c>
    </row>
    <row r="1453" spans="1:10" ht="15.75" hidden="1" thickBot="1" x14ac:dyDescent="0.3">
      <c r="A1453" s="249"/>
      <c r="B1453" s="252"/>
      <c r="C1453" s="40" t="s">
        <v>350</v>
      </c>
      <c r="D1453" s="40" t="s">
        <v>102</v>
      </c>
      <c r="E1453" s="41">
        <v>0.67</v>
      </c>
      <c r="F1453" s="35">
        <v>0</v>
      </c>
      <c r="G1453" s="35">
        <f t="shared" si="23"/>
        <v>0</v>
      </c>
      <c r="H1453" s="39"/>
      <c r="I1453" s="35"/>
      <c r="J1453" s="34">
        <v>0</v>
      </c>
    </row>
    <row r="1454" spans="1:10" ht="26.25" hidden="1" thickBot="1" x14ac:dyDescent="0.3">
      <c r="A1454" s="249"/>
      <c r="B1454" s="252"/>
      <c r="C1454" s="40" t="s">
        <v>358</v>
      </c>
      <c r="D1454" s="40" t="s">
        <v>121</v>
      </c>
      <c r="E1454" s="41">
        <v>1.05</v>
      </c>
      <c r="F1454" s="38" t="s">
        <v>23</v>
      </c>
      <c r="G1454" s="35" t="str">
        <f t="shared" si="23"/>
        <v/>
      </c>
      <c r="H1454" s="39"/>
      <c r="I1454" s="35"/>
      <c r="J1454" s="34">
        <v>0</v>
      </c>
    </row>
    <row r="1455" spans="1:10" ht="15.75" hidden="1" thickBot="1" x14ac:dyDescent="0.3">
      <c r="A1455" s="250"/>
      <c r="B1455" s="253"/>
      <c r="C1455" s="40"/>
      <c r="D1455" s="40"/>
      <c r="E1455" s="41"/>
      <c r="F1455" s="35" t="s">
        <v>23</v>
      </c>
      <c r="G1455" s="35" t="str">
        <f t="shared" si="23"/>
        <v/>
      </c>
      <c r="H1455" s="39"/>
      <c r="I1455" s="35"/>
      <c r="J1455" s="34">
        <v>0</v>
      </c>
    </row>
    <row r="1456" spans="1:10" ht="15.75" hidden="1" thickBot="1" x14ac:dyDescent="0.3">
      <c r="A1456" s="248" t="s">
        <v>359</v>
      </c>
      <c r="B1456" s="251" t="s">
        <v>2279</v>
      </c>
      <c r="C1456" s="28"/>
      <c r="D1456" s="29" t="s">
        <v>121</v>
      </c>
      <c r="E1456" s="30"/>
      <c r="F1456" s="45" t="s">
        <v>23</v>
      </c>
      <c r="G1456" s="31" t="str">
        <f t="shared" si="23"/>
        <v/>
      </c>
      <c r="H1456" s="32"/>
      <c r="I1456" s="33"/>
      <c r="J1456" s="34">
        <v>0</v>
      </c>
    </row>
    <row r="1457" spans="1:10" ht="15.75" hidden="1" thickBot="1" x14ac:dyDescent="0.3">
      <c r="A1457" s="249"/>
      <c r="B1457" s="252"/>
      <c r="C1457" s="36"/>
      <c r="D1457" s="36"/>
      <c r="E1457" s="37"/>
      <c r="F1457" s="46" t="s">
        <v>23</v>
      </c>
      <c r="G1457" s="35" t="str">
        <f t="shared" si="23"/>
        <v/>
      </c>
      <c r="H1457" s="39"/>
      <c r="I1457" s="35"/>
      <c r="J1457" s="34">
        <v>0</v>
      </c>
    </row>
    <row r="1458" spans="1:10" ht="15.75" hidden="1" thickBot="1" x14ac:dyDescent="0.3">
      <c r="A1458" s="249"/>
      <c r="B1458" s="252"/>
      <c r="C1458" s="40" t="s">
        <v>3760</v>
      </c>
      <c r="D1458" s="40" t="s">
        <v>3752</v>
      </c>
      <c r="E1458" s="41">
        <v>0.55000000000000004</v>
      </c>
      <c r="F1458" s="35">
        <v>28.385999999999999</v>
      </c>
      <c r="G1458" s="35">
        <f t="shared" si="23"/>
        <v>15.612300000000001</v>
      </c>
      <c r="H1458" s="43">
        <f>SUM(G1458:G1469)</f>
        <v>29.309631799999998</v>
      </c>
      <c r="I1458" s="44"/>
      <c r="J1458" s="34">
        <v>0</v>
      </c>
    </row>
    <row r="1459" spans="1:10" ht="15.75" hidden="1" thickBot="1" x14ac:dyDescent="0.3">
      <c r="A1459" s="249"/>
      <c r="B1459" s="252"/>
      <c r="C1459" s="40" t="s">
        <v>3770</v>
      </c>
      <c r="D1459" s="40" t="s">
        <v>3752</v>
      </c>
      <c r="E1459" s="41">
        <v>0.55000000000000004</v>
      </c>
      <c r="F1459" s="35">
        <v>21.954499999999999</v>
      </c>
      <c r="G1459" s="35">
        <f t="shared" si="23"/>
        <v>12.074975</v>
      </c>
      <c r="H1459" s="39"/>
      <c r="I1459" s="35"/>
      <c r="J1459" s="34">
        <v>0</v>
      </c>
    </row>
    <row r="1460" spans="1:10" ht="26.25" hidden="1" thickBot="1" x14ac:dyDescent="0.3">
      <c r="A1460" s="249"/>
      <c r="B1460" s="252"/>
      <c r="C1460" s="40" t="s">
        <v>338</v>
      </c>
      <c r="D1460" s="40" t="s">
        <v>102</v>
      </c>
      <c r="E1460" s="41">
        <v>1.3332999999999999</v>
      </c>
      <c r="F1460" s="35">
        <v>0</v>
      </c>
      <c r="G1460" s="35">
        <f t="shared" si="23"/>
        <v>0</v>
      </c>
      <c r="H1460" s="71"/>
      <c r="I1460" s="1"/>
      <c r="J1460" s="34">
        <v>0</v>
      </c>
    </row>
    <row r="1461" spans="1:10" ht="26.25" hidden="1" thickBot="1" x14ac:dyDescent="0.3">
      <c r="A1461" s="249"/>
      <c r="B1461" s="252"/>
      <c r="C1461" s="40" t="s">
        <v>360</v>
      </c>
      <c r="D1461" s="40" t="s">
        <v>121</v>
      </c>
      <c r="E1461" s="41">
        <v>1.05</v>
      </c>
      <c r="F1461" s="38" t="s">
        <v>23</v>
      </c>
      <c r="G1461" s="35" t="str">
        <f t="shared" si="23"/>
        <v/>
      </c>
      <c r="H1461" s="39"/>
      <c r="I1461" s="35"/>
      <c r="J1461" s="34">
        <v>0</v>
      </c>
    </row>
    <row r="1462" spans="1:10" ht="15.75" hidden="1" thickBot="1" x14ac:dyDescent="0.3">
      <c r="A1462" s="249"/>
      <c r="B1462" s="252"/>
      <c r="C1462" s="40" t="s">
        <v>340</v>
      </c>
      <c r="D1462" s="40" t="s">
        <v>121</v>
      </c>
      <c r="E1462" s="41">
        <v>1.6</v>
      </c>
      <c r="F1462" s="35">
        <v>0</v>
      </c>
      <c r="G1462" s="35">
        <f t="shared" si="23"/>
        <v>0</v>
      </c>
      <c r="H1462" s="39"/>
      <c r="I1462" s="35"/>
      <c r="J1462" s="34">
        <v>0</v>
      </c>
    </row>
    <row r="1463" spans="1:10" ht="15.75" hidden="1" thickBot="1" x14ac:dyDescent="0.3">
      <c r="A1463" s="249"/>
      <c r="B1463" s="252"/>
      <c r="C1463" s="40" t="s">
        <v>3893</v>
      </c>
      <c r="D1463" s="40" t="s">
        <v>291</v>
      </c>
      <c r="E1463" s="41">
        <v>5.3367000000000004</v>
      </c>
      <c r="F1463" s="38">
        <v>0.30399999999999999</v>
      </c>
      <c r="G1463" s="35">
        <f t="shared" si="23"/>
        <v>1.6223568000000002</v>
      </c>
      <c r="H1463" s="39"/>
      <c r="I1463" s="35"/>
      <c r="J1463" s="34">
        <v>0</v>
      </c>
    </row>
    <row r="1464" spans="1:10" ht="15.75" hidden="1" thickBot="1" x14ac:dyDescent="0.3">
      <c r="A1464" s="249"/>
      <c r="B1464" s="252"/>
      <c r="C1464" s="40" t="s">
        <v>341</v>
      </c>
      <c r="D1464" s="40" t="s">
        <v>102</v>
      </c>
      <c r="E1464" s="41">
        <v>5.34</v>
      </c>
      <c r="F1464" s="35">
        <v>0</v>
      </c>
      <c r="G1464" s="35">
        <f t="shared" si="23"/>
        <v>0</v>
      </c>
      <c r="H1464" s="39"/>
      <c r="I1464" s="35"/>
      <c r="J1464" s="34">
        <v>0</v>
      </c>
    </row>
    <row r="1465" spans="1:10" ht="15.75" hidden="1" thickBot="1" x14ac:dyDescent="0.3">
      <c r="A1465" s="249"/>
      <c r="B1465" s="252"/>
      <c r="C1465" s="40" t="s">
        <v>361</v>
      </c>
      <c r="D1465" s="40" t="s">
        <v>102</v>
      </c>
      <c r="E1465" s="41">
        <v>0.67</v>
      </c>
      <c r="F1465" s="35">
        <v>0</v>
      </c>
      <c r="G1465" s="35">
        <f t="shared" si="23"/>
        <v>0</v>
      </c>
      <c r="H1465" s="39"/>
      <c r="I1465" s="35"/>
      <c r="J1465" s="34">
        <v>0</v>
      </c>
    </row>
    <row r="1466" spans="1:10" ht="15.75" hidden="1" thickBot="1" x14ac:dyDescent="0.3">
      <c r="A1466" s="249"/>
      <c r="B1466" s="252"/>
      <c r="C1466" s="40" t="s">
        <v>343</v>
      </c>
      <c r="D1466" s="40" t="s">
        <v>102</v>
      </c>
      <c r="E1466" s="41">
        <v>1.3332999999999999</v>
      </c>
      <c r="F1466" s="35">
        <v>0</v>
      </c>
      <c r="G1466" s="35">
        <f t="shared" si="23"/>
        <v>0</v>
      </c>
      <c r="H1466" s="39"/>
      <c r="I1466" s="35"/>
      <c r="J1466" s="34">
        <v>0</v>
      </c>
    </row>
    <row r="1467" spans="1:10" ht="15.75" hidden="1" thickBot="1" x14ac:dyDescent="0.3">
      <c r="A1467" s="249"/>
      <c r="B1467" s="252"/>
      <c r="C1467" s="40" t="s">
        <v>344</v>
      </c>
      <c r="D1467" s="40" t="s">
        <v>28</v>
      </c>
      <c r="E1467" s="41">
        <v>2.67</v>
      </c>
      <c r="F1467" s="35">
        <v>0</v>
      </c>
      <c r="G1467" s="35">
        <f t="shared" si="23"/>
        <v>0</v>
      </c>
      <c r="H1467" s="39"/>
      <c r="I1467" s="35"/>
      <c r="J1467" s="34">
        <v>0</v>
      </c>
    </row>
    <row r="1468" spans="1:10" ht="15.75" hidden="1" thickBot="1" x14ac:dyDescent="0.3">
      <c r="A1468" s="249"/>
      <c r="B1468" s="252"/>
      <c r="C1468" s="40" t="s">
        <v>345</v>
      </c>
      <c r="D1468" s="40" t="s">
        <v>102</v>
      </c>
      <c r="E1468" s="41">
        <v>0.67</v>
      </c>
      <c r="F1468" s="35">
        <v>0</v>
      </c>
      <c r="G1468" s="35">
        <f t="shared" si="23"/>
        <v>0</v>
      </c>
      <c r="H1468" s="39"/>
      <c r="I1468" s="35"/>
      <c r="J1468" s="34">
        <v>0</v>
      </c>
    </row>
    <row r="1469" spans="1:10" ht="26.25" hidden="1" thickBot="1" x14ac:dyDescent="0.3">
      <c r="A1469" s="249"/>
      <c r="B1469" s="252"/>
      <c r="C1469" s="40" t="s">
        <v>358</v>
      </c>
      <c r="D1469" s="40" t="s">
        <v>121</v>
      </c>
      <c r="E1469" s="41">
        <v>1.05</v>
      </c>
      <c r="F1469" s="38" t="s">
        <v>23</v>
      </c>
      <c r="G1469" s="35" t="str">
        <f t="shared" si="23"/>
        <v/>
      </c>
      <c r="H1469" s="39"/>
      <c r="I1469" s="35"/>
      <c r="J1469" s="34">
        <v>0</v>
      </c>
    </row>
    <row r="1470" spans="1:10" ht="15.75" hidden="1" thickBot="1" x14ac:dyDescent="0.3">
      <c r="A1470" s="250"/>
      <c r="B1470" s="253"/>
      <c r="C1470" s="40"/>
      <c r="D1470" s="40"/>
      <c r="E1470" s="41"/>
      <c r="F1470" s="35" t="s">
        <v>23</v>
      </c>
      <c r="G1470" s="35" t="str">
        <f t="shared" si="23"/>
        <v/>
      </c>
      <c r="H1470" s="39"/>
      <c r="I1470" s="35"/>
      <c r="J1470" s="34">
        <v>0</v>
      </c>
    </row>
    <row r="1471" spans="1:10" ht="15.75" hidden="1" thickBot="1" x14ac:dyDescent="0.3">
      <c r="A1471" s="248" t="s">
        <v>362</v>
      </c>
      <c r="B1471" s="251" t="s">
        <v>2280</v>
      </c>
      <c r="C1471" s="28"/>
      <c r="D1471" s="29" t="s">
        <v>121</v>
      </c>
      <c r="E1471" s="30"/>
      <c r="F1471" s="45" t="s">
        <v>23</v>
      </c>
      <c r="G1471" s="31" t="str">
        <f t="shared" si="23"/>
        <v/>
      </c>
      <c r="H1471" s="32"/>
      <c r="I1471" s="33"/>
      <c r="J1471" s="34">
        <v>0</v>
      </c>
    </row>
    <row r="1472" spans="1:10" ht="15.75" hidden="1" thickBot="1" x14ac:dyDescent="0.3">
      <c r="A1472" s="249"/>
      <c r="B1472" s="252"/>
      <c r="C1472" s="36"/>
      <c r="D1472" s="36"/>
      <c r="E1472" s="37"/>
      <c r="F1472" s="46" t="s">
        <v>23</v>
      </c>
      <c r="G1472" s="35" t="str">
        <f t="shared" si="23"/>
        <v/>
      </c>
      <c r="H1472" s="39"/>
      <c r="I1472" s="35"/>
      <c r="J1472" s="34">
        <v>0</v>
      </c>
    </row>
    <row r="1473" spans="1:10" ht="15.75" hidden="1" thickBot="1" x14ac:dyDescent="0.3">
      <c r="A1473" s="249"/>
      <c r="B1473" s="252"/>
      <c r="C1473" s="40" t="s">
        <v>3760</v>
      </c>
      <c r="D1473" s="40" t="s">
        <v>3752</v>
      </c>
      <c r="E1473" s="41">
        <v>0.55000000000000004</v>
      </c>
      <c r="F1473" s="35">
        <v>28.385999999999999</v>
      </c>
      <c r="G1473" s="35">
        <f t="shared" si="23"/>
        <v>15.612300000000001</v>
      </c>
      <c r="H1473" s="43">
        <f>SUM(G1473:G1484)</f>
        <v>29.309631799999998</v>
      </c>
      <c r="I1473" s="44"/>
      <c r="J1473" s="34">
        <v>0</v>
      </c>
    </row>
    <row r="1474" spans="1:10" ht="15.75" hidden="1" thickBot="1" x14ac:dyDescent="0.3">
      <c r="A1474" s="249"/>
      <c r="B1474" s="252"/>
      <c r="C1474" s="40" t="s">
        <v>3770</v>
      </c>
      <c r="D1474" s="40" t="s">
        <v>3752</v>
      </c>
      <c r="E1474" s="41">
        <v>0.55000000000000004</v>
      </c>
      <c r="F1474" s="35">
        <v>21.954499999999999</v>
      </c>
      <c r="G1474" s="35">
        <f t="shared" si="23"/>
        <v>12.074975</v>
      </c>
      <c r="H1474" s="39"/>
      <c r="I1474" s="35"/>
      <c r="J1474" s="34">
        <v>0</v>
      </c>
    </row>
    <row r="1475" spans="1:10" ht="26.25" hidden="1" thickBot="1" x14ac:dyDescent="0.3">
      <c r="A1475" s="249"/>
      <c r="B1475" s="252"/>
      <c r="C1475" s="40" t="s">
        <v>338</v>
      </c>
      <c r="D1475" s="40" t="s">
        <v>102</v>
      </c>
      <c r="E1475" s="41">
        <v>1.3332999999999999</v>
      </c>
      <c r="F1475" s="35">
        <v>0</v>
      </c>
      <c r="G1475" s="35">
        <f t="shared" si="23"/>
        <v>0</v>
      </c>
      <c r="H1475" s="71"/>
      <c r="I1475" s="1"/>
      <c r="J1475" s="34">
        <v>0</v>
      </c>
    </row>
    <row r="1476" spans="1:10" ht="26.25" hidden="1" thickBot="1" x14ac:dyDescent="0.3">
      <c r="A1476" s="249"/>
      <c r="B1476" s="252"/>
      <c r="C1476" s="40" t="s">
        <v>363</v>
      </c>
      <c r="D1476" s="40" t="s">
        <v>121</v>
      </c>
      <c r="E1476" s="41">
        <v>1.05</v>
      </c>
      <c r="F1476" s="38" t="s">
        <v>23</v>
      </c>
      <c r="G1476" s="35" t="str">
        <f t="shared" si="23"/>
        <v/>
      </c>
      <c r="H1476" s="39"/>
      <c r="I1476" s="35"/>
      <c r="J1476" s="34">
        <v>0</v>
      </c>
    </row>
    <row r="1477" spans="1:10" ht="15.75" hidden="1" thickBot="1" x14ac:dyDescent="0.3">
      <c r="A1477" s="249"/>
      <c r="B1477" s="252"/>
      <c r="C1477" s="40" t="s">
        <v>340</v>
      </c>
      <c r="D1477" s="40" t="s">
        <v>121</v>
      </c>
      <c r="E1477" s="41">
        <v>1.6</v>
      </c>
      <c r="F1477" s="35">
        <v>0</v>
      </c>
      <c r="G1477" s="35">
        <f t="shared" si="23"/>
        <v>0</v>
      </c>
      <c r="H1477" s="39"/>
      <c r="I1477" s="35"/>
      <c r="J1477" s="34">
        <v>0</v>
      </c>
    </row>
    <row r="1478" spans="1:10" ht="15.75" hidden="1" thickBot="1" x14ac:dyDescent="0.3">
      <c r="A1478" s="249"/>
      <c r="B1478" s="252"/>
      <c r="C1478" s="40" t="s">
        <v>3893</v>
      </c>
      <c r="D1478" s="40" t="s">
        <v>291</v>
      </c>
      <c r="E1478" s="41">
        <v>5.3367000000000004</v>
      </c>
      <c r="F1478" s="38">
        <v>0.30399999999999999</v>
      </c>
      <c r="G1478" s="35">
        <f t="shared" si="23"/>
        <v>1.6223568000000002</v>
      </c>
      <c r="H1478" s="39"/>
      <c r="I1478" s="35"/>
      <c r="J1478" s="34">
        <v>0</v>
      </c>
    </row>
    <row r="1479" spans="1:10" ht="15.75" hidden="1" thickBot="1" x14ac:dyDescent="0.3">
      <c r="A1479" s="249"/>
      <c r="B1479" s="252"/>
      <c r="C1479" s="40" t="s">
        <v>341</v>
      </c>
      <c r="D1479" s="40" t="s">
        <v>102</v>
      </c>
      <c r="E1479" s="41">
        <v>5.34</v>
      </c>
      <c r="F1479" s="35">
        <v>0</v>
      </c>
      <c r="G1479" s="35">
        <f t="shared" si="23"/>
        <v>0</v>
      </c>
      <c r="H1479" s="39"/>
      <c r="I1479" s="35"/>
      <c r="J1479" s="34">
        <v>0</v>
      </c>
    </row>
    <row r="1480" spans="1:10" ht="15.75" hidden="1" thickBot="1" x14ac:dyDescent="0.3">
      <c r="A1480" s="249"/>
      <c r="B1480" s="252"/>
      <c r="C1480" s="40" t="s">
        <v>364</v>
      </c>
      <c r="D1480" s="40" t="s">
        <v>102</v>
      </c>
      <c r="E1480" s="41">
        <v>0.67</v>
      </c>
      <c r="F1480" s="35">
        <v>0</v>
      </c>
      <c r="G1480" s="35">
        <f t="shared" si="23"/>
        <v>0</v>
      </c>
      <c r="H1480" s="39"/>
      <c r="I1480" s="35"/>
      <c r="J1480" s="34">
        <v>0</v>
      </c>
    </row>
    <row r="1481" spans="1:10" ht="15.75" hidden="1" thickBot="1" x14ac:dyDescent="0.3">
      <c r="A1481" s="249"/>
      <c r="B1481" s="252"/>
      <c r="C1481" s="40" t="s">
        <v>343</v>
      </c>
      <c r="D1481" s="40" t="s">
        <v>102</v>
      </c>
      <c r="E1481" s="41">
        <v>1.3332999999999999</v>
      </c>
      <c r="F1481" s="35">
        <v>0</v>
      </c>
      <c r="G1481" s="35">
        <f t="shared" si="23"/>
        <v>0</v>
      </c>
      <c r="H1481" s="39"/>
      <c r="I1481" s="35"/>
      <c r="J1481" s="34">
        <v>0</v>
      </c>
    </row>
    <row r="1482" spans="1:10" ht="15.75" hidden="1" thickBot="1" x14ac:dyDescent="0.3">
      <c r="A1482" s="249"/>
      <c r="B1482" s="252"/>
      <c r="C1482" s="40" t="s">
        <v>344</v>
      </c>
      <c r="D1482" s="40" t="s">
        <v>28</v>
      </c>
      <c r="E1482" s="41">
        <v>2.67</v>
      </c>
      <c r="F1482" s="35">
        <v>0</v>
      </c>
      <c r="G1482" s="35">
        <f t="shared" si="23"/>
        <v>0</v>
      </c>
      <c r="H1482" s="39"/>
      <c r="I1482" s="35"/>
      <c r="J1482" s="34">
        <v>0</v>
      </c>
    </row>
    <row r="1483" spans="1:10" ht="15.75" hidden="1" thickBot="1" x14ac:dyDescent="0.3">
      <c r="A1483" s="249"/>
      <c r="B1483" s="252"/>
      <c r="C1483" s="40" t="s">
        <v>345</v>
      </c>
      <c r="D1483" s="40" t="s">
        <v>102</v>
      </c>
      <c r="E1483" s="41">
        <v>0.67</v>
      </c>
      <c r="F1483" s="35">
        <v>0</v>
      </c>
      <c r="G1483" s="35">
        <f t="shared" si="23"/>
        <v>0</v>
      </c>
      <c r="H1483" s="39"/>
      <c r="I1483" s="35"/>
      <c r="J1483" s="34">
        <v>0</v>
      </c>
    </row>
    <row r="1484" spans="1:10" ht="26.25" hidden="1" thickBot="1" x14ac:dyDescent="0.3">
      <c r="A1484" s="249"/>
      <c r="B1484" s="252"/>
      <c r="C1484" s="40" t="s">
        <v>365</v>
      </c>
      <c r="D1484" s="40" t="s">
        <v>121</v>
      </c>
      <c r="E1484" s="41">
        <v>1.05</v>
      </c>
      <c r="F1484" s="38" t="s">
        <v>23</v>
      </c>
      <c r="G1484" s="35" t="str">
        <f t="shared" si="23"/>
        <v/>
      </c>
      <c r="H1484" s="39"/>
      <c r="I1484" s="35"/>
      <c r="J1484" s="34">
        <v>0</v>
      </c>
    </row>
    <row r="1485" spans="1:10" ht="15.75" hidden="1" thickBot="1" x14ac:dyDescent="0.3">
      <c r="A1485" s="250"/>
      <c r="B1485" s="253"/>
      <c r="C1485" s="40"/>
      <c r="D1485" s="40"/>
      <c r="E1485" s="41"/>
      <c r="F1485" s="35" t="s">
        <v>23</v>
      </c>
      <c r="G1485" s="35" t="str">
        <f t="shared" si="23"/>
        <v/>
      </c>
      <c r="H1485" s="39"/>
      <c r="I1485" s="35"/>
      <c r="J1485" s="34">
        <v>0</v>
      </c>
    </row>
    <row r="1486" spans="1:10" ht="15.75" hidden="1" thickBot="1" x14ac:dyDescent="0.3">
      <c r="A1486" s="248" t="s">
        <v>366</v>
      </c>
      <c r="B1486" s="251" t="s">
        <v>2281</v>
      </c>
      <c r="C1486" s="28"/>
      <c r="D1486" s="29" t="s">
        <v>121</v>
      </c>
      <c r="E1486" s="30"/>
      <c r="F1486" s="45" t="s">
        <v>23</v>
      </c>
      <c r="G1486" s="31" t="str">
        <f t="shared" si="23"/>
        <v/>
      </c>
      <c r="H1486" s="32"/>
      <c r="I1486" s="33"/>
      <c r="J1486" s="34">
        <v>0</v>
      </c>
    </row>
    <row r="1487" spans="1:10" ht="15.75" hidden="1" thickBot="1" x14ac:dyDescent="0.3">
      <c r="A1487" s="262"/>
      <c r="B1487" s="252"/>
      <c r="C1487" s="36"/>
      <c r="D1487" s="36"/>
      <c r="E1487" s="37"/>
      <c r="F1487" s="46" t="s">
        <v>23</v>
      </c>
      <c r="G1487" s="35" t="str">
        <f t="shared" si="23"/>
        <v/>
      </c>
      <c r="H1487" s="39"/>
      <c r="I1487" s="35"/>
      <c r="J1487" s="34">
        <v>0</v>
      </c>
    </row>
    <row r="1488" spans="1:10" ht="15.75" hidden="1" thickBot="1" x14ac:dyDescent="0.3">
      <c r="A1488" s="262"/>
      <c r="B1488" s="252"/>
      <c r="C1488" s="40" t="s">
        <v>3760</v>
      </c>
      <c r="D1488" s="40" t="s">
        <v>3752</v>
      </c>
      <c r="E1488" s="41">
        <v>0.45</v>
      </c>
      <c r="F1488" s="35">
        <v>28.385999999999999</v>
      </c>
      <c r="G1488" s="35">
        <f t="shared" si="23"/>
        <v>12.7737</v>
      </c>
      <c r="H1488" s="43">
        <f>SUM(G1488:G1499)</f>
        <v>23.8702282</v>
      </c>
      <c r="I1488" s="44"/>
      <c r="J1488" s="34">
        <v>0</v>
      </c>
    </row>
    <row r="1489" spans="1:10" ht="15.75" hidden="1" thickBot="1" x14ac:dyDescent="0.3">
      <c r="A1489" s="262"/>
      <c r="B1489" s="252"/>
      <c r="C1489" s="40" t="s">
        <v>3770</v>
      </c>
      <c r="D1489" s="40" t="s">
        <v>3752</v>
      </c>
      <c r="E1489" s="41">
        <v>0.45</v>
      </c>
      <c r="F1489" s="35">
        <v>21.954499999999999</v>
      </c>
      <c r="G1489" s="35">
        <f t="shared" si="23"/>
        <v>9.8795249999999992</v>
      </c>
      <c r="H1489" s="39"/>
      <c r="I1489" s="35"/>
      <c r="J1489" s="34">
        <v>0</v>
      </c>
    </row>
    <row r="1490" spans="1:10" ht="26.25" hidden="1" thickBot="1" x14ac:dyDescent="0.3">
      <c r="A1490" s="262"/>
      <c r="B1490" s="252"/>
      <c r="C1490" s="40" t="s">
        <v>338</v>
      </c>
      <c r="D1490" s="40" t="s">
        <v>102</v>
      </c>
      <c r="E1490" s="41">
        <v>0.67</v>
      </c>
      <c r="F1490" s="35">
        <v>0</v>
      </c>
      <c r="G1490" s="35">
        <f t="shared" ref="G1490:G1553" si="24">IF(ISNUMBER(F1490),E1490*F1490,"")</f>
        <v>0</v>
      </c>
      <c r="H1490" s="71"/>
      <c r="I1490" s="1"/>
      <c r="J1490" s="34">
        <v>0</v>
      </c>
    </row>
    <row r="1491" spans="1:10" ht="26.25" hidden="1" thickBot="1" x14ac:dyDescent="0.3">
      <c r="A1491" s="262"/>
      <c r="B1491" s="252"/>
      <c r="C1491" s="40" t="s">
        <v>367</v>
      </c>
      <c r="D1491" s="40" t="s">
        <v>121</v>
      </c>
      <c r="E1491" s="41">
        <v>1.05</v>
      </c>
      <c r="F1491" s="38" t="s">
        <v>23</v>
      </c>
      <c r="G1491" s="35" t="str">
        <f t="shared" si="24"/>
        <v/>
      </c>
      <c r="H1491" s="39"/>
      <c r="I1491" s="35"/>
      <c r="J1491" s="34">
        <v>0</v>
      </c>
    </row>
    <row r="1492" spans="1:10" ht="15.75" hidden="1" thickBot="1" x14ac:dyDescent="0.3">
      <c r="A1492" s="262"/>
      <c r="B1492" s="252"/>
      <c r="C1492" s="40" t="s">
        <v>340</v>
      </c>
      <c r="D1492" s="40" t="s">
        <v>121</v>
      </c>
      <c r="E1492" s="41">
        <v>0.8</v>
      </c>
      <c r="F1492" s="35">
        <v>0</v>
      </c>
      <c r="G1492" s="35">
        <f t="shared" si="24"/>
        <v>0</v>
      </c>
      <c r="H1492" s="39"/>
      <c r="I1492" s="35"/>
      <c r="J1492" s="34">
        <v>0</v>
      </c>
    </row>
    <row r="1493" spans="1:10" ht="15.75" hidden="1" thickBot="1" x14ac:dyDescent="0.3">
      <c r="A1493" s="262"/>
      <c r="B1493" s="252"/>
      <c r="C1493" s="40" t="s">
        <v>3893</v>
      </c>
      <c r="D1493" s="40" t="s">
        <v>291</v>
      </c>
      <c r="E1493" s="41">
        <v>4.0033000000000003</v>
      </c>
      <c r="F1493" s="38">
        <v>0.30399999999999999</v>
      </c>
      <c r="G1493" s="35">
        <f t="shared" si="24"/>
        <v>1.2170032</v>
      </c>
      <c r="H1493" s="39"/>
      <c r="I1493" s="35"/>
      <c r="J1493" s="34">
        <v>0</v>
      </c>
    </row>
    <row r="1494" spans="1:10" ht="15.75" hidden="1" thickBot="1" x14ac:dyDescent="0.3">
      <c r="A1494" s="262"/>
      <c r="B1494" s="252"/>
      <c r="C1494" s="40" t="s">
        <v>341</v>
      </c>
      <c r="D1494" s="40" t="s">
        <v>102</v>
      </c>
      <c r="E1494" s="41">
        <v>4.0033000000000003</v>
      </c>
      <c r="F1494" s="35">
        <v>0</v>
      </c>
      <c r="G1494" s="35">
        <f t="shared" si="24"/>
        <v>0</v>
      </c>
      <c r="H1494" s="39"/>
      <c r="I1494" s="35"/>
      <c r="J1494" s="34">
        <v>0</v>
      </c>
    </row>
    <row r="1495" spans="1:10" ht="15.75" hidden="1" thickBot="1" x14ac:dyDescent="0.3">
      <c r="A1495" s="262"/>
      <c r="B1495" s="252"/>
      <c r="C1495" s="40" t="s">
        <v>368</v>
      </c>
      <c r="D1495" s="40" t="s">
        <v>102</v>
      </c>
      <c r="E1495" s="41">
        <v>0.67</v>
      </c>
      <c r="F1495" s="35">
        <v>0</v>
      </c>
      <c r="G1495" s="35">
        <f t="shared" si="24"/>
        <v>0</v>
      </c>
      <c r="H1495" s="39"/>
      <c r="I1495" s="35"/>
      <c r="J1495" s="34">
        <v>0</v>
      </c>
    </row>
    <row r="1496" spans="1:10" ht="15.75" hidden="1" thickBot="1" x14ac:dyDescent="0.3">
      <c r="A1496" s="262"/>
      <c r="B1496" s="252"/>
      <c r="C1496" s="40" t="s">
        <v>343</v>
      </c>
      <c r="D1496" s="40" t="s">
        <v>102</v>
      </c>
      <c r="E1496" s="41">
        <v>1.05</v>
      </c>
      <c r="F1496" s="35">
        <v>0</v>
      </c>
      <c r="G1496" s="35">
        <f t="shared" si="24"/>
        <v>0</v>
      </c>
      <c r="H1496" s="39"/>
      <c r="I1496" s="35"/>
      <c r="J1496" s="34">
        <v>0</v>
      </c>
    </row>
    <row r="1497" spans="1:10" ht="15.75" hidden="1" thickBot="1" x14ac:dyDescent="0.3">
      <c r="A1497" s="262"/>
      <c r="B1497" s="252"/>
      <c r="C1497" s="40" t="s">
        <v>344</v>
      </c>
      <c r="D1497" s="40" t="s">
        <v>28</v>
      </c>
      <c r="E1497" s="41">
        <v>2.67</v>
      </c>
      <c r="F1497" s="35">
        <v>0</v>
      </c>
      <c r="G1497" s="35">
        <f t="shared" si="24"/>
        <v>0</v>
      </c>
      <c r="H1497" s="39"/>
      <c r="I1497" s="35"/>
      <c r="J1497" s="34">
        <v>0</v>
      </c>
    </row>
    <row r="1498" spans="1:10" ht="15.75" hidden="1" thickBot="1" x14ac:dyDescent="0.3">
      <c r="A1498" s="262"/>
      <c r="B1498" s="252"/>
      <c r="C1498" s="40" t="s">
        <v>345</v>
      </c>
      <c r="D1498" s="40" t="s">
        <v>102</v>
      </c>
      <c r="E1498" s="41">
        <v>0.66669999999999996</v>
      </c>
      <c r="F1498" s="35">
        <v>0</v>
      </c>
      <c r="G1498" s="35">
        <f t="shared" si="24"/>
        <v>0</v>
      </c>
      <c r="H1498" s="39"/>
      <c r="I1498" s="35"/>
      <c r="J1498" s="34">
        <v>0</v>
      </c>
    </row>
    <row r="1499" spans="1:10" ht="26.25" hidden="1" thickBot="1" x14ac:dyDescent="0.3">
      <c r="A1499" s="262"/>
      <c r="B1499" s="252"/>
      <c r="C1499" s="40" t="s">
        <v>369</v>
      </c>
      <c r="D1499" s="40" t="s">
        <v>121</v>
      </c>
      <c r="E1499" s="41">
        <v>1.05</v>
      </c>
      <c r="F1499" s="38" t="s">
        <v>23</v>
      </c>
      <c r="G1499" s="35" t="str">
        <f t="shared" si="24"/>
        <v/>
      </c>
      <c r="H1499" s="39"/>
      <c r="I1499" s="35"/>
      <c r="J1499" s="34">
        <v>0</v>
      </c>
    </row>
    <row r="1500" spans="1:10" ht="15.75" hidden="1" thickBot="1" x14ac:dyDescent="0.3">
      <c r="A1500" s="263"/>
      <c r="B1500" s="253"/>
      <c r="C1500" s="40"/>
      <c r="D1500" s="40"/>
      <c r="E1500" s="41"/>
      <c r="F1500" s="35" t="s">
        <v>23</v>
      </c>
      <c r="G1500" s="35" t="str">
        <f t="shared" si="24"/>
        <v/>
      </c>
      <c r="H1500" s="39"/>
      <c r="I1500" s="35"/>
      <c r="J1500" s="34">
        <v>0</v>
      </c>
    </row>
    <row r="1501" spans="1:10" ht="15.75" hidden="1" thickBot="1" x14ac:dyDescent="0.3">
      <c r="A1501" s="248" t="s">
        <v>370</v>
      </c>
      <c r="B1501" s="251" t="s">
        <v>2282</v>
      </c>
      <c r="C1501" s="28"/>
      <c r="D1501" s="29" t="s">
        <v>121</v>
      </c>
      <c r="E1501" s="30"/>
      <c r="F1501" s="45" t="s">
        <v>23</v>
      </c>
      <c r="G1501" s="31" t="str">
        <f t="shared" si="24"/>
        <v/>
      </c>
      <c r="H1501" s="32"/>
      <c r="I1501" s="33"/>
      <c r="J1501" s="34">
        <v>0</v>
      </c>
    </row>
    <row r="1502" spans="1:10" ht="15.75" hidden="1" thickBot="1" x14ac:dyDescent="0.3">
      <c r="A1502" s="249"/>
      <c r="B1502" s="252"/>
      <c r="C1502" s="36"/>
      <c r="D1502" s="36"/>
      <c r="E1502" s="37"/>
      <c r="F1502" s="46" t="s">
        <v>23</v>
      </c>
      <c r="G1502" s="35" t="str">
        <f t="shared" si="24"/>
        <v/>
      </c>
      <c r="H1502" s="39"/>
      <c r="I1502" s="35"/>
      <c r="J1502" s="34">
        <v>0</v>
      </c>
    </row>
    <row r="1503" spans="1:10" ht="15.75" hidden="1" thickBot="1" x14ac:dyDescent="0.3">
      <c r="A1503" s="249"/>
      <c r="B1503" s="252"/>
      <c r="C1503" s="40" t="s">
        <v>371</v>
      </c>
      <c r="D1503" s="40" t="s">
        <v>121</v>
      </c>
      <c r="E1503" s="41">
        <v>1.05</v>
      </c>
      <c r="F1503" s="35">
        <v>0</v>
      </c>
      <c r="G1503" s="38">
        <f t="shared" si="24"/>
        <v>0</v>
      </c>
      <c r="H1503" s="43">
        <f>SUM(G1503:G1505)</f>
        <v>37.755375000000001</v>
      </c>
      <c r="I1503" s="44"/>
      <c r="J1503" s="34">
        <v>0</v>
      </c>
    </row>
    <row r="1504" spans="1:10" ht="15.75" hidden="1" thickBot="1" x14ac:dyDescent="0.3">
      <c r="A1504" s="249"/>
      <c r="B1504" s="252"/>
      <c r="C1504" s="40" t="s">
        <v>3760</v>
      </c>
      <c r="D1504" s="40" t="s">
        <v>3752</v>
      </c>
      <c r="E1504" s="41">
        <v>0.75</v>
      </c>
      <c r="F1504" s="35">
        <v>28.385999999999999</v>
      </c>
      <c r="G1504" s="38">
        <f t="shared" si="24"/>
        <v>21.2895</v>
      </c>
      <c r="H1504" s="39"/>
      <c r="I1504" s="35"/>
      <c r="J1504" s="34">
        <v>0</v>
      </c>
    </row>
    <row r="1505" spans="1:10" ht="15.75" hidden="1" thickBot="1" x14ac:dyDescent="0.3">
      <c r="A1505" s="249"/>
      <c r="B1505" s="252"/>
      <c r="C1505" s="40" t="s">
        <v>3770</v>
      </c>
      <c r="D1505" s="40" t="s">
        <v>3752</v>
      </c>
      <c r="E1505" s="41">
        <v>0.75</v>
      </c>
      <c r="F1505" s="35">
        <v>21.954499999999999</v>
      </c>
      <c r="G1505" s="38">
        <f t="shared" si="24"/>
        <v>16.465875</v>
      </c>
      <c r="H1505" s="39"/>
      <c r="I1505" s="35"/>
      <c r="J1505" s="34">
        <v>0</v>
      </c>
    </row>
    <row r="1506" spans="1:10" ht="15.75" hidden="1" thickBot="1" x14ac:dyDescent="0.3">
      <c r="A1506" s="250"/>
      <c r="B1506" s="253"/>
      <c r="C1506" s="40"/>
      <c r="D1506" s="40"/>
      <c r="E1506" s="41"/>
      <c r="F1506" s="35" t="s">
        <v>23</v>
      </c>
      <c r="G1506" s="35" t="str">
        <f t="shared" si="24"/>
        <v/>
      </c>
      <c r="H1506" s="39"/>
      <c r="I1506" s="35"/>
      <c r="J1506" s="34">
        <v>0</v>
      </c>
    </row>
    <row r="1507" spans="1:10" ht="15.75" hidden="1" thickBot="1" x14ac:dyDescent="0.3">
      <c r="A1507" s="248" t="s">
        <v>372</v>
      </c>
      <c r="B1507" s="251" t="s">
        <v>2283</v>
      </c>
      <c r="C1507" s="28"/>
      <c r="D1507" s="29" t="s">
        <v>121</v>
      </c>
      <c r="E1507" s="30"/>
      <c r="F1507" s="45" t="s">
        <v>23</v>
      </c>
      <c r="G1507" s="31" t="str">
        <f t="shared" si="24"/>
        <v/>
      </c>
      <c r="H1507" s="32"/>
      <c r="I1507" s="33"/>
      <c r="J1507" s="34">
        <v>0</v>
      </c>
    </row>
    <row r="1508" spans="1:10" ht="15.75" hidden="1" thickBot="1" x14ac:dyDescent="0.3">
      <c r="A1508" s="249"/>
      <c r="B1508" s="252"/>
      <c r="C1508" s="36"/>
      <c r="D1508" s="36"/>
      <c r="E1508" s="37"/>
      <c r="F1508" s="46" t="s">
        <v>23</v>
      </c>
      <c r="G1508" s="35" t="str">
        <f t="shared" si="24"/>
        <v/>
      </c>
      <c r="H1508" s="39"/>
      <c r="I1508" s="35"/>
      <c r="J1508" s="34">
        <v>0</v>
      </c>
    </row>
    <row r="1509" spans="1:10" ht="15.75" hidden="1" thickBot="1" x14ac:dyDescent="0.3">
      <c r="A1509" s="249"/>
      <c r="B1509" s="252"/>
      <c r="C1509" s="40" t="s">
        <v>373</v>
      </c>
      <c r="D1509" s="40" t="s">
        <v>121</v>
      </c>
      <c r="E1509" s="41">
        <v>1.05</v>
      </c>
      <c r="F1509" s="35">
        <v>0</v>
      </c>
      <c r="G1509" s="38">
        <f t="shared" si="24"/>
        <v>0</v>
      </c>
      <c r="H1509" s="43">
        <f>SUM(G1509:G1511)</f>
        <v>37.755375000000001</v>
      </c>
      <c r="I1509" s="44"/>
      <c r="J1509" s="34">
        <v>0</v>
      </c>
    </row>
    <row r="1510" spans="1:10" ht="15.75" hidden="1" thickBot="1" x14ac:dyDescent="0.3">
      <c r="A1510" s="249"/>
      <c r="B1510" s="252"/>
      <c r="C1510" s="40" t="s">
        <v>3760</v>
      </c>
      <c r="D1510" s="40" t="s">
        <v>3752</v>
      </c>
      <c r="E1510" s="41">
        <v>0.75</v>
      </c>
      <c r="F1510" s="35">
        <v>28.385999999999999</v>
      </c>
      <c r="G1510" s="38">
        <f t="shared" si="24"/>
        <v>21.2895</v>
      </c>
      <c r="H1510" s="39"/>
      <c r="I1510" s="35"/>
      <c r="J1510" s="34">
        <v>0</v>
      </c>
    </row>
    <row r="1511" spans="1:10" ht="15.75" hidden="1" thickBot="1" x14ac:dyDescent="0.3">
      <c r="A1511" s="249"/>
      <c r="B1511" s="252"/>
      <c r="C1511" s="40" t="s">
        <v>3770</v>
      </c>
      <c r="D1511" s="40" t="s">
        <v>3752</v>
      </c>
      <c r="E1511" s="41">
        <v>0.75</v>
      </c>
      <c r="F1511" s="35">
        <v>21.954499999999999</v>
      </c>
      <c r="G1511" s="38">
        <f t="shared" si="24"/>
        <v>16.465875</v>
      </c>
      <c r="H1511" s="39"/>
      <c r="I1511" s="35"/>
      <c r="J1511" s="34">
        <v>0</v>
      </c>
    </row>
    <row r="1512" spans="1:10" ht="15.75" hidden="1" thickBot="1" x14ac:dyDescent="0.3">
      <c r="A1512" s="250"/>
      <c r="B1512" s="253"/>
      <c r="C1512" s="40"/>
      <c r="D1512" s="40"/>
      <c r="E1512" s="41"/>
      <c r="F1512" s="35" t="s">
        <v>23</v>
      </c>
      <c r="G1512" s="35" t="str">
        <f t="shared" si="24"/>
        <v/>
      </c>
      <c r="H1512" s="39"/>
      <c r="I1512" s="35"/>
      <c r="J1512" s="34">
        <v>0</v>
      </c>
    </row>
    <row r="1513" spans="1:10" ht="15.75" hidden="1" thickBot="1" x14ac:dyDescent="0.3">
      <c r="A1513" s="248" t="s">
        <v>374</v>
      </c>
      <c r="B1513" s="251" t="s">
        <v>2284</v>
      </c>
      <c r="C1513" s="28"/>
      <c r="D1513" s="29" t="s">
        <v>121</v>
      </c>
      <c r="E1513" s="30"/>
      <c r="F1513" s="45" t="s">
        <v>23</v>
      </c>
      <c r="G1513" s="31" t="str">
        <f t="shared" si="24"/>
        <v/>
      </c>
      <c r="H1513" s="32"/>
      <c r="I1513" s="33"/>
      <c r="J1513" s="34">
        <v>0</v>
      </c>
    </row>
    <row r="1514" spans="1:10" ht="15.75" hidden="1" thickBot="1" x14ac:dyDescent="0.3">
      <c r="A1514" s="249"/>
      <c r="B1514" s="252"/>
      <c r="C1514" s="36"/>
      <c r="D1514" s="36"/>
      <c r="E1514" s="37"/>
      <c r="F1514" s="46" t="s">
        <v>23</v>
      </c>
      <c r="G1514" s="35" t="str">
        <f t="shared" si="24"/>
        <v/>
      </c>
      <c r="H1514" s="39"/>
      <c r="I1514" s="35"/>
      <c r="J1514" s="34">
        <v>0</v>
      </c>
    </row>
    <row r="1515" spans="1:10" ht="15.75" hidden="1" thickBot="1" x14ac:dyDescent="0.3">
      <c r="A1515" s="249"/>
      <c r="B1515" s="252"/>
      <c r="C1515" s="40" t="s">
        <v>375</v>
      </c>
      <c r="D1515" s="40" t="s">
        <v>121</v>
      </c>
      <c r="E1515" s="41">
        <v>1.05</v>
      </c>
      <c r="F1515" s="35">
        <v>0</v>
      </c>
      <c r="G1515" s="38">
        <f t="shared" si="24"/>
        <v>0</v>
      </c>
      <c r="H1515" s="43">
        <f>SUM(G1515:G1517)</f>
        <v>25.170249999999999</v>
      </c>
      <c r="I1515" s="44"/>
      <c r="J1515" s="34">
        <v>0</v>
      </c>
    </row>
    <row r="1516" spans="1:10" ht="15.75" hidden="1" thickBot="1" x14ac:dyDescent="0.3">
      <c r="A1516" s="249"/>
      <c r="B1516" s="252"/>
      <c r="C1516" s="40" t="s">
        <v>3760</v>
      </c>
      <c r="D1516" s="40" t="s">
        <v>3752</v>
      </c>
      <c r="E1516" s="41">
        <v>0.5</v>
      </c>
      <c r="F1516" s="35">
        <v>28.385999999999999</v>
      </c>
      <c r="G1516" s="38">
        <f t="shared" si="24"/>
        <v>14.193</v>
      </c>
      <c r="H1516" s="39"/>
      <c r="I1516" s="35"/>
      <c r="J1516" s="34">
        <v>0</v>
      </c>
    </row>
    <row r="1517" spans="1:10" ht="15.75" hidden="1" thickBot="1" x14ac:dyDescent="0.3">
      <c r="A1517" s="249"/>
      <c r="B1517" s="252"/>
      <c r="C1517" s="40" t="s">
        <v>3770</v>
      </c>
      <c r="D1517" s="40" t="s">
        <v>3752</v>
      </c>
      <c r="E1517" s="41">
        <v>0.5</v>
      </c>
      <c r="F1517" s="35">
        <v>21.954499999999999</v>
      </c>
      <c r="G1517" s="38">
        <f t="shared" si="24"/>
        <v>10.97725</v>
      </c>
      <c r="H1517" s="39"/>
      <c r="I1517" s="35"/>
      <c r="J1517" s="34">
        <v>0</v>
      </c>
    </row>
    <row r="1518" spans="1:10" ht="15.75" hidden="1" thickBot="1" x14ac:dyDescent="0.3">
      <c r="A1518" s="250"/>
      <c r="B1518" s="253"/>
      <c r="C1518" s="40"/>
      <c r="D1518" s="40"/>
      <c r="E1518" s="41"/>
      <c r="F1518" s="35" t="s">
        <v>23</v>
      </c>
      <c r="G1518" s="35" t="str">
        <f t="shared" si="24"/>
        <v/>
      </c>
      <c r="H1518" s="39"/>
      <c r="I1518" s="35"/>
      <c r="J1518" s="34">
        <v>0</v>
      </c>
    </row>
    <row r="1519" spans="1:10" ht="15.75" hidden="1" thickBot="1" x14ac:dyDescent="0.3">
      <c r="A1519" s="248" t="s">
        <v>376</v>
      </c>
      <c r="B1519" s="251" t="s">
        <v>2285</v>
      </c>
      <c r="C1519" s="28"/>
      <c r="D1519" s="29" t="s">
        <v>121</v>
      </c>
      <c r="E1519" s="30"/>
      <c r="F1519" s="45" t="s">
        <v>23</v>
      </c>
      <c r="G1519" s="31" t="str">
        <f t="shared" si="24"/>
        <v/>
      </c>
      <c r="H1519" s="32"/>
      <c r="I1519" s="33"/>
      <c r="J1519" s="34">
        <v>0</v>
      </c>
    </row>
    <row r="1520" spans="1:10" ht="15.75" hidden="1" thickBot="1" x14ac:dyDescent="0.3">
      <c r="A1520" s="249"/>
      <c r="B1520" s="252"/>
      <c r="C1520" s="36"/>
      <c r="D1520" s="36"/>
      <c r="E1520" s="37"/>
      <c r="F1520" s="46" t="s">
        <v>23</v>
      </c>
      <c r="G1520" s="35" t="str">
        <f t="shared" si="24"/>
        <v/>
      </c>
      <c r="H1520" s="39"/>
      <c r="I1520" s="35"/>
      <c r="J1520" s="34">
        <v>0</v>
      </c>
    </row>
    <row r="1521" spans="1:10" ht="15.75" hidden="1" thickBot="1" x14ac:dyDescent="0.3">
      <c r="A1521" s="249"/>
      <c r="B1521" s="252"/>
      <c r="C1521" s="40" t="s">
        <v>377</v>
      </c>
      <c r="D1521" s="40" t="s">
        <v>121</v>
      </c>
      <c r="E1521" s="41">
        <v>1.05</v>
      </c>
      <c r="F1521" s="35">
        <v>0</v>
      </c>
      <c r="G1521" s="38">
        <f t="shared" si="24"/>
        <v>0</v>
      </c>
      <c r="H1521" s="43">
        <f>SUM(G1521:G1523)</f>
        <v>37.755375000000001</v>
      </c>
      <c r="I1521" s="44"/>
      <c r="J1521" s="34">
        <v>0</v>
      </c>
    </row>
    <row r="1522" spans="1:10" ht="15.75" hidden="1" thickBot="1" x14ac:dyDescent="0.3">
      <c r="A1522" s="249"/>
      <c r="B1522" s="252"/>
      <c r="C1522" s="40" t="s">
        <v>3760</v>
      </c>
      <c r="D1522" s="40" t="s">
        <v>3752</v>
      </c>
      <c r="E1522" s="41">
        <v>0.75</v>
      </c>
      <c r="F1522" s="35">
        <v>28.385999999999999</v>
      </c>
      <c r="G1522" s="38">
        <f t="shared" si="24"/>
        <v>21.2895</v>
      </c>
      <c r="H1522" s="39"/>
      <c r="I1522" s="35"/>
      <c r="J1522" s="34">
        <v>0</v>
      </c>
    </row>
    <row r="1523" spans="1:10" ht="15.75" hidden="1" thickBot="1" x14ac:dyDescent="0.3">
      <c r="A1523" s="249"/>
      <c r="B1523" s="252"/>
      <c r="C1523" s="40" t="s">
        <v>3770</v>
      </c>
      <c r="D1523" s="40" t="s">
        <v>3752</v>
      </c>
      <c r="E1523" s="41">
        <v>0.75</v>
      </c>
      <c r="F1523" s="35">
        <v>21.954499999999999</v>
      </c>
      <c r="G1523" s="38">
        <f t="shared" si="24"/>
        <v>16.465875</v>
      </c>
      <c r="H1523" s="39"/>
      <c r="I1523" s="35"/>
      <c r="J1523" s="34">
        <v>0</v>
      </c>
    </row>
    <row r="1524" spans="1:10" ht="15.75" hidden="1" thickBot="1" x14ac:dyDescent="0.3">
      <c r="A1524" s="250"/>
      <c r="B1524" s="253"/>
      <c r="C1524" s="40"/>
      <c r="D1524" s="40"/>
      <c r="E1524" s="41"/>
      <c r="F1524" s="35" t="s">
        <v>23</v>
      </c>
      <c r="G1524" s="35" t="str">
        <f t="shared" si="24"/>
        <v/>
      </c>
      <c r="H1524" s="39"/>
      <c r="I1524" s="35"/>
      <c r="J1524" s="34">
        <v>0</v>
      </c>
    </row>
    <row r="1525" spans="1:10" ht="15.75" hidden="1" thickBot="1" x14ac:dyDescent="0.3">
      <c r="A1525" s="248" t="s">
        <v>378</v>
      </c>
      <c r="B1525" s="251" t="s">
        <v>2286</v>
      </c>
      <c r="C1525" s="28"/>
      <c r="D1525" s="29" t="s">
        <v>121</v>
      </c>
      <c r="E1525" s="30"/>
      <c r="F1525" s="45" t="s">
        <v>23</v>
      </c>
      <c r="G1525" s="31" t="str">
        <f t="shared" si="24"/>
        <v/>
      </c>
      <c r="H1525" s="32"/>
      <c r="I1525" s="33"/>
      <c r="J1525" s="34">
        <v>0</v>
      </c>
    </row>
    <row r="1526" spans="1:10" ht="15.75" hidden="1" thickBot="1" x14ac:dyDescent="0.3">
      <c r="A1526" s="249"/>
      <c r="B1526" s="252"/>
      <c r="C1526" s="36"/>
      <c r="D1526" s="36"/>
      <c r="E1526" s="37"/>
      <c r="F1526" s="46" t="s">
        <v>23</v>
      </c>
      <c r="G1526" s="35" t="str">
        <f t="shared" si="24"/>
        <v/>
      </c>
      <c r="H1526" s="39"/>
      <c r="I1526" s="35"/>
      <c r="J1526" s="34">
        <v>0</v>
      </c>
    </row>
    <row r="1527" spans="1:10" ht="15.75" hidden="1" thickBot="1" x14ac:dyDescent="0.3">
      <c r="A1527" s="249"/>
      <c r="B1527" s="252"/>
      <c r="C1527" s="40" t="s">
        <v>379</v>
      </c>
      <c r="D1527" s="40" t="s">
        <v>121</v>
      </c>
      <c r="E1527" s="41">
        <v>1.05</v>
      </c>
      <c r="F1527" s="35">
        <v>0</v>
      </c>
      <c r="G1527" s="38">
        <f t="shared" si="24"/>
        <v>0</v>
      </c>
      <c r="H1527" s="43">
        <f>SUM(G1527:G1529)</f>
        <v>25.170249999999999</v>
      </c>
      <c r="I1527" s="44"/>
      <c r="J1527" s="34">
        <v>0</v>
      </c>
    </row>
    <row r="1528" spans="1:10" ht="15.75" hidden="1" thickBot="1" x14ac:dyDescent="0.3">
      <c r="A1528" s="249"/>
      <c r="B1528" s="252"/>
      <c r="C1528" s="40" t="s">
        <v>3760</v>
      </c>
      <c r="D1528" s="40" t="s">
        <v>3752</v>
      </c>
      <c r="E1528" s="41">
        <v>0.5</v>
      </c>
      <c r="F1528" s="35">
        <v>28.385999999999999</v>
      </c>
      <c r="G1528" s="38">
        <f t="shared" si="24"/>
        <v>14.193</v>
      </c>
      <c r="H1528" s="39"/>
      <c r="I1528" s="35"/>
      <c r="J1528" s="34">
        <v>0</v>
      </c>
    </row>
    <row r="1529" spans="1:10" ht="15.75" hidden="1" thickBot="1" x14ac:dyDescent="0.3">
      <c r="A1529" s="249"/>
      <c r="B1529" s="252"/>
      <c r="C1529" s="40" t="s">
        <v>3770</v>
      </c>
      <c r="D1529" s="40" t="s">
        <v>3752</v>
      </c>
      <c r="E1529" s="41">
        <v>0.5</v>
      </c>
      <c r="F1529" s="35">
        <v>21.954499999999999</v>
      </c>
      <c r="G1529" s="38">
        <f t="shared" si="24"/>
        <v>10.97725</v>
      </c>
      <c r="H1529" s="39"/>
      <c r="I1529" s="35"/>
      <c r="J1529" s="34">
        <v>0</v>
      </c>
    </row>
    <row r="1530" spans="1:10" ht="15.75" hidden="1" thickBot="1" x14ac:dyDescent="0.3">
      <c r="A1530" s="250"/>
      <c r="B1530" s="253"/>
      <c r="C1530" s="40"/>
      <c r="D1530" s="40"/>
      <c r="E1530" s="41"/>
      <c r="F1530" s="35" t="s">
        <v>23</v>
      </c>
      <c r="G1530" s="35" t="str">
        <f t="shared" si="24"/>
        <v/>
      </c>
      <c r="H1530" s="39"/>
      <c r="I1530" s="35"/>
      <c r="J1530" s="34">
        <v>0</v>
      </c>
    </row>
    <row r="1531" spans="1:10" ht="15.75" hidden="1" thickBot="1" x14ac:dyDescent="0.3">
      <c r="A1531" s="248" t="s">
        <v>380</v>
      </c>
      <c r="B1531" s="251" t="s">
        <v>2287</v>
      </c>
      <c r="C1531" s="28"/>
      <c r="D1531" s="29" t="s">
        <v>121</v>
      </c>
      <c r="E1531" s="30"/>
      <c r="F1531" s="45" t="s">
        <v>23</v>
      </c>
      <c r="G1531" s="31" t="str">
        <f t="shared" si="24"/>
        <v/>
      </c>
      <c r="H1531" s="32"/>
      <c r="I1531" s="33"/>
      <c r="J1531" s="34">
        <v>0</v>
      </c>
    </row>
    <row r="1532" spans="1:10" ht="15.75" hidden="1" thickBot="1" x14ac:dyDescent="0.3">
      <c r="A1532" s="249"/>
      <c r="B1532" s="252"/>
      <c r="C1532" s="36"/>
      <c r="D1532" s="36"/>
      <c r="E1532" s="37"/>
      <c r="F1532" s="46" t="s">
        <v>23</v>
      </c>
      <c r="G1532" s="35" t="str">
        <f t="shared" si="24"/>
        <v/>
      </c>
      <c r="H1532" s="39"/>
      <c r="I1532" s="35"/>
      <c r="J1532" s="34">
        <v>0</v>
      </c>
    </row>
    <row r="1533" spans="1:10" ht="26.25" hidden="1" thickBot="1" x14ac:dyDescent="0.3">
      <c r="A1533" s="249"/>
      <c r="B1533" s="252"/>
      <c r="C1533" s="40" t="s">
        <v>3894</v>
      </c>
      <c r="D1533" s="40" t="s">
        <v>1286</v>
      </c>
      <c r="E1533" s="41">
        <v>1.1000000000000001</v>
      </c>
      <c r="F1533" s="38">
        <v>8.3885000000000005</v>
      </c>
      <c r="G1533" s="38">
        <f t="shared" si="24"/>
        <v>9.2273500000000013</v>
      </c>
      <c r="H1533" s="43">
        <f>SUM(G1533:G1536)</f>
        <v>17.646411499999999</v>
      </c>
      <c r="I1533" s="44"/>
      <c r="J1533" s="34">
        <v>0</v>
      </c>
    </row>
    <row r="1534" spans="1:10" ht="15.75" hidden="1" thickBot="1" x14ac:dyDescent="0.3">
      <c r="A1534" s="249"/>
      <c r="B1534" s="252"/>
      <c r="C1534" s="40" t="s">
        <v>3760</v>
      </c>
      <c r="D1534" s="40" t="s">
        <v>3752</v>
      </c>
      <c r="E1534" s="41">
        <v>0.105</v>
      </c>
      <c r="F1534" s="35">
        <v>28.385999999999999</v>
      </c>
      <c r="G1534" s="38">
        <f t="shared" si="24"/>
        <v>2.9805299999999999</v>
      </c>
      <c r="H1534" s="39"/>
      <c r="I1534" s="35"/>
      <c r="J1534" s="34">
        <v>0</v>
      </c>
    </row>
    <row r="1535" spans="1:10" ht="15.75" hidden="1" thickBot="1" x14ac:dyDescent="0.3">
      <c r="A1535" s="249"/>
      <c r="B1535" s="252"/>
      <c r="C1535" s="40" t="s">
        <v>3770</v>
      </c>
      <c r="D1535" s="40" t="s">
        <v>3752</v>
      </c>
      <c r="E1535" s="41">
        <v>0.105</v>
      </c>
      <c r="F1535" s="35">
        <v>21.954499999999999</v>
      </c>
      <c r="G1535" s="38">
        <f t="shared" si="24"/>
        <v>2.3052224999999997</v>
      </c>
      <c r="H1535" s="39"/>
      <c r="I1535" s="35"/>
      <c r="J1535" s="34">
        <v>0</v>
      </c>
    </row>
    <row r="1536" spans="1:10" ht="51.75" hidden="1" thickBot="1" x14ac:dyDescent="0.3">
      <c r="A1536" s="249"/>
      <c r="B1536" s="252"/>
      <c r="C1536" s="40" t="s">
        <v>4711</v>
      </c>
      <c r="D1536" s="40" t="s">
        <v>1286</v>
      </c>
      <c r="E1536" s="41">
        <v>1</v>
      </c>
      <c r="F1536" s="38">
        <v>3.1333090000000001</v>
      </c>
      <c r="G1536" s="35">
        <f t="shared" si="24"/>
        <v>3.1333090000000001</v>
      </c>
      <c r="H1536" s="39"/>
      <c r="I1536" s="35"/>
      <c r="J1536" s="34">
        <v>0</v>
      </c>
    </row>
    <row r="1537" spans="1:10" ht="15.75" hidden="1" thickBot="1" x14ac:dyDescent="0.3">
      <c r="A1537" s="250"/>
      <c r="B1537" s="253"/>
      <c r="C1537" s="40"/>
      <c r="D1537" s="40"/>
      <c r="E1537" s="41"/>
      <c r="F1537" s="35" t="s">
        <v>23</v>
      </c>
      <c r="G1537" s="35" t="str">
        <f t="shared" si="24"/>
        <v/>
      </c>
      <c r="H1537" s="39"/>
      <c r="I1537" s="35"/>
      <c r="J1537" s="34">
        <v>0</v>
      </c>
    </row>
    <row r="1538" spans="1:10" ht="15.75" hidden="1" thickBot="1" x14ac:dyDescent="0.3">
      <c r="A1538" s="248" t="s">
        <v>381</v>
      </c>
      <c r="B1538" s="251" t="s">
        <v>2288</v>
      </c>
      <c r="C1538" s="28"/>
      <c r="D1538" s="29" t="s">
        <v>121</v>
      </c>
      <c r="E1538" s="30"/>
      <c r="F1538" s="45" t="s">
        <v>23</v>
      </c>
      <c r="G1538" s="31" t="str">
        <f t="shared" si="24"/>
        <v/>
      </c>
      <c r="H1538" s="32"/>
      <c r="I1538" s="33"/>
      <c r="J1538" s="34">
        <v>0</v>
      </c>
    </row>
    <row r="1539" spans="1:10" ht="15.75" hidden="1" thickBot="1" x14ac:dyDescent="0.3">
      <c r="A1539" s="249"/>
      <c r="B1539" s="252"/>
      <c r="C1539" s="36"/>
      <c r="D1539" s="36"/>
      <c r="E1539" s="37"/>
      <c r="F1539" s="46" t="s">
        <v>23</v>
      </c>
      <c r="G1539" s="35" t="str">
        <f t="shared" si="24"/>
        <v/>
      </c>
      <c r="H1539" s="39"/>
      <c r="I1539" s="35"/>
      <c r="J1539" s="34">
        <v>0</v>
      </c>
    </row>
    <row r="1540" spans="1:10" ht="15.75" hidden="1" thickBot="1" x14ac:dyDescent="0.3">
      <c r="A1540" s="249"/>
      <c r="B1540" s="252"/>
      <c r="C1540" s="40" t="s">
        <v>3760</v>
      </c>
      <c r="D1540" s="40" t="s">
        <v>3752</v>
      </c>
      <c r="E1540" s="41">
        <v>9.0999999999999998E-2</v>
      </c>
      <c r="F1540" s="35">
        <v>28.385999999999999</v>
      </c>
      <c r="G1540" s="35">
        <f t="shared" si="24"/>
        <v>2.583126</v>
      </c>
      <c r="H1540" s="43">
        <f>SUM(G1540:G1543)</f>
        <v>12.510844500000001</v>
      </c>
      <c r="I1540" s="44"/>
      <c r="J1540" s="34">
        <v>0</v>
      </c>
    </row>
    <row r="1541" spans="1:10" ht="15.75" hidden="1" thickBot="1" x14ac:dyDescent="0.3">
      <c r="A1541" s="249"/>
      <c r="B1541" s="252"/>
      <c r="C1541" s="40" t="s">
        <v>3770</v>
      </c>
      <c r="D1541" s="40" t="s">
        <v>3752</v>
      </c>
      <c r="E1541" s="41">
        <v>9.0999999999999998E-2</v>
      </c>
      <c r="F1541" s="35">
        <v>21.954499999999999</v>
      </c>
      <c r="G1541" s="35">
        <f t="shared" si="24"/>
        <v>1.9978594999999999</v>
      </c>
      <c r="H1541" s="39"/>
      <c r="I1541" s="35"/>
      <c r="J1541" s="34">
        <v>0</v>
      </c>
    </row>
    <row r="1542" spans="1:10" ht="26.25" hidden="1" thickBot="1" x14ac:dyDescent="0.3">
      <c r="A1542" s="249"/>
      <c r="B1542" s="252"/>
      <c r="C1542" s="40" t="s">
        <v>3895</v>
      </c>
      <c r="D1542" s="40" t="s">
        <v>1286</v>
      </c>
      <c r="E1542" s="41">
        <v>1.1000000000000001</v>
      </c>
      <c r="F1542" s="38">
        <v>4.3605</v>
      </c>
      <c r="G1542" s="35">
        <f t="shared" si="24"/>
        <v>4.7965500000000008</v>
      </c>
      <c r="H1542" s="39"/>
      <c r="I1542" s="35"/>
      <c r="J1542" s="34">
        <v>0</v>
      </c>
    </row>
    <row r="1543" spans="1:10" ht="51.75" hidden="1" thickBot="1" x14ac:dyDescent="0.3">
      <c r="A1543" s="249"/>
      <c r="B1543" s="252"/>
      <c r="C1543" s="40" t="s">
        <v>4711</v>
      </c>
      <c r="D1543" s="40" t="s">
        <v>1286</v>
      </c>
      <c r="E1543" s="41">
        <v>1</v>
      </c>
      <c r="F1543" s="38">
        <v>3.1333090000000001</v>
      </c>
      <c r="G1543" s="35">
        <f t="shared" si="24"/>
        <v>3.1333090000000001</v>
      </c>
      <c r="H1543" s="39"/>
      <c r="I1543" s="35"/>
      <c r="J1543" s="34">
        <v>0</v>
      </c>
    </row>
    <row r="1544" spans="1:10" ht="15.75" hidden="1" thickBot="1" x14ac:dyDescent="0.3">
      <c r="A1544" s="250"/>
      <c r="B1544" s="253"/>
      <c r="C1544" s="40"/>
      <c r="D1544" s="40"/>
      <c r="E1544" s="41"/>
      <c r="F1544" s="35" t="s">
        <v>23</v>
      </c>
      <c r="G1544" s="35" t="str">
        <f t="shared" si="24"/>
        <v/>
      </c>
      <c r="H1544" s="39"/>
      <c r="I1544" s="35"/>
      <c r="J1544" s="34">
        <v>0</v>
      </c>
    </row>
    <row r="1545" spans="1:10" ht="15.75" hidden="1" thickBot="1" x14ac:dyDescent="0.3">
      <c r="A1545" s="248" t="s">
        <v>382</v>
      </c>
      <c r="B1545" s="251" t="s">
        <v>2289</v>
      </c>
      <c r="C1545" s="28"/>
      <c r="D1545" s="29" t="s">
        <v>121</v>
      </c>
      <c r="E1545" s="30"/>
      <c r="F1545" s="45" t="s">
        <v>23</v>
      </c>
      <c r="G1545" s="31" t="str">
        <f t="shared" si="24"/>
        <v/>
      </c>
      <c r="H1545" s="32"/>
      <c r="I1545" s="33"/>
      <c r="J1545" s="34">
        <v>0</v>
      </c>
    </row>
    <row r="1546" spans="1:10" ht="15.75" hidden="1" thickBot="1" x14ac:dyDescent="0.3">
      <c r="A1546" s="249"/>
      <c r="B1546" s="252"/>
      <c r="C1546" s="36"/>
      <c r="D1546" s="36"/>
      <c r="E1546" s="37"/>
      <c r="F1546" s="46" t="s">
        <v>23</v>
      </c>
      <c r="G1546" s="35" t="str">
        <f t="shared" si="24"/>
        <v/>
      </c>
      <c r="H1546" s="39"/>
      <c r="I1546" s="35"/>
      <c r="J1546" s="34">
        <v>0</v>
      </c>
    </row>
    <row r="1547" spans="1:10" ht="39" hidden="1" thickBot="1" x14ac:dyDescent="0.3">
      <c r="A1547" s="249"/>
      <c r="B1547" s="252"/>
      <c r="C1547" s="40" t="s">
        <v>3896</v>
      </c>
      <c r="D1547" s="40" t="s">
        <v>1286</v>
      </c>
      <c r="E1547" s="41">
        <v>1.1000000000000001</v>
      </c>
      <c r="F1547" s="38">
        <v>13.8225</v>
      </c>
      <c r="G1547" s="35">
        <f t="shared" si="24"/>
        <v>15.204750000000001</v>
      </c>
      <c r="H1547" s="43">
        <f>SUM(G1547:G1550)</f>
        <v>19.570532</v>
      </c>
      <c r="I1547" s="44"/>
      <c r="J1547" s="34">
        <v>0</v>
      </c>
    </row>
    <row r="1548" spans="1:10" ht="26.25" hidden="1" thickBot="1" x14ac:dyDescent="0.3">
      <c r="A1548" s="249"/>
      <c r="B1548" s="252"/>
      <c r="C1548" s="40" t="s">
        <v>4033</v>
      </c>
      <c r="D1548" s="40" t="s">
        <v>1035</v>
      </c>
      <c r="E1548" s="41">
        <v>2E-3</v>
      </c>
      <c r="F1548" s="38">
        <v>18.249500000000001</v>
      </c>
      <c r="G1548" s="35">
        <f t="shared" si="24"/>
        <v>3.6499000000000004E-2</v>
      </c>
      <c r="H1548" s="39"/>
      <c r="I1548" s="35"/>
      <c r="J1548" s="34">
        <v>0</v>
      </c>
    </row>
    <row r="1549" spans="1:10" ht="15.75" hidden="1" thickBot="1" x14ac:dyDescent="0.3">
      <c r="A1549" s="249"/>
      <c r="B1549" s="252"/>
      <c r="C1549" s="40" t="s">
        <v>3770</v>
      </c>
      <c r="D1549" s="40" t="s">
        <v>3752</v>
      </c>
      <c r="E1549" s="41">
        <v>8.5999999999999993E-2</v>
      </c>
      <c r="F1549" s="35">
        <v>21.954499999999999</v>
      </c>
      <c r="G1549" s="35">
        <f t="shared" si="24"/>
        <v>1.8880869999999998</v>
      </c>
      <c r="H1549" s="39"/>
      <c r="I1549" s="35"/>
      <c r="J1549" s="34">
        <v>0</v>
      </c>
    </row>
    <row r="1550" spans="1:10" ht="15.75" hidden="1" thickBot="1" x14ac:dyDescent="0.3">
      <c r="A1550" s="249"/>
      <c r="B1550" s="252"/>
      <c r="C1550" s="40" t="s">
        <v>3760</v>
      </c>
      <c r="D1550" s="40" t="s">
        <v>3752</v>
      </c>
      <c r="E1550" s="41">
        <v>8.5999999999999993E-2</v>
      </c>
      <c r="F1550" s="35">
        <v>28.385999999999999</v>
      </c>
      <c r="G1550" s="35">
        <f t="shared" si="24"/>
        <v>2.4411959999999997</v>
      </c>
      <c r="H1550" s="39"/>
      <c r="I1550" s="35"/>
      <c r="J1550" s="34">
        <v>0</v>
      </c>
    </row>
    <row r="1551" spans="1:10" ht="15.75" hidden="1" thickBot="1" x14ac:dyDescent="0.3">
      <c r="A1551" s="250"/>
      <c r="B1551" s="253"/>
      <c r="C1551" s="40"/>
      <c r="D1551" s="40"/>
      <c r="E1551" s="41"/>
      <c r="F1551" s="35" t="s">
        <v>23</v>
      </c>
      <c r="G1551" s="35" t="str">
        <f t="shared" si="24"/>
        <v/>
      </c>
      <c r="H1551" s="39"/>
      <c r="I1551" s="35"/>
      <c r="J1551" s="34">
        <v>0</v>
      </c>
    </row>
    <row r="1552" spans="1:10" ht="15.75" hidden="1" thickBot="1" x14ac:dyDescent="0.3">
      <c r="A1552" s="248" t="s">
        <v>383</v>
      </c>
      <c r="B1552" s="251" t="s">
        <v>2290</v>
      </c>
      <c r="C1552" s="28"/>
      <c r="D1552" s="29" t="s">
        <v>121</v>
      </c>
      <c r="E1552" s="30"/>
      <c r="F1552" s="45" t="s">
        <v>23</v>
      </c>
      <c r="G1552" s="31" t="str">
        <f t="shared" si="24"/>
        <v/>
      </c>
      <c r="H1552" s="32"/>
      <c r="I1552" s="33"/>
      <c r="J1552" s="34">
        <v>0</v>
      </c>
    </row>
    <row r="1553" spans="1:10" ht="15.75" hidden="1" thickBot="1" x14ac:dyDescent="0.3">
      <c r="A1553" s="249"/>
      <c r="B1553" s="252"/>
      <c r="C1553" s="36"/>
      <c r="D1553" s="36"/>
      <c r="E1553" s="37"/>
      <c r="F1553" s="46" t="s">
        <v>23</v>
      </c>
      <c r="G1553" s="35" t="str">
        <f t="shared" si="24"/>
        <v/>
      </c>
      <c r="H1553" s="39"/>
      <c r="I1553" s="35"/>
      <c r="J1553" s="34">
        <v>0</v>
      </c>
    </row>
    <row r="1554" spans="1:10" ht="39" hidden="1" thickBot="1" x14ac:dyDescent="0.3">
      <c r="A1554" s="249"/>
      <c r="B1554" s="252"/>
      <c r="C1554" s="40" t="s">
        <v>3898</v>
      </c>
      <c r="D1554" s="40" t="s">
        <v>1286</v>
      </c>
      <c r="E1554" s="41">
        <v>1.1000000000000001</v>
      </c>
      <c r="F1554" s="38">
        <v>10.535499999999999</v>
      </c>
      <c r="G1554" s="38">
        <f t="shared" ref="G1554:G1617" si="25">IF(ISNUMBER(F1554),E1554*F1554,"")</f>
        <v>11.58905</v>
      </c>
      <c r="H1554" s="43">
        <f>SUM(G1554:G1557)</f>
        <v>15.196074599999999</v>
      </c>
      <c r="I1554" s="44"/>
      <c r="J1554" s="34">
        <v>0</v>
      </c>
    </row>
    <row r="1555" spans="1:10" ht="26.25" hidden="1" thickBot="1" x14ac:dyDescent="0.3">
      <c r="A1555" s="249"/>
      <c r="B1555" s="252"/>
      <c r="C1555" s="40" t="s">
        <v>4033</v>
      </c>
      <c r="D1555" s="40" t="s">
        <v>1035</v>
      </c>
      <c r="E1555" s="41">
        <v>1.8E-3</v>
      </c>
      <c r="F1555" s="38">
        <v>18.249500000000001</v>
      </c>
      <c r="G1555" s="38">
        <f t="shared" si="25"/>
        <v>3.2849099999999999E-2</v>
      </c>
      <c r="H1555" s="39"/>
      <c r="I1555" s="35"/>
      <c r="J1555" s="34">
        <v>0</v>
      </c>
    </row>
    <row r="1556" spans="1:10" ht="15.75" hidden="1" thickBot="1" x14ac:dyDescent="0.3">
      <c r="A1556" s="249"/>
      <c r="B1556" s="252"/>
      <c r="C1556" s="40" t="s">
        <v>3770</v>
      </c>
      <c r="D1556" s="40" t="s">
        <v>3752</v>
      </c>
      <c r="E1556" s="41">
        <v>7.0999999999999994E-2</v>
      </c>
      <c r="F1556" s="35">
        <v>21.954499999999999</v>
      </c>
      <c r="G1556" s="38">
        <f t="shared" si="25"/>
        <v>1.5587694999999999</v>
      </c>
      <c r="H1556" s="39"/>
      <c r="I1556" s="35"/>
      <c r="J1556" s="34">
        <v>0</v>
      </c>
    </row>
    <row r="1557" spans="1:10" ht="15.75" hidden="1" thickBot="1" x14ac:dyDescent="0.3">
      <c r="A1557" s="249"/>
      <c r="B1557" s="252"/>
      <c r="C1557" s="40" t="s">
        <v>3760</v>
      </c>
      <c r="D1557" s="40" t="s">
        <v>3752</v>
      </c>
      <c r="E1557" s="41">
        <v>7.0999999999999994E-2</v>
      </c>
      <c r="F1557" s="35">
        <v>28.385999999999999</v>
      </c>
      <c r="G1557" s="38">
        <f t="shared" si="25"/>
        <v>2.0154059999999996</v>
      </c>
      <c r="H1557" s="39"/>
      <c r="I1557" s="35"/>
      <c r="J1557" s="34">
        <v>0</v>
      </c>
    </row>
    <row r="1558" spans="1:10" ht="15.75" hidden="1" thickBot="1" x14ac:dyDescent="0.3">
      <c r="A1558" s="250"/>
      <c r="B1558" s="253"/>
      <c r="C1558" s="40"/>
      <c r="D1558" s="40"/>
      <c r="E1558" s="41"/>
      <c r="F1558" s="35" t="s">
        <v>23</v>
      </c>
      <c r="G1558" s="35" t="str">
        <f t="shared" si="25"/>
        <v/>
      </c>
      <c r="H1558" s="39"/>
      <c r="I1558" s="35"/>
      <c r="J1558" s="34">
        <v>0</v>
      </c>
    </row>
    <row r="1559" spans="1:10" ht="15.75" hidden="1" thickBot="1" x14ac:dyDescent="0.3">
      <c r="A1559" s="248" t="s">
        <v>384</v>
      </c>
      <c r="B1559" s="251" t="s">
        <v>2291</v>
      </c>
      <c r="C1559" s="28"/>
      <c r="D1559" s="29" t="s">
        <v>121</v>
      </c>
      <c r="E1559" s="30"/>
      <c r="F1559" s="45" t="s">
        <v>23</v>
      </c>
      <c r="G1559" s="31" t="str">
        <f t="shared" si="25"/>
        <v/>
      </c>
      <c r="H1559" s="32"/>
      <c r="I1559" s="33"/>
      <c r="J1559" s="34">
        <v>0</v>
      </c>
    </row>
    <row r="1560" spans="1:10" ht="15.75" hidden="1" thickBot="1" x14ac:dyDescent="0.3">
      <c r="A1560" s="249"/>
      <c r="B1560" s="252"/>
      <c r="C1560" s="36"/>
      <c r="D1560" s="36"/>
      <c r="E1560" s="37"/>
      <c r="F1560" s="46" t="s">
        <v>23</v>
      </c>
      <c r="G1560" s="35" t="str">
        <f t="shared" si="25"/>
        <v/>
      </c>
      <c r="H1560" s="39"/>
      <c r="I1560" s="35"/>
      <c r="J1560" s="34">
        <v>0</v>
      </c>
    </row>
    <row r="1561" spans="1:10" ht="15.75" hidden="1" thickBot="1" x14ac:dyDescent="0.3">
      <c r="A1561" s="249"/>
      <c r="B1561" s="252"/>
      <c r="C1561" s="40" t="s">
        <v>385</v>
      </c>
      <c r="D1561" s="40" t="s">
        <v>121</v>
      </c>
      <c r="E1561" s="41">
        <v>1.05</v>
      </c>
      <c r="F1561" s="38" t="s">
        <v>23</v>
      </c>
      <c r="G1561" s="38" t="str">
        <f t="shared" si="25"/>
        <v/>
      </c>
      <c r="H1561" s="43">
        <f>SUM(G1561:G1572)</f>
        <v>23.462868199999999</v>
      </c>
      <c r="I1561" s="44"/>
      <c r="J1561" s="34">
        <v>0</v>
      </c>
    </row>
    <row r="1562" spans="1:10" ht="15.75" hidden="1" thickBot="1" x14ac:dyDescent="0.3">
      <c r="A1562" s="249"/>
      <c r="B1562" s="252"/>
      <c r="C1562" s="40" t="s">
        <v>3770</v>
      </c>
      <c r="D1562" s="40" t="s">
        <v>3752</v>
      </c>
      <c r="E1562" s="41">
        <v>0.45</v>
      </c>
      <c r="F1562" s="35">
        <v>21.954499999999999</v>
      </c>
      <c r="G1562" s="38">
        <f t="shared" si="25"/>
        <v>9.8795249999999992</v>
      </c>
      <c r="H1562" s="39"/>
      <c r="I1562" s="35"/>
      <c r="J1562" s="34">
        <v>0</v>
      </c>
    </row>
    <row r="1563" spans="1:10" ht="15.75" hidden="1" thickBot="1" x14ac:dyDescent="0.3">
      <c r="A1563" s="249"/>
      <c r="B1563" s="252"/>
      <c r="C1563" s="40" t="s">
        <v>3760</v>
      </c>
      <c r="D1563" s="40" t="s">
        <v>3752</v>
      </c>
      <c r="E1563" s="41">
        <v>0.45</v>
      </c>
      <c r="F1563" s="35">
        <v>28.385999999999999</v>
      </c>
      <c r="G1563" s="38">
        <f t="shared" si="25"/>
        <v>12.7737</v>
      </c>
      <c r="H1563" s="39"/>
      <c r="I1563" s="35"/>
      <c r="J1563" s="34">
        <v>0</v>
      </c>
    </row>
    <row r="1564" spans="1:10" ht="26.25" hidden="1" thickBot="1" x14ac:dyDescent="0.3">
      <c r="A1564" s="249"/>
      <c r="B1564" s="252"/>
      <c r="C1564" s="40" t="s">
        <v>338</v>
      </c>
      <c r="D1564" s="40" t="s">
        <v>102</v>
      </c>
      <c r="E1564" s="41">
        <v>0.67</v>
      </c>
      <c r="F1564" s="35">
        <v>0</v>
      </c>
      <c r="G1564" s="38">
        <f t="shared" si="25"/>
        <v>0</v>
      </c>
      <c r="H1564" s="39"/>
      <c r="I1564" s="35"/>
      <c r="J1564" s="34">
        <v>0</v>
      </c>
    </row>
    <row r="1565" spans="1:10" ht="15.75" hidden="1" thickBot="1" x14ac:dyDescent="0.3">
      <c r="A1565" s="249"/>
      <c r="B1565" s="252"/>
      <c r="C1565" s="40" t="s">
        <v>386</v>
      </c>
      <c r="D1565" s="40" t="s">
        <v>102</v>
      </c>
      <c r="E1565" s="41">
        <v>0.67</v>
      </c>
      <c r="F1565" s="35">
        <v>0</v>
      </c>
      <c r="G1565" s="38">
        <f t="shared" si="25"/>
        <v>0</v>
      </c>
      <c r="H1565" s="39"/>
      <c r="I1565" s="35"/>
      <c r="J1565" s="34">
        <v>0</v>
      </c>
    </row>
    <row r="1566" spans="1:10" ht="15.75" hidden="1" thickBot="1" x14ac:dyDescent="0.3">
      <c r="A1566" s="249"/>
      <c r="B1566" s="252"/>
      <c r="C1566" s="40" t="s">
        <v>340</v>
      </c>
      <c r="D1566" s="40" t="s">
        <v>121</v>
      </c>
      <c r="E1566" s="41">
        <v>0.8</v>
      </c>
      <c r="F1566" s="35">
        <v>0</v>
      </c>
      <c r="G1566" s="38">
        <f t="shared" si="25"/>
        <v>0</v>
      </c>
      <c r="H1566" s="39"/>
      <c r="I1566" s="35"/>
      <c r="J1566" s="34">
        <v>0</v>
      </c>
    </row>
    <row r="1567" spans="1:10" ht="15.75" hidden="1" thickBot="1" x14ac:dyDescent="0.3">
      <c r="A1567" s="249"/>
      <c r="B1567" s="252"/>
      <c r="C1567" s="40" t="s">
        <v>3893</v>
      </c>
      <c r="D1567" s="40" t="s">
        <v>291</v>
      </c>
      <c r="E1567" s="41">
        <v>2.6633</v>
      </c>
      <c r="F1567" s="38">
        <v>0.30399999999999999</v>
      </c>
      <c r="G1567" s="38">
        <f t="shared" si="25"/>
        <v>0.80964320000000001</v>
      </c>
      <c r="H1567" s="39"/>
      <c r="I1567" s="35"/>
      <c r="J1567" s="34">
        <v>0</v>
      </c>
    </row>
    <row r="1568" spans="1:10" ht="15.75" hidden="1" thickBot="1" x14ac:dyDescent="0.3">
      <c r="A1568" s="249"/>
      <c r="B1568" s="252"/>
      <c r="C1568" s="40" t="s">
        <v>341</v>
      </c>
      <c r="D1568" s="40" t="s">
        <v>102</v>
      </c>
      <c r="E1568" s="41">
        <v>2.6633</v>
      </c>
      <c r="F1568" s="35">
        <v>0</v>
      </c>
      <c r="G1568" s="38">
        <f t="shared" si="25"/>
        <v>0</v>
      </c>
      <c r="H1568" s="39"/>
      <c r="I1568" s="35"/>
      <c r="J1568" s="34">
        <v>0</v>
      </c>
    </row>
    <row r="1569" spans="1:10" ht="15.75" hidden="1" thickBot="1" x14ac:dyDescent="0.3">
      <c r="A1569" s="249"/>
      <c r="B1569" s="252"/>
      <c r="C1569" s="40" t="s">
        <v>343</v>
      </c>
      <c r="D1569" s="40" t="s">
        <v>102</v>
      </c>
      <c r="E1569" s="41">
        <v>0.67</v>
      </c>
      <c r="F1569" s="35">
        <v>0</v>
      </c>
      <c r="G1569" s="38">
        <f t="shared" si="25"/>
        <v>0</v>
      </c>
      <c r="H1569" s="39"/>
      <c r="I1569" s="35"/>
      <c r="J1569" s="34">
        <v>0</v>
      </c>
    </row>
    <row r="1570" spans="1:10" ht="15.75" hidden="1" thickBot="1" x14ac:dyDescent="0.3">
      <c r="A1570" s="249"/>
      <c r="B1570" s="252"/>
      <c r="C1570" s="40" t="s">
        <v>344</v>
      </c>
      <c r="D1570" s="40" t="s">
        <v>28</v>
      </c>
      <c r="E1570" s="41">
        <v>1.33</v>
      </c>
      <c r="F1570" s="35">
        <v>0</v>
      </c>
      <c r="G1570" s="38">
        <f t="shared" si="25"/>
        <v>0</v>
      </c>
      <c r="H1570" s="39"/>
      <c r="I1570" s="35"/>
      <c r="J1570" s="34">
        <v>0</v>
      </c>
    </row>
    <row r="1571" spans="1:10" ht="15.75" hidden="1" thickBot="1" x14ac:dyDescent="0.3">
      <c r="A1571" s="249"/>
      <c r="B1571" s="252"/>
      <c r="C1571" s="40" t="s">
        <v>387</v>
      </c>
      <c r="D1571" s="40" t="s">
        <v>102</v>
      </c>
      <c r="E1571" s="41">
        <v>0.33329999999999999</v>
      </c>
      <c r="F1571" s="35">
        <v>0</v>
      </c>
      <c r="G1571" s="38">
        <f t="shared" si="25"/>
        <v>0</v>
      </c>
      <c r="H1571" s="39"/>
      <c r="I1571" s="35"/>
      <c r="J1571" s="34">
        <v>0</v>
      </c>
    </row>
    <row r="1572" spans="1:10" ht="15.75" hidden="1" thickBot="1" x14ac:dyDescent="0.3">
      <c r="A1572" s="249"/>
      <c r="B1572" s="252"/>
      <c r="C1572" s="40" t="s">
        <v>388</v>
      </c>
      <c r="D1572" s="40" t="s">
        <v>121</v>
      </c>
      <c r="E1572" s="41">
        <v>1.05</v>
      </c>
      <c r="F1572" s="35">
        <v>0</v>
      </c>
      <c r="G1572" s="38">
        <f t="shared" si="25"/>
        <v>0</v>
      </c>
      <c r="H1572" s="39"/>
      <c r="I1572" s="35"/>
      <c r="J1572" s="34">
        <v>0</v>
      </c>
    </row>
    <row r="1573" spans="1:10" ht="15.75" hidden="1" thickBot="1" x14ac:dyDescent="0.3">
      <c r="A1573" s="250"/>
      <c r="B1573" s="253"/>
      <c r="C1573" s="40"/>
      <c r="D1573" s="40"/>
      <c r="E1573" s="41"/>
      <c r="F1573" s="35" t="s">
        <v>23</v>
      </c>
      <c r="G1573" s="35" t="str">
        <f t="shared" si="25"/>
        <v/>
      </c>
      <c r="H1573" s="39"/>
      <c r="I1573" s="35"/>
      <c r="J1573" s="34">
        <v>0</v>
      </c>
    </row>
    <row r="1574" spans="1:10" ht="15.75" hidden="1" thickBot="1" x14ac:dyDescent="0.3">
      <c r="A1574" s="248" t="s">
        <v>389</v>
      </c>
      <c r="B1574" s="251" t="s">
        <v>2292</v>
      </c>
      <c r="C1574" s="28"/>
      <c r="D1574" s="29" t="s">
        <v>28</v>
      </c>
      <c r="E1574" s="30"/>
      <c r="F1574" s="45" t="s">
        <v>23</v>
      </c>
      <c r="G1574" s="31" t="str">
        <f t="shared" si="25"/>
        <v/>
      </c>
      <c r="H1574" s="32"/>
      <c r="I1574" s="33"/>
      <c r="J1574" s="34">
        <v>0</v>
      </c>
    </row>
    <row r="1575" spans="1:10" ht="15.75" hidden="1" thickBot="1" x14ac:dyDescent="0.3">
      <c r="A1575" s="249"/>
      <c r="B1575" s="252"/>
      <c r="C1575" s="36"/>
      <c r="D1575" s="36"/>
      <c r="E1575" s="37"/>
      <c r="F1575" s="46" t="s">
        <v>23</v>
      </c>
      <c r="G1575" s="35" t="str">
        <f t="shared" si="25"/>
        <v/>
      </c>
      <c r="H1575" s="39"/>
      <c r="I1575" s="35"/>
      <c r="J1575" s="34">
        <v>0</v>
      </c>
    </row>
    <row r="1576" spans="1:10" ht="26.25" hidden="1" thickBot="1" x14ac:dyDescent="0.3">
      <c r="A1576" s="249"/>
      <c r="B1576" s="252"/>
      <c r="C1576" s="40" t="s">
        <v>3899</v>
      </c>
      <c r="D1576" s="40" t="s">
        <v>291</v>
      </c>
      <c r="E1576" s="41">
        <v>1</v>
      </c>
      <c r="F1576" s="38">
        <v>3.2965</v>
      </c>
      <c r="G1576" s="38">
        <f t="shared" si="25"/>
        <v>3.2965</v>
      </c>
      <c r="H1576" s="43">
        <f>SUM(G1576:G1579)</f>
        <v>9.5874854999999997</v>
      </c>
      <c r="I1576" s="44"/>
      <c r="J1576" s="34">
        <v>0</v>
      </c>
    </row>
    <row r="1577" spans="1:10" ht="39" hidden="1" thickBot="1" x14ac:dyDescent="0.3">
      <c r="A1577" s="249"/>
      <c r="B1577" s="252"/>
      <c r="C1577" s="40" t="s">
        <v>3900</v>
      </c>
      <c r="D1577" s="40" t="s">
        <v>291</v>
      </c>
      <c r="E1577" s="41">
        <v>1</v>
      </c>
      <c r="F1577" s="38">
        <v>1.71</v>
      </c>
      <c r="G1577" s="38">
        <f t="shared" si="25"/>
        <v>1.71</v>
      </c>
      <c r="H1577" s="39"/>
      <c r="I1577" s="35"/>
      <c r="J1577" s="34">
        <v>0</v>
      </c>
    </row>
    <row r="1578" spans="1:10" ht="15.75" hidden="1" thickBot="1" x14ac:dyDescent="0.3">
      <c r="A1578" s="249"/>
      <c r="B1578" s="252"/>
      <c r="C1578" s="40" t="s">
        <v>3770</v>
      </c>
      <c r="D1578" s="40" t="s">
        <v>3752</v>
      </c>
      <c r="E1578" s="41">
        <v>9.0999999999999998E-2</v>
      </c>
      <c r="F1578" s="35">
        <v>21.954499999999999</v>
      </c>
      <c r="G1578" s="38">
        <f t="shared" si="25"/>
        <v>1.9978594999999999</v>
      </c>
      <c r="H1578" s="39"/>
      <c r="I1578" s="35"/>
      <c r="J1578" s="34">
        <v>0</v>
      </c>
    </row>
    <row r="1579" spans="1:10" ht="15.75" hidden="1" thickBot="1" x14ac:dyDescent="0.3">
      <c r="A1579" s="249"/>
      <c r="B1579" s="252"/>
      <c r="C1579" s="40" t="s">
        <v>3760</v>
      </c>
      <c r="D1579" s="40" t="s">
        <v>3752</v>
      </c>
      <c r="E1579" s="41">
        <v>9.0999999999999998E-2</v>
      </c>
      <c r="F1579" s="35">
        <v>28.385999999999999</v>
      </c>
      <c r="G1579" s="38">
        <f t="shared" si="25"/>
        <v>2.583126</v>
      </c>
      <c r="H1579" s="39"/>
      <c r="I1579" s="35"/>
      <c r="J1579" s="34">
        <v>0</v>
      </c>
    </row>
    <row r="1580" spans="1:10" ht="15.75" hidden="1" thickBot="1" x14ac:dyDescent="0.3">
      <c r="A1580" s="250"/>
      <c r="B1580" s="253"/>
      <c r="C1580" s="40"/>
      <c r="D1580" s="40"/>
      <c r="E1580" s="41"/>
      <c r="F1580" s="35" t="s">
        <v>23</v>
      </c>
      <c r="G1580" s="35" t="str">
        <f t="shared" si="25"/>
        <v/>
      </c>
      <c r="H1580" s="39"/>
      <c r="I1580" s="35"/>
      <c r="J1580" s="34">
        <v>0</v>
      </c>
    </row>
    <row r="1581" spans="1:10" ht="15.75" hidden="1" thickBot="1" x14ac:dyDescent="0.3">
      <c r="A1581" s="248" t="s">
        <v>390</v>
      </c>
      <c r="B1581" s="251" t="s">
        <v>2293</v>
      </c>
      <c r="C1581" s="28"/>
      <c r="D1581" s="29" t="s">
        <v>28</v>
      </c>
      <c r="E1581" s="30"/>
      <c r="F1581" s="45" t="s">
        <v>23</v>
      </c>
      <c r="G1581" s="31" t="str">
        <f t="shared" si="25"/>
        <v/>
      </c>
      <c r="H1581" s="32"/>
      <c r="I1581" s="33"/>
      <c r="J1581" s="34">
        <v>0</v>
      </c>
    </row>
    <row r="1582" spans="1:10" ht="15.75" hidden="1" thickBot="1" x14ac:dyDescent="0.3">
      <c r="A1582" s="249"/>
      <c r="B1582" s="252"/>
      <c r="C1582" s="36"/>
      <c r="D1582" s="36"/>
      <c r="E1582" s="37"/>
      <c r="F1582" s="46" t="s">
        <v>23</v>
      </c>
      <c r="G1582" s="35" t="str">
        <f t="shared" si="25"/>
        <v/>
      </c>
      <c r="H1582" s="39"/>
      <c r="I1582" s="35"/>
      <c r="J1582" s="34">
        <v>0</v>
      </c>
    </row>
    <row r="1583" spans="1:10" ht="26.25" hidden="1" thickBot="1" x14ac:dyDescent="0.3">
      <c r="A1583" s="249"/>
      <c r="B1583" s="252"/>
      <c r="C1583" s="40" t="s">
        <v>3901</v>
      </c>
      <c r="D1583" s="40" t="s">
        <v>291</v>
      </c>
      <c r="E1583" s="41">
        <v>1</v>
      </c>
      <c r="F1583" s="38">
        <v>6.6879999999999997</v>
      </c>
      <c r="G1583" s="35">
        <f t="shared" si="25"/>
        <v>6.6879999999999997</v>
      </c>
      <c r="H1583" s="43">
        <f>SUM(G1583:G1586)</f>
        <v>14.867433500000001</v>
      </c>
      <c r="I1583" s="44"/>
      <c r="J1583" s="34">
        <v>0</v>
      </c>
    </row>
    <row r="1584" spans="1:10" ht="39" hidden="1" thickBot="1" x14ac:dyDescent="0.3">
      <c r="A1584" s="249"/>
      <c r="B1584" s="252"/>
      <c r="C1584" s="40" t="s">
        <v>3902</v>
      </c>
      <c r="D1584" s="40" t="s">
        <v>291</v>
      </c>
      <c r="E1584" s="41">
        <v>1</v>
      </c>
      <c r="F1584" s="38">
        <v>2.7929999999999997</v>
      </c>
      <c r="G1584" s="38">
        <f t="shared" si="25"/>
        <v>2.7929999999999997</v>
      </c>
      <c r="H1584" s="39"/>
      <c r="I1584" s="35"/>
      <c r="J1584" s="34">
        <v>0</v>
      </c>
    </row>
    <row r="1585" spans="1:10" ht="15.75" hidden="1" thickBot="1" x14ac:dyDescent="0.3">
      <c r="A1585" s="249"/>
      <c r="B1585" s="252"/>
      <c r="C1585" s="40" t="s">
        <v>3770</v>
      </c>
      <c r="D1585" s="40" t="s">
        <v>3752</v>
      </c>
      <c r="E1585" s="41">
        <v>0.107</v>
      </c>
      <c r="F1585" s="35">
        <v>21.954499999999999</v>
      </c>
      <c r="G1585" s="38">
        <f t="shared" si="25"/>
        <v>2.3491314999999999</v>
      </c>
      <c r="H1585" s="39"/>
      <c r="I1585" s="35"/>
      <c r="J1585" s="34">
        <v>0</v>
      </c>
    </row>
    <row r="1586" spans="1:10" ht="15.75" hidden="1" thickBot="1" x14ac:dyDescent="0.3">
      <c r="A1586" s="249"/>
      <c r="B1586" s="252"/>
      <c r="C1586" s="40" t="s">
        <v>3760</v>
      </c>
      <c r="D1586" s="40" t="s">
        <v>3752</v>
      </c>
      <c r="E1586" s="41">
        <v>0.107</v>
      </c>
      <c r="F1586" s="35">
        <v>28.385999999999999</v>
      </c>
      <c r="G1586" s="38">
        <f t="shared" si="25"/>
        <v>3.0373019999999999</v>
      </c>
      <c r="H1586" s="39"/>
      <c r="I1586" s="35"/>
      <c r="J1586" s="34">
        <v>0</v>
      </c>
    </row>
    <row r="1587" spans="1:10" ht="15.75" hidden="1" thickBot="1" x14ac:dyDescent="0.3">
      <c r="A1587" s="250"/>
      <c r="B1587" s="253"/>
      <c r="C1587" s="40"/>
      <c r="D1587" s="40"/>
      <c r="E1587" s="41"/>
      <c r="F1587" s="35" t="s">
        <v>23</v>
      </c>
      <c r="G1587" s="35" t="str">
        <f t="shared" si="25"/>
        <v/>
      </c>
      <c r="H1587" s="39"/>
      <c r="I1587" s="35"/>
      <c r="J1587" s="34">
        <v>0</v>
      </c>
    </row>
    <row r="1588" spans="1:10" ht="15.75" hidden="1" thickBot="1" x14ac:dyDescent="0.3">
      <c r="A1588" s="248" t="s">
        <v>391</v>
      </c>
      <c r="B1588" s="251" t="s">
        <v>392</v>
      </c>
      <c r="C1588" s="28"/>
      <c r="D1588" s="29" t="s">
        <v>28</v>
      </c>
      <c r="E1588" s="30"/>
      <c r="F1588" s="45" t="s">
        <v>23</v>
      </c>
      <c r="G1588" s="31" t="str">
        <f t="shared" si="25"/>
        <v/>
      </c>
      <c r="H1588" s="32"/>
      <c r="I1588" s="33"/>
      <c r="J1588" s="34">
        <v>0</v>
      </c>
    </row>
    <row r="1589" spans="1:10" ht="15.75" hidden="1" thickBot="1" x14ac:dyDescent="0.3">
      <c r="A1589" s="249"/>
      <c r="B1589" s="252"/>
      <c r="C1589" s="36"/>
      <c r="D1589" s="36"/>
      <c r="E1589" s="37"/>
      <c r="F1589" s="46" t="s">
        <v>23</v>
      </c>
      <c r="G1589" s="35" t="str">
        <f t="shared" si="25"/>
        <v/>
      </c>
      <c r="H1589" s="39"/>
      <c r="I1589" s="35"/>
      <c r="J1589" s="34">
        <v>0</v>
      </c>
    </row>
    <row r="1590" spans="1:10" ht="15.75" hidden="1" thickBot="1" x14ac:dyDescent="0.3">
      <c r="A1590" s="249"/>
      <c r="B1590" s="252"/>
      <c r="C1590" s="40" t="s">
        <v>392</v>
      </c>
      <c r="D1590" s="40" t="s">
        <v>28</v>
      </c>
      <c r="E1590" s="41">
        <v>1</v>
      </c>
      <c r="F1590" s="38" t="s">
        <v>23</v>
      </c>
      <c r="G1590" s="35" t="str">
        <f t="shared" si="25"/>
        <v/>
      </c>
      <c r="H1590" s="43">
        <f>SUM(G1590:G1593)</f>
        <v>8.1794335</v>
      </c>
      <c r="I1590" s="44"/>
      <c r="J1590" s="34">
        <v>0</v>
      </c>
    </row>
    <row r="1591" spans="1:10" ht="39" hidden="1" thickBot="1" x14ac:dyDescent="0.3">
      <c r="A1591" s="249"/>
      <c r="B1591" s="252"/>
      <c r="C1591" s="40" t="s">
        <v>3902</v>
      </c>
      <c r="D1591" s="40" t="s">
        <v>291</v>
      </c>
      <c r="E1591" s="41">
        <v>1</v>
      </c>
      <c r="F1591" s="38">
        <v>2.7929999999999997</v>
      </c>
      <c r="G1591" s="38">
        <f t="shared" si="25"/>
        <v>2.7929999999999997</v>
      </c>
      <c r="H1591" s="39"/>
      <c r="I1591" s="35"/>
      <c r="J1591" s="34">
        <v>0</v>
      </c>
    </row>
    <row r="1592" spans="1:10" ht="15.75" hidden="1" thickBot="1" x14ac:dyDescent="0.3">
      <c r="A1592" s="249"/>
      <c r="B1592" s="252"/>
      <c r="C1592" s="40" t="s">
        <v>3770</v>
      </c>
      <c r="D1592" s="40" t="s">
        <v>3752</v>
      </c>
      <c r="E1592" s="41">
        <v>0.107</v>
      </c>
      <c r="F1592" s="35">
        <v>21.954499999999999</v>
      </c>
      <c r="G1592" s="38">
        <f t="shared" si="25"/>
        <v>2.3491314999999999</v>
      </c>
      <c r="H1592" s="39"/>
      <c r="I1592" s="35"/>
      <c r="J1592" s="34">
        <v>0</v>
      </c>
    </row>
    <row r="1593" spans="1:10" ht="15.75" hidden="1" thickBot="1" x14ac:dyDescent="0.3">
      <c r="A1593" s="249"/>
      <c r="B1593" s="252"/>
      <c r="C1593" s="40" t="s">
        <v>3760</v>
      </c>
      <c r="D1593" s="40" t="s">
        <v>3752</v>
      </c>
      <c r="E1593" s="41">
        <v>0.107</v>
      </c>
      <c r="F1593" s="35">
        <v>28.385999999999999</v>
      </c>
      <c r="G1593" s="38">
        <f t="shared" si="25"/>
        <v>3.0373019999999999</v>
      </c>
      <c r="H1593" s="39"/>
      <c r="I1593" s="35"/>
      <c r="J1593" s="34">
        <v>0</v>
      </c>
    </row>
    <row r="1594" spans="1:10" ht="15.75" hidden="1" thickBot="1" x14ac:dyDescent="0.3">
      <c r="A1594" s="250"/>
      <c r="B1594" s="253"/>
      <c r="C1594" s="40"/>
      <c r="D1594" s="40"/>
      <c r="E1594" s="41"/>
      <c r="F1594" s="35" t="s">
        <v>23</v>
      </c>
      <c r="G1594" s="35" t="str">
        <f t="shared" si="25"/>
        <v/>
      </c>
      <c r="H1594" s="39"/>
      <c r="I1594" s="35"/>
      <c r="J1594" s="34">
        <v>0</v>
      </c>
    </row>
    <row r="1595" spans="1:10" ht="15.75" hidden="1" thickBot="1" x14ac:dyDescent="0.3">
      <c r="A1595" s="248" t="s">
        <v>393</v>
      </c>
      <c r="B1595" s="251" t="s">
        <v>2294</v>
      </c>
      <c r="C1595" s="28"/>
      <c r="D1595" s="29" t="s">
        <v>28</v>
      </c>
      <c r="E1595" s="30"/>
      <c r="F1595" s="45" t="s">
        <v>23</v>
      </c>
      <c r="G1595" s="31" t="str">
        <f t="shared" si="25"/>
        <v/>
      </c>
      <c r="H1595" s="32"/>
      <c r="I1595" s="33"/>
      <c r="J1595" s="34">
        <v>0</v>
      </c>
    </row>
    <row r="1596" spans="1:10" ht="15.75" hidden="1" thickBot="1" x14ac:dyDescent="0.3">
      <c r="A1596" s="249"/>
      <c r="B1596" s="252"/>
      <c r="C1596" s="36"/>
      <c r="D1596" s="36"/>
      <c r="E1596" s="37"/>
      <c r="F1596" s="46" t="s">
        <v>23</v>
      </c>
      <c r="G1596" s="35" t="str">
        <f t="shared" si="25"/>
        <v/>
      </c>
      <c r="H1596" s="39"/>
      <c r="I1596" s="35"/>
      <c r="J1596" s="34">
        <v>0</v>
      </c>
    </row>
    <row r="1597" spans="1:10" ht="15.75" hidden="1" thickBot="1" x14ac:dyDescent="0.3">
      <c r="A1597" s="249"/>
      <c r="B1597" s="252"/>
      <c r="C1597" s="40" t="s">
        <v>3760</v>
      </c>
      <c r="D1597" s="40" t="s">
        <v>3752</v>
      </c>
      <c r="E1597" s="41">
        <f>0.3/2</f>
        <v>0.15</v>
      </c>
      <c r="F1597" s="35">
        <v>28.385999999999999</v>
      </c>
      <c r="G1597" s="38">
        <f t="shared" si="25"/>
        <v>4.2578999999999994</v>
      </c>
      <c r="H1597" s="43">
        <f>SUM(G1597:G1600)</f>
        <v>7.5510749999999991</v>
      </c>
      <c r="I1597" s="44"/>
      <c r="J1597" s="34">
        <v>0</v>
      </c>
    </row>
    <row r="1598" spans="1:10" ht="15.75" hidden="1" thickBot="1" x14ac:dyDescent="0.3">
      <c r="A1598" s="249"/>
      <c r="B1598" s="252"/>
      <c r="C1598" s="40" t="s">
        <v>3770</v>
      </c>
      <c r="D1598" s="40" t="s">
        <v>3752</v>
      </c>
      <c r="E1598" s="41">
        <f>0.3/2</f>
        <v>0.15</v>
      </c>
      <c r="F1598" s="35">
        <v>21.954499999999999</v>
      </c>
      <c r="G1598" s="38">
        <f t="shared" si="25"/>
        <v>3.2931749999999997</v>
      </c>
      <c r="H1598" s="39"/>
      <c r="I1598" s="35"/>
      <c r="J1598" s="34">
        <v>0</v>
      </c>
    </row>
    <row r="1599" spans="1:10" ht="26.25" hidden="1" thickBot="1" x14ac:dyDescent="0.3">
      <c r="A1599" s="249"/>
      <c r="B1599" s="252"/>
      <c r="C1599" s="40" t="s">
        <v>394</v>
      </c>
      <c r="D1599" s="40" t="s">
        <v>28</v>
      </c>
      <c r="E1599" s="41">
        <v>1</v>
      </c>
      <c r="F1599" s="38" t="s">
        <v>23</v>
      </c>
      <c r="G1599" s="38" t="str">
        <f t="shared" si="25"/>
        <v/>
      </c>
      <c r="H1599" s="39"/>
      <c r="I1599" s="35"/>
      <c r="J1599" s="34">
        <v>0</v>
      </c>
    </row>
    <row r="1600" spans="1:10" ht="26.25" hidden="1" thickBot="1" x14ac:dyDescent="0.3">
      <c r="A1600" s="249"/>
      <c r="B1600" s="252"/>
      <c r="C1600" s="40" t="s">
        <v>395</v>
      </c>
      <c r="D1600" s="40" t="s">
        <v>28</v>
      </c>
      <c r="E1600" s="41">
        <v>1</v>
      </c>
      <c r="F1600" s="38" t="s">
        <v>23</v>
      </c>
      <c r="G1600" s="35" t="str">
        <f t="shared" si="25"/>
        <v/>
      </c>
      <c r="H1600" s="39"/>
      <c r="I1600" s="35"/>
      <c r="J1600" s="34">
        <v>0</v>
      </c>
    </row>
    <row r="1601" spans="1:10" ht="15.75" hidden="1" thickBot="1" x14ac:dyDescent="0.3">
      <c r="A1601" s="250"/>
      <c r="B1601" s="253"/>
      <c r="C1601" s="40"/>
      <c r="D1601" s="40"/>
      <c r="E1601" s="41"/>
      <c r="F1601" s="35" t="s">
        <v>23</v>
      </c>
      <c r="G1601" s="35" t="str">
        <f t="shared" si="25"/>
        <v/>
      </c>
      <c r="H1601" s="39"/>
      <c r="I1601" s="35"/>
      <c r="J1601" s="34">
        <v>0</v>
      </c>
    </row>
    <row r="1602" spans="1:10" ht="15.75" hidden="1" thickBot="1" x14ac:dyDescent="0.3">
      <c r="A1602" s="248" t="s">
        <v>396</v>
      </c>
      <c r="B1602" s="251" t="s">
        <v>397</v>
      </c>
      <c r="C1602" s="28"/>
      <c r="D1602" s="29" t="s">
        <v>28</v>
      </c>
      <c r="E1602" s="30"/>
      <c r="F1602" s="45" t="s">
        <v>23</v>
      </c>
      <c r="G1602" s="31" t="str">
        <f t="shared" si="25"/>
        <v/>
      </c>
      <c r="H1602" s="32"/>
      <c r="I1602" s="33"/>
      <c r="J1602" s="34">
        <v>0</v>
      </c>
    </row>
    <row r="1603" spans="1:10" ht="15.75" hidden="1" thickBot="1" x14ac:dyDescent="0.3">
      <c r="A1603" s="249"/>
      <c r="B1603" s="252"/>
      <c r="C1603" s="36"/>
      <c r="D1603" s="36"/>
      <c r="E1603" s="37"/>
      <c r="F1603" s="46" t="s">
        <v>23</v>
      </c>
      <c r="G1603" s="35" t="str">
        <f t="shared" si="25"/>
        <v/>
      </c>
      <c r="H1603" s="39"/>
      <c r="I1603" s="35"/>
      <c r="J1603" s="34">
        <v>0</v>
      </c>
    </row>
    <row r="1604" spans="1:10" ht="15.75" hidden="1" thickBot="1" x14ac:dyDescent="0.3">
      <c r="A1604" s="249"/>
      <c r="B1604" s="252"/>
      <c r="C1604" s="40" t="s">
        <v>3760</v>
      </c>
      <c r="D1604" s="40" t="s">
        <v>3752</v>
      </c>
      <c r="E1604" s="41">
        <v>0.1</v>
      </c>
      <c r="F1604" s="35">
        <v>28.385999999999999</v>
      </c>
      <c r="G1604" s="38">
        <f t="shared" si="25"/>
        <v>2.8386</v>
      </c>
      <c r="H1604" s="43">
        <f>SUM(G1604:G1605)</f>
        <v>2.8386</v>
      </c>
      <c r="I1604" s="44"/>
      <c r="J1604" s="34">
        <v>0</v>
      </c>
    </row>
    <row r="1605" spans="1:10" ht="15.75" hidden="1" thickBot="1" x14ac:dyDescent="0.3">
      <c r="A1605" s="249"/>
      <c r="B1605" s="252"/>
      <c r="C1605" s="40" t="s">
        <v>397</v>
      </c>
      <c r="D1605" s="40" t="s">
        <v>28</v>
      </c>
      <c r="E1605" s="41">
        <v>1</v>
      </c>
      <c r="F1605" s="38" t="s">
        <v>23</v>
      </c>
      <c r="G1605" s="35" t="str">
        <f t="shared" si="25"/>
        <v/>
      </c>
      <c r="H1605" s="39"/>
      <c r="I1605" s="35"/>
      <c r="J1605" s="34">
        <v>0</v>
      </c>
    </row>
    <row r="1606" spans="1:10" ht="15.75" hidden="1" thickBot="1" x14ac:dyDescent="0.3">
      <c r="A1606" s="250"/>
      <c r="B1606" s="253"/>
      <c r="C1606" s="40"/>
      <c r="D1606" s="40"/>
      <c r="E1606" s="41"/>
      <c r="F1606" s="35" t="s">
        <v>23</v>
      </c>
      <c r="G1606" s="35" t="str">
        <f t="shared" si="25"/>
        <v/>
      </c>
      <c r="H1606" s="39"/>
      <c r="I1606" s="35"/>
      <c r="J1606" s="34">
        <v>0</v>
      </c>
    </row>
    <row r="1607" spans="1:10" ht="15.75" hidden="1" thickBot="1" x14ac:dyDescent="0.3">
      <c r="A1607" s="248" t="s">
        <v>398</v>
      </c>
      <c r="B1607" s="251" t="s">
        <v>2295</v>
      </c>
      <c r="C1607" s="28"/>
      <c r="D1607" s="29" t="s">
        <v>28</v>
      </c>
      <c r="E1607" s="30"/>
      <c r="F1607" s="45" t="s">
        <v>23</v>
      </c>
      <c r="G1607" s="31" t="str">
        <f t="shared" si="25"/>
        <v/>
      </c>
      <c r="H1607" s="32"/>
      <c r="I1607" s="33"/>
      <c r="J1607" s="34">
        <v>0</v>
      </c>
    </row>
    <row r="1608" spans="1:10" ht="15.75" hidden="1" thickBot="1" x14ac:dyDescent="0.3">
      <c r="A1608" s="249"/>
      <c r="B1608" s="252"/>
      <c r="C1608" s="36"/>
      <c r="D1608" s="36"/>
      <c r="E1608" s="37"/>
      <c r="F1608" s="46" t="s">
        <v>23</v>
      </c>
      <c r="G1608" s="35" t="str">
        <f t="shared" si="25"/>
        <v/>
      </c>
      <c r="H1608" s="39"/>
      <c r="I1608" s="35"/>
      <c r="J1608" s="34">
        <v>0</v>
      </c>
    </row>
    <row r="1609" spans="1:10" ht="15.75" hidden="1" thickBot="1" x14ac:dyDescent="0.3">
      <c r="A1609" s="249"/>
      <c r="B1609" s="252"/>
      <c r="C1609" s="40" t="s">
        <v>3903</v>
      </c>
      <c r="D1609" s="40" t="s">
        <v>291</v>
      </c>
      <c r="E1609" s="41">
        <v>1</v>
      </c>
      <c r="F1609" s="38">
        <v>10.126999999999999</v>
      </c>
      <c r="G1609" s="35">
        <f t="shared" si="25"/>
        <v>10.126999999999999</v>
      </c>
      <c r="H1609" s="43">
        <f>SUM(G1609:G1611)</f>
        <v>26.0849385</v>
      </c>
      <c r="I1609" s="44"/>
      <c r="J1609" s="34">
        <v>0</v>
      </c>
    </row>
    <row r="1610" spans="1:10" ht="15.75" hidden="1" thickBot="1" x14ac:dyDescent="0.3">
      <c r="A1610" s="249"/>
      <c r="B1610" s="252"/>
      <c r="C1610" s="40" t="s">
        <v>3770</v>
      </c>
      <c r="D1610" s="40" t="s">
        <v>3752</v>
      </c>
      <c r="E1610" s="41">
        <v>0.317</v>
      </c>
      <c r="F1610" s="35">
        <v>21.954499999999999</v>
      </c>
      <c r="G1610" s="38">
        <f t="shared" si="25"/>
        <v>6.9595764999999998</v>
      </c>
      <c r="H1610" s="39"/>
      <c r="I1610" s="35"/>
      <c r="J1610" s="34">
        <v>0</v>
      </c>
    </row>
    <row r="1611" spans="1:10" ht="15.75" hidden="1" thickBot="1" x14ac:dyDescent="0.3">
      <c r="A1611" s="249"/>
      <c r="B1611" s="252"/>
      <c r="C1611" s="40" t="s">
        <v>3760</v>
      </c>
      <c r="D1611" s="40" t="s">
        <v>3752</v>
      </c>
      <c r="E1611" s="41">
        <v>0.317</v>
      </c>
      <c r="F1611" s="35">
        <v>28.385999999999999</v>
      </c>
      <c r="G1611" s="38">
        <f t="shared" si="25"/>
        <v>8.9983620000000002</v>
      </c>
      <c r="H1611" s="39"/>
      <c r="I1611" s="35"/>
      <c r="J1611" s="34">
        <v>0</v>
      </c>
    </row>
    <row r="1612" spans="1:10" ht="15.75" hidden="1" thickBot="1" x14ac:dyDescent="0.3">
      <c r="A1612" s="250"/>
      <c r="B1612" s="253"/>
      <c r="C1612" s="40"/>
      <c r="D1612" s="40"/>
      <c r="E1612" s="41"/>
      <c r="F1612" s="35" t="s">
        <v>23</v>
      </c>
      <c r="G1612" s="35" t="str">
        <f t="shared" si="25"/>
        <v/>
      </c>
      <c r="H1612" s="39"/>
      <c r="I1612" s="35"/>
      <c r="J1612" s="34">
        <v>0</v>
      </c>
    </row>
    <row r="1613" spans="1:10" ht="15.75" hidden="1" thickBot="1" x14ac:dyDescent="0.3">
      <c r="A1613" s="248" t="s">
        <v>399</v>
      </c>
      <c r="B1613" s="251" t="s">
        <v>2296</v>
      </c>
      <c r="C1613" s="28"/>
      <c r="D1613" s="29" t="s">
        <v>28</v>
      </c>
      <c r="E1613" s="30"/>
      <c r="F1613" s="45" t="s">
        <v>23</v>
      </c>
      <c r="G1613" s="31" t="str">
        <f t="shared" si="25"/>
        <v/>
      </c>
      <c r="H1613" s="32"/>
      <c r="I1613" s="33"/>
      <c r="J1613" s="34">
        <v>0</v>
      </c>
    </row>
    <row r="1614" spans="1:10" ht="15.75" hidden="1" thickBot="1" x14ac:dyDescent="0.3">
      <c r="A1614" s="249"/>
      <c r="B1614" s="252"/>
      <c r="C1614" s="36"/>
      <c r="D1614" s="36"/>
      <c r="E1614" s="37"/>
      <c r="F1614" s="46" t="s">
        <v>23</v>
      </c>
      <c r="G1614" s="35" t="str">
        <f t="shared" si="25"/>
        <v/>
      </c>
      <c r="H1614" s="39"/>
      <c r="I1614" s="35"/>
      <c r="J1614" s="34">
        <v>0</v>
      </c>
    </row>
    <row r="1615" spans="1:10" ht="15.75" hidden="1" thickBot="1" x14ac:dyDescent="0.3">
      <c r="A1615" s="249"/>
      <c r="B1615" s="252"/>
      <c r="C1615" s="40" t="s">
        <v>3904</v>
      </c>
      <c r="D1615" s="40" t="s">
        <v>291</v>
      </c>
      <c r="E1615" s="41">
        <v>1</v>
      </c>
      <c r="F1615" s="38">
        <v>7.770999999999999</v>
      </c>
      <c r="G1615" s="35">
        <f t="shared" si="25"/>
        <v>7.770999999999999</v>
      </c>
      <c r="H1615" s="43">
        <f>SUM(G1615:G1617)</f>
        <v>19.449995999999999</v>
      </c>
      <c r="I1615" s="44"/>
      <c r="J1615" s="34">
        <v>0</v>
      </c>
    </row>
    <row r="1616" spans="1:10" ht="15.75" hidden="1" thickBot="1" x14ac:dyDescent="0.3">
      <c r="A1616" s="249"/>
      <c r="B1616" s="252"/>
      <c r="C1616" s="40" t="s">
        <v>3770</v>
      </c>
      <c r="D1616" s="40" t="s">
        <v>3752</v>
      </c>
      <c r="E1616" s="41">
        <v>0.23200000000000001</v>
      </c>
      <c r="F1616" s="35">
        <v>21.954499999999999</v>
      </c>
      <c r="G1616" s="38">
        <f t="shared" si="25"/>
        <v>5.0934439999999999</v>
      </c>
      <c r="H1616" s="39"/>
      <c r="I1616" s="35"/>
      <c r="J1616" s="34">
        <v>0</v>
      </c>
    </row>
    <row r="1617" spans="1:10" ht="15.75" hidden="1" thickBot="1" x14ac:dyDescent="0.3">
      <c r="A1617" s="249"/>
      <c r="B1617" s="252"/>
      <c r="C1617" s="40" t="s">
        <v>3760</v>
      </c>
      <c r="D1617" s="40" t="s">
        <v>3752</v>
      </c>
      <c r="E1617" s="41">
        <v>0.23200000000000001</v>
      </c>
      <c r="F1617" s="35">
        <v>28.385999999999999</v>
      </c>
      <c r="G1617" s="38">
        <f t="shared" si="25"/>
        <v>6.5855519999999999</v>
      </c>
      <c r="H1617" s="39"/>
      <c r="I1617" s="35"/>
      <c r="J1617" s="34">
        <v>0</v>
      </c>
    </row>
    <row r="1618" spans="1:10" ht="15.75" hidden="1" thickBot="1" x14ac:dyDescent="0.3">
      <c r="A1618" s="250"/>
      <c r="B1618" s="253"/>
      <c r="C1618" s="40"/>
      <c r="D1618" s="40"/>
      <c r="E1618" s="41"/>
      <c r="F1618" s="35" t="s">
        <v>23</v>
      </c>
      <c r="G1618" s="35" t="str">
        <f t="shared" ref="G1618:G1681" si="26">IF(ISNUMBER(F1618),E1618*F1618,"")</f>
        <v/>
      </c>
      <c r="H1618" s="39"/>
      <c r="I1618" s="35"/>
      <c r="J1618" s="34">
        <v>0</v>
      </c>
    </row>
    <row r="1619" spans="1:10" ht="15.75" hidden="1" thickBot="1" x14ac:dyDescent="0.3">
      <c r="A1619" s="248" t="s">
        <v>400</v>
      </c>
      <c r="B1619" s="251" t="s">
        <v>401</v>
      </c>
      <c r="C1619" s="28"/>
      <c r="D1619" s="29" t="s">
        <v>28</v>
      </c>
      <c r="E1619" s="30"/>
      <c r="F1619" s="45" t="s">
        <v>23</v>
      </c>
      <c r="G1619" s="31" t="str">
        <f t="shared" si="26"/>
        <v/>
      </c>
      <c r="H1619" s="32"/>
      <c r="I1619" s="33"/>
      <c r="J1619" s="34">
        <v>0</v>
      </c>
    </row>
    <row r="1620" spans="1:10" ht="15.75" hidden="1" thickBot="1" x14ac:dyDescent="0.3">
      <c r="A1620" s="249"/>
      <c r="B1620" s="252"/>
      <c r="C1620" s="36"/>
      <c r="D1620" s="36"/>
      <c r="E1620" s="37"/>
      <c r="F1620" s="46" t="s">
        <v>23</v>
      </c>
      <c r="G1620" s="35" t="str">
        <f t="shared" si="26"/>
        <v/>
      </c>
      <c r="H1620" s="39"/>
      <c r="I1620" s="35"/>
      <c r="J1620" s="34">
        <v>0</v>
      </c>
    </row>
    <row r="1621" spans="1:10" ht="15.75" hidden="1" thickBot="1" x14ac:dyDescent="0.3">
      <c r="A1621" s="249"/>
      <c r="B1621" s="252"/>
      <c r="C1621" s="40" t="s">
        <v>3760</v>
      </c>
      <c r="D1621" s="40" t="s">
        <v>3752</v>
      </c>
      <c r="E1621" s="41">
        <v>0.1</v>
      </c>
      <c r="F1621" s="35">
        <v>28.385999999999999</v>
      </c>
      <c r="G1621" s="38">
        <f t="shared" si="26"/>
        <v>2.8386</v>
      </c>
      <c r="H1621" s="43">
        <f>SUM(G1621:G1622)</f>
        <v>2.8386</v>
      </c>
      <c r="I1621" s="44"/>
      <c r="J1621" s="34">
        <v>0</v>
      </c>
    </row>
    <row r="1622" spans="1:10" ht="15.75" hidden="1" thickBot="1" x14ac:dyDescent="0.3">
      <c r="A1622" s="249"/>
      <c r="B1622" s="252"/>
      <c r="C1622" s="40" t="s">
        <v>401</v>
      </c>
      <c r="D1622" s="40" t="s">
        <v>28</v>
      </c>
      <c r="E1622" s="41">
        <v>1</v>
      </c>
      <c r="F1622" s="38" t="s">
        <v>23</v>
      </c>
      <c r="G1622" s="35" t="str">
        <f t="shared" si="26"/>
        <v/>
      </c>
      <c r="H1622" s="39"/>
      <c r="I1622" s="35"/>
      <c r="J1622" s="34">
        <v>0</v>
      </c>
    </row>
    <row r="1623" spans="1:10" ht="15.75" hidden="1" thickBot="1" x14ac:dyDescent="0.3">
      <c r="A1623" s="250"/>
      <c r="B1623" s="253"/>
      <c r="C1623" s="40"/>
      <c r="D1623" s="40"/>
      <c r="E1623" s="41"/>
      <c r="F1623" s="35" t="s">
        <v>23</v>
      </c>
      <c r="G1623" s="35" t="str">
        <f t="shared" si="26"/>
        <v/>
      </c>
      <c r="H1623" s="39"/>
      <c r="I1623" s="35"/>
      <c r="J1623" s="34">
        <v>0</v>
      </c>
    </row>
    <row r="1624" spans="1:10" ht="15.75" hidden="1" thickBot="1" x14ac:dyDescent="0.3">
      <c r="A1624" s="248" t="s">
        <v>402</v>
      </c>
      <c r="B1624" s="251" t="s">
        <v>403</v>
      </c>
      <c r="C1624" s="28"/>
      <c r="D1624" s="29" t="s">
        <v>28</v>
      </c>
      <c r="E1624" s="30"/>
      <c r="F1624" s="45" t="s">
        <v>23</v>
      </c>
      <c r="G1624" s="31" t="str">
        <f t="shared" si="26"/>
        <v/>
      </c>
      <c r="H1624" s="32"/>
      <c r="I1624" s="33"/>
      <c r="J1624" s="34">
        <v>0</v>
      </c>
    </row>
    <row r="1625" spans="1:10" ht="15.75" hidden="1" thickBot="1" x14ac:dyDescent="0.3">
      <c r="A1625" s="249"/>
      <c r="B1625" s="252"/>
      <c r="C1625" s="36"/>
      <c r="D1625" s="36"/>
      <c r="E1625" s="37"/>
      <c r="F1625" s="46" t="s">
        <v>23</v>
      </c>
      <c r="G1625" s="35" t="str">
        <f t="shared" si="26"/>
        <v/>
      </c>
      <c r="H1625" s="39"/>
      <c r="I1625" s="35"/>
      <c r="J1625" s="34">
        <v>0</v>
      </c>
    </row>
    <row r="1626" spans="1:10" ht="15.75" hidden="1" thickBot="1" x14ac:dyDescent="0.3">
      <c r="A1626" s="249"/>
      <c r="B1626" s="252"/>
      <c r="C1626" s="40" t="s">
        <v>3760</v>
      </c>
      <c r="D1626" s="40" t="s">
        <v>3752</v>
      </c>
      <c r="E1626" s="41">
        <v>0.317</v>
      </c>
      <c r="F1626" s="35">
        <v>28.385999999999999</v>
      </c>
      <c r="G1626" s="38">
        <f t="shared" si="26"/>
        <v>8.9983620000000002</v>
      </c>
      <c r="H1626" s="43">
        <f>SUM(G1626:G1628)</f>
        <v>15.957938500000001</v>
      </c>
      <c r="I1626" s="44"/>
      <c r="J1626" s="34">
        <v>0</v>
      </c>
    </row>
    <row r="1627" spans="1:10" ht="15.75" hidden="1" thickBot="1" x14ac:dyDescent="0.3">
      <c r="A1627" s="249"/>
      <c r="B1627" s="252"/>
      <c r="C1627" s="40" t="s">
        <v>3770</v>
      </c>
      <c r="D1627" s="40" t="s">
        <v>3752</v>
      </c>
      <c r="E1627" s="41">
        <v>0.317</v>
      </c>
      <c r="F1627" s="35">
        <v>21.954499999999999</v>
      </c>
      <c r="G1627" s="38">
        <f t="shared" si="26"/>
        <v>6.9595764999999998</v>
      </c>
      <c r="H1627" s="48"/>
      <c r="I1627" s="49"/>
      <c r="J1627" s="34">
        <v>0</v>
      </c>
    </row>
    <row r="1628" spans="1:10" ht="15.75" hidden="1" thickBot="1" x14ac:dyDescent="0.3">
      <c r="A1628" s="249"/>
      <c r="B1628" s="252"/>
      <c r="C1628" s="40" t="s">
        <v>403</v>
      </c>
      <c r="D1628" s="40" t="s">
        <v>28</v>
      </c>
      <c r="E1628" s="41">
        <v>1</v>
      </c>
      <c r="F1628" s="38" t="s">
        <v>23</v>
      </c>
      <c r="G1628" s="35" t="str">
        <f t="shared" si="26"/>
        <v/>
      </c>
      <c r="H1628" s="39"/>
      <c r="I1628" s="35"/>
      <c r="J1628" s="34">
        <v>0</v>
      </c>
    </row>
    <row r="1629" spans="1:10" ht="15.75" hidden="1" thickBot="1" x14ac:dyDescent="0.3">
      <c r="A1629" s="250"/>
      <c r="B1629" s="253"/>
      <c r="C1629" s="54"/>
      <c r="D1629" s="40"/>
      <c r="E1629" s="41"/>
      <c r="F1629" s="35" t="s">
        <v>23</v>
      </c>
      <c r="G1629" s="35" t="str">
        <f t="shared" si="26"/>
        <v/>
      </c>
      <c r="H1629" s="39"/>
      <c r="I1629" s="35"/>
      <c r="J1629" s="34">
        <v>0</v>
      </c>
    </row>
    <row r="1630" spans="1:10" ht="15.75" hidden="1" thickBot="1" x14ac:dyDescent="0.3">
      <c r="A1630" s="248" t="s">
        <v>404</v>
      </c>
      <c r="B1630" s="251" t="s">
        <v>2297</v>
      </c>
      <c r="C1630" s="28"/>
      <c r="D1630" s="29" t="s">
        <v>28</v>
      </c>
      <c r="E1630" s="30"/>
      <c r="F1630" s="45" t="s">
        <v>23</v>
      </c>
      <c r="G1630" s="31" t="str">
        <f t="shared" si="26"/>
        <v/>
      </c>
      <c r="H1630" s="32"/>
      <c r="I1630" s="33"/>
      <c r="J1630" s="34">
        <v>0</v>
      </c>
    </row>
    <row r="1631" spans="1:10" ht="15.75" hidden="1" thickBot="1" x14ac:dyDescent="0.3">
      <c r="A1631" s="249"/>
      <c r="B1631" s="252"/>
      <c r="C1631" s="36"/>
      <c r="D1631" s="36"/>
      <c r="E1631" s="37"/>
      <c r="F1631" s="46" t="s">
        <v>23</v>
      </c>
      <c r="G1631" s="35" t="str">
        <f t="shared" si="26"/>
        <v/>
      </c>
      <c r="H1631" s="39"/>
      <c r="I1631" s="35"/>
      <c r="J1631" s="34">
        <v>0</v>
      </c>
    </row>
    <row r="1632" spans="1:10" ht="15.75" hidden="1" thickBot="1" x14ac:dyDescent="0.3">
      <c r="A1632" s="249"/>
      <c r="B1632" s="252"/>
      <c r="C1632" s="40" t="s">
        <v>3905</v>
      </c>
      <c r="D1632" s="40" t="s">
        <v>291</v>
      </c>
      <c r="E1632" s="41">
        <v>1</v>
      </c>
      <c r="F1632" s="38">
        <v>8.8445</v>
      </c>
      <c r="G1632" s="35">
        <f t="shared" si="26"/>
        <v>8.8445</v>
      </c>
      <c r="H1632" s="43">
        <f>SUM(G1632:G1634)</f>
        <v>21.026900999999999</v>
      </c>
      <c r="I1632" s="44"/>
      <c r="J1632" s="34">
        <v>0</v>
      </c>
    </row>
    <row r="1633" spans="1:10" ht="15.75" hidden="1" thickBot="1" x14ac:dyDescent="0.3">
      <c r="A1633" s="249"/>
      <c r="B1633" s="252"/>
      <c r="C1633" s="40" t="s">
        <v>3770</v>
      </c>
      <c r="D1633" s="40" t="s">
        <v>3752</v>
      </c>
      <c r="E1633" s="41">
        <v>0.24199999999999999</v>
      </c>
      <c r="F1633" s="35">
        <v>21.954499999999999</v>
      </c>
      <c r="G1633" s="38">
        <f t="shared" si="26"/>
        <v>5.312989</v>
      </c>
      <c r="H1633" s="39"/>
      <c r="I1633" s="35"/>
      <c r="J1633" s="34">
        <v>0</v>
      </c>
    </row>
    <row r="1634" spans="1:10" ht="15.75" hidden="1" thickBot="1" x14ac:dyDescent="0.3">
      <c r="A1634" s="249"/>
      <c r="B1634" s="252"/>
      <c r="C1634" s="40" t="s">
        <v>3760</v>
      </c>
      <c r="D1634" s="40" t="s">
        <v>3752</v>
      </c>
      <c r="E1634" s="41">
        <v>0.24199999999999999</v>
      </c>
      <c r="F1634" s="35">
        <v>28.385999999999999</v>
      </c>
      <c r="G1634" s="38">
        <f t="shared" si="26"/>
        <v>6.8694119999999996</v>
      </c>
      <c r="H1634" s="39"/>
      <c r="I1634" s="35"/>
      <c r="J1634" s="34">
        <v>0</v>
      </c>
    </row>
    <row r="1635" spans="1:10" ht="15.75" hidden="1" thickBot="1" x14ac:dyDescent="0.3">
      <c r="A1635" s="250"/>
      <c r="B1635" s="253"/>
      <c r="C1635" s="40"/>
      <c r="D1635" s="40"/>
      <c r="E1635" s="41"/>
      <c r="F1635" s="35" t="s">
        <v>23</v>
      </c>
      <c r="G1635" s="35" t="str">
        <f t="shared" si="26"/>
        <v/>
      </c>
      <c r="H1635" s="39"/>
      <c r="I1635" s="35"/>
      <c r="J1635" s="34">
        <v>0</v>
      </c>
    </row>
    <row r="1636" spans="1:10" ht="15.75" hidden="1" thickBot="1" x14ac:dyDescent="0.3">
      <c r="A1636" s="248" t="s">
        <v>405</v>
      </c>
      <c r="B1636" s="251" t="s">
        <v>2298</v>
      </c>
      <c r="C1636" s="28"/>
      <c r="D1636" s="29" t="s">
        <v>28</v>
      </c>
      <c r="E1636" s="30"/>
      <c r="F1636" s="45" t="s">
        <v>23</v>
      </c>
      <c r="G1636" s="31" t="str">
        <f t="shared" si="26"/>
        <v/>
      </c>
      <c r="H1636" s="32"/>
      <c r="I1636" s="33"/>
      <c r="J1636" s="34">
        <v>0</v>
      </c>
    </row>
    <row r="1637" spans="1:10" ht="15.75" hidden="1" thickBot="1" x14ac:dyDescent="0.3">
      <c r="A1637" s="249"/>
      <c r="B1637" s="252"/>
      <c r="C1637" s="36"/>
      <c r="D1637" s="36"/>
      <c r="E1637" s="37"/>
      <c r="F1637" s="46" t="s">
        <v>23</v>
      </c>
      <c r="G1637" s="35" t="str">
        <f t="shared" si="26"/>
        <v/>
      </c>
      <c r="H1637" s="39"/>
      <c r="I1637" s="35"/>
      <c r="J1637" s="34">
        <v>0</v>
      </c>
    </row>
    <row r="1638" spans="1:10" ht="15.75" hidden="1" thickBot="1" x14ac:dyDescent="0.3">
      <c r="A1638" s="249"/>
      <c r="B1638" s="252"/>
      <c r="C1638" s="40" t="s">
        <v>3906</v>
      </c>
      <c r="D1638" s="40" t="s">
        <v>291</v>
      </c>
      <c r="E1638" s="41">
        <v>1</v>
      </c>
      <c r="F1638" s="38">
        <v>11.314499999999999</v>
      </c>
      <c r="G1638" s="35">
        <f t="shared" si="26"/>
        <v>11.314499999999999</v>
      </c>
      <c r="H1638" s="43">
        <f>SUM(G1638:G1640)</f>
        <v>23.496900999999998</v>
      </c>
      <c r="I1638" s="44"/>
      <c r="J1638" s="34">
        <v>0</v>
      </c>
    </row>
    <row r="1639" spans="1:10" ht="15.75" hidden="1" thickBot="1" x14ac:dyDescent="0.3">
      <c r="A1639" s="249"/>
      <c r="B1639" s="252"/>
      <c r="C1639" s="40" t="s">
        <v>3770</v>
      </c>
      <c r="D1639" s="40" t="s">
        <v>3752</v>
      </c>
      <c r="E1639" s="41">
        <v>0.24199999999999999</v>
      </c>
      <c r="F1639" s="35">
        <v>21.954499999999999</v>
      </c>
      <c r="G1639" s="38">
        <f t="shared" si="26"/>
        <v>5.312989</v>
      </c>
      <c r="H1639" s="39"/>
      <c r="I1639" s="35"/>
      <c r="J1639" s="34">
        <v>0</v>
      </c>
    </row>
    <row r="1640" spans="1:10" ht="15.75" hidden="1" thickBot="1" x14ac:dyDescent="0.3">
      <c r="A1640" s="249"/>
      <c r="B1640" s="252"/>
      <c r="C1640" s="40" t="s">
        <v>3760</v>
      </c>
      <c r="D1640" s="40" t="s">
        <v>3752</v>
      </c>
      <c r="E1640" s="41">
        <v>0.24199999999999999</v>
      </c>
      <c r="F1640" s="35">
        <v>28.385999999999999</v>
      </c>
      <c r="G1640" s="38">
        <f t="shared" si="26"/>
        <v>6.8694119999999996</v>
      </c>
      <c r="H1640" s="39"/>
      <c r="I1640" s="35"/>
      <c r="J1640" s="34">
        <v>0</v>
      </c>
    </row>
    <row r="1641" spans="1:10" ht="15.75" hidden="1" thickBot="1" x14ac:dyDescent="0.3">
      <c r="A1641" s="250"/>
      <c r="B1641" s="253"/>
      <c r="C1641" s="40"/>
      <c r="D1641" s="40"/>
      <c r="E1641" s="41"/>
      <c r="F1641" s="35" t="s">
        <v>23</v>
      </c>
      <c r="G1641" s="35" t="str">
        <f t="shared" si="26"/>
        <v/>
      </c>
      <c r="H1641" s="39"/>
      <c r="I1641" s="35"/>
      <c r="J1641" s="34">
        <v>0</v>
      </c>
    </row>
    <row r="1642" spans="1:10" ht="15.75" hidden="1" thickBot="1" x14ac:dyDescent="0.3">
      <c r="A1642" s="248" t="s">
        <v>406</v>
      </c>
      <c r="B1642" s="251" t="s">
        <v>407</v>
      </c>
      <c r="C1642" s="28"/>
      <c r="D1642" s="29" t="s">
        <v>28</v>
      </c>
      <c r="E1642" s="30"/>
      <c r="F1642" s="45" t="s">
        <v>23</v>
      </c>
      <c r="G1642" s="31" t="str">
        <f t="shared" si="26"/>
        <v/>
      </c>
      <c r="H1642" s="32"/>
      <c r="I1642" s="33"/>
      <c r="J1642" s="34">
        <v>0</v>
      </c>
    </row>
    <row r="1643" spans="1:10" ht="15.75" hidden="1" thickBot="1" x14ac:dyDescent="0.3">
      <c r="A1643" s="249"/>
      <c r="B1643" s="252"/>
      <c r="C1643" s="36"/>
      <c r="D1643" s="36"/>
      <c r="E1643" s="37"/>
      <c r="F1643" s="46" t="s">
        <v>23</v>
      </c>
      <c r="G1643" s="35" t="str">
        <f t="shared" si="26"/>
        <v/>
      </c>
      <c r="H1643" s="39"/>
      <c r="I1643" s="35"/>
      <c r="J1643" s="34">
        <v>0</v>
      </c>
    </row>
    <row r="1644" spans="1:10" ht="15.75" hidden="1" thickBot="1" x14ac:dyDescent="0.3">
      <c r="A1644" s="249"/>
      <c r="B1644" s="252"/>
      <c r="C1644" s="40" t="s">
        <v>3770</v>
      </c>
      <c r="D1644" s="40" t="s">
        <v>3752</v>
      </c>
      <c r="E1644" s="41">
        <f>0.35/2</f>
        <v>0.17499999999999999</v>
      </c>
      <c r="F1644" s="35">
        <v>21.954499999999999</v>
      </c>
      <c r="G1644" s="38">
        <f t="shared" si="26"/>
        <v>3.8420374999999996</v>
      </c>
      <c r="H1644" s="43">
        <f>SUM(G1644:G1646)</f>
        <v>8.8095874999999992</v>
      </c>
      <c r="I1644" s="44"/>
      <c r="J1644" s="34">
        <v>0</v>
      </c>
    </row>
    <row r="1645" spans="1:10" ht="15.75" hidden="1" thickBot="1" x14ac:dyDescent="0.3">
      <c r="A1645" s="249"/>
      <c r="B1645" s="252"/>
      <c r="C1645" s="40" t="s">
        <v>3760</v>
      </c>
      <c r="D1645" s="40" t="s">
        <v>3752</v>
      </c>
      <c r="E1645" s="41">
        <f>0.35/2</f>
        <v>0.17499999999999999</v>
      </c>
      <c r="F1645" s="35">
        <v>28.385999999999999</v>
      </c>
      <c r="G1645" s="38">
        <f t="shared" si="26"/>
        <v>4.9675499999999992</v>
      </c>
      <c r="H1645" s="72" t="s">
        <v>23</v>
      </c>
      <c r="I1645" s="73"/>
      <c r="J1645" s="34">
        <v>0</v>
      </c>
    </row>
    <row r="1646" spans="1:10" ht="15.75" hidden="1" thickBot="1" x14ac:dyDescent="0.3">
      <c r="A1646" s="249"/>
      <c r="B1646" s="252"/>
      <c r="C1646" s="40" t="s">
        <v>407</v>
      </c>
      <c r="D1646" s="40" t="s">
        <v>28</v>
      </c>
      <c r="E1646" s="41">
        <v>1</v>
      </c>
      <c r="F1646" s="38" t="s">
        <v>23</v>
      </c>
      <c r="G1646" s="38" t="str">
        <f t="shared" si="26"/>
        <v/>
      </c>
      <c r="H1646" s="39"/>
      <c r="I1646" s="35"/>
      <c r="J1646" s="34">
        <v>0</v>
      </c>
    </row>
    <row r="1647" spans="1:10" ht="15.75" hidden="1" thickBot="1" x14ac:dyDescent="0.3">
      <c r="A1647" s="250"/>
      <c r="B1647" s="253"/>
      <c r="C1647" s="40"/>
      <c r="D1647" s="40"/>
      <c r="E1647" s="41"/>
      <c r="F1647" s="35" t="s">
        <v>23</v>
      </c>
      <c r="G1647" s="35" t="str">
        <f t="shared" si="26"/>
        <v/>
      </c>
      <c r="H1647" s="39"/>
      <c r="I1647" s="35"/>
      <c r="J1647" s="34">
        <v>0</v>
      </c>
    </row>
    <row r="1648" spans="1:10" ht="15.75" hidden="1" thickBot="1" x14ac:dyDescent="0.3">
      <c r="A1648" s="248" t="s">
        <v>408</v>
      </c>
      <c r="B1648" s="251" t="s">
        <v>2299</v>
      </c>
      <c r="C1648" s="28"/>
      <c r="D1648" s="29" t="s">
        <v>28</v>
      </c>
      <c r="E1648" s="30"/>
      <c r="F1648" s="45" t="s">
        <v>23</v>
      </c>
      <c r="G1648" s="31" t="str">
        <f t="shared" si="26"/>
        <v/>
      </c>
      <c r="H1648" s="32"/>
      <c r="I1648" s="33"/>
      <c r="J1648" s="34">
        <v>0</v>
      </c>
    </row>
    <row r="1649" spans="1:10" ht="15.75" hidden="1" thickBot="1" x14ac:dyDescent="0.3">
      <c r="A1649" s="249"/>
      <c r="B1649" s="252"/>
      <c r="C1649" s="36"/>
      <c r="D1649" s="36"/>
      <c r="E1649" s="37"/>
      <c r="F1649" s="46" t="s">
        <v>23</v>
      </c>
      <c r="G1649" s="35" t="str">
        <f t="shared" si="26"/>
        <v/>
      </c>
      <c r="H1649" s="39"/>
      <c r="I1649" s="35"/>
      <c r="J1649" s="34">
        <v>0</v>
      </c>
    </row>
    <row r="1650" spans="1:10" ht="15.75" hidden="1" thickBot="1" x14ac:dyDescent="0.3">
      <c r="A1650" s="249"/>
      <c r="B1650" s="252"/>
      <c r="C1650" s="40" t="s">
        <v>3770</v>
      </c>
      <c r="D1650" s="40" t="s">
        <v>3752</v>
      </c>
      <c r="E1650" s="41">
        <v>0.1</v>
      </c>
      <c r="F1650" s="35">
        <v>21.954499999999999</v>
      </c>
      <c r="G1650" s="35">
        <f t="shared" si="26"/>
        <v>2.1954500000000001</v>
      </c>
      <c r="H1650" s="43">
        <f>SUM(G1650:G1651)</f>
        <v>2.1954500000000001</v>
      </c>
      <c r="I1650" s="44"/>
      <c r="J1650" s="34">
        <v>0</v>
      </c>
    </row>
    <row r="1651" spans="1:10" ht="15.75" hidden="1" thickBot="1" x14ac:dyDescent="0.3">
      <c r="A1651" s="249"/>
      <c r="B1651" s="252"/>
      <c r="C1651" s="40" t="s">
        <v>409</v>
      </c>
      <c r="D1651" s="40" t="s">
        <v>28</v>
      </c>
      <c r="E1651" s="41">
        <v>1</v>
      </c>
      <c r="F1651" s="38" t="s">
        <v>23</v>
      </c>
      <c r="G1651" s="35" t="str">
        <f t="shared" si="26"/>
        <v/>
      </c>
      <c r="H1651" s="39"/>
      <c r="I1651" s="35"/>
      <c r="J1651" s="34">
        <v>0</v>
      </c>
    </row>
    <row r="1652" spans="1:10" ht="15.75" hidden="1" thickBot="1" x14ac:dyDescent="0.3">
      <c r="A1652" s="250"/>
      <c r="B1652" s="253"/>
      <c r="C1652" s="40"/>
      <c r="D1652" s="40"/>
      <c r="E1652" s="41"/>
      <c r="F1652" s="35" t="s">
        <v>23</v>
      </c>
      <c r="G1652" s="35" t="str">
        <f t="shared" si="26"/>
        <v/>
      </c>
      <c r="H1652" s="39"/>
      <c r="I1652" s="35"/>
      <c r="J1652" s="34">
        <v>0</v>
      </c>
    </row>
    <row r="1653" spans="1:10" ht="15.75" hidden="1" thickBot="1" x14ac:dyDescent="0.3">
      <c r="A1653" s="248" t="s">
        <v>410</v>
      </c>
      <c r="B1653" s="251" t="s">
        <v>2300</v>
      </c>
      <c r="C1653" s="28"/>
      <c r="D1653" s="29" t="s">
        <v>28</v>
      </c>
      <c r="E1653" s="30"/>
      <c r="F1653" s="45" t="s">
        <v>23</v>
      </c>
      <c r="G1653" s="31" t="str">
        <f t="shared" si="26"/>
        <v/>
      </c>
      <c r="H1653" s="32"/>
      <c r="I1653" s="33"/>
      <c r="J1653" s="34">
        <v>0</v>
      </c>
    </row>
    <row r="1654" spans="1:10" ht="15.75" hidden="1" thickBot="1" x14ac:dyDescent="0.3">
      <c r="A1654" s="249"/>
      <c r="B1654" s="252"/>
      <c r="C1654" s="36"/>
      <c r="D1654" s="36"/>
      <c r="E1654" s="37"/>
      <c r="F1654" s="46" t="s">
        <v>23</v>
      </c>
      <c r="G1654" s="35" t="str">
        <f t="shared" si="26"/>
        <v/>
      </c>
      <c r="H1654" s="39"/>
      <c r="I1654" s="35"/>
      <c r="J1654" s="34">
        <v>0</v>
      </c>
    </row>
    <row r="1655" spans="1:10" ht="15.75" hidden="1" thickBot="1" x14ac:dyDescent="0.3">
      <c r="A1655" s="249"/>
      <c r="B1655" s="252"/>
      <c r="C1655" s="40" t="s">
        <v>3770</v>
      </c>
      <c r="D1655" s="40" t="s">
        <v>3752</v>
      </c>
      <c r="E1655" s="41">
        <v>0.1</v>
      </c>
      <c r="F1655" s="35">
        <v>21.954499999999999</v>
      </c>
      <c r="G1655" s="35">
        <f t="shared" si="26"/>
        <v>2.1954500000000001</v>
      </c>
      <c r="H1655" s="43">
        <f>SUM(G1655:G1656)</f>
        <v>2.1954500000000001</v>
      </c>
      <c r="I1655" s="44"/>
      <c r="J1655" s="34">
        <v>0</v>
      </c>
    </row>
    <row r="1656" spans="1:10" ht="15.75" hidden="1" thickBot="1" x14ac:dyDescent="0.3">
      <c r="A1656" s="249"/>
      <c r="B1656" s="252"/>
      <c r="C1656" s="40" t="s">
        <v>411</v>
      </c>
      <c r="D1656" s="40" t="s">
        <v>28</v>
      </c>
      <c r="E1656" s="41">
        <v>1</v>
      </c>
      <c r="F1656" s="38" t="s">
        <v>23</v>
      </c>
      <c r="G1656" s="35" t="str">
        <f t="shared" si="26"/>
        <v/>
      </c>
      <c r="H1656" s="39"/>
      <c r="I1656" s="35"/>
      <c r="J1656" s="34">
        <v>0</v>
      </c>
    </row>
    <row r="1657" spans="1:10" ht="15.75" hidden="1" thickBot="1" x14ac:dyDescent="0.3">
      <c r="A1657" s="250"/>
      <c r="B1657" s="253"/>
      <c r="C1657" s="40"/>
      <c r="D1657" s="40"/>
      <c r="E1657" s="41"/>
      <c r="F1657" s="35" t="s">
        <v>23</v>
      </c>
      <c r="G1657" s="35" t="str">
        <f t="shared" si="26"/>
        <v/>
      </c>
      <c r="H1657" s="39"/>
      <c r="I1657" s="35"/>
      <c r="J1657" s="34">
        <v>0</v>
      </c>
    </row>
    <row r="1658" spans="1:10" ht="15.75" hidden="1" thickBot="1" x14ac:dyDescent="0.3">
      <c r="A1658" s="248" t="s">
        <v>412</v>
      </c>
      <c r="B1658" s="251" t="s">
        <v>2301</v>
      </c>
      <c r="C1658" s="28"/>
      <c r="D1658" s="29" t="s">
        <v>28</v>
      </c>
      <c r="E1658" s="30"/>
      <c r="F1658" s="45" t="s">
        <v>23</v>
      </c>
      <c r="G1658" s="31" t="str">
        <f t="shared" si="26"/>
        <v/>
      </c>
      <c r="H1658" s="32"/>
      <c r="I1658" s="33"/>
      <c r="J1658" s="34">
        <v>0</v>
      </c>
    </row>
    <row r="1659" spans="1:10" ht="15.75" hidden="1" thickBot="1" x14ac:dyDescent="0.3">
      <c r="A1659" s="249"/>
      <c r="B1659" s="252"/>
      <c r="C1659" s="36"/>
      <c r="D1659" s="36"/>
      <c r="E1659" s="37"/>
      <c r="F1659" s="46" t="s">
        <v>23</v>
      </c>
      <c r="G1659" s="35" t="str">
        <f t="shared" si="26"/>
        <v/>
      </c>
      <c r="H1659" s="39"/>
      <c r="I1659" s="35"/>
      <c r="J1659" s="34">
        <v>0</v>
      </c>
    </row>
    <row r="1660" spans="1:10" ht="15.75" hidden="1" thickBot="1" x14ac:dyDescent="0.3">
      <c r="A1660" s="249"/>
      <c r="B1660" s="252"/>
      <c r="C1660" s="40" t="s">
        <v>3770</v>
      </c>
      <c r="D1660" s="40" t="s">
        <v>3752</v>
      </c>
      <c r="E1660" s="41">
        <v>0.15</v>
      </c>
      <c r="F1660" s="35">
        <v>21.954499999999999</v>
      </c>
      <c r="G1660" s="38">
        <f t="shared" si="26"/>
        <v>3.2931749999999997</v>
      </c>
      <c r="H1660" s="43">
        <f>SUM(G1660:G1661)</f>
        <v>3.2931749999999997</v>
      </c>
      <c r="I1660" s="44"/>
      <c r="J1660" s="34">
        <v>0</v>
      </c>
    </row>
    <row r="1661" spans="1:10" ht="26.25" hidden="1" thickBot="1" x14ac:dyDescent="0.3">
      <c r="A1661" s="249"/>
      <c r="B1661" s="252"/>
      <c r="C1661" s="40" t="s">
        <v>413</v>
      </c>
      <c r="D1661" s="40" t="s">
        <v>28</v>
      </c>
      <c r="E1661" s="41">
        <v>1</v>
      </c>
      <c r="F1661" s="38" t="s">
        <v>23</v>
      </c>
      <c r="G1661" s="35" t="str">
        <f t="shared" si="26"/>
        <v/>
      </c>
      <c r="H1661" s="39"/>
      <c r="I1661" s="35"/>
      <c r="J1661" s="34">
        <v>0</v>
      </c>
    </row>
    <row r="1662" spans="1:10" ht="15.75" hidden="1" thickBot="1" x14ac:dyDescent="0.3">
      <c r="A1662" s="249"/>
      <c r="B1662" s="252"/>
      <c r="C1662" s="40"/>
      <c r="D1662" s="40"/>
      <c r="E1662" s="41"/>
      <c r="F1662" s="38" t="s">
        <v>23</v>
      </c>
      <c r="G1662" s="35" t="str">
        <f t="shared" si="26"/>
        <v/>
      </c>
      <c r="H1662" s="39"/>
      <c r="I1662" s="35"/>
      <c r="J1662" s="34">
        <v>0</v>
      </c>
    </row>
    <row r="1663" spans="1:10" ht="15.75" hidden="1" thickBot="1" x14ac:dyDescent="0.3">
      <c r="A1663" s="248" t="s">
        <v>414</v>
      </c>
      <c r="B1663" s="251" t="s">
        <v>2302</v>
      </c>
      <c r="C1663" s="28"/>
      <c r="D1663" s="29" t="s">
        <v>28</v>
      </c>
      <c r="E1663" s="30"/>
      <c r="F1663" s="45" t="s">
        <v>23</v>
      </c>
      <c r="G1663" s="31" t="str">
        <f t="shared" si="26"/>
        <v/>
      </c>
      <c r="H1663" s="32"/>
      <c r="I1663" s="33"/>
      <c r="J1663" s="34">
        <v>0</v>
      </c>
    </row>
    <row r="1664" spans="1:10" ht="15.75" hidden="1" thickBot="1" x14ac:dyDescent="0.3">
      <c r="A1664" s="249"/>
      <c r="B1664" s="252"/>
      <c r="C1664" s="36"/>
      <c r="D1664" s="36"/>
      <c r="E1664" s="37"/>
      <c r="F1664" s="46" t="s">
        <v>23</v>
      </c>
      <c r="G1664" s="35" t="str">
        <f t="shared" si="26"/>
        <v/>
      </c>
      <c r="H1664" s="39"/>
      <c r="I1664" s="35"/>
      <c r="J1664" s="34">
        <v>0</v>
      </c>
    </row>
    <row r="1665" spans="1:10" ht="15.75" hidden="1" thickBot="1" x14ac:dyDescent="0.3">
      <c r="A1665" s="249"/>
      <c r="B1665" s="252"/>
      <c r="C1665" s="40" t="s">
        <v>3770</v>
      </c>
      <c r="D1665" s="40" t="s">
        <v>3752</v>
      </c>
      <c r="E1665" s="41">
        <v>0.15</v>
      </c>
      <c r="F1665" s="35">
        <v>21.954499999999999</v>
      </c>
      <c r="G1665" s="38">
        <f t="shared" si="26"/>
        <v>3.2931749999999997</v>
      </c>
      <c r="H1665" s="43">
        <f>SUM(G1665:G1667)</f>
        <v>7.5510749999999991</v>
      </c>
      <c r="I1665" s="44"/>
      <c r="J1665" s="34">
        <v>0</v>
      </c>
    </row>
    <row r="1666" spans="1:10" ht="15.75" hidden="1" thickBot="1" x14ac:dyDescent="0.3">
      <c r="A1666" s="249"/>
      <c r="B1666" s="252"/>
      <c r="C1666" s="40" t="s">
        <v>3760</v>
      </c>
      <c r="D1666" s="40" t="s">
        <v>3752</v>
      </c>
      <c r="E1666" s="41">
        <v>0.15</v>
      </c>
      <c r="F1666" s="35">
        <v>28.385999999999999</v>
      </c>
      <c r="G1666" s="38">
        <f t="shared" si="26"/>
        <v>4.2578999999999994</v>
      </c>
      <c r="H1666" s="71"/>
      <c r="I1666" s="1"/>
      <c r="J1666" s="34">
        <v>0</v>
      </c>
    </row>
    <row r="1667" spans="1:10" ht="26.25" hidden="1" thickBot="1" x14ac:dyDescent="0.3">
      <c r="A1667" s="249"/>
      <c r="B1667" s="252"/>
      <c r="C1667" s="40" t="s">
        <v>415</v>
      </c>
      <c r="D1667" s="40" t="s">
        <v>28</v>
      </c>
      <c r="E1667" s="41">
        <v>1</v>
      </c>
      <c r="F1667" s="38" t="s">
        <v>23</v>
      </c>
      <c r="G1667" s="35" t="str">
        <f t="shared" si="26"/>
        <v/>
      </c>
      <c r="H1667" s="39"/>
      <c r="I1667" s="35"/>
      <c r="J1667" s="34">
        <v>0</v>
      </c>
    </row>
    <row r="1668" spans="1:10" ht="15.75" hidden="1" thickBot="1" x14ac:dyDescent="0.3">
      <c r="A1668" s="250"/>
      <c r="B1668" s="253"/>
      <c r="C1668" s="40"/>
      <c r="D1668" s="40"/>
      <c r="E1668" s="41"/>
      <c r="F1668" s="35" t="s">
        <v>23</v>
      </c>
      <c r="G1668" s="35" t="str">
        <f t="shared" si="26"/>
        <v/>
      </c>
      <c r="H1668" s="39"/>
      <c r="I1668" s="35"/>
      <c r="J1668" s="34">
        <v>0</v>
      </c>
    </row>
    <row r="1669" spans="1:10" ht="15.75" hidden="1" thickBot="1" x14ac:dyDescent="0.3">
      <c r="A1669" s="248" t="s">
        <v>416</v>
      </c>
      <c r="B1669" s="251" t="s">
        <v>2303</v>
      </c>
      <c r="C1669" s="28"/>
      <c r="D1669" s="29" t="s">
        <v>28</v>
      </c>
      <c r="E1669" s="30"/>
      <c r="F1669" s="45" t="s">
        <v>23</v>
      </c>
      <c r="G1669" s="31" t="str">
        <f t="shared" si="26"/>
        <v/>
      </c>
      <c r="H1669" s="32"/>
      <c r="I1669" s="33"/>
      <c r="J1669" s="34">
        <v>0</v>
      </c>
    </row>
    <row r="1670" spans="1:10" ht="15.75" hidden="1" thickBot="1" x14ac:dyDescent="0.3">
      <c r="A1670" s="249"/>
      <c r="B1670" s="252"/>
      <c r="C1670" s="36"/>
      <c r="D1670" s="36"/>
      <c r="E1670" s="37"/>
      <c r="F1670" s="46" t="s">
        <v>23</v>
      </c>
      <c r="G1670" s="35" t="str">
        <f t="shared" si="26"/>
        <v/>
      </c>
      <c r="H1670" s="39"/>
      <c r="I1670" s="35"/>
      <c r="J1670" s="34">
        <v>0</v>
      </c>
    </row>
    <row r="1671" spans="1:10" ht="15.75" hidden="1" thickBot="1" x14ac:dyDescent="0.3">
      <c r="A1671" s="249"/>
      <c r="B1671" s="252"/>
      <c r="C1671" s="40" t="s">
        <v>3760</v>
      </c>
      <c r="D1671" s="40" t="s">
        <v>3752</v>
      </c>
      <c r="E1671" s="41">
        <v>0.317</v>
      </c>
      <c r="F1671" s="35">
        <v>28.385999999999999</v>
      </c>
      <c r="G1671" s="38">
        <f t="shared" si="26"/>
        <v>8.9983620000000002</v>
      </c>
      <c r="H1671" s="43">
        <f>SUM(G1671:G1674)</f>
        <v>15.957938500000001</v>
      </c>
      <c r="I1671" s="44"/>
      <c r="J1671" s="34">
        <v>0</v>
      </c>
    </row>
    <row r="1672" spans="1:10" ht="15.75" hidden="1" thickBot="1" x14ac:dyDescent="0.3">
      <c r="A1672" s="249"/>
      <c r="B1672" s="252"/>
      <c r="C1672" s="40" t="s">
        <v>3770</v>
      </c>
      <c r="D1672" s="40" t="s">
        <v>3752</v>
      </c>
      <c r="E1672" s="41">
        <v>0.317</v>
      </c>
      <c r="F1672" s="35">
        <v>21.954499999999999</v>
      </c>
      <c r="G1672" s="38">
        <f t="shared" si="26"/>
        <v>6.9595764999999998</v>
      </c>
      <c r="H1672" s="39"/>
      <c r="I1672" s="35"/>
      <c r="J1672" s="34">
        <v>0</v>
      </c>
    </row>
    <row r="1673" spans="1:10" ht="26.25" hidden="1" thickBot="1" x14ac:dyDescent="0.3">
      <c r="A1673" s="249"/>
      <c r="B1673" s="252"/>
      <c r="C1673" s="40" t="s">
        <v>394</v>
      </c>
      <c r="D1673" s="40" t="s">
        <v>28</v>
      </c>
      <c r="E1673" s="41">
        <v>1</v>
      </c>
      <c r="F1673" s="38" t="s">
        <v>23</v>
      </c>
      <c r="G1673" s="38" t="str">
        <f t="shared" si="26"/>
        <v/>
      </c>
      <c r="H1673" s="39"/>
      <c r="I1673" s="35"/>
      <c r="J1673" s="34">
        <v>0</v>
      </c>
    </row>
    <row r="1674" spans="1:10" ht="26.25" hidden="1" thickBot="1" x14ac:dyDescent="0.3">
      <c r="A1674" s="249"/>
      <c r="B1674" s="252"/>
      <c r="C1674" s="40" t="s">
        <v>417</v>
      </c>
      <c r="D1674" s="40" t="s">
        <v>28</v>
      </c>
      <c r="E1674" s="41">
        <v>1</v>
      </c>
      <c r="F1674" s="38" t="s">
        <v>23</v>
      </c>
      <c r="G1674" s="35" t="str">
        <f t="shared" si="26"/>
        <v/>
      </c>
      <c r="H1674" s="39"/>
      <c r="I1674" s="35"/>
      <c r="J1674" s="34">
        <v>0</v>
      </c>
    </row>
    <row r="1675" spans="1:10" ht="15.75" hidden="1" thickBot="1" x14ac:dyDescent="0.3">
      <c r="A1675" s="250"/>
      <c r="B1675" s="253"/>
      <c r="C1675" s="40"/>
      <c r="D1675" s="40"/>
      <c r="E1675" s="41"/>
      <c r="F1675" s="35" t="s">
        <v>23</v>
      </c>
      <c r="G1675" s="35" t="str">
        <f t="shared" si="26"/>
        <v/>
      </c>
      <c r="H1675" s="39"/>
      <c r="I1675" s="35"/>
      <c r="J1675" s="34">
        <v>0</v>
      </c>
    </row>
    <row r="1676" spans="1:10" ht="15.75" hidden="1" thickBot="1" x14ac:dyDescent="0.3">
      <c r="A1676" s="248" t="s">
        <v>418</v>
      </c>
      <c r="B1676" s="251" t="s">
        <v>2304</v>
      </c>
      <c r="C1676" s="28"/>
      <c r="D1676" s="29" t="s">
        <v>28</v>
      </c>
      <c r="E1676" s="30"/>
      <c r="F1676" s="45" t="s">
        <v>23</v>
      </c>
      <c r="G1676" s="31" t="str">
        <f t="shared" si="26"/>
        <v/>
      </c>
      <c r="H1676" s="32"/>
      <c r="I1676" s="33"/>
      <c r="J1676" s="34">
        <v>0</v>
      </c>
    </row>
    <row r="1677" spans="1:10" ht="15.75" hidden="1" thickBot="1" x14ac:dyDescent="0.3">
      <c r="A1677" s="249"/>
      <c r="B1677" s="252"/>
      <c r="C1677" s="36"/>
      <c r="D1677" s="36"/>
      <c r="E1677" s="37"/>
      <c r="F1677" s="46" t="s">
        <v>23</v>
      </c>
      <c r="G1677" s="35" t="str">
        <f t="shared" si="26"/>
        <v/>
      </c>
      <c r="H1677" s="39"/>
      <c r="I1677" s="35"/>
      <c r="J1677" s="34">
        <v>0</v>
      </c>
    </row>
    <row r="1678" spans="1:10" ht="15.75" hidden="1" thickBot="1" x14ac:dyDescent="0.3">
      <c r="A1678" s="249"/>
      <c r="B1678" s="252"/>
      <c r="C1678" s="40" t="s">
        <v>3770</v>
      </c>
      <c r="D1678" s="40" t="s">
        <v>3752</v>
      </c>
      <c r="E1678" s="41">
        <v>0.65</v>
      </c>
      <c r="F1678" s="35">
        <v>21.954499999999999</v>
      </c>
      <c r="G1678" s="38">
        <f t="shared" si="26"/>
        <v>14.270424999999999</v>
      </c>
      <c r="H1678" s="43">
        <f>SUM(G1678:G1681)</f>
        <v>32.721325</v>
      </c>
      <c r="I1678" s="44"/>
      <c r="J1678" s="34">
        <v>0</v>
      </c>
    </row>
    <row r="1679" spans="1:10" ht="15.75" hidden="1" thickBot="1" x14ac:dyDescent="0.3">
      <c r="A1679" s="249"/>
      <c r="B1679" s="252"/>
      <c r="C1679" s="40" t="s">
        <v>3760</v>
      </c>
      <c r="D1679" s="40" t="s">
        <v>3752</v>
      </c>
      <c r="E1679" s="41">
        <v>0.65</v>
      </c>
      <c r="F1679" s="35">
        <v>28.385999999999999</v>
      </c>
      <c r="G1679" s="38">
        <f t="shared" si="26"/>
        <v>18.450900000000001</v>
      </c>
      <c r="H1679" s="39"/>
      <c r="I1679" s="35"/>
      <c r="J1679" s="34">
        <v>0</v>
      </c>
    </row>
    <row r="1680" spans="1:10" ht="15.75" hidden="1" thickBot="1" x14ac:dyDescent="0.3">
      <c r="A1680" s="249"/>
      <c r="B1680" s="252"/>
      <c r="C1680" s="40" t="s">
        <v>419</v>
      </c>
      <c r="D1680" s="40" t="s">
        <v>28</v>
      </c>
      <c r="E1680" s="41">
        <v>1</v>
      </c>
      <c r="F1680" s="35">
        <v>0</v>
      </c>
      <c r="G1680" s="35">
        <f t="shared" si="26"/>
        <v>0</v>
      </c>
      <c r="H1680" s="39"/>
      <c r="I1680" s="35"/>
      <c r="J1680" s="34">
        <v>0</v>
      </c>
    </row>
    <row r="1681" spans="1:10" ht="15.75" hidden="1" thickBot="1" x14ac:dyDescent="0.3">
      <c r="A1681" s="249"/>
      <c r="B1681" s="252"/>
      <c r="C1681" s="40" t="s">
        <v>420</v>
      </c>
      <c r="D1681" s="40" t="s">
        <v>28</v>
      </c>
      <c r="E1681" s="41">
        <v>1</v>
      </c>
      <c r="F1681" s="35">
        <v>0</v>
      </c>
      <c r="G1681" s="35">
        <f t="shared" si="26"/>
        <v>0</v>
      </c>
      <c r="H1681" s="39"/>
      <c r="I1681" s="35"/>
      <c r="J1681" s="34">
        <v>0</v>
      </c>
    </row>
    <row r="1682" spans="1:10" ht="15.75" hidden="1" thickBot="1" x14ac:dyDescent="0.3">
      <c r="A1682" s="250"/>
      <c r="B1682" s="253"/>
      <c r="C1682" s="40"/>
      <c r="D1682" s="40"/>
      <c r="E1682" s="41"/>
      <c r="F1682" s="35" t="s">
        <v>23</v>
      </c>
      <c r="G1682" s="35" t="str">
        <f t="shared" ref="G1682:G1745" si="27">IF(ISNUMBER(F1682),E1682*F1682,"")</f>
        <v/>
      </c>
      <c r="H1682" s="39"/>
      <c r="I1682" s="35"/>
      <c r="J1682" s="34">
        <v>0</v>
      </c>
    </row>
    <row r="1683" spans="1:10" ht="15.75" hidden="1" thickBot="1" x14ac:dyDescent="0.3">
      <c r="A1683" s="248" t="s">
        <v>421</v>
      </c>
      <c r="B1683" s="251" t="s">
        <v>2305</v>
      </c>
      <c r="C1683" s="28"/>
      <c r="D1683" s="29" t="s">
        <v>28</v>
      </c>
      <c r="E1683" s="30"/>
      <c r="F1683" s="45" t="s">
        <v>23</v>
      </c>
      <c r="G1683" s="31" t="str">
        <f t="shared" si="27"/>
        <v/>
      </c>
      <c r="H1683" s="32"/>
      <c r="I1683" s="33"/>
      <c r="J1683" s="34">
        <v>0</v>
      </c>
    </row>
    <row r="1684" spans="1:10" ht="15.75" hidden="1" thickBot="1" x14ac:dyDescent="0.3">
      <c r="A1684" s="249"/>
      <c r="B1684" s="252"/>
      <c r="C1684" s="36"/>
      <c r="D1684" s="36"/>
      <c r="E1684" s="37"/>
      <c r="F1684" s="46" t="s">
        <v>23</v>
      </c>
      <c r="G1684" s="35" t="str">
        <f t="shared" si="27"/>
        <v/>
      </c>
      <c r="H1684" s="39"/>
      <c r="I1684" s="35"/>
      <c r="J1684" s="34">
        <v>0</v>
      </c>
    </row>
    <row r="1685" spans="1:10" ht="26.25" hidden="1" thickBot="1" x14ac:dyDescent="0.3">
      <c r="A1685" s="249"/>
      <c r="B1685" s="252"/>
      <c r="C1685" s="40" t="s">
        <v>422</v>
      </c>
      <c r="D1685" s="40" t="s">
        <v>102</v>
      </c>
      <c r="E1685" s="41">
        <v>1</v>
      </c>
      <c r="F1685" s="38" t="s">
        <v>23</v>
      </c>
      <c r="G1685" s="35" t="str">
        <f t="shared" si="27"/>
        <v/>
      </c>
      <c r="H1685" s="43">
        <f>SUM(G1685:G1687)</f>
        <v>6.7374836</v>
      </c>
      <c r="I1685" s="44"/>
      <c r="J1685" s="34">
        <v>0</v>
      </c>
    </row>
    <row r="1686" spans="1:10" ht="15.75" hidden="1" thickBot="1" x14ac:dyDescent="0.3">
      <c r="A1686" s="249"/>
      <c r="B1686" s="252"/>
      <c r="C1686" s="40" t="s">
        <v>3770</v>
      </c>
      <c r="D1686" s="40" t="s">
        <v>3752</v>
      </c>
      <c r="E1686" s="41">
        <v>7.4800000000000005E-2</v>
      </c>
      <c r="F1686" s="35">
        <v>21.954499999999999</v>
      </c>
      <c r="G1686" s="35">
        <f t="shared" si="27"/>
        <v>1.6421966000000001</v>
      </c>
      <c r="H1686" s="39"/>
      <c r="I1686" s="35"/>
      <c r="J1686" s="34">
        <v>0</v>
      </c>
    </row>
    <row r="1687" spans="1:10" ht="15.75" hidden="1" thickBot="1" x14ac:dyDescent="0.3">
      <c r="A1687" s="249"/>
      <c r="B1687" s="252"/>
      <c r="C1687" s="40" t="s">
        <v>3760</v>
      </c>
      <c r="D1687" s="40" t="s">
        <v>3752</v>
      </c>
      <c r="E1687" s="41">
        <v>0.17949999999999999</v>
      </c>
      <c r="F1687" s="35">
        <v>28.385999999999999</v>
      </c>
      <c r="G1687" s="35">
        <f t="shared" si="27"/>
        <v>5.0952869999999999</v>
      </c>
      <c r="H1687" s="39"/>
      <c r="I1687" s="35"/>
      <c r="J1687" s="34">
        <v>0</v>
      </c>
    </row>
    <row r="1688" spans="1:10" ht="15.75" hidden="1" thickBot="1" x14ac:dyDescent="0.3">
      <c r="A1688" s="250"/>
      <c r="B1688" s="253"/>
      <c r="C1688" s="40"/>
      <c r="D1688" s="40"/>
      <c r="E1688" s="41"/>
      <c r="F1688" s="35" t="s">
        <v>23</v>
      </c>
      <c r="G1688" s="35" t="str">
        <f t="shared" si="27"/>
        <v/>
      </c>
      <c r="H1688" s="39"/>
      <c r="I1688" s="35"/>
      <c r="J1688" s="34">
        <v>0</v>
      </c>
    </row>
    <row r="1689" spans="1:10" ht="15.75" hidden="1" thickBot="1" x14ac:dyDescent="0.3">
      <c r="A1689" s="248" t="s">
        <v>423</v>
      </c>
      <c r="B1689" s="251" t="s">
        <v>2306</v>
      </c>
      <c r="C1689" s="28"/>
      <c r="D1689" s="29" t="s">
        <v>28</v>
      </c>
      <c r="E1689" s="30"/>
      <c r="F1689" s="45" t="s">
        <v>23</v>
      </c>
      <c r="G1689" s="31" t="str">
        <f t="shared" si="27"/>
        <v/>
      </c>
      <c r="H1689" s="32"/>
      <c r="I1689" s="33"/>
      <c r="J1689" s="34">
        <v>0</v>
      </c>
    </row>
    <row r="1690" spans="1:10" ht="15.75" hidden="1" thickBot="1" x14ac:dyDescent="0.3">
      <c r="A1690" s="249"/>
      <c r="B1690" s="252"/>
      <c r="C1690" s="36"/>
      <c r="D1690" s="36"/>
      <c r="E1690" s="37"/>
      <c r="F1690" s="46" t="s">
        <v>23</v>
      </c>
      <c r="G1690" s="35" t="str">
        <f t="shared" si="27"/>
        <v/>
      </c>
      <c r="H1690" s="39"/>
      <c r="I1690" s="35"/>
      <c r="J1690" s="34">
        <v>0</v>
      </c>
    </row>
    <row r="1691" spans="1:10" ht="15.75" hidden="1" thickBot="1" x14ac:dyDescent="0.3">
      <c r="A1691" s="249"/>
      <c r="B1691" s="252"/>
      <c r="C1691" s="40" t="s">
        <v>3770</v>
      </c>
      <c r="D1691" s="40" t="s">
        <v>3752</v>
      </c>
      <c r="E1691" s="41">
        <v>0.14799999999999999</v>
      </c>
      <c r="F1691" s="35">
        <v>21.954499999999999</v>
      </c>
      <c r="G1691" s="35">
        <f t="shared" si="27"/>
        <v>3.2492659999999995</v>
      </c>
      <c r="H1691" s="43">
        <f>SUM(G1691:G1695)</f>
        <v>36.759134600000003</v>
      </c>
      <c r="I1691" s="44"/>
      <c r="J1691" s="34">
        <v>0</v>
      </c>
    </row>
    <row r="1692" spans="1:10" ht="15.75" hidden="1" thickBot="1" x14ac:dyDescent="0.3">
      <c r="A1692" s="249"/>
      <c r="B1692" s="252"/>
      <c r="C1692" s="40" t="s">
        <v>3760</v>
      </c>
      <c r="D1692" s="40" t="s">
        <v>3752</v>
      </c>
      <c r="E1692" s="41">
        <v>0.35510000000000003</v>
      </c>
      <c r="F1692" s="35">
        <v>28.385999999999999</v>
      </c>
      <c r="G1692" s="35">
        <f t="shared" si="27"/>
        <v>10.079868600000001</v>
      </c>
      <c r="H1692" s="48"/>
      <c r="I1692" s="49"/>
      <c r="J1692" s="34">
        <v>0</v>
      </c>
    </row>
    <row r="1693" spans="1:10" ht="26.25" hidden="1" thickBot="1" x14ac:dyDescent="0.3">
      <c r="A1693" s="249"/>
      <c r="B1693" s="252"/>
      <c r="C1693" s="40" t="s">
        <v>424</v>
      </c>
      <c r="D1693" s="40" t="s">
        <v>121</v>
      </c>
      <c r="E1693" s="41">
        <v>1.5</v>
      </c>
      <c r="F1693" s="38">
        <v>8.08</v>
      </c>
      <c r="G1693" s="35">
        <f t="shared" si="27"/>
        <v>12.120000000000001</v>
      </c>
      <c r="H1693" s="39"/>
      <c r="I1693" s="35"/>
      <c r="J1693" s="34">
        <v>0</v>
      </c>
    </row>
    <row r="1694" spans="1:10" ht="15.75" hidden="1" thickBot="1" x14ac:dyDescent="0.3">
      <c r="A1694" s="249"/>
      <c r="B1694" s="252"/>
      <c r="C1694" s="40" t="s">
        <v>425</v>
      </c>
      <c r="D1694" s="40" t="s">
        <v>102</v>
      </c>
      <c r="E1694" s="41">
        <v>1</v>
      </c>
      <c r="F1694" s="38">
        <v>5.62</v>
      </c>
      <c r="G1694" s="35">
        <f t="shared" si="27"/>
        <v>5.62</v>
      </c>
      <c r="H1694" s="39"/>
      <c r="I1694" s="35"/>
      <c r="J1694" s="34">
        <v>0</v>
      </c>
    </row>
    <row r="1695" spans="1:10" ht="15.75" hidden="1" thickBot="1" x14ac:dyDescent="0.3">
      <c r="A1695" s="249"/>
      <c r="B1695" s="252"/>
      <c r="C1695" s="40" t="s">
        <v>426</v>
      </c>
      <c r="D1695" s="40" t="s">
        <v>102</v>
      </c>
      <c r="E1695" s="41">
        <v>1</v>
      </c>
      <c r="F1695" s="38">
        <v>5.69</v>
      </c>
      <c r="G1695" s="35">
        <f t="shared" si="27"/>
        <v>5.69</v>
      </c>
      <c r="H1695" s="39"/>
      <c r="I1695" s="35"/>
      <c r="J1695" s="34">
        <v>0</v>
      </c>
    </row>
    <row r="1696" spans="1:10" ht="15.75" hidden="1" thickBot="1" x14ac:dyDescent="0.3">
      <c r="A1696" s="250"/>
      <c r="B1696" s="253"/>
      <c r="C1696" s="40"/>
      <c r="D1696" s="40"/>
      <c r="E1696" s="41"/>
      <c r="F1696" s="35" t="s">
        <v>23</v>
      </c>
      <c r="G1696" s="35" t="str">
        <f t="shared" si="27"/>
        <v/>
      </c>
      <c r="H1696" s="39"/>
      <c r="I1696" s="35"/>
      <c r="J1696" s="34">
        <v>0</v>
      </c>
    </row>
    <row r="1697" spans="1:10" ht="15.75" hidden="1" thickBot="1" x14ac:dyDescent="0.3">
      <c r="A1697" s="248" t="s">
        <v>427</v>
      </c>
      <c r="B1697" s="251" t="s">
        <v>2307</v>
      </c>
      <c r="C1697" s="28"/>
      <c r="D1697" s="29" t="s">
        <v>28</v>
      </c>
      <c r="E1697" s="30"/>
      <c r="F1697" s="45" t="s">
        <v>23</v>
      </c>
      <c r="G1697" s="31" t="str">
        <f t="shared" si="27"/>
        <v/>
      </c>
      <c r="H1697" s="32"/>
      <c r="I1697" s="33"/>
      <c r="J1697" s="34">
        <v>0</v>
      </c>
    </row>
    <row r="1698" spans="1:10" ht="15.75" hidden="1" thickBot="1" x14ac:dyDescent="0.3">
      <c r="A1698" s="249"/>
      <c r="B1698" s="252"/>
      <c r="C1698" s="36"/>
      <c r="D1698" s="36"/>
      <c r="E1698" s="37"/>
      <c r="F1698" s="46" t="s">
        <v>23</v>
      </c>
      <c r="G1698" s="35" t="str">
        <f t="shared" si="27"/>
        <v/>
      </c>
      <c r="H1698" s="39"/>
      <c r="I1698" s="35"/>
      <c r="J1698" s="34">
        <v>0</v>
      </c>
    </row>
    <row r="1699" spans="1:10" ht="39" hidden="1" thickBot="1" x14ac:dyDescent="0.3">
      <c r="A1699" s="249"/>
      <c r="B1699" s="252"/>
      <c r="C1699" s="40" t="s">
        <v>428</v>
      </c>
      <c r="D1699" s="40" t="s">
        <v>102</v>
      </c>
      <c r="E1699" s="41">
        <v>1</v>
      </c>
      <c r="F1699" s="38" t="s">
        <v>23</v>
      </c>
      <c r="G1699" s="38" t="str">
        <f t="shared" si="27"/>
        <v/>
      </c>
      <c r="H1699" s="43">
        <f>SUM(G1699:G1705)</f>
        <v>36.759134600000003</v>
      </c>
      <c r="I1699" s="44"/>
      <c r="J1699" s="34">
        <v>0</v>
      </c>
    </row>
    <row r="1700" spans="1:10" ht="39" hidden="1" thickBot="1" x14ac:dyDescent="0.3">
      <c r="A1700" s="249"/>
      <c r="B1700" s="252"/>
      <c r="C1700" s="40" t="s">
        <v>429</v>
      </c>
      <c r="D1700" s="40" t="s">
        <v>102</v>
      </c>
      <c r="E1700" s="41">
        <v>2</v>
      </c>
      <c r="F1700" s="38" t="s">
        <v>23</v>
      </c>
      <c r="G1700" s="38" t="str">
        <f t="shared" si="27"/>
        <v/>
      </c>
      <c r="H1700" s="48"/>
      <c r="I1700" s="49"/>
      <c r="J1700" s="34">
        <v>0</v>
      </c>
    </row>
    <row r="1701" spans="1:10" ht="26.25" hidden="1" thickBot="1" x14ac:dyDescent="0.3">
      <c r="A1701" s="249"/>
      <c r="B1701" s="252"/>
      <c r="C1701" s="40" t="s">
        <v>424</v>
      </c>
      <c r="D1701" s="40" t="s">
        <v>121</v>
      </c>
      <c r="E1701" s="41">
        <v>1.5</v>
      </c>
      <c r="F1701" s="38">
        <v>8.08</v>
      </c>
      <c r="G1701" s="35">
        <f t="shared" si="27"/>
        <v>12.120000000000001</v>
      </c>
      <c r="H1701" s="39"/>
      <c r="I1701" s="35"/>
      <c r="J1701" s="34">
        <v>0</v>
      </c>
    </row>
    <row r="1702" spans="1:10" ht="15.75" hidden="1" thickBot="1" x14ac:dyDescent="0.3">
      <c r="A1702" s="249"/>
      <c r="B1702" s="252"/>
      <c r="C1702" s="40" t="s">
        <v>425</v>
      </c>
      <c r="D1702" s="40" t="s">
        <v>102</v>
      </c>
      <c r="E1702" s="41">
        <v>1</v>
      </c>
      <c r="F1702" s="38">
        <v>5.62</v>
      </c>
      <c r="G1702" s="35">
        <f t="shared" si="27"/>
        <v>5.62</v>
      </c>
      <c r="H1702" s="39"/>
      <c r="I1702" s="35"/>
      <c r="J1702" s="34">
        <v>0</v>
      </c>
    </row>
    <row r="1703" spans="1:10" ht="15.75" hidden="1" thickBot="1" x14ac:dyDescent="0.3">
      <c r="A1703" s="249"/>
      <c r="B1703" s="252"/>
      <c r="C1703" s="40" t="s">
        <v>426</v>
      </c>
      <c r="D1703" s="40" t="s">
        <v>102</v>
      </c>
      <c r="E1703" s="41">
        <v>1</v>
      </c>
      <c r="F1703" s="38">
        <v>5.69</v>
      </c>
      <c r="G1703" s="35">
        <f t="shared" si="27"/>
        <v>5.69</v>
      </c>
      <c r="H1703" s="39"/>
      <c r="I1703" s="35"/>
      <c r="J1703" s="34">
        <v>0</v>
      </c>
    </row>
    <row r="1704" spans="1:10" ht="15.75" hidden="1" thickBot="1" x14ac:dyDescent="0.3">
      <c r="A1704" s="249"/>
      <c r="B1704" s="252"/>
      <c r="C1704" s="40" t="s">
        <v>3770</v>
      </c>
      <c r="D1704" s="40" t="s">
        <v>3752</v>
      </c>
      <c r="E1704" s="41">
        <v>0.14799999999999999</v>
      </c>
      <c r="F1704" s="35">
        <v>21.954499999999999</v>
      </c>
      <c r="G1704" s="38">
        <f t="shared" si="27"/>
        <v>3.2492659999999995</v>
      </c>
      <c r="H1704" s="39"/>
      <c r="I1704" s="35"/>
      <c r="J1704" s="34">
        <v>0</v>
      </c>
    </row>
    <row r="1705" spans="1:10" ht="15.75" hidden="1" thickBot="1" x14ac:dyDescent="0.3">
      <c r="A1705" s="249"/>
      <c r="B1705" s="252"/>
      <c r="C1705" s="40" t="s">
        <v>3760</v>
      </c>
      <c r="D1705" s="40" t="s">
        <v>3752</v>
      </c>
      <c r="E1705" s="41">
        <v>0.35510000000000003</v>
      </c>
      <c r="F1705" s="35">
        <v>28.385999999999999</v>
      </c>
      <c r="G1705" s="35">
        <f t="shared" si="27"/>
        <v>10.079868600000001</v>
      </c>
      <c r="H1705" s="39"/>
      <c r="I1705" s="35"/>
      <c r="J1705" s="34">
        <v>0</v>
      </c>
    </row>
    <row r="1706" spans="1:10" ht="15.75" hidden="1" thickBot="1" x14ac:dyDescent="0.3">
      <c r="A1706" s="250"/>
      <c r="B1706" s="253"/>
      <c r="C1706" s="40"/>
      <c r="D1706" s="40"/>
      <c r="E1706" s="41"/>
      <c r="F1706" s="35" t="s">
        <v>23</v>
      </c>
      <c r="G1706" s="35" t="str">
        <f t="shared" si="27"/>
        <v/>
      </c>
      <c r="H1706" s="39"/>
      <c r="I1706" s="35"/>
      <c r="J1706" s="34">
        <v>0</v>
      </c>
    </row>
    <row r="1707" spans="1:10" ht="15.75" hidden="1" thickBot="1" x14ac:dyDescent="0.3">
      <c r="A1707" s="248" t="s">
        <v>430</v>
      </c>
      <c r="B1707" s="251" t="s">
        <v>2308</v>
      </c>
      <c r="C1707" s="28"/>
      <c r="D1707" s="29" t="s">
        <v>28</v>
      </c>
      <c r="E1707" s="30"/>
      <c r="F1707" s="45" t="s">
        <v>23</v>
      </c>
      <c r="G1707" s="31" t="str">
        <f t="shared" si="27"/>
        <v/>
      </c>
      <c r="H1707" s="32"/>
      <c r="I1707" s="33"/>
      <c r="J1707" s="34">
        <v>0</v>
      </c>
    </row>
    <row r="1708" spans="1:10" ht="15.75" hidden="1" thickBot="1" x14ac:dyDescent="0.3">
      <c r="A1708" s="249"/>
      <c r="B1708" s="252"/>
      <c r="C1708" s="36"/>
      <c r="D1708" s="36"/>
      <c r="E1708" s="37"/>
      <c r="F1708" s="46" t="s">
        <v>23</v>
      </c>
      <c r="G1708" s="35" t="str">
        <f t="shared" si="27"/>
        <v/>
      </c>
      <c r="H1708" s="39"/>
      <c r="I1708" s="35"/>
      <c r="J1708" s="34">
        <v>0</v>
      </c>
    </row>
    <row r="1709" spans="1:10" ht="39" hidden="1" thickBot="1" x14ac:dyDescent="0.3">
      <c r="A1709" s="249"/>
      <c r="B1709" s="252"/>
      <c r="C1709" s="40" t="s">
        <v>431</v>
      </c>
      <c r="D1709" s="40" t="s">
        <v>102</v>
      </c>
      <c r="E1709" s="41">
        <v>1</v>
      </c>
      <c r="F1709" s="38" t="s">
        <v>23</v>
      </c>
      <c r="G1709" s="38" t="str">
        <f t="shared" si="27"/>
        <v/>
      </c>
      <c r="H1709" s="43">
        <f>SUM(G1709:G1715)</f>
        <v>38.984700550000007</v>
      </c>
      <c r="I1709" s="44"/>
      <c r="J1709" s="34">
        <v>0</v>
      </c>
    </row>
    <row r="1710" spans="1:10" ht="39" hidden="1" thickBot="1" x14ac:dyDescent="0.3">
      <c r="A1710" s="249"/>
      <c r="B1710" s="252"/>
      <c r="C1710" s="40" t="s">
        <v>429</v>
      </c>
      <c r="D1710" s="40" t="s">
        <v>102</v>
      </c>
      <c r="E1710" s="41">
        <v>2</v>
      </c>
      <c r="F1710" s="38" t="s">
        <v>23</v>
      </c>
      <c r="G1710" s="38" t="str">
        <f t="shared" si="27"/>
        <v/>
      </c>
      <c r="H1710" s="48"/>
      <c r="I1710" s="49"/>
      <c r="J1710" s="34">
        <v>0</v>
      </c>
    </row>
    <row r="1711" spans="1:10" ht="26.25" hidden="1" thickBot="1" x14ac:dyDescent="0.3">
      <c r="A1711" s="249"/>
      <c r="B1711" s="252"/>
      <c r="C1711" s="40" t="s">
        <v>424</v>
      </c>
      <c r="D1711" s="40" t="s">
        <v>121</v>
      </c>
      <c r="E1711" s="41">
        <v>1.5</v>
      </c>
      <c r="F1711" s="38">
        <v>8.08</v>
      </c>
      <c r="G1711" s="35">
        <f t="shared" si="27"/>
        <v>12.120000000000001</v>
      </c>
      <c r="H1711" s="39"/>
      <c r="I1711" s="35"/>
      <c r="J1711" s="34">
        <v>0</v>
      </c>
    </row>
    <row r="1712" spans="1:10" ht="15.75" hidden="1" thickBot="1" x14ac:dyDescent="0.3">
      <c r="A1712" s="249"/>
      <c r="B1712" s="252"/>
      <c r="C1712" s="40" t="s">
        <v>425</v>
      </c>
      <c r="D1712" s="40" t="s">
        <v>102</v>
      </c>
      <c r="E1712" s="41">
        <v>1</v>
      </c>
      <c r="F1712" s="38">
        <v>5.62</v>
      </c>
      <c r="G1712" s="35">
        <f t="shared" si="27"/>
        <v>5.62</v>
      </c>
      <c r="H1712" s="39"/>
      <c r="I1712" s="35"/>
      <c r="J1712" s="34">
        <v>0</v>
      </c>
    </row>
    <row r="1713" spans="1:10" ht="15.75" hidden="1" thickBot="1" x14ac:dyDescent="0.3">
      <c r="A1713" s="249"/>
      <c r="B1713" s="252"/>
      <c r="C1713" s="40" t="s">
        <v>426</v>
      </c>
      <c r="D1713" s="40" t="s">
        <v>102</v>
      </c>
      <c r="E1713" s="41">
        <v>1</v>
      </c>
      <c r="F1713" s="38">
        <v>5.69</v>
      </c>
      <c r="G1713" s="35">
        <f t="shared" si="27"/>
        <v>5.69</v>
      </c>
      <c r="H1713" s="39"/>
      <c r="I1713" s="35"/>
      <c r="J1713" s="34">
        <v>0</v>
      </c>
    </row>
    <row r="1714" spans="1:10" ht="15.75" hidden="1" thickBot="1" x14ac:dyDescent="0.3">
      <c r="A1714" s="249"/>
      <c r="B1714" s="252"/>
      <c r="C1714" s="40" t="s">
        <v>3770</v>
      </c>
      <c r="D1714" s="40" t="s">
        <v>3752</v>
      </c>
      <c r="E1714" s="41">
        <v>0.17269999999999999</v>
      </c>
      <c r="F1714" s="35">
        <v>21.954499999999999</v>
      </c>
      <c r="G1714" s="35">
        <f t="shared" si="27"/>
        <v>3.7915421499999997</v>
      </c>
      <c r="H1714" s="39"/>
      <c r="I1714" s="35"/>
      <c r="J1714" s="34">
        <v>0</v>
      </c>
    </row>
    <row r="1715" spans="1:10" ht="15.75" hidden="1" thickBot="1" x14ac:dyDescent="0.3">
      <c r="A1715" s="249"/>
      <c r="B1715" s="252"/>
      <c r="C1715" s="40" t="s">
        <v>3760</v>
      </c>
      <c r="D1715" s="40" t="s">
        <v>3752</v>
      </c>
      <c r="E1715" s="41">
        <v>0.41439999999999999</v>
      </c>
      <c r="F1715" s="35">
        <v>28.385999999999999</v>
      </c>
      <c r="G1715" s="35">
        <f t="shared" si="27"/>
        <v>11.7631584</v>
      </c>
      <c r="H1715" s="39"/>
      <c r="I1715" s="35"/>
      <c r="J1715" s="34">
        <v>0</v>
      </c>
    </row>
    <row r="1716" spans="1:10" ht="15.75" hidden="1" thickBot="1" x14ac:dyDescent="0.3">
      <c r="A1716" s="250"/>
      <c r="B1716" s="253"/>
      <c r="C1716" s="40"/>
      <c r="D1716" s="40"/>
      <c r="E1716" s="41"/>
      <c r="F1716" s="35" t="s">
        <v>23</v>
      </c>
      <c r="G1716" s="35" t="str">
        <f t="shared" si="27"/>
        <v/>
      </c>
      <c r="H1716" s="39"/>
      <c r="I1716" s="35"/>
      <c r="J1716" s="34">
        <v>0</v>
      </c>
    </row>
    <row r="1717" spans="1:10" ht="15.75" hidden="1" thickBot="1" x14ac:dyDescent="0.3">
      <c r="A1717" s="248" t="s">
        <v>432</v>
      </c>
      <c r="B1717" s="251" t="s">
        <v>2309</v>
      </c>
      <c r="C1717" s="28"/>
      <c r="D1717" s="29" t="s">
        <v>28</v>
      </c>
      <c r="E1717" s="30"/>
      <c r="F1717" s="45" t="s">
        <v>23</v>
      </c>
      <c r="G1717" s="31" t="str">
        <f t="shared" si="27"/>
        <v/>
      </c>
      <c r="H1717" s="32"/>
      <c r="I1717" s="33"/>
      <c r="J1717" s="34">
        <v>0</v>
      </c>
    </row>
    <row r="1718" spans="1:10" ht="15.75" hidden="1" thickBot="1" x14ac:dyDescent="0.3">
      <c r="A1718" s="249"/>
      <c r="B1718" s="252"/>
      <c r="C1718" s="36"/>
      <c r="D1718" s="36"/>
      <c r="E1718" s="37"/>
      <c r="F1718" s="46" t="s">
        <v>23</v>
      </c>
      <c r="G1718" s="35" t="str">
        <f t="shared" si="27"/>
        <v/>
      </c>
      <c r="H1718" s="39"/>
      <c r="I1718" s="35"/>
      <c r="J1718" s="34">
        <v>0</v>
      </c>
    </row>
    <row r="1719" spans="1:10" ht="39" hidden="1" thickBot="1" x14ac:dyDescent="0.3">
      <c r="A1719" s="249"/>
      <c r="B1719" s="252"/>
      <c r="C1719" s="40" t="s">
        <v>433</v>
      </c>
      <c r="D1719" s="40" t="s">
        <v>102</v>
      </c>
      <c r="E1719" s="41">
        <v>1</v>
      </c>
      <c r="F1719" s="38" t="s">
        <v>23</v>
      </c>
      <c r="G1719" s="35" t="str">
        <f t="shared" si="27"/>
        <v/>
      </c>
      <c r="H1719" s="43">
        <f>SUM(G1719:G1725)</f>
        <v>36.759134600000003</v>
      </c>
      <c r="I1719" s="44"/>
      <c r="J1719" s="34">
        <v>0</v>
      </c>
    </row>
    <row r="1720" spans="1:10" ht="39" hidden="1" thickBot="1" x14ac:dyDescent="0.3">
      <c r="A1720" s="249"/>
      <c r="B1720" s="252"/>
      <c r="C1720" s="40" t="s">
        <v>434</v>
      </c>
      <c r="D1720" s="40" t="s">
        <v>102</v>
      </c>
      <c r="E1720" s="41">
        <v>2</v>
      </c>
      <c r="F1720" s="38" t="s">
        <v>23</v>
      </c>
      <c r="G1720" s="35" t="str">
        <f t="shared" si="27"/>
        <v/>
      </c>
      <c r="H1720" s="48"/>
      <c r="I1720" s="49"/>
      <c r="J1720" s="34">
        <v>0</v>
      </c>
    </row>
    <row r="1721" spans="1:10" ht="26.25" hidden="1" thickBot="1" x14ac:dyDescent="0.3">
      <c r="A1721" s="249"/>
      <c r="B1721" s="252"/>
      <c r="C1721" s="40" t="s">
        <v>424</v>
      </c>
      <c r="D1721" s="40" t="s">
        <v>121</v>
      </c>
      <c r="E1721" s="41">
        <v>1.5</v>
      </c>
      <c r="F1721" s="38">
        <v>8.08</v>
      </c>
      <c r="G1721" s="35">
        <f t="shared" si="27"/>
        <v>12.120000000000001</v>
      </c>
      <c r="H1721" s="39"/>
      <c r="I1721" s="35"/>
      <c r="J1721" s="34">
        <v>0</v>
      </c>
    </row>
    <row r="1722" spans="1:10" ht="15.75" hidden="1" thickBot="1" x14ac:dyDescent="0.3">
      <c r="A1722" s="249"/>
      <c r="B1722" s="252"/>
      <c r="C1722" s="40" t="s">
        <v>425</v>
      </c>
      <c r="D1722" s="40" t="s">
        <v>102</v>
      </c>
      <c r="E1722" s="41">
        <v>1</v>
      </c>
      <c r="F1722" s="38">
        <v>5.62</v>
      </c>
      <c r="G1722" s="35">
        <f t="shared" si="27"/>
        <v>5.62</v>
      </c>
      <c r="H1722" s="39"/>
      <c r="I1722" s="35"/>
      <c r="J1722" s="34">
        <v>0</v>
      </c>
    </row>
    <row r="1723" spans="1:10" ht="15.75" hidden="1" thickBot="1" x14ac:dyDescent="0.3">
      <c r="A1723" s="249"/>
      <c r="B1723" s="252"/>
      <c r="C1723" s="40" t="s">
        <v>426</v>
      </c>
      <c r="D1723" s="40" t="s">
        <v>102</v>
      </c>
      <c r="E1723" s="41">
        <v>1</v>
      </c>
      <c r="F1723" s="38">
        <v>5.69</v>
      </c>
      <c r="G1723" s="35">
        <f t="shared" si="27"/>
        <v>5.69</v>
      </c>
      <c r="H1723" s="39"/>
      <c r="I1723" s="35"/>
      <c r="J1723" s="34">
        <v>0</v>
      </c>
    </row>
    <row r="1724" spans="1:10" ht="15.75" hidden="1" thickBot="1" x14ac:dyDescent="0.3">
      <c r="A1724" s="249"/>
      <c r="B1724" s="252"/>
      <c r="C1724" s="40" t="s">
        <v>3770</v>
      </c>
      <c r="D1724" s="40" t="s">
        <v>3752</v>
      </c>
      <c r="E1724" s="41">
        <v>0.14799999999999999</v>
      </c>
      <c r="F1724" s="35">
        <v>21.954499999999999</v>
      </c>
      <c r="G1724" s="38">
        <f t="shared" si="27"/>
        <v>3.2492659999999995</v>
      </c>
      <c r="H1724" s="39"/>
      <c r="I1724" s="35"/>
      <c r="J1724" s="34">
        <v>0</v>
      </c>
    </row>
    <row r="1725" spans="1:10" ht="15.75" hidden="1" thickBot="1" x14ac:dyDescent="0.3">
      <c r="A1725" s="249"/>
      <c r="B1725" s="252"/>
      <c r="C1725" s="40" t="s">
        <v>3760</v>
      </c>
      <c r="D1725" s="40" t="s">
        <v>3752</v>
      </c>
      <c r="E1725" s="41">
        <v>0.35510000000000003</v>
      </c>
      <c r="F1725" s="35">
        <v>28.385999999999999</v>
      </c>
      <c r="G1725" s="35">
        <f t="shared" si="27"/>
        <v>10.079868600000001</v>
      </c>
      <c r="H1725" s="39"/>
      <c r="I1725" s="35"/>
      <c r="J1725" s="34">
        <v>0</v>
      </c>
    </row>
    <row r="1726" spans="1:10" ht="15.75" hidden="1" thickBot="1" x14ac:dyDescent="0.3">
      <c r="A1726" s="250"/>
      <c r="B1726" s="253"/>
      <c r="C1726" s="40"/>
      <c r="D1726" s="40"/>
      <c r="E1726" s="41"/>
      <c r="F1726" s="35" t="s">
        <v>23</v>
      </c>
      <c r="G1726" s="35" t="str">
        <f t="shared" si="27"/>
        <v/>
      </c>
      <c r="H1726" s="39"/>
      <c r="I1726" s="35"/>
      <c r="J1726" s="34">
        <v>0</v>
      </c>
    </row>
    <row r="1727" spans="1:10" ht="15.75" hidden="1" thickBot="1" x14ac:dyDescent="0.3">
      <c r="A1727" s="248" t="s">
        <v>435</v>
      </c>
      <c r="B1727" s="251" t="s">
        <v>2310</v>
      </c>
      <c r="C1727" s="28"/>
      <c r="D1727" s="29" t="s">
        <v>28</v>
      </c>
      <c r="E1727" s="30"/>
      <c r="F1727" s="45" t="s">
        <v>23</v>
      </c>
      <c r="G1727" s="31" t="str">
        <f t="shared" si="27"/>
        <v/>
      </c>
      <c r="H1727" s="32"/>
      <c r="I1727" s="33"/>
      <c r="J1727" s="34">
        <v>0</v>
      </c>
    </row>
    <row r="1728" spans="1:10" ht="15.75" hidden="1" thickBot="1" x14ac:dyDescent="0.3">
      <c r="A1728" s="249"/>
      <c r="B1728" s="252"/>
      <c r="C1728" s="36"/>
      <c r="D1728" s="36"/>
      <c r="E1728" s="37"/>
      <c r="F1728" s="46" t="s">
        <v>23</v>
      </c>
      <c r="G1728" s="35" t="str">
        <f t="shared" si="27"/>
        <v/>
      </c>
      <c r="H1728" s="39"/>
      <c r="I1728" s="35"/>
      <c r="J1728" s="34">
        <v>0</v>
      </c>
    </row>
    <row r="1729" spans="1:10" ht="39" hidden="1" thickBot="1" x14ac:dyDescent="0.3">
      <c r="A1729" s="249"/>
      <c r="B1729" s="252"/>
      <c r="C1729" s="40" t="s">
        <v>436</v>
      </c>
      <c r="D1729" s="40" t="s">
        <v>102</v>
      </c>
      <c r="E1729" s="41">
        <v>1</v>
      </c>
      <c r="F1729" s="38" t="s">
        <v>23</v>
      </c>
      <c r="G1729" s="35" t="str">
        <f t="shared" si="27"/>
        <v/>
      </c>
      <c r="H1729" s="43">
        <f>SUM(G1729:G1735)</f>
        <v>38.984700550000007</v>
      </c>
      <c r="I1729" s="44"/>
      <c r="J1729" s="34">
        <v>0</v>
      </c>
    </row>
    <row r="1730" spans="1:10" ht="39" hidden="1" thickBot="1" x14ac:dyDescent="0.3">
      <c r="A1730" s="249"/>
      <c r="B1730" s="252"/>
      <c r="C1730" s="40" t="s">
        <v>434</v>
      </c>
      <c r="D1730" s="40" t="s">
        <v>102</v>
      </c>
      <c r="E1730" s="41">
        <v>2</v>
      </c>
      <c r="F1730" s="38" t="s">
        <v>23</v>
      </c>
      <c r="G1730" s="35" t="str">
        <f t="shared" si="27"/>
        <v/>
      </c>
      <c r="H1730" s="48"/>
      <c r="I1730" s="49"/>
      <c r="J1730" s="34">
        <v>0</v>
      </c>
    </row>
    <row r="1731" spans="1:10" ht="26.25" hidden="1" thickBot="1" x14ac:dyDescent="0.3">
      <c r="A1731" s="249"/>
      <c r="B1731" s="252"/>
      <c r="C1731" s="40" t="s">
        <v>424</v>
      </c>
      <c r="D1731" s="40" t="s">
        <v>121</v>
      </c>
      <c r="E1731" s="41">
        <v>1.5</v>
      </c>
      <c r="F1731" s="38">
        <v>8.08</v>
      </c>
      <c r="G1731" s="35">
        <f t="shared" si="27"/>
        <v>12.120000000000001</v>
      </c>
      <c r="H1731" s="39"/>
      <c r="I1731" s="35"/>
      <c r="J1731" s="34">
        <v>0</v>
      </c>
    </row>
    <row r="1732" spans="1:10" ht="15.75" hidden="1" thickBot="1" x14ac:dyDescent="0.3">
      <c r="A1732" s="249"/>
      <c r="B1732" s="252"/>
      <c r="C1732" s="40" t="s">
        <v>425</v>
      </c>
      <c r="D1732" s="40" t="s">
        <v>102</v>
      </c>
      <c r="E1732" s="41">
        <v>1</v>
      </c>
      <c r="F1732" s="38">
        <v>5.62</v>
      </c>
      <c r="G1732" s="35">
        <f t="shared" si="27"/>
        <v>5.62</v>
      </c>
      <c r="H1732" s="39"/>
      <c r="I1732" s="35"/>
      <c r="J1732" s="34">
        <v>0</v>
      </c>
    </row>
    <row r="1733" spans="1:10" ht="15.75" hidden="1" thickBot="1" x14ac:dyDescent="0.3">
      <c r="A1733" s="249"/>
      <c r="B1733" s="252"/>
      <c r="C1733" s="40" t="s">
        <v>426</v>
      </c>
      <c r="D1733" s="40" t="s">
        <v>102</v>
      </c>
      <c r="E1733" s="41">
        <v>1</v>
      </c>
      <c r="F1733" s="38">
        <v>5.69</v>
      </c>
      <c r="G1733" s="35">
        <f t="shared" si="27"/>
        <v>5.69</v>
      </c>
      <c r="H1733" s="39"/>
      <c r="I1733" s="35"/>
      <c r="J1733" s="34">
        <v>0</v>
      </c>
    </row>
    <row r="1734" spans="1:10" ht="15.75" hidden="1" thickBot="1" x14ac:dyDescent="0.3">
      <c r="A1734" s="249"/>
      <c r="B1734" s="252"/>
      <c r="C1734" s="40" t="s">
        <v>3770</v>
      </c>
      <c r="D1734" s="40" t="s">
        <v>3752</v>
      </c>
      <c r="E1734" s="41">
        <v>0.17269999999999999</v>
      </c>
      <c r="F1734" s="35">
        <v>21.954499999999999</v>
      </c>
      <c r="G1734" s="35">
        <f t="shared" si="27"/>
        <v>3.7915421499999997</v>
      </c>
      <c r="H1734" s="39"/>
      <c r="I1734" s="35"/>
      <c r="J1734" s="34">
        <v>0</v>
      </c>
    </row>
    <row r="1735" spans="1:10" ht="15.75" hidden="1" thickBot="1" x14ac:dyDescent="0.3">
      <c r="A1735" s="249"/>
      <c r="B1735" s="252"/>
      <c r="C1735" s="40" t="s">
        <v>3760</v>
      </c>
      <c r="D1735" s="40" t="s">
        <v>3752</v>
      </c>
      <c r="E1735" s="41">
        <v>0.41439999999999999</v>
      </c>
      <c r="F1735" s="35">
        <v>28.385999999999999</v>
      </c>
      <c r="G1735" s="35">
        <f t="shared" si="27"/>
        <v>11.7631584</v>
      </c>
      <c r="H1735" s="39"/>
      <c r="I1735" s="35"/>
      <c r="J1735" s="34">
        <v>0</v>
      </c>
    </row>
    <row r="1736" spans="1:10" ht="15.75" hidden="1" thickBot="1" x14ac:dyDescent="0.3">
      <c r="A1736" s="250"/>
      <c r="B1736" s="253"/>
      <c r="C1736" s="40"/>
      <c r="D1736" s="40"/>
      <c r="E1736" s="41"/>
      <c r="F1736" s="35" t="s">
        <v>23</v>
      </c>
      <c r="G1736" s="35" t="str">
        <f t="shared" si="27"/>
        <v/>
      </c>
      <c r="H1736" s="39"/>
      <c r="I1736" s="35"/>
      <c r="J1736" s="34">
        <v>0</v>
      </c>
    </row>
    <row r="1737" spans="1:10" ht="15.75" hidden="1" thickBot="1" x14ac:dyDescent="0.3">
      <c r="A1737" s="248" t="s">
        <v>437</v>
      </c>
      <c r="B1737" s="251" t="s">
        <v>2311</v>
      </c>
      <c r="C1737" s="28"/>
      <c r="D1737" s="29" t="s">
        <v>121</v>
      </c>
      <c r="E1737" s="30"/>
      <c r="F1737" s="45" t="s">
        <v>23</v>
      </c>
      <c r="G1737" s="31" t="str">
        <f t="shared" si="27"/>
        <v/>
      </c>
      <c r="H1737" s="32"/>
      <c r="I1737" s="33"/>
      <c r="J1737" s="34">
        <v>0</v>
      </c>
    </row>
    <row r="1738" spans="1:10" ht="15.75" hidden="1" thickBot="1" x14ac:dyDescent="0.3">
      <c r="A1738" s="249"/>
      <c r="B1738" s="252"/>
      <c r="C1738" s="36"/>
      <c r="D1738" s="36"/>
      <c r="E1738" s="37"/>
      <c r="F1738" s="46" t="s">
        <v>23</v>
      </c>
      <c r="G1738" s="35" t="str">
        <f t="shared" si="27"/>
        <v/>
      </c>
      <c r="H1738" s="39"/>
      <c r="I1738" s="35"/>
      <c r="J1738" s="34">
        <v>0</v>
      </c>
    </row>
    <row r="1739" spans="1:10" ht="15.75" hidden="1" thickBot="1" x14ac:dyDescent="0.3">
      <c r="A1739" s="249"/>
      <c r="B1739" s="252"/>
      <c r="C1739" s="40" t="s">
        <v>3770</v>
      </c>
      <c r="D1739" s="40" t="s">
        <v>3752</v>
      </c>
      <c r="E1739" s="41">
        <v>8.9999999999999993E-3</v>
      </c>
      <c r="F1739" s="35">
        <v>21.954499999999999</v>
      </c>
      <c r="G1739" s="38">
        <f t="shared" si="27"/>
        <v>0.19759049999999997</v>
      </c>
      <c r="H1739" s="43">
        <f>SUM(G1739:G1742)</f>
        <v>0.49220449999999999</v>
      </c>
      <c r="I1739" s="44"/>
      <c r="J1739" s="34">
        <v>0</v>
      </c>
    </row>
    <row r="1740" spans="1:10" ht="15.75" hidden="1" thickBot="1" x14ac:dyDescent="0.3">
      <c r="A1740" s="249"/>
      <c r="B1740" s="252"/>
      <c r="C1740" s="40" t="s">
        <v>3760</v>
      </c>
      <c r="D1740" s="40" t="s">
        <v>3752</v>
      </c>
      <c r="E1740" s="41">
        <v>8.9999999999999993E-3</v>
      </c>
      <c r="F1740" s="35">
        <v>28.385999999999999</v>
      </c>
      <c r="G1740" s="38">
        <f t="shared" si="27"/>
        <v>0.25547399999999998</v>
      </c>
      <c r="H1740" s="39"/>
      <c r="I1740" s="35"/>
      <c r="J1740" s="34">
        <v>0</v>
      </c>
    </row>
    <row r="1741" spans="1:10" ht="15.75" hidden="1" thickBot="1" x14ac:dyDescent="0.3">
      <c r="A1741" s="249"/>
      <c r="B1741" s="252"/>
      <c r="C1741" s="40" t="s">
        <v>438</v>
      </c>
      <c r="D1741" s="40" t="s">
        <v>121</v>
      </c>
      <c r="E1741" s="41">
        <v>1.0269999999999999</v>
      </c>
      <c r="F1741" s="38">
        <v>0</v>
      </c>
      <c r="G1741" s="38">
        <f t="shared" si="27"/>
        <v>0</v>
      </c>
      <c r="H1741" s="39"/>
      <c r="I1741" s="35"/>
      <c r="J1741" s="34">
        <v>0</v>
      </c>
    </row>
    <row r="1742" spans="1:10" ht="26.25" hidden="1" thickBot="1" x14ac:dyDescent="0.3">
      <c r="A1742" s="249"/>
      <c r="B1742" s="252"/>
      <c r="C1742" s="40" t="s">
        <v>3907</v>
      </c>
      <c r="D1742" s="40" t="s">
        <v>291</v>
      </c>
      <c r="E1742" s="41">
        <v>0.01</v>
      </c>
      <c r="F1742" s="38">
        <v>3.9139999999999997</v>
      </c>
      <c r="G1742" s="38">
        <f t="shared" si="27"/>
        <v>3.9140000000000001E-2</v>
      </c>
      <c r="H1742" s="39"/>
      <c r="I1742" s="35"/>
      <c r="J1742" s="34">
        <v>0</v>
      </c>
    </row>
    <row r="1743" spans="1:10" ht="15.75" hidden="1" thickBot="1" x14ac:dyDescent="0.3">
      <c r="A1743" s="250"/>
      <c r="B1743" s="253"/>
      <c r="C1743" s="40"/>
      <c r="D1743" s="40"/>
      <c r="E1743" s="41"/>
      <c r="F1743" s="35" t="s">
        <v>23</v>
      </c>
      <c r="G1743" s="35" t="str">
        <f t="shared" si="27"/>
        <v/>
      </c>
      <c r="H1743" s="39"/>
      <c r="I1743" s="35"/>
      <c r="J1743" s="34">
        <v>0</v>
      </c>
    </row>
    <row r="1744" spans="1:10" ht="15.75" hidden="1" thickBot="1" x14ac:dyDescent="0.3">
      <c r="A1744" s="248" t="s">
        <v>439</v>
      </c>
      <c r="B1744" s="251" t="s">
        <v>2312</v>
      </c>
      <c r="C1744" s="28"/>
      <c r="D1744" s="29" t="s">
        <v>121</v>
      </c>
      <c r="E1744" s="30"/>
      <c r="F1744" s="45" t="s">
        <v>23</v>
      </c>
      <c r="G1744" s="31" t="str">
        <f t="shared" si="27"/>
        <v/>
      </c>
      <c r="H1744" s="32"/>
      <c r="I1744" s="33"/>
      <c r="J1744" s="34">
        <v>0</v>
      </c>
    </row>
    <row r="1745" spans="1:10" ht="15.75" hidden="1" thickBot="1" x14ac:dyDescent="0.3">
      <c r="A1745" s="249"/>
      <c r="B1745" s="252"/>
      <c r="C1745" s="36"/>
      <c r="D1745" s="36"/>
      <c r="E1745" s="37"/>
      <c r="F1745" s="46" t="s">
        <v>23</v>
      </c>
      <c r="G1745" s="35" t="str">
        <f t="shared" si="27"/>
        <v/>
      </c>
      <c r="H1745" s="39"/>
      <c r="I1745" s="35"/>
      <c r="J1745" s="34">
        <v>0</v>
      </c>
    </row>
    <row r="1746" spans="1:10" ht="15.75" hidden="1" thickBot="1" x14ac:dyDescent="0.3">
      <c r="A1746" s="249"/>
      <c r="B1746" s="252"/>
      <c r="C1746" s="40" t="s">
        <v>3770</v>
      </c>
      <c r="D1746" s="40" t="s">
        <v>3752</v>
      </c>
      <c r="E1746" s="41">
        <v>1.2999999999999999E-2</v>
      </c>
      <c r="F1746" s="35">
        <v>21.954499999999999</v>
      </c>
      <c r="G1746" s="38">
        <f t="shared" ref="G1746:G1809" si="28">IF(ISNUMBER(F1746),E1746*F1746,"")</f>
        <v>0.28540849999999995</v>
      </c>
      <c r="H1746" s="43">
        <f>SUM(G1746:G1749)</f>
        <v>0.69356649999999986</v>
      </c>
      <c r="I1746" s="44"/>
      <c r="J1746" s="34">
        <v>0</v>
      </c>
    </row>
    <row r="1747" spans="1:10" ht="15.75" hidden="1" thickBot="1" x14ac:dyDescent="0.3">
      <c r="A1747" s="249"/>
      <c r="B1747" s="252"/>
      <c r="C1747" s="40" t="s">
        <v>3760</v>
      </c>
      <c r="D1747" s="40" t="s">
        <v>3752</v>
      </c>
      <c r="E1747" s="41">
        <v>1.2999999999999999E-2</v>
      </c>
      <c r="F1747" s="35">
        <v>28.385999999999999</v>
      </c>
      <c r="G1747" s="38">
        <f t="shared" si="28"/>
        <v>0.36901799999999996</v>
      </c>
      <c r="H1747" s="39"/>
      <c r="I1747" s="35"/>
      <c r="J1747" s="34">
        <v>0</v>
      </c>
    </row>
    <row r="1748" spans="1:10" ht="15.75" hidden="1" thickBot="1" x14ac:dyDescent="0.3">
      <c r="A1748" s="249"/>
      <c r="B1748" s="252"/>
      <c r="C1748" s="40" t="s">
        <v>440</v>
      </c>
      <c r="D1748" s="40" t="s">
        <v>121</v>
      </c>
      <c r="E1748" s="41">
        <v>1.0269999999999999</v>
      </c>
      <c r="F1748" s="38">
        <v>0</v>
      </c>
      <c r="G1748" s="38">
        <f t="shared" si="28"/>
        <v>0</v>
      </c>
      <c r="H1748" s="39"/>
      <c r="I1748" s="35"/>
      <c r="J1748" s="34">
        <v>0</v>
      </c>
    </row>
    <row r="1749" spans="1:10" ht="26.25" hidden="1" thickBot="1" x14ac:dyDescent="0.3">
      <c r="A1749" s="249"/>
      <c r="B1749" s="252"/>
      <c r="C1749" s="40" t="s">
        <v>3907</v>
      </c>
      <c r="D1749" s="40" t="s">
        <v>291</v>
      </c>
      <c r="E1749" s="41">
        <v>0.01</v>
      </c>
      <c r="F1749" s="38">
        <v>3.9139999999999997</v>
      </c>
      <c r="G1749" s="38">
        <f t="shared" si="28"/>
        <v>3.9140000000000001E-2</v>
      </c>
      <c r="H1749" s="39"/>
      <c r="I1749" s="35"/>
      <c r="J1749" s="34">
        <v>0</v>
      </c>
    </row>
    <row r="1750" spans="1:10" ht="15.75" hidden="1" thickBot="1" x14ac:dyDescent="0.3">
      <c r="A1750" s="250"/>
      <c r="B1750" s="253"/>
      <c r="C1750" s="40"/>
      <c r="D1750" s="40"/>
      <c r="E1750" s="41"/>
      <c r="F1750" s="35" t="s">
        <v>23</v>
      </c>
      <c r="G1750" s="35" t="str">
        <f t="shared" si="28"/>
        <v/>
      </c>
      <c r="H1750" s="39"/>
      <c r="I1750" s="35"/>
      <c r="J1750" s="34">
        <v>0</v>
      </c>
    </row>
    <row r="1751" spans="1:10" ht="15.75" hidden="1" thickBot="1" x14ac:dyDescent="0.3">
      <c r="A1751" s="248" t="s">
        <v>441</v>
      </c>
      <c r="B1751" s="251" t="s">
        <v>2313</v>
      </c>
      <c r="C1751" s="28"/>
      <c r="D1751" s="29" t="s">
        <v>121</v>
      </c>
      <c r="E1751" s="30"/>
      <c r="F1751" s="45" t="s">
        <v>23</v>
      </c>
      <c r="G1751" s="31" t="str">
        <f t="shared" si="28"/>
        <v/>
      </c>
      <c r="H1751" s="32"/>
      <c r="I1751" s="33"/>
      <c r="J1751" s="34">
        <v>0</v>
      </c>
    </row>
    <row r="1752" spans="1:10" ht="15.75" hidden="1" thickBot="1" x14ac:dyDescent="0.3">
      <c r="A1752" s="249"/>
      <c r="B1752" s="252"/>
      <c r="C1752" s="36"/>
      <c r="D1752" s="36"/>
      <c r="E1752" s="37"/>
      <c r="F1752" s="46" t="s">
        <v>23</v>
      </c>
      <c r="G1752" s="35" t="str">
        <f t="shared" si="28"/>
        <v/>
      </c>
      <c r="H1752" s="39"/>
      <c r="I1752" s="35"/>
      <c r="J1752" s="34">
        <v>0</v>
      </c>
    </row>
    <row r="1753" spans="1:10" ht="15.75" hidden="1" thickBot="1" x14ac:dyDescent="0.3">
      <c r="A1753" s="249"/>
      <c r="B1753" s="252"/>
      <c r="C1753" s="40" t="s">
        <v>3770</v>
      </c>
      <c r="D1753" s="40" t="s">
        <v>3752</v>
      </c>
      <c r="E1753" s="41">
        <v>2.9000000000000001E-2</v>
      </c>
      <c r="F1753" s="35">
        <v>21.954499999999999</v>
      </c>
      <c r="G1753" s="38">
        <f t="shared" si="28"/>
        <v>0.63668049999999998</v>
      </c>
      <c r="H1753" s="43">
        <f>SUM(G1753:G1756)</f>
        <v>1.4966660999999999</v>
      </c>
      <c r="I1753" s="44"/>
      <c r="J1753" s="34">
        <v>0</v>
      </c>
    </row>
    <row r="1754" spans="1:10" ht="15.75" hidden="1" thickBot="1" x14ac:dyDescent="0.3">
      <c r="A1754" s="249"/>
      <c r="B1754" s="252"/>
      <c r="C1754" s="40" t="s">
        <v>3760</v>
      </c>
      <c r="D1754" s="40" t="s">
        <v>3752</v>
      </c>
      <c r="E1754" s="41">
        <v>2.9000000000000001E-2</v>
      </c>
      <c r="F1754" s="35">
        <v>28.385999999999999</v>
      </c>
      <c r="G1754" s="38">
        <f t="shared" si="28"/>
        <v>0.82319399999999998</v>
      </c>
      <c r="H1754" s="39"/>
      <c r="I1754" s="35"/>
      <c r="J1754" s="34">
        <v>0</v>
      </c>
    </row>
    <row r="1755" spans="1:10" ht="26.25" hidden="1" thickBot="1" x14ac:dyDescent="0.3">
      <c r="A1755" s="249"/>
      <c r="B1755" s="252"/>
      <c r="C1755" s="40" t="s">
        <v>442</v>
      </c>
      <c r="D1755" s="40" t="s">
        <v>121</v>
      </c>
      <c r="E1755" s="41">
        <v>1.2434000000000001</v>
      </c>
      <c r="F1755" s="38" t="s">
        <v>23</v>
      </c>
      <c r="G1755" s="38" t="str">
        <f t="shared" si="28"/>
        <v/>
      </c>
      <c r="H1755" s="39"/>
      <c r="I1755" s="35"/>
      <c r="J1755" s="34">
        <v>0</v>
      </c>
    </row>
    <row r="1756" spans="1:10" ht="26.25" hidden="1" thickBot="1" x14ac:dyDescent="0.3">
      <c r="A1756" s="249"/>
      <c r="B1756" s="252"/>
      <c r="C1756" s="40" t="s">
        <v>3907</v>
      </c>
      <c r="D1756" s="40" t="s">
        <v>291</v>
      </c>
      <c r="E1756" s="41">
        <v>9.4000000000000004E-3</v>
      </c>
      <c r="F1756" s="38">
        <v>3.9139999999999997</v>
      </c>
      <c r="G1756" s="38">
        <f t="shared" si="28"/>
        <v>3.6791600000000001E-2</v>
      </c>
      <c r="H1756" s="39"/>
      <c r="I1756" s="35"/>
      <c r="J1756" s="34">
        <v>0</v>
      </c>
    </row>
    <row r="1757" spans="1:10" ht="15.75" hidden="1" thickBot="1" x14ac:dyDescent="0.3">
      <c r="A1757" s="250"/>
      <c r="B1757" s="253"/>
      <c r="C1757" s="40"/>
      <c r="D1757" s="40"/>
      <c r="E1757" s="41"/>
      <c r="F1757" s="35" t="s">
        <v>23</v>
      </c>
      <c r="G1757" s="35" t="str">
        <f t="shared" si="28"/>
        <v/>
      </c>
      <c r="H1757" s="39"/>
      <c r="I1757" s="35"/>
      <c r="J1757" s="34">
        <v>0</v>
      </c>
    </row>
    <row r="1758" spans="1:10" ht="15.75" hidden="1" thickBot="1" x14ac:dyDescent="0.3">
      <c r="A1758" s="248" t="s">
        <v>443</v>
      </c>
      <c r="B1758" s="251" t="s">
        <v>2314</v>
      </c>
      <c r="C1758" s="28"/>
      <c r="D1758" s="29" t="s">
        <v>121</v>
      </c>
      <c r="E1758" s="30"/>
      <c r="F1758" s="45" t="s">
        <v>23</v>
      </c>
      <c r="G1758" s="31" t="str">
        <f t="shared" si="28"/>
        <v/>
      </c>
      <c r="H1758" s="32"/>
      <c r="I1758" s="33"/>
      <c r="J1758" s="34">
        <v>0</v>
      </c>
    </row>
    <row r="1759" spans="1:10" ht="15.75" hidden="1" thickBot="1" x14ac:dyDescent="0.3">
      <c r="A1759" s="249"/>
      <c r="B1759" s="252"/>
      <c r="C1759" s="36"/>
      <c r="D1759" s="36"/>
      <c r="E1759" s="37"/>
      <c r="F1759" s="46" t="s">
        <v>23</v>
      </c>
      <c r="G1759" s="35" t="str">
        <f t="shared" si="28"/>
        <v/>
      </c>
      <c r="H1759" s="39"/>
      <c r="I1759" s="35"/>
      <c r="J1759" s="34">
        <v>0</v>
      </c>
    </row>
    <row r="1760" spans="1:10" ht="15.75" hidden="1" thickBot="1" x14ac:dyDescent="0.3">
      <c r="A1760" s="249"/>
      <c r="B1760" s="252"/>
      <c r="C1760" s="40" t="s">
        <v>3770</v>
      </c>
      <c r="D1760" s="40" t="s">
        <v>3752</v>
      </c>
      <c r="E1760" s="41">
        <v>5.0999999999999997E-2</v>
      </c>
      <c r="F1760" s="35">
        <v>21.954499999999999</v>
      </c>
      <c r="G1760" s="38">
        <f t="shared" si="28"/>
        <v>1.1196794999999999</v>
      </c>
      <c r="H1760" s="43">
        <f>SUM(G1760:G1763)</f>
        <v>2.6041570999999997</v>
      </c>
      <c r="I1760" s="44"/>
      <c r="J1760" s="34">
        <v>0</v>
      </c>
    </row>
    <row r="1761" spans="1:10" ht="15.75" hidden="1" thickBot="1" x14ac:dyDescent="0.3">
      <c r="A1761" s="249"/>
      <c r="B1761" s="252"/>
      <c r="C1761" s="40" t="s">
        <v>3760</v>
      </c>
      <c r="D1761" s="40" t="s">
        <v>3752</v>
      </c>
      <c r="E1761" s="41">
        <v>5.0999999999999997E-2</v>
      </c>
      <c r="F1761" s="35">
        <v>28.385999999999999</v>
      </c>
      <c r="G1761" s="38">
        <f t="shared" si="28"/>
        <v>1.4476859999999998</v>
      </c>
      <c r="H1761" s="39"/>
      <c r="I1761" s="35"/>
      <c r="J1761" s="34">
        <v>0</v>
      </c>
    </row>
    <row r="1762" spans="1:10" ht="26.25" hidden="1" thickBot="1" x14ac:dyDescent="0.3">
      <c r="A1762" s="249"/>
      <c r="B1762" s="252"/>
      <c r="C1762" s="40" t="s">
        <v>444</v>
      </c>
      <c r="D1762" s="40" t="s">
        <v>121</v>
      </c>
      <c r="E1762" s="41">
        <v>1.2434000000000001</v>
      </c>
      <c r="F1762" s="38" t="s">
        <v>23</v>
      </c>
      <c r="G1762" s="38" t="str">
        <f t="shared" si="28"/>
        <v/>
      </c>
      <c r="H1762" s="39"/>
      <c r="I1762" s="35"/>
      <c r="J1762" s="34">
        <v>0</v>
      </c>
    </row>
    <row r="1763" spans="1:10" ht="26.25" hidden="1" thickBot="1" x14ac:dyDescent="0.3">
      <c r="A1763" s="249"/>
      <c r="B1763" s="252"/>
      <c r="C1763" s="40" t="s">
        <v>3907</v>
      </c>
      <c r="D1763" s="40" t="s">
        <v>291</v>
      </c>
      <c r="E1763" s="41">
        <v>9.4000000000000004E-3</v>
      </c>
      <c r="F1763" s="38">
        <v>3.9139999999999997</v>
      </c>
      <c r="G1763" s="38">
        <f t="shared" si="28"/>
        <v>3.6791600000000001E-2</v>
      </c>
      <c r="H1763" s="39"/>
      <c r="I1763" s="35"/>
      <c r="J1763" s="34">
        <v>0</v>
      </c>
    </row>
    <row r="1764" spans="1:10" ht="15.75" hidden="1" thickBot="1" x14ac:dyDescent="0.3">
      <c r="A1764" s="250"/>
      <c r="B1764" s="253"/>
      <c r="C1764" s="40"/>
      <c r="D1764" s="40"/>
      <c r="E1764" s="41"/>
      <c r="F1764" s="35" t="s">
        <v>23</v>
      </c>
      <c r="G1764" s="35" t="str">
        <f t="shared" si="28"/>
        <v/>
      </c>
      <c r="H1764" s="39"/>
      <c r="I1764" s="35"/>
      <c r="J1764" s="34">
        <v>0</v>
      </c>
    </row>
    <row r="1765" spans="1:10" ht="15.75" hidden="1" thickBot="1" x14ac:dyDescent="0.3">
      <c r="A1765" s="248" t="s">
        <v>445</v>
      </c>
      <c r="B1765" s="251" t="s">
        <v>2315</v>
      </c>
      <c r="C1765" s="28"/>
      <c r="D1765" s="29" t="s">
        <v>121</v>
      </c>
      <c r="E1765" s="30"/>
      <c r="F1765" s="45" t="s">
        <v>23</v>
      </c>
      <c r="G1765" s="31" t="str">
        <f t="shared" si="28"/>
        <v/>
      </c>
      <c r="H1765" s="32"/>
      <c r="I1765" s="33"/>
      <c r="J1765" s="34">
        <v>0</v>
      </c>
    </row>
    <row r="1766" spans="1:10" ht="15.75" hidden="1" thickBot="1" x14ac:dyDescent="0.3">
      <c r="A1766" s="249"/>
      <c r="B1766" s="252"/>
      <c r="C1766" s="36"/>
      <c r="D1766" s="36"/>
      <c r="E1766" s="37"/>
      <c r="F1766" s="46" t="s">
        <v>23</v>
      </c>
      <c r="G1766" s="35" t="str">
        <f t="shared" si="28"/>
        <v/>
      </c>
      <c r="H1766" s="39"/>
      <c r="I1766" s="35"/>
      <c r="J1766" s="34">
        <v>0</v>
      </c>
    </row>
    <row r="1767" spans="1:10" ht="15.75" hidden="1" thickBot="1" x14ac:dyDescent="0.3">
      <c r="A1767" s="249"/>
      <c r="B1767" s="252"/>
      <c r="C1767" s="40" t="s">
        <v>3770</v>
      </c>
      <c r="D1767" s="40" t="s">
        <v>3752</v>
      </c>
      <c r="E1767" s="41">
        <v>3.9E-2</v>
      </c>
      <c r="F1767" s="35">
        <v>21.954499999999999</v>
      </c>
      <c r="G1767" s="38">
        <f t="shared" si="28"/>
        <v>0.85622549999999997</v>
      </c>
      <c r="H1767" s="43">
        <f>SUM(G1767:G1770)</f>
        <v>2.0000711</v>
      </c>
      <c r="I1767" s="44"/>
      <c r="J1767" s="34">
        <v>0</v>
      </c>
    </row>
    <row r="1768" spans="1:10" ht="15.75" hidden="1" thickBot="1" x14ac:dyDescent="0.3">
      <c r="A1768" s="249"/>
      <c r="B1768" s="252"/>
      <c r="C1768" s="40" t="s">
        <v>3760</v>
      </c>
      <c r="D1768" s="40" t="s">
        <v>3752</v>
      </c>
      <c r="E1768" s="41">
        <v>3.9E-2</v>
      </c>
      <c r="F1768" s="35">
        <v>28.385999999999999</v>
      </c>
      <c r="G1768" s="38">
        <f t="shared" si="28"/>
        <v>1.107054</v>
      </c>
      <c r="H1768" s="39"/>
      <c r="I1768" s="35"/>
      <c r="J1768" s="34">
        <v>0</v>
      </c>
    </row>
    <row r="1769" spans="1:10" ht="26.25" hidden="1" thickBot="1" x14ac:dyDescent="0.3">
      <c r="A1769" s="249"/>
      <c r="B1769" s="252"/>
      <c r="C1769" s="40" t="s">
        <v>446</v>
      </c>
      <c r="D1769" s="40" t="s">
        <v>121</v>
      </c>
      <c r="E1769" s="41">
        <v>1.2434000000000001</v>
      </c>
      <c r="F1769" s="38" t="s">
        <v>23</v>
      </c>
      <c r="G1769" s="38" t="str">
        <f t="shared" si="28"/>
        <v/>
      </c>
      <c r="H1769" s="39"/>
      <c r="I1769" s="35"/>
      <c r="J1769" s="34">
        <v>0</v>
      </c>
    </row>
    <row r="1770" spans="1:10" ht="26.25" hidden="1" thickBot="1" x14ac:dyDescent="0.3">
      <c r="A1770" s="249"/>
      <c r="B1770" s="252"/>
      <c r="C1770" s="40" t="s">
        <v>3907</v>
      </c>
      <c r="D1770" s="40" t="s">
        <v>291</v>
      </c>
      <c r="E1770" s="41">
        <v>9.4000000000000004E-3</v>
      </c>
      <c r="F1770" s="38">
        <v>3.9139999999999997</v>
      </c>
      <c r="G1770" s="38">
        <f t="shared" si="28"/>
        <v>3.6791600000000001E-2</v>
      </c>
      <c r="H1770" s="39"/>
      <c r="I1770" s="35"/>
      <c r="J1770" s="34">
        <v>0</v>
      </c>
    </row>
    <row r="1771" spans="1:10" ht="15.75" hidden="1" thickBot="1" x14ac:dyDescent="0.3">
      <c r="A1771" s="250"/>
      <c r="B1771" s="253"/>
      <c r="C1771" s="40"/>
      <c r="D1771" s="40"/>
      <c r="E1771" s="41"/>
      <c r="F1771" s="35" t="s">
        <v>23</v>
      </c>
      <c r="G1771" s="35" t="str">
        <f t="shared" si="28"/>
        <v/>
      </c>
      <c r="H1771" s="39"/>
      <c r="I1771" s="35"/>
      <c r="J1771" s="34">
        <v>0</v>
      </c>
    </row>
    <row r="1772" spans="1:10" ht="15.75" hidden="1" thickBot="1" x14ac:dyDescent="0.3">
      <c r="A1772" s="248" t="s">
        <v>447</v>
      </c>
      <c r="B1772" s="251" t="s">
        <v>2316</v>
      </c>
      <c r="C1772" s="28"/>
      <c r="D1772" s="29" t="s">
        <v>121</v>
      </c>
      <c r="E1772" s="30"/>
      <c r="F1772" s="45" t="s">
        <v>23</v>
      </c>
      <c r="G1772" s="31" t="str">
        <f t="shared" si="28"/>
        <v/>
      </c>
      <c r="H1772" s="32"/>
      <c r="I1772" s="33"/>
      <c r="J1772" s="34">
        <v>0</v>
      </c>
    </row>
    <row r="1773" spans="1:10" ht="15.75" hidden="1" thickBot="1" x14ac:dyDescent="0.3">
      <c r="A1773" s="249"/>
      <c r="B1773" s="252"/>
      <c r="C1773" s="36"/>
      <c r="D1773" s="36"/>
      <c r="E1773" s="37"/>
      <c r="F1773" s="46" t="s">
        <v>23</v>
      </c>
      <c r="G1773" s="35" t="str">
        <f t="shared" si="28"/>
        <v/>
      </c>
      <c r="H1773" s="39"/>
      <c r="I1773" s="35"/>
      <c r="J1773" s="34">
        <v>0</v>
      </c>
    </row>
    <row r="1774" spans="1:10" ht="15.75" hidden="1" thickBot="1" x14ac:dyDescent="0.3">
      <c r="A1774" s="249"/>
      <c r="B1774" s="252"/>
      <c r="C1774" s="40" t="s">
        <v>3770</v>
      </c>
      <c r="D1774" s="40" t="s">
        <v>3752</v>
      </c>
      <c r="E1774" s="41">
        <v>8.9999999999999993E-3</v>
      </c>
      <c r="F1774" s="35">
        <v>21.954499999999999</v>
      </c>
      <c r="G1774" s="38">
        <f t="shared" si="28"/>
        <v>0.19759049999999997</v>
      </c>
      <c r="H1774" s="43">
        <f>SUM(G1774:G1777)</f>
        <v>0.49220449999999999</v>
      </c>
      <c r="I1774" s="44"/>
      <c r="J1774" s="34">
        <v>0</v>
      </c>
    </row>
    <row r="1775" spans="1:10" ht="15.75" hidden="1" thickBot="1" x14ac:dyDescent="0.3">
      <c r="A1775" s="249"/>
      <c r="B1775" s="252"/>
      <c r="C1775" s="40" t="s">
        <v>3760</v>
      </c>
      <c r="D1775" s="40" t="s">
        <v>3752</v>
      </c>
      <c r="E1775" s="41">
        <v>8.9999999999999993E-3</v>
      </c>
      <c r="F1775" s="35">
        <v>28.385999999999999</v>
      </c>
      <c r="G1775" s="38">
        <f t="shared" si="28"/>
        <v>0.25547399999999998</v>
      </c>
      <c r="H1775" s="39"/>
      <c r="I1775" s="35"/>
      <c r="J1775" s="34">
        <v>0</v>
      </c>
    </row>
    <row r="1776" spans="1:10" ht="26.25" hidden="1" thickBot="1" x14ac:dyDescent="0.3">
      <c r="A1776" s="249"/>
      <c r="B1776" s="252"/>
      <c r="C1776" s="40" t="s">
        <v>448</v>
      </c>
      <c r="D1776" s="40" t="s">
        <v>121</v>
      </c>
      <c r="E1776" s="41">
        <v>1.0269999999999999</v>
      </c>
      <c r="F1776" s="38" t="s">
        <v>23</v>
      </c>
      <c r="G1776" s="38" t="str">
        <f t="shared" si="28"/>
        <v/>
      </c>
      <c r="H1776" s="39"/>
      <c r="I1776" s="35"/>
      <c r="J1776" s="34">
        <v>0</v>
      </c>
    </row>
    <row r="1777" spans="1:10" ht="26.25" hidden="1" thickBot="1" x14ac:dyDescent="0.3">
      <c r="A1777" s="249"/>
      <c r="B1777" s="252"/>
      <c r="C1777" s="40" t="s">
        <v>3907</v>
      </c>
      <c r="D1777" s="40" t="s">
        <v>291</v>
      </c>
      <c r="E1777" s="41">
        <v>0.01</v>
      </c>
      <c r="F1777" s="38">
        <v>3.9139999999999997</v>
      </c>
      <c r="G1777" s="38">
        <f t="shared" si="28"/>
        <v>3.9140000000000001E-2</v>
      </c>
      <c r="H1777" s="39"/>
      <c r="I1777" s="35"/>
      <c r="J1777" s="34">
        <v>0</v>
      </c>
    </row>
    <row r="1778" spans="1:10" ht="15.75" hidden="1" thickBot="1" x14ac:dyDescent="0.3">
      <c r="A1778" s="250"/>
      <c r="B1778" s="253"/>
      <c r="C1778" s="40"/>
      <c r="D1778" s="40"/>
      <c r="E1778" s="41"/>
      <c r="F1778" s="35" t="s">
        <v>23</v>
      </c>
      <c r="G1778" s="35" t="str">
        <f t="shared" si="28"/>
        <v/>
      </c>
      <c r="H1778" s="39"/>
      <c r="I1778" s="35"/>
      <c r="J1778" s="34">
        <v>0</v>
      </c>
    </row>
    <row r="1779" spans="1:10" ht="15.75" hidden="1" thickBot="1" x14ac:dyDescent="0.3">
      <c r="A1779" s="248" t="s">
        <v>449</v>
      </c>
      <c r="B1779" s="251" t="s">
        <v>2317</v>
      </c>
      <c r="C1779" s="28"/>
      <c r="D1779" s="29" t="s">
        <v>121</v>
      </c>
      <c r="E1779" s="30"/>
      <c r="F1779" s="45" t="s">
        <v>23</v>
      </c>
      <c r="G1779" s="31" t="str">
        <f t="shared" si="28"/>
        <v/>
      </c>
      <c r="H1779" s="32"/>
      <c r="I1779" s="33"/>
      <c r="J1779" s="34">
        <v>0</v>
      </c>
    </row>
    <row r="1780" spans="1:10" ht="15.75" hidden="1" thickBot="1" x14ac:dyDescent="0.3">
      <c r="A1780" s="249"/>
      <c r="B1780" s="252"/>
      <c r="C1780" s="36"/>
      <c r="D1780" s="36"/>
      <c r="E1780" s="37"/>
      <c r="F1780" s="46" t="s">
        <v>23</v>
      </c>
      <c r="G1780" s="35" t="str">
        <f t="shared" si="28"/>
        <v/>
      </c>
      <c r="H1780" s="39"/>
      <c r="I1780" s="35"/>
      <c r="J1780" s="34">
        <v>0</v>
      </c>
    </row>
    <row r="1781" spans="1:10" ht="15.75" hidden="1" thickBot="1" x14ac:dyDescent="0.3">
      <c r="A1781" s="249"/>
      <c r="B1781" s="252"/>
      <c r="C1781" s="40" t="s">
        <v>3770</v>
      </c>
      <c r="D1781" s="40" t="s">
        <v>3752</v>
      </c>
      <c r="E1781" s="41">
        <v>5.0999999999999997E-2</v>
      </c>
      <c r="F1781" s="35">
        <v>21.954499999999999</v>
      </c>
      <c r="G1781" s="35">
        <f t="shared" si="28"/>
        <v>1.1196794999999999</v>
      </c>
      <c r="H1781" s="43">
        <f>SUM(G1781:G1784)</f>
        <v>2.6041570999999997</v>
      </c>
      <c r="I1781" s="44"/>
      <c r="J1781" s="34">
        <v>0</v>
      </c>
    </row>
    <row r="1782" spans="1:10" ht="15.75" hidden="1" thickBot="1" x14ac:dyDescent="0.3">
      <c r="A1782" s="249"/>
      <c r="B1782" s="252"/>
      <c r="C1782" s="40" t="s">
        <v>3760</v>
      </c>
      <c r="D1782" s="40" t="s">
        <v>3752</v>
      </c>
      <c r="E1782" s="41">
        <v>5.0999999999999997E-2</v>
      </c>
      <c r="F1782" s="35">
        <v>28.385999999999999</v>
      </c>
      <c r="G1782" s="35">
        <f t="shared" si="28"/>
        <v>1.4476859999999998</v>
      </c>
      <c r="H1782" s="39"/>
      <c r="I1782" s="35"/>
      <c r="J1782" s="34">
        <v>0</v>
      </c>
    </row>
    <row r="1783" spans="1:10" ht="26.25" hidden="1" thickBot="1" x14ac:dyDescent="0.3">
      <c r="A1783" s="249"/>
      <c r="B1783" s="252"/>
      <c r="C1783" s="40" t="s">
        <v>450</v>
      </c>
      <c r="D1783" s="40" t="s">
        <v>121</v>
      </c>
      <c r="E1783" s="41">
        <v>1.2434000000000001</v>
      </c>
      <c r="F1783" s="38" t="s">
        <v>23</v>
      </c>
      <c r="G1783" s="35" t="str">
        <f t="shared" si="28"/>
        <v/>
      </c>
      <c r="H1783" s="39"/>
      <c r="I1783" s="35"/>
      <c r="J1783" s="34">
        <v>0</v>
      </c>
    </row>
    <row r="1784" spans="1:10" ht="26.25" hidden="1" thickBot="1" x14ac:dyDescent="0.3">
      <c r="A1784" s="249"/>
      <c r="B1784" s="252"/>
      <c r="C1784" s="40" t="s">
        <v>3907</v>
      </c>
      <c r="D1784" s="40" t="s">
        <v>291</v>
      </c>
      <c r="E1784" s="41">
        <v>9.4000000000000004E-3</v>
      </c>
      <c r="F1784" s="38">
        <v>3.9139999999999997</v>
      </c>
      <c r="G1784" s="35">
        <f t="shared" si="28"/>
        <v>3.6791600000000001E-2</v>
      </c>
      <c r="H1784" s="39"/>
      <c r="I1784" s="35"/>
      <c r="J1784" s="34">
        <v>0</v>
      </c>
    </row>
    <row r="1785" spans="1:10" ht="15.75" hidden="1" thickBot="1" x14ac:dyDescent="0.3">
      <c r="A1785" s="250"/>
      <c r="B1785" s="253"/>
      <c r="C1785" s="40"/>
      <c r="D1785" s="40"/>
      <c r="E1785" s="41"/>
      <c r="F1785" s="35" t="s">
        <v>23</v>
      </c>
      <c r="G1785" s="35" t="str">
        <f t="shared" si="28"/>
        <v/>
      </c>
      <c r="H1785" s="39"/>
      <c r="I1785" s="35"/>
      <c r="J1785" s="34">
        <v>0</v>
      </c>
    </row>
    <row r="1786" spans="1:10" ht="15.75" hidden="1" thickBot="1" x14ac:dyDescent="0.3">
      <c r="A1786" s="248" t="s">
        <v>451</v>
      </c>
      <c r="B1786" s="251" t="s">
        <v>2318</v>
      </c>
      <c r="C1786" s="28"/>
      <c r="D1786" s="29" t="s">
        <v>28</v>
      </c>
      <c r="E1786" s="30"/>
      <c r="F1786" s="45" t="s">
        <v>23</v>
      </c>
      <c r="G1786" s="31" t="str">
        <f t="shared" si="28"/>
        <v/>
      </c>
      <c r="H1786" s="32"/>
      <c r="I1786" s="33"/>
      <c r="J1786" s="34">
        <v>0</v>
      </c>
    </row>
    <row r="1787" spans="1:10" ht="15.75" hidden="1" thickBot="1" x14ac:dyDescent="0.3">
      <c r="A1787" s="249"/>
      <c r="B1787" s="252"/>
      <c r="C1787" s="36"/>
      <c r="D1787" s="36"/>
      <c r="E1787" s="37"/>
      <c r="F1787" s="46" t="s">
        <v>23</v>
      </c>
      <c r="G1787" s="35" t="str">
        <f t="shared" si="28"/>
        <v/>
      </c>
      <c r="H1787" s="39"/>
      <c r="I1787" s="35"/>
      <c r="J1787" s="34">
        <v>0</v>
      </c>
    </row>
    <row r="1788" spans="1:10" ht="26.25" hidden="1" thickBot="1" x14ac:dyDescent="0.3">
      <c r="A1788" s="249"/>
      <c r="B1788" s="252"/>
      <c r="C1788" s="40" t="s">
        <v>452</v>
      </c>
      <c r="D1788" s="53" t="s">
        <v>28</v>
      </c>
      <c r="E1788" s="41">
        <v>1</v>
      </c>
      <c r="F1788" s="38" t="s">
        <v>23</v>
      </c>
      <c r="G1788" s="35" t="str">
        <f t="shared" si="28"/>
        <v/>
      </c>
      <c r="H1788" s="43">
        <f>SUM(G1788:G1791)</f>
        <v>48.285358182799996</v>
      </c>
      <c r="I1788" s="44"/>
      <c r="J1788" s="34">
        <v>0</v>
      </c>
    </row>
    <row r="1789" spans="1:10" ht="39" hidden="1" thickBot="1" x14ac:dyDescent="0.3">
      <c r="A1789" s="249"/>
      <c r="B1789" s="252"/>
      <c r="C1789" s="40" t="s">
        <v>4733</v>
      </c>
      <c r="D1789" s="40" t="s">
        <v>3764</v>
      </c>
      <c r="E1789" s="41">
        <v>1.9199999999999998E-2</v>
      </c>
      <c r="F1789" s="35">
        <v>853.36371524999993</v>
      </c>
      <c r="G1789" s="35">
        <f t="shared" si="28"/>
        <v>16.384583332799998</v>
      </c>
      <c r="H1789" s="39"/>
      <c r="I1789" s="35"/>
      <c r="J1789" s="34">
        <v>0</v>
      </c>
    </row>
    <row r="1790" spans="1:10" ht="15.75" hidden="1" thickBot="1" x14ac:dyDescent="0.3">
      <c r="A1790" s="249"/>
      <c r="B1790" s="252"/>
      <c r="C1790" s="40" t="s">
        <v>3770</v>
      </c>
      <c r="D1790" s="40" t="s">
        <v>3752</v>
      </c>
      <c r="E1790" s="41">
        <v>0.63370000000000004</v>
      </c>
      <c r="F1790" s="35">
        <v>21.954499999999999</v>
      </c>
      <c r="G1790" s="35">
        <f t="shared" si="28"/>
        <v>13.91256665</v>
      </c>
      <c r="H1790" s="39"/>
      <c r="I1790" s="35"/>
      <c r="J1790" s="34">
        <v>0</v>
      </c>
    </row>
    <row r="1791" spans="1:10" ht="15.75" hidden="1" thickBot="1" x14ac:dyDescent="0.3">
      <c r="A1791" s="249"/>
      <c r="B1791" s="252"/>
      <c r="C1791" s="40" t="s">
        <v>3760</v>
      </c>
      <c r="D1791" s="40" t="s">
        <v>3752</v>
      </c>
      <c r="E1791" s="41">
        <v>0.63370000000000004</v>
      </c>
      <c r="F1791" s="35">
        <v>28.385999999999999</v>
      </c>
      <c r="G1791" s="38">
        <f t="shared" si="28"/>
        <v>17.988208199999999</v>
      </c>
      <c r="H1791" s="39"/>
      <c r="I1791" s="35"/>
      <c r="J1791" s="34">
        <v>0</v>
      </c>
    </row>
    <row r="1792" spans="1:10" ht="15.75" hidden="1" thickBot="1" x14ac:dyDescent="0.3">
      <c r="A1792" s="249"/>
      <c r="B1792" s="253"/>
      <c r="C1792" s="40"/>
      <c r="D1792" s="40"/>
      <c r="E1792" s="41"/>
      <c r="F1792" s="35" t="s">
        <v>23</v>
      </c>
      <c r="G1792" s="35" t="str">
        <f t="shared" si="28"/>
        <v/>
      </c>
      <c r="H1792" s="39"/>
      <c r="I1792" s="35"/>
      <c r="J1792" s="34">
        <v>0</v>
      </c>
    </row>
    <row r="1793" spans="1:10" ht="15.75" hidden="1" thickBot="1" x14ac:dyDescent="0.3">
      <c r="A1793" s="248" t="s">
        <v>453</v>
      </c>
      <c r="B1793" s="251" t="s">
        <v>2319</v>
      </c>
      <c r="C1793" s="28"/>
      <c r="D1793" s="29" t="s">
        <v>28</v>
      </c>
      <c r="E1793" s="30"/>
      <c r="F1793" s="45" t="s">
        <v>23</v>
      </c>
      <c r="G1793" s="31" t="str">
        <f t="shared" si="28"/>
        <v/>
      </c>
      <c r="H1793" s="32"/>
      <c r="I1793" s="33"/>
      <c r="J1793" s="34">
        <v>0</v>
      </c>
    </row>
    <row r="1794" spans="1:10" ht="15.75" hidden="1" thickBot="1" x14ac:dyDescent="0.3">
      <c r="A1794" s="249"/>
      <c r="B1794" s="252"/>
      <c r="C1794" s="36"/>
      <c r="D1794" s="36"/>
      <c r="E1794" s="37"/>
      <c r="F1794" s="46" t="s">
        <v>23</v>
      </c>
      <c r="G1794" s="35" t="str">
        <f t="shared" si="28"/>
        <v/>
      </c>
      <c r="H1794" s="39"/>
      <c r="I1794" s="35"/>
      <c r="J1794" s="34">
        <v>0</v>
      </c>
    </row>
    <row r="1795" spans="1:10" ht="26.25" hidden="1" thickBot="1" x14ac:dyDescent="0.3">
      <c r="A1795" s="249"/>
      <c r="B1795" s="252"/>
      <c r="C1795" s="40" t="s">
        <v>3827</v>
      </c>
      <c r="D1795" s="40" t="s">
        <v>3752</v>
      </c>
      <c r="E1795" s="41">
        <v>2</v>
      </c>
      <c r="F1795" s="35">
        <v>23.882999999999999</v>
      </c>
      <c r="G1795" s="38">
        <f t="shared" si="28"/>
        <v>47.765999999999998</v>
      </c>
      <c r="H1795" s="43">
        <f>SUM(G1795:G1796)</f>
        <v>107.369</v>
      </c>
      <c r="I1795" s="44"/>
      <c r="J1795" s="34">
        <v>0</v>
      </c>
    </row>
    <row r="1796" spans="1:10" ht="26.25" hidden="1" thickBot="1" x14ac:dyDescent="0.3">
      <c r="A1796" s="249"/>
      <c r="B1796" s="252"/>
      <c r="C1796" s="40" t="s">
        <v>3772</v>
      </c>
      <c r="D1796" s="40" t="s">
        <v>3752</v>
      </c>
      <c r="E1796" s="41">
        <v>2</v>
      </c>
      <c r="F1796" s="35">
        <v>29.801500000000001</v>
      </c>
      <c r="G1796" s="35">
        <f t="shared" si="28"/>
        <v>59.603000000000002</v>
      </c>
      <c r="H1796" s="39"/>
      <c r="I1796" s="35"/>
      <c r="J1796" s="34">
        <v>0</v>
      </c>
    </row>
    <row r="1797" spans="1:10" ht="15.75" hidden="1" thickBot="1" x14ac:dyDescent="0.3">
      <c r="A1797" s="250"/>
      <c r="B1797" s="253"/>
      <c r="C1797" s="40"/>
      <c r="D1797" s="40"/>
      <c r="E1797" s="41"/>
      <c r="F1797" s="35" t="s">
        <v>23</v>
      </c>
      <c r="G1797" s="35" t="str">
        <f t="shared" si="28"/>
        <v/>
      </c>
      <c r="H1797" s="39"/>
      <c r="I1797" s="35"/>
      <c r="J1797" s="34">
        <v>0</v>
      </c>
    </row>
    <row r="1798" spans="1:10" ht="15.75" hidden="1" thickBot="1" x14ac:dyDescent="0.3">
      <c r="A1798" s="248" t="s">
        <v>454</v>
      </c>
      <c r="B1798" s="251" t="s">
        <v>2320</v>
      </c>
      <c r="C1798" s="28"/>
      <c r="D1798" s="29" t="s">
        <v>28</v>
      </c>
      <c r="E1798" s="30"/>
      <c r="F1798" s="45" t="s">
        <v>23</v>
      </c>
      <c r="G1798" s="31" t="str">
        <f t="shared" si="28"/>
        <v/>
      </c>
      <c r="H1798" s="32"/>
      <c r="I1798" s="33"/>
      <c r="J1798" s="34">
        <v>0</v>
      </c>
    </row>
    <row r="1799" spans="1:10" ht="15.75" hidden="1" thickBot="1" x14ac:dyDescent="0.3">
      <c r="A1799" s="249"/>
      <c r="B1799" s="252"/>
      <c r="C1799" s="36"/>
      <c r="D1799" s="36"/>
      <c r="E1799" s="37"/>
      <c r="F1799" s="46" t="s">
        <v>23</v>
      </c>
      <c r="G1799" s="35" t="str">
        <f t="shared" si="28"/>
        <v/>
      </c>
      <c r="H1799" s="39"/>
      <c r="I1799" s="35"/>
      <c r="J1799" s="34">
        <v>0</v>
      </c>
    </row>
    <row r="1800" spans="1:10" ht="26.25" hidden="1" thickBot="1" x14ac:dyDescent="0.3">
      <c r="A1800" s="249"/>
      <c r="B1800" s="252"/>
      <c r="C1800" s="40" t="s">
        <v>3827</v>
      </c>
      <c r="D1800" s="40" t="s">
        <v>3752</v>
      </c>
      <c r="E1800" s="41">
        <v>3</v>
      </c>
      <c r="F1800" s="35">
        <v>23.882999999999999</v>
      </c>
      <c r="G1800" s="38">
        <f t="shared" si="28"/>
        <v>71.649000000000001</v>
      </c>
      <c r="H1800" s="43">
        <f>SUM(G1800:G1801)</f>
        <v>161.05349999999999</v>
      </c>
      <c r="I1800" s="44"/>
      <c r="J1800" s="34">
        <v>0</v>
      </c>
    </row>
    <row r="1801" spans="1:10" ht="26.25" hidden="1" thickBot="1" x14ac:dyDescent="0.3">
      <c r="A1801" s="249"/>
      <c r="B1801" s="252"/>
      <c r="C1801" s="40" t="s">
        <v>3772</v>
      </c>
      <c r="D1801" s="40" t="s">
        <v>3752</v>
      </c>
      <c r="E1801" s="41">
        <v>3</v>
      </c>
      <c r="F1801" s="35">
        <v>29.801500000000001</v>
      </c>
      <c r="G1801" s="35">
        <f t="shared" si="28"/>
        <v>89.404499999999999</v>
      </c>
      <c r="H1801" s="39"/>
      <c r="I1801" s="35"/>
      <c r="J1801" s="34">
        <v>0</v>
      </c>
    </row>
    <row r="1802" spans="1:10" ht="15.75" hidden="1" thickBot="1" x14ac:dyDescent="0.3">
      <c r="A1802" s="250"/>
      <c r="B1802" s="253"/>
      <c r="C1802" s="40"/>
      <c r="D1802" s="40"/>
      <c r="E1802" s="41"/>
      <c r="F1802" s="35" t="s">
        <v>23</v>
      </c>
      <c r="G1802" s="35" t="str">
        <f t="shared" si="28"/>
        <v/>
      </c>
      <c r="H1802" s="39"/>
      <c r="I1802" s="35"/>
      <c r="J1802" s="34">
        <v>0</v>
      </c>
    </row>
    <row r="1803" spans="1:10" ht="15.75" hidden="1" thickBot="1" x14ac:dyDescent="0.3">
      <c r="A1803" s="248" t="s">
        <v>455</v>
      </c>
      <c r="B1803" s="251" t="s">
        <v>2321</v>
      </c>
      <c r="C1803" s="28"/>
      <c r="D1803" s="29" t="s">
        <v>28</v>
      </c>
      <c r="E1803" s="30"/>
      <c r="F1803" s="45" t="s">
        <v>23</v>
      </c>
      <c r="G1803" s="31" t="str">
        <f t="shared" si="28"/>
        <v/>
      </c>
      <c r="H1803" s="32"/>
      <c r="I1803" s="33"/>
      <c r="J1803" s="34">
        <v>0</v>
      </c>
    </row>
    <row r="1804" spans="1:10" ht="15.75" hidden="1" thickBot="1" x14ac:dyDescent="0.3">
      <c r="A1804" s="249"/>
      <c r="B1804" s="252"/>
      <c r="C1804" s="36"/>
      <c r="D1804" s="36"/>
      <c r="E1804" s="37"/>
      <c r="F1804" s="46" t="s">
        <v>23</v>
      </c>
      <c r="G1804" s="35" t="str">
        <f t="shared" si="28"/>
        <v/>
      </c>
      <c r="H1804" s="39"/>
      <c r="I1804" s="35"/>
      <c r="J1804" s="34">
        <v>0</v>
      </c>
    </row>
    <row r="1805" spans="1:10" ht="15.75" hidden="1" thickBot="1" x14ac:dyDescent="0.3">
      <c r="A1805" s="249"/>
      <c r="B1805" s="252"/>
      <c r="C1805" s="40" t="s">
        <v>3760</v>
      </c>
      <c r="D1805" s="40" t="s">
        <v>3752</v>
      </c>
      <c r="E1805" s="41">
        <v>1</v>
      </c>
      <c r="F1805" s="35">
        <v>28.385999999999999</v>
      </c>
      <c r="G1805" s="38">
        <f t="shared" si="28"/>
        <v>28.385999999999999</v>
      </c>
      <c r="H1805" s="43">
        <f>SUM(G1805:G1807)</f>
        <v>50.340499999999999</v>
      </c>
      <c r="I1805" s="44"/>
      <c r="J1805" s="34">
        <v>0</v>
      </c>
    </row>
    <row r="1806" spans="1:10" ht="15.75" hidden="1" thickBot="1" x14ac:dyDescent="0.3">
      <c r="A1806" s="249"/>
      <c r="B1806" s="252"/>
      <c r="C1806" s="40" t="s">
        <v>3770</v>
      </c>
      <c r="D1806" s="40" t="s">
        <v>3752</v>
      </c>
      <c r="E1806" s="41">
        <v>1</v>
      </c>
      <c r="F1806" s="35">
        <v>21.954499999999999</v>
      </c>
      <c r="G1806" s="38">
        <f t="shared" si="28"/>
        <v>21.954499999999999</v>
      </c>
      <c r="H1806" s="39"/>
      <c r="I1806" s="35"/>
      <c r="J1806" s="34">
        <v>0</v>
      </c>
    </row>
    <row r="1807" spans="1:10" ht="26.25" hidden="1" thickBot="1" x14ac:dyDescent="0.3">
      <c r="A1807" s="249"/>
      <c r="B1807" s="252"/>
      <c r="C1807" s="40" t="s">
        <v>456</v>
      </c>
      <c r="D1807" s="40" t="s">
        <v>102</v>
      </c>
      <c r="E1807" s="41">
        <v>1</v>
      </c>
      <c r="F1807" s="38" t="s">
        <v>23</v>
      </c>
      <c r="G1807" s="38" t="str">
        <f t="shared" si="28"/>
        <v/>
      </c>
      <c r="H1807" s="39"/>
      <c r="I1807" s="35"/>
      <c r="J1807" s="34">
        <v>0</v>
      </c>
    </row>
    <row r="1808" spans="1:10" ht="15.75" hidden="1" thickBot="1" x14ac:dyDescent="0.3">
      <c r="A1808" s="250"/>
      <c r="B1808" s="253"/>
      <c r="C1808" s="40"/>
      <c r="D1808" s="40"/>
      <c r="E1808" s="41"/>
      <c r="F1808" s="35" t="s">
        <v>23</v>
      </c>
      <c r="G1808" s="35" t="str">
        <f t="shared" si="28"/>
        <v/>
      </c>
      <c r="H1808" s="39"/>
      <c r="I1808" s="35"/>
      <c r="J1808" s="34">
        <v>0</v>
      </c>
    </row>
    <row r="1809" spans="1:10" ht="15.75" hidden="1" thickBot="1" x14ac:dyDescent="0.3">
      <c r="A1809" s="248" t="s">
        <v>457</v>
      </c>
      <c r="B1809" s="251" t="s">
        <v>2322</v>
      </c>
      <c r="C1809" s="28"/>
      <c r="D1809" s="29" t="s">
        <v>28</v>
      </c>
      <c r="E1809" s="30"/>
      <c r="F1809" s="45" t="s">
        <v>23</v>
      </c>
      <c r="G1809" s="31" t="str">
        <f t="shared" si="28"/>
        <v/>
      </c>
      <c r="H1809" s="32"/>
      <c r="I1809" s="33"/>
      <c r="J1809" s="34">
        <v>0</v>
      </c>
    </row>
    <row r="1810" spans="1:10" ht="15.75" hidden="1" thickBot="1" x14ac:dyDescent="0.3">
      <c r="A1810" s="249"/>
      <c r="B1810" s="252"/>
      <c r="C1810" s="36"/>
      <c r="D1810" s="36"/>
      <c r="E1810" s="37"/>
      <c r="F1810" s="46" t="s">
        <v>23</v>
      </c>
      <c r="G1810" s="35" t="str">
        <f t="shared" ref="G1810:G1873" si="29">IF(ISNUMBER(F1810),E1810*F1810,"")</f>
        <v/>
      </c>
      <c r="H1810" s="39"/>
      <c r="I1810" s="35"/>
      <c r="J1810" s="34">
        <v>0</v>
      </c>
    </row>
    <row r="1811" spans="1:10" ht="15.75" hidden="1" thickBot="1" x14ac:dyDescent="0.3">
      <c r="A1811" s="249"/>
      <c r="B1811" s="252"/>
      <c r="C1811" s="40" t="s">
        <v>3760</v>
      </c>
      <c r="D1811" s="40" t="s">
        <v>3752</v>
      </c>
      <c r="E1811" s="41">
        <v>1</v>
      </c>
      <c r="F1811" s="35">
        <v>28.385999999999999</v>
      </c>
      <c r="G1811" s="38">
        <f t="shared" si="29"/>
        <v>28.385999999999999</v>
      </c>
      <c r="H1811" s="43">
        <f>SUM(G1811:G1813)</f>
        <v>50.340499999999999</v>
      </c>
      <c r="I1811" s="44"/>
      <c r="J1811" s="34">
        <v>0</v>
      </c>
    </row>
    <row r="1812" spans="1:10" ht="15.75" hidden="1" thickBot="1" x14ac:dyDescent="0.3">
      <c r="A1812" s="249"/>
      <c r="B1812" s="252"/>
      <c r="C1812" s="40" t="s">
        <v>3770</v>
      </c>
      <c r="D1812" s="40" t="s">
        <v>3752</v>
      </c>
      <c r="E1812" s="41">
        <v>1</v>
      </c>
      <c r="F1812" s="35">
        <v>21.954499999999999</v>
      </c>
      <c r="G1812" s="38">
        <f t="shared" si="29"/>
        <v>21.954499999999999</v>
      </c>
      <c r="H1812" s="39"/>
      <c r="I1812" s="35"/>
      <c r="J1812" s="34">
        <v>0</v>
      </c>
    </row>
    <row r="1813" spans="1:10" ht="26.25" hidden="1" thickBot="1" x14ac:dyDescent="0.3">
      <c r="A1813" s="249"/>
      <c r="B1813" s="252"/>
      <c r="C1813" s="40" t="s">
        <v>458</v>
      </c>
      <c r="D1813" s="40" t="s">
        <v>102</v>
      </c>
      <c r="E1813" s="41">
        <v>1</v>
      </c>
      <c r="F1813" s="38" t="s">
        <v>23</v>
      </c>
      <c r="G1813" s="38" t="str">
        <f t="shared" si="29"/>
        <v/>
      </c>
      <c r="H1813" s="39"/>
      <c r="I1813" s="35"/>
      <c r="J1813" s="34">
        <v>0</v>
      </c>
    </row>
    <row r="1814" spans="1:10" ht="15.75" hidden="1" thickBot="1" x14ac:dyDescent="0.3">
      <c r="A1814" s="250"/>
      <c r="B1814" s="253"/>
      <c r="C1814" s="40"/>
      <c r="D1814" s="40"/>
      <c r="E1814" s="41"/>
      <c r="F1814" s="35" t="s">
        <v>23</v>
      </c>
      <c r="G1814" s="35" t="str">
        <f t="shared" si="29"/>
        <v/>
      </c>
      <c r="H1814" s="39"/>
      <c r="I1814" s="35"/>
      <c r="J1814" s="34">
        <v>0</v>
      </c>
    </row>
    <row r="1815" spans="1:10" ht="15.75" hidden="1" thickBot="1" x14ac:dyDescent="0.3">
      <c r="A1815" s="248" t="s">
        <v>459</v>
      </c>
      <c r="B1815" s="251" t="s">
        <v>2323</v>
      </c>
      <c r="C1815" s="28"/>
      <c r="D1815" s="29" t="s">
        <v>78</v>
      </c>
      <c r="E1815" s="30"/>
      <c r="F1815" s="45" t="s">
        <v>23</v>
      </c>
      <c r="G1815" s="31" t="str">
        <f t="shared" si="29"/>
        <v/>
      </c>
      <c r="H1815" s="32"/>
      <c r="I1815" s="33"/>
      <c r="J1815" s="34">
        <v>0</v>
      </c>
    </row>
    <row r="1816" spans="1:10" ht="15.75" hidden="1" thickBot="1" x14ac:dyDescent="0.3">
      <c r="A1816" s="249"/>
      <c r="B1816" s="252"/>
      <c r="C1816" s="36"/>
      <c r="D1816" s="36"/>
      <c r="E1816" s="37"/>
      <c r="F1816" s="46" t="s">
        <v>23</v>
      </c>
      <c r="G1816" s="35" t="str">
        <f t="shared" si="29"/>
        <v/>
      </c>
      <c r="H1816" s="39"/>
      <c r="I1816" s="35"/>
      <c r="J1816" s="34">
        <v>0</v>
      </c>
    </row>
    <row r="1817" spans="1:10" ht="26.25" hidden="1" thickBot="1" x14ac:dyDescent="0.3">
      <c r="A1817" s="249"/>
      <c r="B1817" s="252"/>
      <c r="C1817" s="40" t="s">
        <v>3908</v>
      </c>
      <c r="D1817" s="40" t="s">
        <v>1035</v>
      </c>
      <c r="E1817" s="41">
        <v>6.6559999999999997</v>
      </c>
      <c r="F1817" s="38">
        <v>13.299999999999999</v>
      </c>
      <c r="G1817" s="38">
        <f t="shared" si="29"/>
        <v>88.524799999999985</v>
      </c>
      <c r="H1817" s="43">
        <f>SUM(G1817:G1820)</f>
        <v>282.89023999999995</v>
      </c>
      <c r="I1817" s="44"/>
      <c r="J1817" s="34">
        <v>0</v>
      </c>
    </row>
    <row r="1818" spans="1:10" ht="15.75" hidden="1" thickBot="1" x14ac:dyDescent="0.3">
      <c r="A1818" s="249"/>
      <c r="B1818" s="252"/>
      <c r="C1818" s="40" t="s">
        <v>460</v>
      </c>
      <c r="D1818" s="53" t="s">
        <v>461</v>
      </c>
      <c r="E1818" s="41">
        <v>1</v>
      </c>
      <c r="F1818" s="35">
        <v>0</v>
      </c>
      <c r="G1818" s="38">
        <f t="shared" si="29"/>
        <v>0</v>
      </c>
      <c r="H1818" s="48"/>
      <c r="I1818" s="49"/>
      <c r="J1818" s="34">
        <v>0</v>
      </c>
    </row>
    <row r="1819" spans="1:10" ht="15.75" hidden="1" thickBot="1" x14ac:dyDescent="0.3">
      <c r="A1819" s="249"/>
      <c r="B1819" s="252"/>
      <c r="C1819" s="40" t="s">
        <v>3754</v>
      </c>
      <c r="D1819" s="40" t="s">
        <v>3752</v>
      </c>
      <c r="E1819" s="41">
        <v>3.84</v>
      </c>
      <c r="F1819" s="35">
        <v>20.814499999999999</v>
      </c>
      <c r="G1819" s="38">
        <f t="shared" si="29"/>
        <v>79.927679999999995</v>
      </c>
      <c r="H1819" s="39"/>
      <c r="I1819" s="35"/>
      <c r="J1819" s="34">
        <v>0</v>
      </c>
    </row>
    <row r="1820" spans="1:10" ht="26.25" hidden="1" thickBot="1" x14ac:dyDescent="0.3">
      <c r="A1820" s="249"/>
      <c r="B1820" s="252"/>
      <c r="C1820" s="40" t="s">
        <v>3772</v>
      </c>
      <c r="D1820" s="40" t="s">
        <v>3752</v>
      </c>
      <c r="E1820" s="41">
        <v>3.84</v>
      </c>
      <c r="F1820" s="35">
        <v>29.801500000000001</v>
      </c>
      <c r="G1820" s="38">
        <f t="shared" si="29"/>
        <v>114.43776</v>
      </c>
      <c r="H1820" s="39"/>
      <c r="I1820" s="35"/>
      <c r="J1820" s="34">
        <v>0</v>
      </c>
    </row>
    <row r="1821" spans="1:10" ht="15.75" hidden="1" thickBot="1" x14ac:dyDescent="0.3">
      <c r="A1821" s="250"/>
      <c r="B1821" s="253"/>
      <c r="C1821" s="40"/>
      <c r="D1821" s="40"/>
      <c r="E1821" s="41"/>
      <c r="F1821" s="35" t="s">
        <v>23</v>
      </c>
      <c r="G1821" s="35" t="str">
        <f t="shared" si="29"/>
        <v/>
      </c>
      <c r="H1821" s="39"/>
      <c r="I1821" s="35"/>
      <c r="J1821" s="34">
        <v>0</v>
      </c>
    </row>
    <row r="1822" spans="1:10" ht="15.75" hidden="1" thickBot="1" x14ac:dyDescent="0.3">
      <c r="A1822" s="248" t="s">
        <v>462</v>
      </c>
      <c r="B1822" s="251" t="s">
        <v>2324</v>
      </c>
      <c r="C1822" s="28"/>
      <c r="D1822" s="29" t="s">
        <v>121</v>
      </c>
      <c r="E1822" s="30"/>
      <c r="F1822" s="45" t="s">
        <v>23</v>
      </c>
      <c r="G1822" s="31" t="str">
        <f t="shared" si="29"/>
        <v/>
      </c>
      <c r="H1822" s="32"/>
      <c r="I1822" s="33"/>
      <c r="J1822" s="34">
        <v>0</v>
      </c>
    </row>
    <row r="1823" spans="1:10" ht="15.75" hidden="1" thickBot="1" x14ac:dyDescent="0.3">
      <c r="A1823" s="249"/>
      <c r="B1823" s="252"/>
      <c r="C1823" s="36"/>
      <c r="D1823" s="36"/>
      <c r="E1823" s="37"/>
      <c r="F1823" s="46" t="s">
        <v>23</v>
      </c>
      <c r="G1823" s="35" t="str">
        <f t="shared" si="29"/>
        <v/>
      </c>
      <c r="H1823" s="39"/>
      <c r="I1823" s="35"/>
      <c r="J1823" s="34">
        <v>0</v>
      </c>
    </row>
    <row r="1824" spans="1:10" ht="15.75" hidden="1" thickBot="1" x14ac:dyDescent="0.3">
      <c r="A1824" s="249"/>
      <c r="B1824" s="252"/>
      <c r="C1824" s="40" t="s">
        <v>3754</v>
      </c>
      <c r="D1824" s="40" t="s">
        <v>3752</v>
      </c>
      <c r="E1824" s="41">
        <v>0.4</v>
      </c>
      <c r="F1824" s="35">
        <v>20.814499999999999</v>
      </c>
      <c r="G1824" s="35">
        <f t="shared" si="29"/>
        <v>8.3257999999999992</v>
      </c>
      <c r="H1824" s="43">
        <f>SUM(G1824:G1826)</f>
        <v>20.246400000000001</v>
      </c>
      <c r="I1824" s="44"/>
      <c r="J1824" s="34">
        <v>0</v>
      </c>
    </row>
    <row r="1825" spans="1:10" ht="26.25" hidden="1" thickBot="1" x14ac:dyDescent="0.3">
      <c r="A1825" s="249"/>
      <c r="B1825" s="252"/>
      <c r="C1825" s="40" t="s">
        <v>3772</v>
      </c>
      <c r="D1825" s="40" t="s">
        <v>3752</v>
      </c>
      <c r="E1825" s="41">
        <v>0.4</v>
      </c>
      <c r="F1825" s="35">
        <v>29.801500000000001</v>
      </c>
      <c r="G1825" s="35">
        <f t="shared" si="29"/>
        <v>11.9206</v>
      </c>
      <c r="H1825" s="39"/>
      <c r="I1825" s="35"/>
      <c r="J1825" s="34">
        <v>0</v>
      </c>
    </row>
    <row r="1826" spans="1:10" ht="26.25" hidden="1" thickBot="1" x14ac:dyDescent="0.3">
      <c r="A1826" s="249"/>
      <c r="B1826" s="252"/>
      <c r="C1826" s="40" t="s">
        <v>463</v>
      </c>
      <c r="D1826" s="40" t="s">
        <v>121</v>
      </c>
      <c r="E1826" s="41">
        <v>1.05</v>
      </c>
      <c r="F1826" s="38" t="s">
        <v>23</v>
      </c>
      <c r="G1826" s="35" t="str">
        <f t="shared" si="29"/>
        <v/>
      </c>
      <c r="H1826" s="39"/>
      <c r="I1826" s="35"/>
      <c r="J1826" s="34">
        <v>0</v>
      </c>
    </row>
    <row r="1827" spans="1:10" ht="15.75" hidden="1" thickBot="1" x14ac:dyDescent="0.3">
      <c r="A1827" s="250"/>
      <c r="B1827" s="253"/>
      <c r="C1827" s="40"/>
      <c r="D1827" s="40"/>
      <c r="E1827" s="41"/>
      <c r="F1827" s="35" t="s">
        <v>23</v>
      </c>
      <c r="G1827" s="35" t="str">
        <f t="shared" si="29"/>
        <v/>
      </c>
      <c r="H1827" s="39"/>
      <c r="I1827" s="35"/>
      <c r="J1827" s="34">
        <v>0</v>
      </c>
    </row>
    <row r="1828" spans="1:10" ht="15.75" hidden="1" thickBot="1" x14ac:dyDescent="0.3">
      <c r="A1828" s="248" t="s">
        <v>464</v>
      </c>
      <c r="B1828" s="251" t="s">
        <v>2325</v>
      </c>
      <c r="C1828" s="28"/>
      <c r="D1828" s="29" t="s">
        <v>121</v>
      </c>
      <c r="E1828" s="30"/>
      <c r="F1828" s="45" t="s">
        <v>23</v>
      </c>
      <c r="G1828" s="31" t="str">
        <f t="shared" si="29"/>
        <v/>
      </c>
      <c r="H1828" s="32"/>
      <c r="I1828" s="33"/>
      <c r="J1828" s="34">
        <v>0</v>
      </c>
    </row>
    <row r="1829" spans="1:10" ht="15.75" hidden="1" thickBot="1" x14ac:dyDescent="0.3">
      <c r="A1829" s="249"/>
      <c r="B1829" s="252"/>
      <c r="C1829" s="36"/>
      <c r="D1829" s="36"/>
      <c r="E1829" s="37"/>
      <c r="F1829" s="46" t="s">
        <v>23</v>
      </c>
      <c r="G1829" s="35" t="str">
        <f t="shared" si="29"/>
        <v/>
      </c>
      <c r="H1829" s="39"/>
      <c r="I1829" s="35"/>
      <c r="J1829" s="34">
        <v>0</v>
      </c>
    </row>
    <row r="1830" spans="1:10" ht="15.75" hidden="1" thickBot="1" x14ac:dyDescent="0.3">
      <c r="A1830" s="249"/>
      <c r="B1830" s="252"/>
      <c r="C1830" s="40" t="s">
        <v>3754</v>
      </c>
      <c r="D1830" s="40" t="s">
        <v>3752</v>
      </c>
      <c r="E1830" s="41">
        <v>0.4</v>
      </c>
      <c r="F1830" s="35">
        <v>20.814499999999999</v>
      </c>
      <c r="G1830" s="35">
        <f t="shared" si="29"/>
        <v>8.3257999999999992</v>
      </c>
      <c r="H1830" s="43">
        <f>SUM(G1830:G1832)</f>
        <v>20.246400000000001</v>
      </c>
      <c r="I1830" s="44"/>
      <c r="J1830" s="34">
        <v>0</v>
      </c>
    </row>
    <row r="1831" spans="1:10" ht="26.25" hidden="1" thickBot="1" x14ac:dyDescent="0.3">
      <c r="A1831" s="249"/>
      <c r="B1831" s="252"/>
      <c r="C1831" s="40" t="s">
        <v>3772</v>
      </c>
      <c r="D1831" s="40" t="s">
        <v>3752</v>
      </c>
      <c r="E1831" s="41">
        <v>0.4</v>
      </c>
      <c r="F1831" s="35">
        <v>29.801500000000001</v>
      </c>
      <c r="G1831" s="35">
        <f t="shared" si="29"/>
        <v>11.9206</v>
      </c>
      <c r="H1831" s="39"/>
      <c r="I1831" s="35"/>
      <c r="J1831" s="34">
        <v>0</v>
      </c>
    </row>
    <row r="1832" spans="1:10" ht="26.25" hidden="1" thickBot="1" x14ac:dyDescent="0.3">
      <c r="A1832" s="249"/>
      <c r="B1832" s="252"/>
      <c r="C1832" s="40" t="s">
        <v>465</v>
      </c>
      <c r="D1832" s="40" t="s">
        <v>121</v>
      </c>
      <c r="E1832" s="41">
        <v>1.05</v>
      </c>
      <c r="F1832" s="38" t="s">
        <v>23</v>
      </c>
      <c r="G1832" s="35" t="str">
        <f t="shared" si="29"/>
        <v/>
      </c>
      <c r="H1832" s="39"/>
      <c r="I1832" s="35"/>
      <c r="J1832" s="34">
        <v>0</v>
      </c>
    </row>
    <row r="1833" spans="1:10" ht="15.75" hidden="1" thickBot="1" x14ac:dyDescent="0.3">
      <c r="A1833" s="250"/>
      <c r="B1833" s="253"/>
      <c r="C1833" s="40"/>
      <c r="D1833" s="40"/>
      <c r="E1833" s="41"/>
      <c r="F1833" s="35" t="s">
        <v>23</v>
      </c>
      <c r="G1833" s="35" t="str">
        <f t="shared" si="29"/>
        <v/>
      </c>
      <c r="H1833" s="39"/>
      <c r="I1833" s="35"/>
      <c r="J1833" s="34">
        <v>0</v>
      </c>
    </row>
    <row r="1834" spans="1:10" ht="15.75" hidden="1" thickBot="1" x14ac:dyDescent="0.3">
      <c r="A1834" s="248" t="s">
        <v>466</v>
      </c>
      <c r="B1834" s="251" t="s">
        <v>2326</v>
      </c>
      <c r="C1834" s="28"/>
      <c r="D1834" s="29" t="s">
        <v>28</v>
      </c>
      <c r="E1834" s="30"/>
      <c r="F1834" s="45" t="s">
        <v>23</v>
      </c>
      <c r="G1834" s="31" t="str">
        <f t="shared" si="29"/>
        <v/>
      </c>
      <c r="H1834" s="32"/>
      <c r="I1834" s="33"/>
      <c r="J1834" s="34">
        <v>0</v>
      </c>
    </row>
    <row r="1835" spans="1:10" ht="15.75" hidden="1" thickBot="1" x14ac:dyDescent="0.3">
      <c r="A1835" s="249"/>
      <c r="B1835" s="252"/>
      <c r="C1835" s="36"/>
      <c r="D1835" s="36"/>
      <c r="E1835" s="37"/>
      <c r="F1835" s="46" t="s">
        <v>23</v>
      </c>
      <c r="G1835" s="35" t="str">
        <f t="shared" si="29"/>
        <v/>
      </c>
      <c r="H1835" s="39"/>
      <c r="I1835" s="35"/>
      <c r="J1835" s="34">
        <v>0</v>
      </c>
    </row>
    <row r="1836" spans="1:10" ht="26.25" hidden="1" thickBot="1" x14ac:dyDescent="0.3">
      <c r="A1836" s="249"/>
      <c r="B1836" s="252"/>
      <c r="C1836" s="40" t="s">
        <v>3827</v>
      </c>
      <c r="D1836" s="40" t="s">
        <v>3752</v>
      </c>
      <c r="E1836" s="41">
        <v>2.5</v>
      </c>
      <c r="F1836" s="35">
        <v>23.882999999999999</v>
      </c>
      <c r="G1836" s="38">
        <f t="shared" si="29"/>
        <v>59.707499999999996</v>
      </c>
      <c r="H1836" s="43">
        <f>SUM(G1836:G1838)</f>
        <v>134.21125000000001</v>
      </c>
      <c r="I1836" s="44"/>
      <c r="J1836" s="34">
        <v>0</v>
      </c>
    </row>
    <row r="1837" spans="1:10" ht="26.25" hidden="1" thickBot="1" x14ac:dyDescent="0.3">
      <c r="A1837" s="249"/>
      <c r="B1837" s="252"/>
      <c r="C1837" s="40" t="s">
        <v>3772</v>
      </c>
      <c r="D1837" s="40" t="s">
        <v>3752</v>
      </c>
      <c r="E1837" s="41">
        <v>2.5</v>
      </c>
      <c r="F1837" s="35">
        <v>29.801500000000001</v>
      </c>
      <c r="G1837" s="38">
        <f t="shared" si="29"/>
        <v>74.503749999999997</v>
      </c>
      <c r="H1837" s="39"/>
      <c r="I1837" s="35"/>
      <c r="J1837" s="34">
        <v>0</v>
      </c>
    </row>
    <row r="1838" spans="1:10" ht="26.25" hidden="1" thickBot="1" x14ac:dyDescent="0.3">
      <c r="A1838" s="249"/>
      <c r="B1838" s="252"/>
      <c r="C1838" s="40" t="s">
        <v>467</v>
      </c>
      <c r="D1838" s="40" t="s">
        <v>102</v>
      </c>
      <c r="E1838" s="41">
        <v>1</v>
      </c>
      <c r="F1838" s="38" t="s">
        <v>23</v>
      </c>
      <c r="G1838" s="38" t="str">
        <f t="shared" si="29"/>
        <v/>
      </c>
      <c r="H1838" s="39"/>
      <c r="I1838" s="35"/>
      <c r="J1838" s="34">
        <v>0</v>
      </c>
    </row>
    <row r="1839" spans="1:10" ht="15.75" hidden="1" thickBot="1" x14ac:dyDescent="0.3">
      <c r="A1839" s="250"/>
      <c r="B1839" s="253"/>
      <c r="C1839" s="40"/>
      <c r="D1839" s="40"/>
      <c r="E1839" s="41"/>
      <c r="F1839" s="35" t="s">
        <v>23</v>
      </c>
      <c r="G1839" s="35" t="str">
        <f t="shared" si="29"/>
        <v/>
      </c>
      <c r="H1839" s="39"/>
      <c r="I1839" s="35"/>
      <c r="J1839" s="34">
        <v>0</v>
      </c>
    </row>
    <row r="1840" spans="1:10" ht="15.75" hidden="1" thickBot="1" x14ac:dyDescent="0.3">
      <c r="A1840" s="248" t="s">
        <v>468</v>
      </c>
      <c r="B1840" s="251" t="s">
        <v>2327</v>
      </c>
      <c r="C1840" s="28"/>
      <c r="D1840" s="29" t="s">
        <v>28</v>
      </c>
      <c r="E1840" s="30"/>
      <c r="F1840" s="45" t="s">
        <v>23</v>
      </c>
      <c r="G1840" s="31" t="str">
        <f t="shared" si="29"/>
        <v/>
      </c>
      <c r="H1840" s="32"/>
      <c r="I1840" s="33"/>
      <c r="J1840" s="34">
        <v>0</v>
      </c>
    </row>
    <row r="1841" spans="1:10" ht="15.75" hidden="1" thickBot="1" x14ac:dyDescent="0.3">
      <c r="A1841" s="249"/>
      <c r="B1841" s="252"/>
      <c r="C1841" s="36"/>
      <c r="D1841" s="36"/>
      <c r="E1841" s="37"/>
      <c r="F1841" s="46" t="s">
        <v>23</v>
      </c>
      <c r="G1841" s="35" t="str">
        <f t="shared" si="29"/>
        <v/>
      </c>
      <c r="H1841" s="39"/>
      <c r="I1841" s="35"/>
      <c r="J1841" s="34">
        <v>0</v>
      </c>
    </row>
    <row r="1842" spans="1:10" ht="26.25" hidden="1" thickBot="1" x14ac:dyDescent="0.3">
      <c r="A1842" s="249"/>
      <c r="B1842" s="252"/>
      <c r="C1842" s="40" t="s">
        <v>3827</v>
      </c>
      <c r="D1842" s="40" t="s">
        <v>3752</v>
      </c>
      <c r="E1842" s="41">
        <v>2.5</v>
      </c>
      <c r="F1842" s="35">
        <v>23.882999999999999</v>
      </c>
      <c r="G1842" s="38">
        <f t="shared" si="29"/>
        <v>59.707499999999996</v>
      </c>
      <c r="H1842" s="43">
        <f>SUM(G1842:G1844)</f>
        <v>134.21125000000001</v>
      </c>
      <c r="I1842" s="44"/>
      <c r="J1842" s="34">
        <v>0</v>
      </c>
    </row>
    <row r="1843" spans="1:10" ht="26.25" hidden="1" thickBot="1" x14ac:dyDescent="0.3">
      <c r="A1843" s="249"/>
      <c r="B1843" s="252"/>
      <c r="C1843" s="40" t="s">
        <v>3772</v>
      </c>
      <c r="D1843" s="40" t="s">
        <v>3752</v>
      </c>
      <c r="E1843" s="41">
        <v>2.5</v>
      </c>
      <c r="F1843" s="35">
        <v>29.801500000000001</v>
      </c>
      <c r="G1843" s="38">
        <f t="shared" si="29"/>
        <v>74.503749999999997</v>
      </c>
      <c r="H1843" s="39"/>
      <c r="I1843" s="35"/>
      <c r="J1843" s="34">
        <v>0</v>
      </c>
    </row>
    <row r="1844" spans="1:10" ht="26.25" hidden="1" thickBot="1" x14ac:dyDescent="0.3">
      <c r="A1844" s="249"/>
      <c r="B1844" s="252"/>
      <c r="C1844" s="40" t="s">
        <v>469</v>
      </c>
      <c r="D1844" s="40" t="s">
        <v>102</v>
      </c>
      <c r="E1844" s="41">
        <v>1</v>
      </c>
      <c r="F1844" s="38" t="s">
        <v>23</v>
      </c>
      <c r="G1844" s="38" t="str">
        <f t="shared" si="29"/>
        <v/>
      </c>
      <c r="H1844" s="39"/>
      <c r="I1844" s="35"/>
      <c r="J1844" s="34">
        <v>0</v>
      </c>
    </row>
    <row r="1845" spans="1:10" ht="15.75" hidden="1" thickBot="1" x14ac:dyDescent="0.3">
      <c r="A1845" s="250"/>
      <c r="B1845" s="253"/>
      <c r="C1845" s="40"/>
      <c r="D1845" s="40"/>
      <c r="E1845" s="41"/>
      <c r="F1845" s="35" t="s">
        <v>23</v>
      </c>
      <c r="G1845" s="35" t="str">
        <f t="shared" si="29"/>
        <v/>
      </c>
      <c r="H1845" s="39"/>
      <c r="I1845" s="35"/>
      <c r="J1845" s="34">
        <v>0</v>
      </c>
    </row>
    <row r="1846" spans="1:10" ht="15.75" hidden="1" thickBot="1" x14ac:dyDescent="0.3">
      <c r="A1846" s="248" t="s">
        <v>470</v>
      </c>
      <c r="B1846" s="251" t="s">
        <v>2328</v>
      </c>
      <c r="C1846" s="28"/>
      <c r="D1846" s="29" t="s">
        <v>28</v>
      </c>
      <c r="E1846" s="30"/>
      <c r="F1846" s="45" t="s">
        <v>23</v>
      </c>
      <c r="G1846" s="31" t="str">
        <f t="shared" si="29"/>
        <v/>
      </c>
      <c r="H1846" s="32"/>
      <c r="I1846" s="33"/>
      <c r="J1846" s="34">
        <v>0</v>
      </c>
    </row>
    <row r="1847" spans="1:10" ht="15.75" hidden="1" thickBot="1" x14ac:dyDescent="0.3">
      <c r="A1847" s="249"/>
      <c r="B1847" s="252"/>
      <c r="C1847" s="36"/>
      <c r="D1847" s="36"/>
      <c r="E1847" s="37"/>
      <c r="F1847" s="46" t="s">
        <v>23</v>
      </c>
      <c r="G1847" s="35" t="str">
        <f t="shared" si="29"/>
        <v/>
      </c>
      <c r="H1847" s="39"/>
      <c r="I1847" s="35"/>
      <c r="J1847" s="34">
        <v>0</v>
      </c>
    </row>
    <row r="1848" spans="1:10" ht="26.25" hidden="1" thickBot="1" x14ac:dyDescent="0.3">
      <c r="A1848" s="249"/>
      <c r="B1848" s="252"/>
      <c r="C1848" s="40" t="s">
        <v>3827</v>
      </c>
      <c r="D1848" s="40" t="s">
        <v>3752</v>
      </c>
      <c r="E1848" s="41">
        <v>2.5</v>
      </c>
      <c r="F1848" s="35">
        <v>23.882999999999999</v>
      </c>
      <c r="G1848" s="38">
        <f t="shared" si="29"/>
        <v>59.707499999999996</v>
      </c>
      <c r="H1848" s="43">
        <f>SUM(G1848:G1850)</f>
        <v>134.21125000000001</v>
      </c>
      <c r="I1848" s="44"/>
      <c r="J1848" s="34">
        <v>0</v>
      </c>
    </row>
    <row r="1849" spans="1:10" ht="26.25" hidden="1" thickBot="1" x14ac:dyDescent="0.3">
      <c r="A1849" s="249"/>
      <c r="B1849" s="252"/>
      <c r="C1849" s="40" t="s">
        <v>3772</v>
      </c>
      <c r="D1849" s="40" t="s">
        <v>3752</v>
      </c>
      <c r="E1849" s="41">
        <v>2.5</v>
      </c>
      <c r="F1849" s="35">
        <v>29.801500000000001</v>
      </c>
      <c r="G1849" s="38">
        <f t="shared" si="29"/>
        <v>74.503749999999997</v>
      </c>
      <c r="H1849" s="39"/>
      <c r="I1849" s="35"/>
      <c r="J1849" s="34">
        <v>0</v>
      </c>
    </row>
    <row r="1850" spans="1:10" ht="26.25" hidden="1" thickBot="1" x14ac:dyDescent="0.3">
      <c r="A1850" s="249"/>
      <c r="B1850" s="252"/>
      <c r="C1850" s="40" t="s">
        <v>471</v>
      </c>
      <c r="D1850" s="40" t="s">
        <v>102</v>
      </c>
      <c r="E1850" s="41">
        <v>1</v>
      </c>
      <c r="F1850" s="38" t="s">
        <v>23</v>
      </c>
      <c r="G1850" s="38" t="str">
        <f t="shared" si="29"/>
        <v/>
      </c>
      <c r="H1850" s="39"/>
      <c r="I1850" s="35"/>
      <c r="J1850" s="34">
        <v>0</v>
      </c>
    </row>
    <row r="1851" spans="1:10" ht="15.75" hidden="1" thickBot="1" x14ac:dyDescent="0.3">
      <c r="A1851" s="250"/>
      <c r="B1851" s="253"/>
      <c r="C1851" s="40"/>
      <c r="D1851" s="40"/>
      <c r="E1851" s="41"/>
      <c r="F1851" s="35" t="s">
        <v>23</v>
      </c>
      <c r="G1851" s="35" t="str">
        <f t="shared" si="29"/>
        <v/>
      </c>
      <c r="H1851" s="39"/>
      <c r="I1851" s="35"/>
      <c r="J1851" s="34">
        <v>0</v>
      </c>
    </row>
    <row r="1852" spans="1:10" ht="15.75" hidden="1" thickBot="1" x14ac:dyDescent="0.3">
      <c r="A1852" s="248" t="s">
        <v>472</v>
      </c>
      <c r="B1852" s="251" t="s">
        <v>2329</v>
      </c>
      <c r="C1852" s="28"/>
      <c r="D1852" s="29" t="s">
        <v>28</v>
      </c>
      <c r="E1852" s="30"/>
      <c r="F1852" s="45" t="s">
        <v>23</v>
      </c>
      <c r="G1852" s="31" t="str">
        <f t="shared" si="29"/>
        <v/>
      </c>
      <c r="H1852" s="32"/>
      <c r="I1852" s="33"/>
      <c r="J1852" s="34">
        <v>0</v>
      </c>
    </row>
    <row r="1853" spans="1:10" ht="15.75" hidden="1" thickBot="1" x14ac:dyDescent="0.3">
      <c r="A1853" s="249"/>
      <c r="B1853" s="252"/>
      <c r="C1853" s="36"/>
      <c r="D1853" s="36"/>
      <c r="E1853" s="37"/>
      <c r="F1853" s="46" t="s">
        <v>23</v>
      </c>
      <c r="G1853" s="35" t="str">
        <f t="shared" si="29"/>
        <v/>
      </c>
      <c r="H1853" s="39"/>
      <c r="I1853" s="35"/>
      <c r="J1853" s="34">
        <v>0</v>
      </c>
    </row>
    <row r="1854" spans="1:10" ht="26.25" hidden="1" thickBot="1" x14ac:dyDescent="0.3">
      <c r="A1854" s="249"/>
      <c r="B1854" s="252"/>
      <c r="C1854" s="40" t="s">
        <v>3827</v>
      </c>
      <c r="D1854" s="40" t="s">
        <v>3752</v>
      </c>
      <c r="E1854" s="41">
        <v>2.5</v>
      </c>
      <c r="F1854" s="35">
        <v>23.882999999999999</v>
      </c>
      <c r="G1854" s="38">
        <f t="shared" si="29"/>
        <v>59.707499999999996</v>
      </c>
      <c r="H1854" s="43">
        <f>SUM(G1854:G1856)</f>
        <v>134.21125000000001</v>
      </c>
      <c r="I1854" s="44"/>
      <c r="J1854" s="34">
        <v>0</v>
      </c>
    </row>
    <row r="1855" spans="1:10" ht="26.25" hidden="1" thickBot="1" x14ac:dyDescent="0.3">
      <c r="A1855" s="249"/>
      <c r="B1855" s="252"/>
      <c r="C1855" s="40" t="s">
        <v>3772</v>
      </c>
      <c r="D1855" s="40" t="s">
        <v>3752</v>
      </c>
      <c r="E1855" s="41">
        <v>2.5</v>
      </c>
      <c r="F1855" s="35">
        <v>29.801500000000001</v>
      </c>
      <c r="G1855" s="38">
        <f t="shared" si="29"/>
        <v>74.503749999999997</v>
      </c>
      <c r="H1855" s="39"/>
      <c r="I1855" s="35"/>
      <c r="J1855" s="34">
        <v>0</v>
      </c>
    </row>
    <row r="1856" spans="1:10" ht="39" hidden="1" thickBot="1" x14ac:dyDescent="0.3">
      <c r="A1856" s="249"/>
      <c r="B1856" s="252"/>
      <c r="C1856" s="40" t="s">
        <v>473</v>
      </c>
      <c r="D1856" s="40" t="s">
        <v>102</v>
      </c>
      <c r="E1856" s="41">
        <v>1</v>
      </c>
      <c r="F1856" s="38" t="s">
        <v>23</v>
      </c>
      <c r="G1856" s="38" t="str">
        <f t="shared" si="29"/>
        <v/>
      </c>
      <c r="H1856" s="39"/>
      <c r="I1856" s="35"/>
      <c r="J1856" s="34">
        <v>0</v>
      </c>
    </row>
    <row r="1857" spans="1:10" ht="15.75" hidden="1" thickBot="1" x14ac:dyDescent="0.3">
      <c r="A1857" s="250"/>
      <c r="B1857" s="253"/>
      <c r="C1857" s="40"/>
      <c r="D1857" s="40"/>
      <c r="E1857" s="41"/>
      <c r="F1857" s="35" t="s">
        <v>23</v>
      </c>
      <c r="G1857" s="35" t="str">
        <f t="shared" si="29"/>
        <v/>
      </c>
      <c r="H1857" s="39"/>
      <c r="I1857" s="35"/>
      <c r="J1857" s="34">
        <v>0</v>
      </c>
    </row>
    <row r="1858" spans="1:10" ht="15.75" hidden="1" thickBot="1" x14ac:dyDescent="0.3">
      <c r="A1858" s="248" t="s">
        <v>474</v>
      </c>
      <c r="B1858" s="251" t="s">
        <v>2330</v>
      </c>
      <c r="C1858" s="28"/>
      <c r="D1858" s="29" t="s">
        <v>28</v>
      </c>
      <c r="E1858" s="30"/>
      <c r="F1858" s="45" t="s">
        <v>23</v>
      </c>
      <c r="G1858" s="31" t="str">
        <f t="shared" si="29"/>
        <v/>
      </c>
      <c r="H1858" s="32"/>
      <c r="I1858" s="33"/>
      <c r="J1858" s="34">
        <v>0</v>
      </c>
    </row>
    <row r="1859" spans="1:10" ht="15.75" hidden="1" thickBot="1" x14ac:dyDescent="0.3">
      <c r="A1859" s="249"/>
      <c r="B1859" s="252"/>
      <c r="C1859" s="36"/>
      <c r="D1859" s="36"/>
      <c r="E1859" s="37"/>
      <c r="F1859" s="46" t="s">
        <v>23</v>
      </c>
      <c r="G1859" s="35" t="str">
        <f t="shared" si="29"/>
        <v/>
      </c>
      <c r="H1859" s="39"/>
      <c r="I1859" s="35"/>
      <c r="J1859" s="34">
        <v>0</v>
      </c>
    </row>
    <row r="1860" spans="1:10" ht="26.25" hidden="1" thickBot="1" x14ac:dyDescent="0.3">
      <c r="A1860" s="249"/>
      <c r="B1860" s="252"/>
      <c r="C1860" s="40" t="s">
        <v>3827</v>
      </c>
      <c r="D1860" s="40" t="s">
        <v>3752</v>
      </c>
      <c r="E1860" s="41">
        <v>2.5</v>
      </c>
      <c r="F1860" s="35">
        <v>23.882999999999999</v>
      </c>
      <c r="G1860" s="38">
        <f t="shared" si="29"/>
        <v>59.707499999999996</v>
      </c>
      <c r="H1860" s="43">
        <f>SUM(G1860:G1862)</f>
        <v>134.21125000000001</v>
      </c>
      <c r="I1860" s="44"/>
      <c r="J1860" s="34">
        <v>0</v>
      </c>
    </row>
    <row r="1861" spans="1:10" ht="26.25" hidden="1" thickBot="1" x14ac:dyDescent="0.3">
      <c r="A1861" s="249"/>
      <c r="B1861" s="252"/>
      <c r="C1861" s="40" t="s">
        <v>3772</v>
      </c>
      <c r="D1861" s="40" t="s">
        <v>3752</v>
      </c>
      <c r="E1861" s="41">
        <v>2.5</v>
      </c>
      <c r="F1861" s="35">
        <v>29.801500000000001</v>
      </c>
      <c r="G1861" s="38">
        <f t="shared" si="29"/>
        <v>74.503749999999997</v>
      </c>
      <c r="H1861" s="39"/>
      <c r="I1861" s="35"/>
      <c r="J1861" s="34">
        <v>0</v>
      </c>
    </row>
    <row r="1862" spans="1:10" ht="51.75" hidden="1" thickBot="1" x14ac:dyDescent="0.3">
      <c r="A1862" s="249"/>
      <c r="B1862" s="252"/>
      <c r="C1862" s="40" t="s">
        <v>475</v>
      </c>
      <c r="D1862" s="40" t="s">
        <v>102</v>
      </c>
      <c r="E1862" s="41">
        <v>1</v>
      </c>
      <c r="F1862" s="38" t="s">
        <v>23</v>
      </c>
      <c r="G1862" s="38" t="str">
        <f t="shared" si="29"/>
        <v/>
      </c>
      <c r="H1862" s="39"/>
      <c r="I1862" s="35"/>
      <c r="J1862" s="34">
        <v>0</v>
      </c>
    </row>
    <row r="1863" spans="1:10" ht="15.75" hidden="1" thickBot="1" x14ac:dyDescent="0.3">
      <c r="A1863" s="250"/>
      <c r="B1863" s="253"/>
      <c r="C1863" s="40"/>
      <c r="D1863" s="40"/>
      <c r="E1863" s="41"/>
      <c r="F1863" s="35" t="s">
        <v>23</v>
      </c>
      <c r="G1863" s="35" t="str">
        <f t="shared" si="29"/>
        <v/>
      </c>
      <c r="H1863" s="39"/>
      <c r="I1863" s="35"/>
      <c r="J1863" s="34">
        <v>0</v>
      </c>
    </row>
    <row r="1864" spans="1:10" ht="15.75" hidden="1" thickBot="1" x14ac:dyDescent="0.3">
      <c r="A1864" s="248" t="s">
        <v>476</v>
      </c>
      <c r="B1864" s="251" t="s">
        <v>2331</v>
      </c>
      <c r="C1864" s="28"/>
      <c r="D1864" s="29" t="s">
        <v>28</v>
      </c>
      <c r="E1864" s="30"/>
      <c r="F1864" s="45" t="s">
        <v>23</v>
      </c>
      <c r="G1864" s="31" t="str">
        <f t="shared" si="29"/>
        <v/>
      </c>
      <c r="H1864" s="32"/>
      <c r="I1864" s="33"/>
      <c r="J1864" s="34">
        <v>0</v>
      </c>
    </row>
    <row r="1865" spans="1:10" ht="15.75" hidden="1" thickBot="1" x14ac:dyDescent="0.3">
      <c r="A1865" s="249"/>
      <c r="B1865" s="252"/>
      <c r="C1865" s="36"/>
      <c r="D1865" s="36"/>
      <c r="E1865" s="37"/>
      <c r="F1865" s="46" t="s">
        <v>23</v>
      </c>
      <c r="G1865" s="35" t="str">
        <f t="shared" si="29"/>
        <v/>
      </c>
      <c r="H1865" s="39"/>
      <c r="I1865" s="35"/>
      <c r="J1865" s="34">
        <v>0</v>
      </c>
    </row>
    <row r="1866" spans="1:10" ht="26.25" hidden="1" thickBot="1" x14ac:dyDescent="0.3">
      <c r="A1866" s="249"/>
      <c r="B1866" s="252"/>
      <c r="C1866" s="40" t="s">
        <v>3827</v>
      </c>
      <c r="D1866" s="40" t="s">
        <v>3752</v>
      </c>
      <c r="E1866" s="41">
        <v>2.5</v>
      </c>
      <c r="F1866" s="35">
        <v>23.882999999999999</v>
      </c>
      <c r="G1866" s="38">
        <f t="shared" si="29"/>
        <v>59.707499999999996</v>
      </c>
      <c r="H1866" s="43">
        <f>SUM(G1866:G1868)</f>
        <v>134.21125000000001</v>
      </c>
      <c r="I1866" s="44"/>
      <c r="J1866" s="34">
        <v>0</v>
      </c>
    </row>
    <row r="1867" spans="1:10" ht="26.25" hidden="1" thickBot="1" x14ac:dyDescent="0.3">
      <c r="A1867" s="249"/>
      <c r="B1867" s="252"/>
      <c r="C1867" s="40" t="s">
        <v>3772</v>
      </c>
      <c r="D1867" s="40" t="s">
        <v>3752</v>
      </c>
      <c r="E1867" s="41">
        <v>2.5</v>
      </c>
      <c r="F1867" s="35">
        <v>29.801500000000001</v>
      </c>
      <c r="G1867" s="38">
        <f t="shared" si="29"/>
        <v>74.503749999999997</v>
      </c>
      <c r="H1867" s="39"/>
      <c r="I1867" s="35"/>
      <c r="J1867" s="34">
        <v>0</v>
      </c>
    </row>
    <row r="1868" spans="1:10" ht="26.25" hidden="1" thickBot="1" x14ac:dyDescent="0.3">
      <c r="A1868" s="249"/>
      <c r="B1868" s="252"/>
      <c r="C1868" s="40" t="s">
        <v>477</v>
      </c>
      <c r="D1868" s="40" t="s">
        <v>102</v>
      </c>
      <c r="E1868" s="41">
        <v>1</v>
      </c>
      <c r="F1868" s="38" t="s">
        <v>23</v>
      </c>
      <c r="G1868" s="38" t="str">
        <f t="shared" si="29"/>
        <v/>
      </c>
      <c r="H1868" s="39"/>
      <c r="I1868" s="35"/>
      <c r="J1868" s="34">
        <v>0</v>
      </c>
    </row>
    <row r="1869" spans="1:10" ht="15.75" hidden="1" thickBot="1" x14ac:dyDescent="0.3">
      <c r="A1869" s="250"/>
      <c r="B1869" s="253"/>
      <c r="C1869" s="40"/>
      <c r="D1869" s="40"/>
      <c r="E1869" s="41"/>
      <c r="F1869" s="35" t="s">
        <v>23</v>
      </c>
      <c r="G1869" s="35" t="str">
        <f t="shared" si="29"/>
        <v/>
      </c>
      <c r="H1869" s="39"/>
      <c r="I1869" s="35"/>
      <c r="J1869" s="34">
        <v>0</v>
      </c>
    </row>
    <row r="1870" spans="1:10" ht="15.75" hidden="1" thickBot="1" x14ac:dyDescent="0.3">
      <c r="A1870" s="248" t="s">
        <v>478</v>
      </c>
      <c r="B1870" s="251" t="s">
        <v>2332</v>
      </c>
      <c r="C1870" s="28"/>
      <c r="D1870" s="29" t="s">
        <v>28</v>
      </c>
      <c r="E1870" s="30"/>
      <c r="F1870" s="45" t="s">
        <v>23</v>
      </c>
      <c r="G1870" s="31" t="str">
        <f t="shared" si="29"/>
        <v/>
      </c>
      <c r="H1870" s="32"/>
      <c r="I1870" s="33"/>
      <c r="J1870" s="34">
        <v>0</v>
      </c>
    </row>
    <row r="1871" spans="1:10" ht="15.75" hidden="1" thickBot="1" x14ac:dyDescent="0.3">
      <c r="A1871" s="249"/>
      <c r="B1871" s="252"/>
      <c r="C1871" s="36"/>
      <c r="D1871" s="36"/>
      <c r="E1871" s="37"/>
      <c r="F1871" s="46" t="s">
        <v>23</v>
      </c>
      <c r="G1871" s="35" t="str">
        <f t="shared" si="29"/>
        <v/>
      </c>
      <c r="H1871" s="39"/>
      <c r="I1871" s="35"/>
      <c r="J1871" s="34">
        <v>0</v>
      </c>
    </row>
    <row r="1872" spans="1:10" ht="26.25" hidden="1" thickBot="1" x14ac:dyDescent="0.3">
      <c r="A1872" s="249"/>
      <c r="B1872" s="252"/>
      <c r="C1872" s="40" t="s">
        <v>3827</v>
      </c>
      <c r="D1872" s="40" t="s">
        <v>3752</v>
      </c>
      <c r="E1872" s="41">
        <v>2.5</v>
      </c>
      <c r="F1872" s="35">
        <v>23.882999999999999</v>
      </c>
      <c r="G1872" s="38">
        <f t="shared" si="29"/>
        <v>59.707499999999996</v>
      </c>
      <c r="H1872" s="43">
        <f>SUM(G1872:G1874)</f>
        <v>134.21125000000001</v>
      </c>
      <c r="I1872" s="44"/>
      <c r="J1872" s="34">
        <v>0</v>
      </c>
    </row>
    <row r="1873" spans="1:10" ht="26.25" hidden="1" thickBot="1" x14ac:dyDescent="0.3">
      <c r="A1873" s="249"/>
      <c r="B1873" s="252"/>
      <c r="C1873" s="40" t="s">
        <v>3772</v>
      </c>
      <c r="D1873" s="40" t="s">
        <v>3752</v>
      </c>
      <c r="E1873" s="41">
        <v>2.5</v>
      </c>
      <c r="F1873" s="35">
        <v>29.801500000000001</v>
      </c>
      <c r="G1873" s="38">
        <f t="shared" si="29"/>
        <v>74.503749999999997</v>
      </c>
      <c r="H1873" s="39"/>
      <c r="I1873" s="35"/>
      <c r="J1873" s="34">
        <v>0</v>
      </c>
    </row>
    <row r="1874" spans="1:10" ht="39" hidden="1" thickBot="1" x14ac:dyDescent="0.3">
      <c r="A1874" s="249"/>
      <c r="B1874" s="252"/>
      <c r="C1874" s="40" t="s">
        <v>479</v>
      </c>
      <c r="D1874" s="40" t="s">
        <v>102</v>
      </c>
      <c r="E1874" s="41">
        <v>1</v>
      </c>
      <c r="F1874" s="38" t="s">
        <v>23</v>
      </c>
      <c r="G1874" s="38" t="str">
        <f t="shared" ref="G1874:G1937" si="30">IF(ISNUMBER(F1874),E1874*F1874,"")</f>
        <v/>
      </c>
      <c r="H1874" s="39"/>
      <c r="I1874" s="35"/>
      <c r="J1874" s="34">
        <v>0</v>
      </c>
    </row>
    <row r="1875" spans="1:10" ht="15.75" hidden="1" thickBot="1" x14ac:dyDescent="0.3">
      <c r="A1875" s="250"/>
      <c r="B1875" s="253"/>
      <c r="C1875" s="40"/>
      <c r="D1875" s="40"/>
      <c r="E1875" s="41"/>
      <c r="F1875" s="35" t="s">
        <v>23</v>
      </c>
      <c r="G1875" s="35" t="str">
        <f t="shared" si="30"/>
        <v/>
      </c>
      <c r="H1875" s="39"/>
      <c r="I1875" s="35"/>
      <c r="J1875" s="34">
        <v>0</v>
      </c>
    </row>
    <row r="1876" spans="1:10" ht="15.75" hidden="1" thickBot="1" x14ac:dyDescent="0.3">
      <c r="A1876" s="248" t="s">
        <v>480</v>
      </c>
      <c r="B1876" s="251" t="s">
        <v>2333</v>
      </c>
      <c r="C1876" s="28"/>
      <c r="D1876" s="29" t="s">
        <v>28</v>
      </c>
      <c r="E1876" s="30"/>
      <c r="F1876" s="45" t="s">
        <v>23</v>
      </c>
      <c r="G1876" s="31" t="str">
        <f t="shared" si="30"/>
        <v/>
      </c>
      <c r="H1876" s="32"/>
      <c r="I1876" s="33"/>
      <c r="J1876" s="34">
        <v>0</v>
      </c>
    </row>
    <row r="1877" spans="1:10" ht="15.75" hidden="1" thickBot="1" x14ac:dyDescent="0.3">
      <c r="A1877" s="249"/>
      <c r="B1877" s="252"/>
      <c r="C1877" s="36"/>
      <c r="D1877" s="36"/>
      <c r="E1877" s="37"/>
      <c r="F1877" s="46" t="s">
        <v>23</v>
      </c>
      <c r="G1877" s="35" t="str">
        <f t="shared" si="30"/>
        <v/>
      </c>
      <c r="H1877" s="39"/>
      <c r="I1877" s="35"/>
      <c r="J1877" s="34">
        <v>0</v>
      </c>
    </row>
    <row r="1878" spans="1:10" ht="26.25" hidden="1" thickBot="1" x14ac:dyDescent="0.3">
      <c r="A1878" s="249"/>
      <c r="B1878" s="252"/>
      <c r="C1878" s="40" t="s">
        <v>3827</v>
      </c>
      <c r="D1878" s="40" t="s">
        <v>3752</v>
      </c>
      <c r="E1878" s="41">
        <v>2.5</v>
      </c>
      <c r="F1878" s="35">
        <v>23.882999999999999</v>
      </c>
      <c r="G1878" s="35">
        <f t="shared" si="30"/>
        <v>59.707499999999996</v>
      </c>
      <c r="H1878" s="43">
        <f>SUM(G1878:G1880)</f>
        <v>134.21125000000001</v>
      </c>
      <c r="I1878" s="44"/>
      <c r="J1878" s="34">
        <v>0</v>
      </c>
    </row>
    <row r="1879" spans="1:10" ht="26.25" hidden="1" thickBot="1" x14ac:dyDescent="0.3">
      <c r="A1879" s="249"/>
      <c r="B1879" s="252"/>
      <c r="C1879" s="40" t="s">
        <v>3772</v>
      </c>
      <c r="D1879" s="40" t="s">
        <v>3752</v>
      </c>
      <c r="E1879" s="41">
        <v>2.5</v>
      </c>
      <c r="F1879" s="35">
        <v>29.801500000000001</v>
      </c>
      <c r="G1879" s="35">
        <f t="shared" si="30"/>
        <v>74.503749999999997</v>
      </c>
      <c r="H1879" s="39"/>
      <c r="I1879" s="35"/>
      <c r="J1879" s="34">
        <v>0</v>
      </c>
    </row>
    <row r="1880" spans="1:10" ht="39" hidden="1" thickBot="1" x14ac:dyDescent="0.3">
      <c r="A1880" s="249"/>
      <c r="B1880" s="252"/>
      <c r="C1880" s="40" t="s">
        <v>481</v>
      </c>
      <c r="D1880" s="40" t="s">
        <v>102</v>
      </c>
      <c r="E1880" s="41">
        <v>1</v>
      </c>
      <c r="F1880" s="38" t="s">
        <v>23</v>
      </c>
      <c r="G1880" s="35" t="str">
        <f t="shared" si="30"/>
        <v/>
      </c>
      <c r="H1880" s="39"/>
      <c r="I1880" s="35"/>
      <c r="J1880" s="34">
        <v>0</v>
      </c>
    </row>
    <row r="1881" spans="1:10" ht="15.75" hidden="1" thickBot="1" x14ac:dyDescent="0.3">
      <c r="A1881" s="250"/>
      <c r="B1881" s="253"/>
      <c r="C1881" s="40"/>
      <c r="D1881" s="40"/>
      <c r="E1881" s="41"/>
      <c r="F1881" s="35" t="s">
        <v>23</v>
      </c>
      <c r="G1881" s="35" t="str">
        <f t="shared" si="30"/>
        <v/>
      </c>
      <c r="H1881" s="39"/>
      <c r="I1881" s="35"/>
      <c r="J1881" s="34">
        <v>0</v>
      </c>
    </row>
    <row r="1882" spans="1:10" ht="15.75" hidden="1" thickBot="1" x14ac:dyDescent="0.3">
      <c r="A1882" s="248" t="s">
        <v>482</v>
      </c>
      <c r="B1882" s="251" t="s">
        <v>2334</v>
      </c>
      <c r="C1882" s="28"/>
      <c r="D1882" s="29" t="s">
        <v>28</v>
      </c>
      <c r="E1882" s="30"/>
      <c r="F1882" s="45" t="s">
        <v>23</v>
      </c>
      <c r="G1882" s="31" t="str">
        <f t="shared" si="30"/>
        <v/>
      </c>
      <c r="H1882" s="32"/>
      <c r="I1882" s="33"/>
      <c r="J1882" s="34">
        <v>0</v>
      </c>
    </row>
    <row r="1883" spans="1:10" ht="15.75" hidden="1" thickBot="1" x14ac:dyDescent="0.3">
      <c r="A1883" s="249"/>
      <c r="B1883" s="252"/>
      <c r="C1883" s="36"/>
      <c r="D1883" s="36"/>
      <c r="E1883" s="37"/>
      <c r="F1883" s="46" t="s">
        <v>23</v>
      </c>
      <c r="G1883" s="35" t="str">
        <f t="shared" si="30"/>
        <v/>
      </c>
      <c r="H1883" s="39"/>
      <c r="I1883" s="35"/>
      <c r="J1883" s="34">
        <v>0</v>
      </c>
    </row>
    <row r="1884" spans="1:10" ht="26.25" hidden="1" thickBot="1" x14ac:dyDescent="0.3">
      <c r="A1884" s="249"/>
      <c r="B1884" s="252"/>
      <c r="C1884" s="40" t="s">
        <v>3827</v>
      </c>
      <c r="D1884" s="40" t="s">
        <v>3752</v>
      </c>
      <c r="E1884" s="41">
        <v>3.5</v>
      </c>
      <c r="F1884" s="35">
        <v>23.882999999999999</v>
      </c>
      <c r="G1884" s="38">
        <f t="shared" si="30"/>
        <v>83.590499999999992</v>
      </c>
      <c r="H1884" s="43">
        <f>SUM(G1884:G1886)</f>
        <v>187.89574999999999</v>
      </c>
      <c r="I1884" s="44"/>
      <c r="J1884" s="34">
        <v>0</v>
      </c>
    </row>
    <row r="1885" spans="1:10" ht="26.25" hidden="1" thickBot="1" x14ac:dyDescent="0.3">
      <c r="A1885" s="249"/>
      <c r="B1885" s="252"/>
      <c r="C1885" s="40" t="s">
        <v>3772</v>
      </c>
      <c r="D1885" s="40" t="s">
        <v>3752</v>
      </c>
      <c r="E1885" s="41">
        <v>3.5</v>
      </c>
      <c r="F1885" s="35">
        <v>29.801500000000001</v>
      </c>
      <c r="G1885" s="38">
        <f t="shared" si="30"/>
        <v>104.30525</v>
      </c>
      <c r="H1885" s="39"/>
      <c r="I1885" s="35"/>
      <c r="J1885" s="34">
        <v>0</v>
      </c>
    </row>
    <row r="1886" spans="1:10" ht="15.75" hidden="1" thickBot="1" x14ac:dyDescent="0.3">
      <c r="A1886" s="249"/>
      <c r="B1886" s="252"/>
      <c r="C1886" s="40" t="s">
        <v>483</v>
      </c>
      <c r="D1886" s="40" t="s">
        <v>102</v>
      </c>
      <c r="E1886" s="41">
        <v>1</v>
      </c>
      <c r="F1886" s="38">
        <v>0</v>
      </c>
      <c r="G1886" s="38">
        <f t="shared" si="30"/>
        <v>0</v>
      </c>
      <c r="H1886" s="39"/>
      <c r="I1886" s="35"/>
      <c r="J1886" s="34">
        <v>0</v>
      </c>
    </row>
    <row r="1887" spans="1:10" ht="15.75" hidden="1" thickBot="1" x14ac:dyDescent="0.3">
      <c r="A1887" s="250"/>
      <c r="B1887" s="253"/>
      <c r="C1887" s="40"/>
      <c r="D1887" s="40"/>
      <c r="E1887" s="41"/>
      <c r="F1887" s="35" t="s">
        <v>23</v>
      </c>
      <c r="G1887" s="35" t="str">
        <f t="shared" si="30"/>
        <v/>
      </c>
      <c r="H1887" s="39"/>
      <c r="I1887" s="35"/>
      <c r="J1887" s="34">
        <v>0</v>
      </c>
    </row>
    <row r="1888" spans="1:10" ht="15.75" hidden="1" thickBot="1" x14ac:dyDescent="0.3">
      <c r="A1888" s="248" t="s">
        <v>484</v>
      </c>
      <c r="B1888" s="251" t="s">
        <v>2335</v>
      </c>
      <c r="C1888" s="28"/>
      <c r="D1888" s="29" t="s">
        <v>28</v>
      </c>
      <c r="E1888" s="30"/>
      <c r="F1888" s="45" t="s">
        <v>23</v>
      </c>
      <c r="G1888" s="31" t="str">
        <f t="shared" si="30"/>
        <v/>
      </c>
      <c r="H1888" s="32"/>
      <c r="I1888" s="33"/>
      <c r="J1888" s="34">
        <v>0</v>
      </c>
    </row>
    <row r="1889" spans="1:10" ht="15.75" hidden="1" thickBot="1" x14ac:dyDescent="0.3">
      <c r="A1889" s="249"/>
      <c r="B1889" s="252"/>
      <c r="C1889" s="36"/>
      <c r="D1889" s="36"/>
      <c r="E1889" s="37"/>
      <c r="F1889" s="46" t="s">
        <v>23</v>
      </c>
      <c r="G1889" s="35" t="str">
        <f t="shared" si="30"/>
        <v/>
      </c>
      <c r="H1889" s="39"/>
      <c r="I1889" s="35"/>
      <c r="J1889" s="34">
        <v>0</v>
      </c>
    </row>
    <row r="1890" spans="1:10" ht="26.25" hidden="1" thickBot="1" x14ac:dyDescent="0.3">
      <c r="A1890" s="249"/>
      <c r="B1890" s="252"/>
      <c r="C1890" s="40" t="s">
        <v>3827</v>
      </c>
      <c r="D1890" s="40" t="s">
        <v>3752</v>
      </c>
      <c r="E1890" s="41">
        <v>3.5</v>
      </c>
      <c r="F1890" s="35">
        <v>23.882999999999999</v>
      </c>
      <c r="G1890" s="35">
        <f t="shared" si="30"/>
        <v>83.590499999999992</v>
      </c>
      <c r="H1890" s="43">
        <f>SUM(G1890:G1892)</f>
        <v>187.89574999999999</v>
      </c>
      <c r="I1890" s="44"/>
      <c r="J1890" s="34">
        <v>0</v>
      </c>
    </row>
    <row r="1891" spans="1:10" ht="26.25" hidden="1" thickBot="1" x14ac:dyDescent="0.3">
      <c r="A1891" s="249"/>
      <c r="B1891" s="252"/>
      <c r="C1891" s="40" t="s">
        <v>3772</v>
      </c>
      <c r="D1891" s="40" t="s">
        <v>3752</v>
      </c>
      <c r="E1891" s="41">
        <v>3.5</v>
      </c>
      <c r="F1891" s="35">
        <v>29.801500000000001</v>
      </c>
      <c r="G1891" s="35">
        <f t="shared" si="30"/>
        <v>104.30525</v>
      </c>
      <c r="H1891" s="39"/>
      <c r="I1891" s="35"/>
      <c r="J1891" s="34">
        <v>0</v>
      </c>
    </row>
    <row r="1892" spans="1:10" ht="15.75" hidden="1" thickBot="1" x14ac:dyDescent="0.3">
      <c r="A1892" s="249"/>
      <c r="B1892" s="252"/>
      <c r="C1892" s="40" t="s">
        <v>485</v>
      </c>
      <c r="D1892" s="40" t="s">
        <v>102</v>
      </c>
      <c r="E1892" s="41">
        <v>1</v>
      </c>
      <c r="F1892" s="35">
        <v>0</v>
      </c>
      <c r="G1892" s="35">
        <f t="shared" si="30"/>
        <v>0</v>
      </c>
      <c r="H1892" s="39"/>
      <c r="I1892" s="35"/>
      <c r="J1892" s="34">
        <v>0</v>
      </c>
    </row>
    <row r="1893" spans="1:10" ht="15.75" hidden="1" thickBot="1" x14ac:dyDescent="0.3">
      <c r="A1893" s="250"/>
      <c r="B1893" s="253"/>
      <c r="C1893" s="40"/>
      <c r="D1893" s="40"/>
      <c r="E1893" s="41"/>
      <c r="F1893" s="35" t="s">
        <v>23</v>
      </c>
      <c r="G1893" s="35" t="str">
        <f t="shared" si="30"/>
        <v/>
      </c>
      <c r="H1893" s="39"/>
      <c r="I1893" s="35"/>
      <c r="J1893" s="34">
        <v>0</v>
      </c>
    </row>
    <row r="1894" spans="1:10" ht="15.75" hidden="1" thickBot="1" x14ac:dyDescent="0.3">
      <c r="A1894" s="248" t="s">
        <v>486</v>
      </c>
      <c r="B1894" s="251" t="s">
        <v>2336</v>
      </c>
      <c r="C1894" s="28"/>
      <c r="D1894" s="29" t="s">
        <v>28</v>
      </c>
      <c r="E1894" s="30"/>
      <c r="F1894" s="45" t="s">
        <v>23</v>
      </c>
      <c r="G1894" s="31" t="str">
        <f t="shared" si="30"/>
        <v/>
      </c>
      <c r="H1894" s="32"/>
      <c r="I1894" s="33"/>
      <c r="J1894" s="34">
        <v>0</v>
      </c>
    </row>
    <row r="1895" spans="1:10" ht="15.75" hidden="1" thickBot="1" x14ac:dyDescent="0.3">
      <c r="A1895" s="249"/>
      <c r="B1895" s="252"/>
      <c r="C1895" s="36"/>
      <c r="D1895" s="36"/>
      <c r="E1895" s="37"/>
      <c r="F1895" s="46" t="s">
        <v>23</v>
      </c>
      <c r="G1895" s="35" t="str">
        <f t="shared" si="30"/>
        <v/>
      </c>
      <c r="H1895" s="39"/>
      <c r="I1895" s="35"/>
      <c r="J1895" s="34">
        <v>0</v>
      </c>
    </row>
    <row r="1896" spans="1:10" ht="26.25" hidden="1" thickBot="1" x14ac:dyDescent="0.3">
      <c r="A1896" s="249"/>
      <c r="B1896" s="252"/>
      <c r="C1896" s="40" t="s">
        <v>3827</v>
      </c>
      <c r="D1896" s="40" t="s">
        <v>3752</v>
      </c>
      <c r="E1896" s="41">
        <f>2.5</f>
        <v>2.5</v>
      </c>
      <c r="F1896" s="35">
        <v>23.882999999999999</v>
      </c>
      <c r="G1896" s="35">
        <f t="shared" si="30"/>
        <v>59.707499999999996</v>
      </c>
      <c r="H1896" s="43">
        <f>SUM(G1896:G1897)</f>
        <v>134.21125000000001</v>
      </c>
      <c r="I1896" s="44"/>
      <c r="J1896" s="34">
        <v>0</v>
      </c>
    </row>
    <row r="1897" spans="1:10" ht="26.25" hidden="1" thickBot="1" x14ac:dyDescent="0.3">
      <c r="A1897" s="249"/>
      <c r="B1897" s="252"/>
      <c r="C1897" s="40" t="s">
        <v>3772</v>
      </c>
      <c r="D1897" s="40" t="s">
        <v>3752</v>
      </c>
      <c r="E1897" s="41">
        <f>2.5</f>
        <v>2.5</v>
      </c>
      <c r="F1897" s="35">
        <v>29.801500000000001</v>
      </c>
      <c r="G1897" s="35">
        <f t="shared" si="30"/>
        <v>74.503749999999997</v>
      </c>
      <c r="H1897" s="39"/>
      <c r="I1897" s="35"/>
      <c r="J1897" s="34">
        <v>0</v>
      </c>
    </row>
    <row r="1898" spans="1:10" ht="15.75" hidden="1" thickBot="1" x14ac:dyDescent="0.3">
      <c r="A1898" s="250"/>
      <c r="B1898" s="253"/>
      <c r="C1898" s="40"/>
      <c r="D1898" s="40"/>
      <c r="E1898" s="41"/>
      <c r="F1898" s="35" t="s">
        <v>23</v>
      </c>
      <c r="G1898" s="35" t="str">
        <f t="shared" si="30"/>
        <v/>
      </c>
      <c r="H1898" s="39"/>
      <c r="I1898" s="35"/>
      <c r="J1898" s="34">
        <v>0</v>
      </c>
    </row>
    <row r="1899" spans="1:10" ht="15.75" hidden="1" thickBot="1" x14ac:dyDescent="0.3">
      <c r="A1899" s="248" t="s">
        <v>487</v>
      </c>
      <c r="B1899" s="251" t="s">
        <v>2337</v>
      </c>
      <c r="C1899" s="28"/>
      <c r="D1899" s="29" t="s">
        <v>28</v>
      </c>
      <c r="E1899" s="30"/>
      <c r="F1899" s="45" t="s">
        <v>23</v>
      </c>
      <c r="G1899" s="31" t="str">
        <f t="shared" si="30"/>
        <v/>
      </c>
      <c r="H1899" s="32"/>
      <c r="I1899" s="33"/>
      <c r="J1899" s="34">
        <v>0</v>
      </c>
    </row>
    <row r="1900" spans="1:10" ht="15.75" hidden="1" thickBot="1" x14ac:dyDescent="0.3">
      <c r="A1900" s="249"/>
      <c r="B1900" s="252"/>
      <c r="C1900" s="36"/>
      <c r="D1900" s="36"/>
      <c r="E1900" s="37"/>
      <c r="F1900" s="46" t="s">
        <v>23</v>
      </c>
      <c r="G1900" s="35" t="str">
        <f t="shared" si="30"/>
        <v/>
      </c>
      <c r="H1900" s="39"/>
      <c r="I1900" s="35"/>
      <c r="J1900" s="34">
        <v>0</v>
      </c>
    </row>
    <row r="1901" spans="1:10" ht="15.75" hidden="1" thickBot="1" x14ac:dyDescent="0.3">
      <c r="A1901" s="249"/>
      <c r="B1901" s="252"/>
      <c r="C1901" s="40" t="s">
        <v>3760</v>
      </c>
      <c r="D1901" s="40" t="s">
        <v>3752</v>
      </c>
      <c r="E1901" s="41">
        <v>1</v>
      </c>
      <c r="F1901" s="35">
        <v>28.385999999999999</v>
      </c>
      <c r="G1901" s="38">
        <f t="shared" si="30"/>
        <v>28.385999999999999</v>
      </c>
      <c r="H1901" s="43">
        <f>SUM(G1901:G1902)</f>
        <v>50.340499999999999</v>
      </c>
      <c r="I1901" s="44"/>
      <c r="J1901" s="34">
        <v>0</v>
      </c>
    </row>
    <row r="1902" spans="1:10" ht="15.75" hidden="1" thickBot="1" x14ac:dyDescent="0.3">
      <c r="A1902" s="249"/>
      <c r="B1902" s="252"/>
      <c r="C1902" s="40" t="s">
        <v>3770</v>
      </c>
      <c r="D1902" s="40" t="s">
        <v>3752</v>
      </c>
      <c r="E1902" s="41">
        <v>1</v>
      </c>
      <c r="F1902" s="35">
        <v>21.954499999999999</v>
      </c>
      <c r="G1902" s="38">
        <f t="shared" si="30"/>
        <v>21.954499999999999</v>
      </c>
      <c r="H1902" s="39"/>
      <c r="I1902" s="35"/>
      <c r="J1902" s="34">
        <v>0</v>
      </c>
    </row>
    <row r="1903" spans="1:10" ht="15.75" hidden="1" thickBot="1" x14ac:dyDescent="0.3">
      <c r="A1903" s="250"/>
      <c r="B1903" s="253"/>
      <c r="C1903" s="40"/>
      <c r="D1903" s="40"/>
      <c r="E1903" s="41"/>
      <c r="F1903" s="35" t="s">
        <v>23</v>
      </c>
      <c r="G1903" s="35" t="str">
        <f t="shared" si="30"/>
        <v/>
      </c>
      <c r="H1903" s="39"/>
      <c r="I1903" s="35"/>
      <c r="J1903" s="34">
        <v>0</v>
      </c>
    </row>
    <row r="1904" spans="1:10" ht="15.75" hidden="1" thickBot="1" x14ac:dyDescent="0.3">
      <c r="A1904" s="248" t="s">
        <v>488</v>
      </c>
      <c r="B1904" s="251" t="s">
        <v>2338</v>
      </c>
      <c r="C1904" s="28"/>
      <c r="D1904" s="29" t="s">
        <v>28</v>
      </c>
      <c r="E1904" s="30"/>
      <c r="F1904" s="45" t="s">
        <v>23</v>
      </c>
      <c r="G1904" s="31" t="str">
        <f t="shared" si="30"/>
        <v/>
      </c>
      <c r="H1904" s="32"/>
      <c r="I1904" s="33"/>
      <c r="J1904" s="34">
        <v>0</v>
      </c>
    </row>
    <row r="1905" spans="1:10" ht="15.75" hidden="1" thickBot="1" x14ac:dyDescent="0.3">
      <c r="A1905" s="249"/>
      <c r="B1905" s="252"/>
      <c r="C1905" s="36"/>
      <c r="D1905" s="36"/>
      <c r="E1905" s="37"/>
      <c r="F1905" s="46" t="s">
        <v>23</v>
      </c>
      <c r="G1905" s="35" t="str">
        <f t="shared" si="30"/>
        <v/>
      </c>
      <c r="H1905" s="39"/>
      <c r="I1905" s="35"/>
      <c r="J1905" s="34">
        <v>0</v>
      </c>
    </row>
    <row r="1906" spans="1:10" ht="15.75" hidden="1" thickBot="1" x14ac:dyDescent="0.3">
      <c r="A1906" s="249"/>
      <c r="B1906" s="252"/>
      <c r="C1906" s="40" t="s">
        <v>3909</v>
      </c>
      <c r="D1906" s="40" t="s">
        <v>3752</v>
      </c>
      <c r="E1906" s="41">
        <v>0.75</v>
      </c>
      <c r="F1906" s="35">
        <v>26.248499999999996</v>
      </c>
      <c r="G1906" s="38">
        <f t="shared" si="30"/>
        <v>19.686374999999998</v>
      </c>
      <c r="H1906" s="43">
        <f>SUM(G1906:G1907)</f>
        <v>36.173625000000001</v>
      </c>
      <c r="I1906" s="44"/>
      <c r="J1906" s="34">
        <v>0</v>
      </c>
    </row>
    <row r="1907" spans="1:10" ht="15.75" hidden="1" thickBot="1" x14ac:dyDescent="0.3">
      <c r="A1907" s="249"/>
      <c r="B1907" s="252"/>
      <c r="C1907" s="40" t="s">
        <v>4111</v>
      </c>
      <c r="D1907" s="40" t="s">
        <v>3752</v>
      </c>
      <c r="E1907" s="41">
        <v>0.75</v>
      </c>
      <c r="F1907" s="35">
        <v>21.983000000000001</v>
      </c>
      <c r="G1907" s="38">
        <f t="shared" si="30"/>
        <v>16.48725</v>
      </c>
      <c r="H1907" s="39"/>
      <c r="I1907" s="35"/>
      <c r="J1907" s="34">
        <v>0</v>
      </c>
    </row>
    <row r="1908" spans="1:10" ht="15.75" hidden="1" thickBot="1" x14ac:dyDescent="0.3">
      <c r="A1908" s="250"/>
      <c r="B1908" s="253"/>
      <c r="C1908" s="40"/>
      <c r="D1908" s="40"/>
      <c r="E1908" s="41"/>
      <c r="F1908" s="35" t="s">
        <v>23</v>
      </c>
      <c r="G1908" s="35" t="str">
        <f t="shared" si="30"/>
        <v/>
      </c>
      <c r="H1908" s="39"/>
      <c r="I1908" s="35"/>
      <c r="J1908" s="34">
        <v>0</v>
      </c>
    </row>
    <row r="1909" spans="1:10" ht="15.75" hidden="1" thickBot="1" x14ac:dyDescent="0.3">
      <c r="A1909" s="248" t="s">
        <v>489</v>
      </c>
      <c r="B1909" s="251" t="s">
        <v>2339</v>
      </c>
      <c r="C1909" s="28"/>
      <c r="D1909" s="29" t="s">
        <v>28</v>
      </c>
      <c r="E1909" s="30"/>
      <c r="F1909" s="45" t="s">
        <v>23</v>
      </c>
      <c r="G1909" s="31" t="str">
        <f t="shared" si="30"/>
        <v/>
      </c>
      <c r="H1909" s="32"/>
      <c r="I1909" s="33"/>
      <c r="J1909" s="34">
        <v>0</v>
      </c>
    </row>
    <row r="1910" spans="1:10" ht="15.75" hidden="1" thickBot="1" x14ac:dyDescent="0.3">
      <c r="A1910" s="249"/>
      <c r="B1910" s="252"/>
      <c r="C1910" s="36"/>
      <c r="D1910" s="36"/>
      <c r="E1910" s="37"/>
      <c r="F1910" s="46" t="s">
        <v>23</v>
      </c>
      <c r="G1910" s="35" t="str">
        <f t="shared" si="30"/>
        <v/>
      </c>
      <c r="H1910" s="39"/>
      <c r="I1910" s="35"/>
      <c r="J1910" s="34">
        <v>0</v>
      </c>
    </row>
    <row r="1911" spans="1:10" ht="26.25" hidden="1" thickBot="1" x14ac:dyDescent="0.3">
      <c r="A1911" s="249"/>
      <c r="B1911" s="252"/>
      <c r="C1911" s="40" t="s">
        <v>4119</v>
      </c>
      <c r="D1911" s="40" t="s">
        <v>3752</v>
      </c>
      <c r="E1911" s="41">
        <v>0.5</v>
      </c>
      <c r="F1911" s="35">
        <v>21.555499999999999</v>
      </c>
      <c r="G1911" s="38">
        <f t="shared" si="30"/>
        <v>10.777749999999999</v>
      </c>
      <c r="H1911" s="43">
        <f>SUM(G1911:G1913)</f>
        <v>24.448250000000002</v>
      </c>
      <c r="I1911" s="44"/>
      <c r="J1911" s="34">
        <v>0</v>
      </c>
    </row>
    <row r="1912" spans="1:10" ht="26.25" hidden="1" thickBot="1" x14ac:dyDescent="0.3">
      <c r="A1912" s="249"/>
      <c r="B1912" s="252"/>
      <c r="C1912" s="40" t="s">
        <v>4110</v>
      </c>
      <c r="D1912" s="40" t="s">
        <v>3752</v>
      </c>
      <c r="E1912" s="41">
        <v>0.5</v>
      </c>
      <c r="F1912" s="35">
        <v>27.341000000000001</v>
      </c>
      <c r="G1912" s="38">
        <f t="shared" si="30"/>
        <v>13.670500000000001</v>
      </c>
      <c r="H1912" s="39"/>
      <c r="I1912" s="35"/>
      <c r="J1912" s="34">
        <v>0</v>
      </c>
    </row>
    <row r="1913" spans="1:10" ht="26.25" hidden="1" thickBot="1" x14ac:dyDescent="0.3">
      <c r="A1913" s="249"/>
      <c r="B1913" s="252"/>
      <c r="C1913" s="40" t="s">
        <v>490</v>
      </c>
      <c r="D1913" s="40" t="s">
        <v>28</v>
      </c>
      <c r="E1913" s="41">
        <v>1</v>
      </c>
      <c r="F1913" s="38" t="s">
        <v>23</v>
      </c>
      <c r="G1913" s="35" t="str">
        <f t="shared" si="30"/>
        <v/>
      </c>
      <c r="H1913" s="39"/>
      <c r="I1913" s="35"/>
      <c r="J1913" s="34">
        <v>0</v>
      </c>
    </row>
    <row r="1914" spans="1:10" ht="15.75" hidden="1" thickBot="1" x14ac:dyDescent="0.3">
      <c r="A1914" s="250"/>
      <c r="B1914" s="253"/>
      <c r="C1914" s="40"/>
      <c r="D1914" s="40"/>
      <c r="E1914" s="41"/>
      <c r="F1914" s="35" t="s">
        <v>23</v>
      </c>
      <c r="G1914" s="35" t="str">
        <f t="shared" si="30"/>
        <v/>
      </c>
      <c r="H1914" s="39"/>
      <c r="I1914" s="35"/>
      <c r="J1914" s="34">
        <v>0</v>
      </c>
    </row>
    <row r="1915" spans="1:10" ht="15.75" hidden="1" thickBot="1" x14ac:dyDescent="0.3">
      <c r="A1915" s="248" t="s">
        <v>491</v>
      </c>
      <c r="B1915" s="251" t="s">
        <v>2340</v>
      </c>
      <c r="C1915" s="28"/>
      <c r="D1915" s="29" t="s">
        <v>121</v>
      </c>
      <c r="E1915" s="30"/>
      <c r="F1915" s="45" t="s">
        <v>23</v>
      </c>
      <c r="G1915" s="31" t="str">
        <f t="shared" si="30"/>
        <v/>
      </c>
      <c r="H1915" s="32"/>
      <c r="I1915" s="33"/>
      <c r="J1915" s="34">
        <v>0</v>
      </c>
    </row>
    <row r="1916" spans="1:10" ht="15.75" hidden="1" thickBot="1" x14ac:dyDescent="0.3">
      <c r="A1916" s="249"/>
      <c r="B1916" s="252"/>
      <c r="C1916" s="36"/>
      <c r="D1916" s="36"/>
      <c r="E1916" s="37"/>
      <c r="F1916" s="46" t="s">
        <v>23</v>
      </c>
      <c r="G1916" s="35" t="str">
        <f t="shared" si="30"/>
        <v/>
      </c>
      <c r="H1916" s="39"/>
      <c r="I1916" s="35"/>
      <c r="J1916" s="34">
        <v>0</v>
      </c>
    </row>
    <row r="1917" spans="1:10" ht="26.25" hidden="1" thickBot="1" x14ac:dyDescent="0.3">
      <c r="A1917" s="249"/>
      <c r="B1917" s="252"/>
      <c r="C1917" s="40" t="s">
        <v>3827</v>
      </c>
      <c r="D1917" s="40" t="s">
        <v>3752</v>
      </c>
      <c r="E1917" s="41">
        <v>0.05</v>
      </c>
      <c r="F1917" s="35">
        <v>23.882999999999999</v>
      </c>
      <c r="G1917" s="35">
        <f t="shared" si="30"/>
        <v>1.19415</v>
      </c>
      <c r="H1917" s="43">
        <f>SUM(G1917:G1918)</f>
        <v>1.19415</v>
      </c>
      <c r="I1917" s="44"/>
      <c r="J1917" s="34">
        <v>0</v>
      </c>
    </row>
    <row r="1918" spans="1:10" ht="15.75" hidden="1" thickBot="1" x14ac:dyDescent="0.3">
      <c r="A1918" s="249"/>
      <c r="B1918" s="252"/>
      <c r="C1918" s="40" t="s">
        <v>492</v>
      </c>
      <c r="D1918" s="53" t="s">
        <v>121</v>
      </c>
      <c r="E1918" s="41">
        <v>1</v>
      </c>
      <c r="F1918" s="35" t="s">
        <v>23</v>
      </c>
      <c r="G1918" s="35" t="str">
        <f t="shared" si="30"/>
        <v/>
      </c>
      <c r="H1918" s="39"/>
      <c r="I1918" s="35"/>
      <c r="J1918" s="34">
        <v>0</v>
      </c>
    </row>
    <row r="1919" spans="1:10" ht="15.75" hidden="1" thickBot="1" x14ac:dyDescent="0.3">
      <c r="A1919" s="250"/>
      <c r="B1919" s="253"/>
      <c r="C1919" s="40"/>
      <c r="D1919" s="40"/>
      <c r="E1919" s="41"/>
      <c r="F1919" s="35" t="s">
        <v>23</v>
      </c>
      <c r="G1919" s="35" t="str">
        <f t="shared" si="30"/>
        <v/>
      </c>
      <c r="H1919" s="39"/>
      <c r="I1919" s="35"/>
      <c r="J1919" s="34">
        <v>0</v>
      </c>
    </row>
    <row r="1920" spans="1:10" ht="15.75" hidden="1" thickBot="1" x14ac:dyDescent="0.3">
      <c r="A1920" s="248" t="s">
        <v>493</v>
      </c>
      <c r="B1920" s="251" t="s">
        <v>2341</v>
      </c>
      <c r="C1920" s="28"/>
      <c r="D1920" s="29" t="s">
        <v>121</v>
      </c>
      <c r="E1920" s="30"/>
      <c r="F1920" s="45" t="s">
        <v>23</v>
      </c>
      <c r="G1920" s="31" t="str">
        <f t="shared" si="30"/>
        <v/>
      </c>
      <c r="H1920" s="32"/>
      <c r="I1920" s="33"/>
      <c r="J1920" s="34">
        <v>0</v>
      </c>
    </row>
    <row r="1921" spans="1:10" ht="15.75" hidden="1" thickBot="1" x14ac:dyDescent="0.3">
      <c r="A1921" s="249"/>
      <c r="B1921" s="252"/>
      <c r="C1921" s="36"/>
      <c r="D1921" s="36"/>
      <c r="E1921" s="37"/>
      <c r="F1921" s="46" t="s">
        <v>23</v>
      </c>
      <c r="G1921" s="35" t="str">
        <f t="shared" si="30"/>
        <v/>
      </c>
      <c r="H1921" s="39"/>
      <c r="I1921" s="35"/>
      <c r="J1921" s="34">
        <v>0</v>
      </c>
    </row>
    <row r="1922" spans="1:10" ht="26.25" hidden="1" thickBot="1" x14ac:dyDescent="0.3">
      <c r="A1922" s="249"/>
      <c r="B1922" s="252"/>
      <c r="C1922" s="40" t="s">
        <v>3827</v>
      </c>
      <c r="D1922" s="40" t="s">
        <v>3752</v>
      </c>
      <c r="E1922" s="41">
        <v>0.05</v>
      </c>
      <c r="F1922" s="35">
        <v>23.882999999999999</v>
      </c>
      <c r="G1922" s="35">
        <f t="shared" si="30"/>
        <v>1.19415</v>
      </c>
      <c r="H1922" s="43">
        <f>SUM(G1922:G1923)</f>
        <v>1.19415</v>
      </c>
      <c r="I1922" s="44"/>
      <c r="J1922" s="34">
        <v>0</v>
      </c>
    </row>
    <row r="1923" spans="1:10" ht="15.75" hidden="1" thickBot="1" x14ac:dyDescent="0.3">
      <c r="A1923" s="249"/>
      <c r="B1923" s="252"/>
      <c r="C1923" s="40" t="s">
        <v>494</v>
      </c>
      <c r="D1923" s="53" t="s">
        <v>121</v>
      </c>
      <c r="E1923" s="41">
        <v>1</v>
      </c>
      <c r="F1923" s="35" t="s">
        <v>23</v>
      </c>
      <c r="G1923" s="35" t="str">
        <f t="shared" si="30"/>
        <v/>
      </c>
      <c r="H1923" s="39"/>
      <c r="I1923" s="35"/>
      <c r="J1923" s="34">
        <v>0</v>
      </c>
    </row>
    <row r="1924" spans="1:10" ht="15.75" hidden="1" thickBot="1" x14ac:dyDescent="0.3">
      <c r="A1924" s="250"/>
      <c r="B1924" s="253"/>
      <c r="C1924" s="40"/>
      <c r="D1924" s="40"/>
      <c r="E1924" s="41"/>
      <c r="F1924" s="35" t="s">
        <v>23</v>
      </c>
      <c r="G1924" s="35" t="str">
        <f t="shared" si="30"/>
        <v/>
      </c>
      <c r="H1924" s="39"/>
      <c r="I1924" s="35"/>
      <c r="J1924" s="34">
        <v>0</v>
      </c>
    </row>
    <row r="1925" spans="1:10" ht="15.75" hidden="1" thickBot="1" x14ac:dyDescent="0.3">
      <c r="A1925" s="248" t="s">
        <v>495</v>
      </c>
      <c r="B1925" s="251" t="s">
        <v>2342</v>
      </c>
      <c r="C1925" s="28"/>
      <c r="D1925" s="29" t="s">
        <v>121</v>
      </c>
      <c r="E1925" s="30"/>
      <c r="F1925" s="45" t="s">
        <v>23</v>
      </c>
      <c r="G1925" s="31" t="str">
        <f t="shared" si="30"/>
        <v/>
      </c>
      <c r="H1925" s="32"/>
      <c r="I1925" s="33"/>
      <c r="J1925" s="34">
        <v>0</v>
      </c>
    </row>
    <row r="1926" spans="1:10" ht="15.75" hidden="1" thickBot="1" x14ac:dyDescent="0.3">
      <c r="A1926" s="249"/>
      <c r="B1926" s="252"/>
      <c r="C1926" s="36"/>
      <c r="D1926" s="36"/>
      <c r="E1926" s="37"/>
      <c r="F1926" s="46" t="s">
        <v>23</v>
      </c>
      <c r="G1926" s="35" t="str">
        <f t="shared" si="30"/>
        <v/>
      </c>
      <c r="H1926" s="39"/>
      <c r="I1926" s="35"/>
      <c r="J1926" s="34">
        <v>0</v>
      </c>
    </row>
    <row r="1927" spans="1:10" ht="26.25" hidden="1" thickBot="1" x14ac:dyDescent="0.3">
      <c r="A1927" s="249"/>
      <c r="B1927" s="252"/>
      <c r="C1927" s="40" t="s">
        <v>3827</v>
      </c>
      <c r="D1927" s="40" t="s">
        <v>3752</v>
      </c>
      <c r="E1927" s="41">
        <v>0.05</v>
      </c>
      <c r="F1927" s="35">
        <v>23.882999999999999</v>
      </c>
      <c r="G1927" s="35">
        <f t="shared" si="30"/>
        <v>1.19415</v>
      </c>
      <c r="H1927" s="43">
        <f>SUM(G1927:G1930)</f>
        <v>1.19415</v>
      </c>
      <c r="I1927" s="44"/>
      <c r="J1927" s="34">
        <v>0</v>
      </c>
    </row>
    <row r="1928" spans="1:10" ht="15.75" hidden="1" thickBot="1" x14ac:dyDescent="0.3">
      <c r="A1928" s="249"/>
      <c r="B1928" s="252"/>
      <c r="C1928" s="40" t="s">
        <v>496</v>
      </c>
      <c r="D1928" s="40" t="s">
        <v>28</v>
      </c>
      <c r="E1928" s="41">
        <v>1</v>
      </c>
      <c r="F1928" s="35" t="s">
        <v>23</v>
      </c>
      <c r="G1928" s="35" t="str">
        <f t="shared" si="30"/>
        <v/>
      </c>
      <c r="H1928" s="39"/>
      <c r="I1928" s="35"/>
      <c r="J1928" s="34">
        <v>0</v>
      </c>
    </row>
    <row r="1929" spans="1:10" ht="15.75" hidden="1" thickBot="1" x14ac:dyDescent="0.3">
      <c r="A1929" s="249"/>
      <c r="B1929" s="252"/>
      <c r="C1929" s="40" t="s">
        <v>497</v>
      </c>
      <c r="D1929" s="40" t="s">
        <v>28</v>
      </c>
      <c r="E1929" s="41">
        <v>1</v>
      </c>
      <c r="F1929" s="35" t="s">
        <v>23</v>
      </c>
      <c r="G1929" s="35" t="str">
        <f t="shared" si="30"/>
        <v/>
      </c>
      <c r="H1929" s="39"/>
      <c r="I1929" s="35"/>
      <c r="J1929" s="34">
        <v>0</v>
      </c>
    </row>
    <row r="1930" spans="1:10" ht="15.75" hidden="1" thickBot="1" x14ac:dyDescent="0.3">
      <c r="A1930" s="249"/>
      <c r="B1930" s="252"/>
      <c r="C1930" s="40" t="s">
        <v>498</v>
      </c>
      <c r="D1930" s="53" t="s">
        <v>121</v>
      </c>
      <c r="E1930" s="41">
        <v>1</v>
      </c>
      <c r="F1930" s="35" t="s">
        <v>23</v>
      </c>
      <c r="G1930" s="35" t="str">
        <f t="shared" si="30"/>
        <v/>
      </c>
      <c r="H1930" s="39"/>
      <c r="I1930" s="35"/>
      <c r="J1930" s="34">
        <v>0</v>
      </c>
    </row>
    <row r="1931" spans="1:10" ht="15.75" hidden="1" thickBot="1" x14ac:dyDescent="0.3">
      <c r="A1931" s="250"/>
      <c r="B1931" s="253"/>
      <c r="C1931" s="40"/>
      <c r="D1931" s="40"/>
      <c r="E1931" s="41"/>
      <c r="F1931" s="35" t="s">
        <v>23</v>
      </c>
      <c r="G1931" s="35" t="str">
        <f t="shared" si="30"/>
        <v/>
      </c>
      <c r="H1931" s="39"/>
      <c r="I1931" s="35"/>
      <c r="J1931" s="34">
        <v>0</v>
      </c>
    </row>
    <row r="1932" spans="1:10" ht="15.75" hidden="1" thickBot="1" x14ac:dyDescent="0.3">
      <c r="A1932" s="248" t="s">
        <v>499</v>
      </c>
      <c r="B1932" s="251" t="s">
        <v>2343</v>
      </c>
      <c r="C1932" s="28"/>
      <c r="D1932" s="29" t="s">
        <v>28</v>
      </c>
      <c r="E1932" s="30"/>
      <c r="F1932" s="45" t="s">
        <v>23</v>
      </c>
      <c r="G1932" s="31" t="str">
        <f t="shared" si="30"/>
        <v/>
      </c>
      <c r="H1932" s="32"/>
      <c r="I1932" s="33"/>
      <c r="J1932" s="34">
        <v>0</v>
      </c>
    </row>
    <row r="1933" spans="1:10" ht="15.75" hidden="1" thickBot="1" x14ac:dyDescent="0.3">
      <c r="A1933" s="249"/>
      <c r="B1933" s="252"/>
      <c r="C1933" s="36"/>
      <c r="D1933" s="36"/>
      <c r="E1933" s="37"/>
      <c r="F1933" s="46" t="s">
        <v>23</v>
      </c>
      <c r="G1933" s="35" t="str">
        <f t="shared" si="30"/>
        <v/>
      </c>
      <c r="H1933" s="39"/>
      <c r="I1933" s="35"/>
      <c r="J1933" s="34">
        <v>0</v>
      </c>
    </row>
    <row r="1934" spans="1:10" ht="26.25" hidden="1" thickBot="1" x14ac:dyDescent="0.3">
      <c r="A1934" s="249"/>
      <c r="B1934" s="252"/>
      <c r="C1934" s="40" t="s">
        <v>4119</v>
      </c>
      <c r="D1934" s="40" t="s">
        <v>3752</v>
      </c>
      <c r="E1934" s="41">
        <v>0.5</v>
      </c>
      <c r="F1934" s="35">
        <v>21.555499999999999</v>
      </c>
      <c r="G1934" s="38">
        <f t="shared" si="30"/>
        <v>10.777749999999999</v>
      </c>
      <c r="H1934" s="43">
        <f>SUM(G1934:G1936)</f>
        <v>24.448250000000002</v>
      </c>
      <c r="I1934" s="44"/>
      <c r="J1934" s="34">
        <v>0</v>
      </c>
    </row>
    <row r="1935" spans="1:10" ht="26.25" hidden="1" thickBot="1" x14ac:dyDescent="0.3">
      <c r="A1935" s="249"/>
      <c r="B1935" s="252"/>
      <c r="C1935" s="40" t="s">
        <v>4110</v>
      </c>
      <c r="D1935" s="40" t="s">
        <v>3752</v>
      </c>
      <c r="E1935" s="41">
        <v>0.5</v>
      </c>
      <c r="F1935" s="35">
        <v>27.341000000000001</v>
      </c>
      <c r="G1935" s="38">
        <f t="shared" si="30"/>
        <v>13.670500000000001</v>
      </c>
      <c r="H1935" s="39"/>
      <c r="I1935" s="35"/>
      <c r="J1935" s="34">
        <v>0</v>
      </c>
    </row>
    <row r="1936" spans="1:10" ht="15.75" hidden="1" thickBot="1" x14ac:dyDescent="0.3">
      <c r="A1936" s="249"/>
      <c r="B1936" s="252"/>
      <c r="C1936" s="40" t="s">
        <v>500</v>
      </c>
      <c r="D1936" s="40" t="s">
        <v>102</v>
      </c>
      <c r="E1936" s="41">
        <v>1</v>
      </c>
      <c r="F1936" s="38" t="s">
        <v>23</v>
      </c>
      <c r="G1936" s="38" t="str">
        <f t="shared" si="30"/>
        <v/>
      </c>
      <c r="H1936" s="39"/>
      <c r="I1936" s="35"/>
      <c r="J1936" s="34">
        <v>0</v>
      </c>
    </row>
    <row r="1937" spans="1:10" ht="15.75" hidden="1" thickBot="1" x14ac:dyDescent="0.3">
      <c r="A1937" s="250"/>
      <c r="B1937" s="253"/>
      <c r="C1937" s="40"/>
      <c r="D1937" s="40"/>
      <c r="E1937" s="41"/>
      <c r="F1937" s="35" t="s">
        <v>23</v>
      </c>
      <c r="G1937" s="35" t="str">
        <f t="shared" si="30"/>
        <v/>
      </c>
      <c r="H1937" s="39"/>
      <c r="I1937" s="35"/>
      <c r="J1937" s="34">
        <v>0</v>
      </c>
    </row>
    <row r="1938" spans="1:10" ht="15.75" hidden="1" thickBot="1" x14ac:dyDescent="0.3">
      <c r="A1938" s="248" t="s">
        <v>501</v>
      </c>
      <c r="B1938" s="251" t="s">
        <v>502</v>
      </c>
      <c r="C1938" s="28"/>
      <c r="D1938" s="29" t="s">
        <v>28</v>
      </c>
      <c r="E1938" s="30"/>
      <c r="F1938" s="45" t="s">
        <v>23</v>
      </c>
      <c r="G1938" s="31" t="str">
        <f t="shared" ref="G1938:G2001" si="31">IF(ISNUMBER(F1938),E1938*F1938,"")</f>
        <v/>
      </c>
      <c r="H1938" s="32"/>
      <c r="I1938" s="33"/>
      <c r="J1938" s="34">
        <v>0</v>
      </c>
    </row>
    <row r="1939" spans="1:10" ht="15.75" hidden="1" thickBot="1" x14ac:dyDescent="0.3">
      <c r="A1939" s="249"/>
      <c r="B1939" s="252"/>
      <c r="C1939" s="36"/>
      <c r="D1939" s="36"/>
      <c r="E1939" s="37"/>
      <c r="F1939" s="46" t="s">
        <v>23</v>
      </c>
      <c r="G1939" s="35" t="str">
        <f t="shared" si="31"/>
        <v/>
      </c>
      <c r="H1939" s="39"/>
      <c r="I1939" s="35"/>
      <c r="J1939" s="34">
        <v>0</v>
      </c>
    </row>
    <row r="1940" spans="1:10" ht="26.25" hidden="1" thickBot="1" x14ac:dyDescent="0.3">
      <c r="A1940" s="249"/>
      <c r="B1940" s="252"/>
      <c r="C1940" s="40" t="s">
        <v>4119</v>
      </c>
      <c r="D1940" s="40" t="s">
        <v>3752</v>
      </c>
      <c r="E1940" s="41">
        <v>0.5</v>
      </c>
      <c r="F1940" s="35">
        <v>21.555499999999999</v>
      </c>
      <c r="G1940" s="38">
        <f t="shared" si="31"/>
        <v>10.777749999999999</v>
      </c>
      <c r="H1940" s="43">
        <f>SUM(G1940:G1942)</f>
        <v>24.448250000000002</v>
      </c>
      <c r="I1940" s="44"/>
      <c r="J1940" s="34">
        <v>0</v>
      </c>
    </row>
    <row r="1941" spans="1:10" ht="26.25" hidden="1" thickBot="1" x14ac:dyDescent="0.3">
      <c r="A1941" s="249"/>
      <c r="B1941" s="252"/>
      <c r="C1941" s="40" t="s">
        <v>4110</v>
      </c>
      <c r="D1941" s="40" t="s">
        <v>3752</v>
      </c>
      <c r="E1941" s="41">
        <v>0.5</v>
      </c>
      <c r="F1941" s="35">
        <v>27.341000000000001</v>
      </c>
      <c r="G1941" s="38">
        <f t="shared" si="31"/>
        <v>13.670500000000001</v>
      </c>
      <c r="H1941" s="39"/>
      <c r="I1941" s="35"/>
      <c r="J1941" s="34">
        <v>0</v>
      </c>
    </row>
    <row r="1942" spans="1:10" ht="15.75" hidden="1" thickBot="1" x14ac:dyDescent="0.3">
      <c r="A1942" s="249"/>
      <c r="B1942" s="252"/>
      <c r="C1942" s="40" t="s">
        <v>502</v>
      </c>
      <c r="D1942" s="40" t="s">
        <v>102</v>
      </c>
      <c r="E1942" s="41">
        <v>1</v>
      </c>
      <c r="F1942" s="38" t="s">
        <v>23</v>
      </c>
      <c r="G1942" s="38" t="str">
        <f t="shared" si="31"/>
        <v/>
      </c>
      <c r="H1942" s="39"/>
      <c r="I1942" s="35"/>
      <c r="J1942" s="34">
        <v>0</v>
      </c>
    </row>
    <row r="1943" spans="1:10" ht="15.75" hidden="1" thickBot="1" x14ac:dyDescent="0.3">
      <c r="A1943" s="250"/>
      <c r="B1943" s="253"/>
      <c r="C1943" s="40"/>
      <c r="D1943" s="40"/>
      <c r="E1943" s="41"/>
      <c r="F1943" s="35" t="s">
        <v>23</v>
      </c>
      <c r="G1943" s="35" t="str">
        <f t="shared" si="31"/>
        <v/>
      </c>
      <c r="H1943" s="39"/>
      <c r="I1943" s="35"/>
      <c r="J1943" s="34">
        <v>0</v>
      </c>
    </row>
    <row r="1944" spans="1:10" ht="15.75" hidden="1" thickBot="1" x14ac:dyDescent="0.3">
      <c r="A1944" s="248" t="s">
        <v>503</v>
      </c>
      <c r="B1944" s="251" t="s">
        <v>2344</v>
      </c>
      <c r="C1944" s="28"/>
      <c r="D1944" s="29" t="s">
        <v>28</v>
      </c>
      <c r="E1944" s="30"/>
      <c r="F1944" s="45" t="s">
        <v>23</v>
      </c>
      <c r="G1944" s="31" t="str">
        <f t="shared" si="31"/>
        <v/>
      </c>
      <c r="H1944" s="32"/>
      <c r="I1944" s="33"/>
      <c r="J1944" s="34">
        <v>0</v>
      </c>
    </row>
    <row r="1945" spans="1:10" ht="15.75" hidden="1" thickBot="1" x14ac:dyDescent="0.3">
      <c r="A1945" s="249"/>
      <c r="B1945" s="252"/>
      <c r="C1945" s="36"/>
      <c r="D1945" s="36"/>
      <c r="E1945" s="37"/>
      <c r="F1945" s="46" t="s">
        <v>23</v>
      </c>
      <c r="G1945" s="35" t="str">
        <f t="shared" si="31"/>
        <v/>
      </c>
      <c r="H1945" s="39"/>
      <c r="I1945" s="35"/>
      <c r="J1945" s="34">
        <v>0</v>
      </c>
    </row>
    <row r="1946" spans="1:10" ht="26.25" hidden="1" thickBot="1" x14ac:dyDescent="0.3">
      <c r="A1946" s="249"/>
      <c r="B1946" s="252"/>
      <c r="C1946" s="40" t="s">
        <v>4119</v>
      </c>
      <c r="D1946" s="40" t="s">
        <v>3752</v>
      </c>
      <c r="E1946" s="41">
        <v>0.14849999999999999</v>
      </c>
      <c r="F1946" s="35">
        <v>21.555499999999999</v>
      </c>
      <c r="G1946" s="35">
        <f t="shared" si="31"/>
        <v>3.2009917499999996</v>
      </c>
      <c r="H1946" s="43">
        <f>SUM(G1946:G1949)</f>
        <v>7.444214249999999</v>
      </c>
      <c r="I1946" s="44"/>
      <c r="J1946" s="34">
        <v>0</v>
      </c>
    </row>
    <row r="1947" spans="1:10" ht="26.25" hidden="1" thickBot="1" x14ac:dyDescent="0.3">
      <c r="A1947" s="249"/>
      <c r="B1947" s="252"/>
      <c r="C1947" s="40" t="s">
        <v>4110</v>
      </c>
      <c r="D1947" s="40" t="s">
        <v>3752</v>
      </c>
      <c r="E1947" s="41">
        <v>0.14849999999999999</v>
      </c>
      <c r="F1947" s="35">
        <v>27.341000000000001</v>
      </c>
      <c r="G1947" s="35">
        <f t="shared" si="31"/>
        <v>4.0601384999999999</v>
      </c>
      <c r="H1947" s="39"/>
      <c r="I1947" s="35"/>
      <c r="J1947" s="34">
        <v>0</v>
      </c>
    </row>
    <row r="1948" spans="1:10" ht="39" hidden="1" thickBot="1" x14ac:dyDescent="0.3">
      <c r="A1948" s="249"/>
      <c r="B1948" s="252"/>
      <c r="C1948" s="40" t="s">
        <v>504</v>
      </c>
      <c r="D1948" s="40" t="s">
        <v>102</v>
      </c>
      <c r="E1948" s="41">
        <v>1</v>
      </c>
      <c r="F1948" s="38" t="s">
        <v>23</v>
      </c>
      <c r="G1948" s="35" t="str">
        <f t="shared" si="31"/>
        <v/>
      </c>
      <c r="H1948" s="39"/>
      <c r="I1948" s="35"/>
      <c r="J1948" s="34">
        <v>0</v>
      </c>
    </row>
    <row r="1949" spans="1:10" ht="15.75" hidden="1" thickBot="1" x14ac:dyDescent="0.3">
      <c r="A1949" s="249"/>
      <c r="B1949" s="252"/>
      <c r="C1949" s="40" t="s">
        <v>3867</v>
      </c>
      <c r="D1949" s="40" t="s">
        <v>291</v>
      </c>
      <c r="E1949" s="41">
        <v>1.32E-2</v>
      </c>
      <c r="F1949" s="38">
        <v>13.87</v>
      </c>
      <c r="G1949" s="35">
        <f t="shared" si="31"/>
        <v>0.183084</v>
      </c>
      <c r="H1949" s="39"/>
      <c r="I1949" s="35"/>
      <c r="J1949" s="34">
        <v>0</v>
      </c>
    </row>
    <row r="1950" spans="1:10" ht="15.75" hidden="1" thickBot="1" x14ac:dyDescent="0.3">
      <c r="A1950" s="250"/>
      <c r="B1950" s="253"/>
      <c r="C1950" s="40"/>
      <c r="D1950" s="40"/>
      <c r="E1950" s="41"/>
      <c r="F1950" s="35" t="s">
        <v>23</v>
      </c>
      <c r="G1950" s="35" t="str">
        <f t="shared" si="31"/>
        <v/>
      </c>
      <c r="H1950" s="39"/>
      <c r="I1950" s="35"/>
      <c r="J1950" s="34">
        <v>0</v>
      </c>
    </row>
    <row r="1951" spans="1:10" ht="15.75" hidden="1" thickBot="1" x14ac:dyDescent="0.3">
      <c r="A1951" s="248" t="s">
        <v>505</v>
      </c>
      <c r="B1951" s="251" t="s">
        <v>2345</v>
      </c>
      <c r="C1951" s="28"/>
      <c r="D1951" s="29" t="s">
        <v>28</v>
      </c>
      <c r="E1951" s="30"/>
      <c r="F1951" s="45" t="s">
        <v>23</v>
      </c>
      <c r="G1951" s="31" t="str">
        <f t="shared" si="31"/>
        <v/>
      </c>
      <c r="H1951" s="32"/>
      <c r="I1951" s="33"/>
      <c r="J1951" s="34">
        <v>0</v>
      </c>
    </row>
    <row r="1952" spans="1:10" ht="15.75" hidden="1" thickBot="1" x14ac:dyDescent="0.3">
      <c r="A1952" s="249"/>
      <c r="B1952" s="252"/>
      <c r="C1952" s="36"/>
      <c r="D1952" s="36"/>
      <c r="E1952" s="37"/>
      <c r="F1952" s="46" t="s">
        <v>23</v>
      </c>
      <c r="G1952" s="35" t="str">
        <f t="shared" si="31"/>
        <v/>
      </c>
      <c r="H1952" s="39"/>
      <c r="I1952" s="35"/>
      <c r="J1952" s="34">
        <v>0</v>
      </c>
    </row>
    <row r="1953" spans="1:10" ht="26.25" hidden="1" thickBot="1" x14ac:dyDescent="0.3">
      <c r="A1953" s="249"/>
      <c r="B1953" s="252"/>
      <c r="C1953" s="40" t="s">
        <v>4119</v>
      </c>
      <c r="D1953" s="40" t="s">
        <v>3752</v>
      </c>
      <c r="E1953" s="41">
        <v>0.11020000000000001</v>
      </c>
      <c r="F1953" s="35">
        <v>21.555499999999999</v>
      </c>
      <c r="G1953" s="35">
        <f t="shared" si="31"/>
        <v>2.3754160999999998</v>
      </c>
      <c r="H1953" s="43">
        <f>SUM(G1953:G1956)</f>
        <v>5.5354162999999996</v>
      </c>
      <c r="I1953" s="44"/>
      <c r="J1953" s="34">
        <v>0</v>
      </c>
    </row>
    <row r="1954" spans="1:10" ht="26.25" hidden="1" thickBot="1" x14ac:dyDescent="0.3">
      <c r="A1954" s="249"/>
      <c r="B1954" s="252"/>
      <c r="C1954" s="40" t="s">
        <v>4110</v>
      </c>
      <c r="D1954" s="40" t="s">
        <v>3752</v>
      </c>
      <c r="E1954" s="41">
        <v>0.11020000000000001</v>
      </c>
      <c r="F1954" s="35">
        <v>27.341000000000001</v>
      </c>
      <c r="G1954" s="35">
        <f t="shared" si="31"/>
        <v>3.0129782000000005</v>
      </c>
      <c r="H1954" s="39"/>
      <c r="I1954" s="35"/>
      <c r="J1954" s="34">
        <v>0</v>
      </c>
    </row>
    <row r="1955" spans="1:10" ht="39" hidden="1" thickBot="1" x14ac:dyDescent="0.3">
      <c r="A1955" s="249"/>
      <c r="B1955" s="252"/>
      <c r="C1955" s="40" t="s">
        <v>506</v>
      </c>
      <c r="D1955" s="40" t="s">
        <v>102</v>
      </c>
      <c r="E1955" s="41">
        <v>1</v>
      </c>
      <c r="F1955" s="38" t="s">
        <v>23</v>
      </c>
      <c r="G1955" s="35" t="str">
        <f t="shared" si="31"/>
        <v/>
      </c>
      <c r="H1955" s="39"/>
      <c r="I1955" s="35"/>
      <c r="J1955" s="34">
        <v>0</v>
      </c>
    </row>
    <row r="1956" spans="1:10" ht="15.75" hidden="1" thickBot="1" x14ac:dyDescent="0.3">
      <c r="A1956" s="249"/>
      <c r="B1956" s="252"/>
      <c r="C1956" s="40" t="s">
        <v>3867</v>
      </c>
      <c r="D1956" s="40" t="s">
        <v>291</v>
      </c>
      <c r="E1956" s="41">
        <v>1.06E-2</v>
      </c>
      <c r="F1956" s="38">
        <v>13.87</v>
      </c>
      <c r="G1956" s="35">
        <f t="shared" si="31"/>
        <v>0.14702199999999999</v>
      </c>
      <c r="H1956" s="39"/>
      <c r="I1956" s="35"/>
      <c r="J1956" s="34">
        <v>0</v>
      </c>
    </row>
    <row r="1957" spans="1:10" ht="15.75" hidden="1" thickBot="1" x14ac:dyDescent="0.3">
      <c r="A1957" s="250"/>
      <c r="B1957" s="253"/>
      <c r="C1957" s="40"/>
      <c r="D1957" s="40"/>
      <c r="E1957" s="41"/>
      <c r="F1957" s="35" t="s">
        <v>23</v>
      </c>
      <c r="G1957" s="35" t="str">
        <f t="shared" si="31"/>
        <v/>
      </c>
      <c r="H1957" s="39"/>
      <c r="I1957" s="35"/>
      <c r="J1957" s="34">
        <v>0</v>
      </c>
    </row>
    <row r="1958" spans="1:10" ht="15.75" hidden="1" thickBot="1" x14ac:dyDescent="0.3">
      <c r="A1958" s="248" t="s">
        <v>507</v>
      </c>
      <c r="B1958" s="251" t="s">
        <v>2346</v>
      </c>
      <c r="C1958" s="28"/>
      <c r="D1958" s="29" t="s">
        <v>28</v>
      </c>
      <c r="E1958" s="30"/>
      <c r="F1958" s="45" t="s">
        <v>23</v>
      </c>
      <c r="G1958" s="31" t="str">
        <f t="shared" si="31"/>
        <v/>
      </c>
      <c r="H1958" s="32"/>
      <c r="I1958" s="33"/>
      <c r="J1958" s="34">
        <v>0</v>
      </c>
    </row>
    <row r="1959" spans="1:10" ht="15.75" hidden="1" thickBot="1" x14ac:dyDescent="0.3">
      <c r="A1959" s="249"/>
      <c r="B1959" s="252"/>
      <c r="C1959" s="36"/>
      <c r="D1959" s="36"/>
      <c r="E1959" s="37"/>
      <c r="F1959" s="46" t="s">
        <v>23</v>
      </c>
      <c r="G1959" s="35" t="str">
        <f t="shared" si="31"/>
        <v/>
      </c>
      <c r="H1959" s="39"/>
      <c r="I1959" s="35"/>
      <c r="J1959" s="34">
        <v>0</v>
      </c>
    </row>
    <row r="1960" spans="1:10" ht="26.25" hidden="1" thickBot="1" x14ac:dyDescent="0.3">
      <c r="A1960" s="249"/>
      <c r="B1960" s="252"/>
      <c r="C1960" s="40" t="s">
        <v>4119</v>
      </c>
      <c r="D1960" s="40" t="s">
        <v>3752</v>
      </c>
      <c r="E1960" s="41">
        <v>0.14849999999999999</v>
      </c>
      <c r="F1960" s="35">
        <v>21.555499999999999</v>
      </c>
      <c r="G1960" s="35">
        <f t="shared" si="31"/>
        <v>3.2009917499999996</v>
      </c>
      <c r="H1960" s="43">
        <f>SUM(G1960:G1964)</f>
        <v>7.444214249999999</v>
      </c>
      <c r="I1960" s="44"/>
      <c r="J1960" s="34">
        <v>0</v>
      </c>
    </row>
    <row r="1961" spans="1:10" ht="26.25" hidden="1" thickBot="1" x14ac:dyDescent="0.3">
      <c r="A1961" s="249"/>
      <c r="B1961" s="252"/>
      <c r="C1961" s="40" t="s">
        <v>4110</v>
      </c>
      <c r="D1961" s="40" t="s">
        <v>3752</v>
      </c>
      <c r="E1961" s="41">
        <v>0.14849999999999999</v>
      </c>
      <c r="F1961" s="35">
        <v>27.341000000000001</v>
      </c>
      <c r="G1961" s="35">
        <f t="shared" si="31"/>
        <v>4.0601384999999999</v>
      </c>
      <c r="H1961" s="39"/>
      <c r="I1961" s="35"/>
      <c r="J1961" s="34">
        <v>0</v>
      </c>
    </row>
    <row r="1962" spans="1:10" ht="15.75" hidden="1" thickBot="1" x14ac:dyDescent="0.3">
      <c r="A1962" s="249"/>
      <c r="B1962" s="252"/>
      <c r="C1962" s="40" t="s">
        <v>3867</v>
      </c>
      <c r="D1962" s="40" t="s">
        <v>291</v>
      </c>
      <c r="E1962" s="41">
        <v>1.32E-2</v>
      </c>
      <c r="F1962" s="38">
        <v>13.87</v>
      </c>
      <c r="G1962" s="35">
        <f t="shared" si="31"/>
        <v>0.183084</v>
      </c>
      <c r="H1962" s="39"/>
      <c r="I1962" s="35"/>
      <c r="J1962" s="34">
        <v>0</v>
      </c>
    </row>
    <row r="1963" spans="1:10" ht="39" hidden="1" thickBot="1" x14ac:dyDescent="0.3">
      <c r="A1963" s="249"/>
      <c r="B1963" s="252"/>
      <c r="C1963" s="40" t="s">
        <v>508</v>
      </c>
      <c r="D1963" s="40" t="s">
        <v>102</v>
      </c>
      <c r="E1963" s="41">
        <v>1</v>
      </c>
      <c r="F1963" s="38" t="s">
        <v>23</v>
      </c>
      <c r="G1963" s="35" t="str">
        <f t="shared" si="31"/>
        <v/>
      </c>
      <c r="H1963" s="39"/>
      <c r="I1963" s="35"/>
      <c r="J1963" s="34">
        <v>0</v>
      </c>
    </row>
    <row r="1964" spans="1:10" ht="39" hidden="1" thickBot="1" x14ac:dyDescent="0.3">
      <c r="A1964" s="249"/>
      <c r="B1964" s="252"/>
      <c r="C1964" s="40" t="s">
        <v>509</v>
      </c>
      <c r="D1964" s="40" t="s">
        <v>102</v>
      </c>
      <c r="E1964" s="41">
        <v>1</v>
      </c>
      <c r="F1964" s="38" t="s">
        <v>23</v>
      </c>
      <c r="G1964" s="35" t="str">
        <f t="shared" si="31"/>
        <v/>
      </c>
      <c r="H1964" s="39"/>
      <c r="I1964" s="35"/>
      <c r="J1964" s="34">
        <v>0</v>
      </c>
    </row>
    <row r="1965" spans="1:10" ht="15.75" hidden="1" thickBot="1" x14ac:dyDescent="0.3">
      <c r="A1965" s="250"/>
      <c r="B1965" s="253"/>
      <c r="C1965" s="40"/>
      <c r="D1965" s="40"/>
      <c r="E1965" s="41"/>
      <c r="F1965" s="35" t="s">
        <v>23</v>
      </c>
      <c r="G1965" s="35" t="str">
        <f t="shared" si="31"/>
        <v/>
      </c>
      <c r="H1965" s="39"/>
      <c r="I1965" s="35"/>
      <c r="J1965" s="34">
        <v>0</v>
      </c>
    </row>
    <row r="1966" spans="1:10" ht="15.75" hidden="1" thickBot="1" x14ac:dyDescent="0.3">
      <c r="A1966" s="248" t="s">
        <v>510</v>
      </c>
      <c r="B1966" s="251" t="s">
        <v>2347</v>
      </c>
      <c r="C1966" s="28"/>
      <c r="D1966" s="29" t="s">
        <v>28</v>
      </c>
      <c r="E1966" s="30"/>
      <c r="F1966" s="45" t="s">
        <v>23</v>
      </c>
      <c r="G1966" s="31" t="str">
        <f t="shared" si="31"/>
        <v/>
      </c>
      <c r="H1966" s="32"/>
      <c r="I1966" s="33"/>
      <c r="J1966" s="34">
        <v>0</v>
      </c>
    </row>
    <row r="1967" spans="1:10" ht="15.75" hidden="1" thickBot="1" x14ac:dyDescent="0.3">
      <c r="A1967" s="249"/>
      <c r="B1967" s="252"/>
      <c r="C1967" s="36"/>
      <c r="D1967" s="36"/>
      <c r="E1967" s="37"/>
      <c r="F1967" s="46" t="s">
        <v>23</v>
      </c>
      <c r="G1967" s="35" t="str">
        <f t="shared" si="31"/>
        <v/>
      </c>
      <c r="H1967" s="39"/>
      <c r="I1967" s="35"/>
      <c r="J1967" s="34">
        <v>0</v>
      </c>
    </row>
    <row r="1968" spans="1:10" ht="26.25" hidden="1" thickBot="1" x14ac:dyDescent="0.3">
      <c r="A1968" s="249"/>
      <c r="B1968" s="252"/>
      <c r="C1968" s="40" t="s">
        <v>4119</v>
      </c>
      <c r="D1968" s="40" t="s">
        <v>3752</v>
      </c>
      <c r="E1968" s="41">
        <v>0.11020000000000001</v>
      </c>
      <c r="F1968" s="35">
        <v>21.555499999999999</v>
      </c>
      <c r="G1968" s="35">
        <f t="shared" si="31"/>
        <v>2.3754160999999998</v>
      </c>
      <c r="H1968" s="43">
        <f>SUM(G1968:G1972)</f>
        <v>5.5354162999999996</v>
      </c>
      <c r="I1968" s="44"/>
      <c r="J1968" s="34">
        <v>0</v>
      </c>
    </row>
    <row r="1969" spans="1:10" ht="26.25" hidden="1" thickBot="1" x14ac:dyDescent="0.3">
      <c r="A1969" s="249"/>
      <c r="B1969" s="252"/>
      <c r="C1969" s="40" t="s">
        <v>4110</v>
      </c>
      <c r="D1969" s="40" t="s">
        <v>3752</v>
      </c>
      <c r="E1969" s="41">
        <v>0.11020000000000001</v>
      </c>
      <c r="F1969" s="35">
        <v>27.341000000000001</v>
      </c>
      <c r="G1969" s="35">
        <f t="shared" si="31"/>
        <v>3.0129782000000005</v>
      </c>
      <c r="H1969" s="39"/>
      <c r="I1969" s="35"/>
      <c r="J1969" s="34">
        <v>0</v>
      </c>
    </row>
    <row r="1970" spans="1:10" ht="15.75" hidden="1" thickBot="1" x14ac:dyDescent="0.3">
      <c r="A1970" s="249"/>
      <c r="B1970" s="252"/>
      <c r="C1970" s="40" t="s">
        <v>3867</v>
      </c>
      <c r="D1970" s="40" t="s">
        <v>291</v>
      </c>
      <c r="E1970" s="41">
        <v>1.06E-2</v>
      </c>
      <c r="F1970" s="38">
        <v>13.87</v>
      </c>
      <c r="G1970" s="35">
        <f t="shared" si="31"/>
        <v>0.14702199999999999</v>
      </c>
      <c r="H1970" s="39"/>
      <c r="I1970" s="35"/>
      <c r="J1970" s="34">
        <v>0</v>
      </c>
    </row>
    <row r="1971" spans="1:10" ht="39" hidden="1" thickBot="1" x14ac:dyDescent="0.3">
      <c r="A1971" s="249"/>
      <c r="B1971" s="252"/>
      <c r="C1971" s="40" t="s">
        <v>508</v>
      </c>
      <c r="D1971" s="40" t="s">
        <v>102</v>
      </c>
      <c r="E1971" s="41">
        <v>1</v>
      </c>
      <c r="F1971" s="38" t="s">
        <v>23</v>
      </c>
      <c r="G1971" s="35" t="str">
        <f t="shared" si="31"/>
        <v/>
      </c>
      <c r="H1971" s="39"/>
      <c r="I1971" s="35"/>
      <c r="J1971" s="34">
        <v>0</v>
      </c>
    </row>
    <row r="1972" spans="1:10" ht="39" hidden="1" thickBot="1" x14ac:dyDescent="0.3">
      <c r="A1972" s="249"/>
      <c r="B1972" s="252"/>
      <c r="C1972" s="40" t="s">
        <v>511</v>
      </c>
      <c r="D1972" s="40" t="s">
        <v>102</v>
      </c>
      <c r="E1972" s="41">
        <v>1</v>
      </c>
      <c r="F1972" s="38" t="s">
        <v>23</v>
      </c>
      <c r="G1972" s="35" t="str">
        <f t="shared" si="31"/>
        <v/>
      </c>
      <c r="H1972" s="39"/>
      <c r="I1972" s="35"/>
      <c r="J1972" s="34">
        <v>0</v>
      </c>
    </row>
    <row r="1973" spans="1:10" ht="15.75" hidden="1" thickBot="1" x14ac:dyDescent="0.3">
      <c r="A1973" s="250"/>
      <c r="B1973" s="253"/>
      <c r="C1973" s="40"/>
      <c r="D1973" s="40"/>
      <c r="E1973" s="41"/>
      <c r="F1973" s="35" t="s">
        <v>23</v>
      </c>
      <c r="G1973" s="35" t="str">
        <f t="shared" si="31"/>
        <v/>
      </c>
      <c r="H1973" s="39"/>
      <c r="I1973" s="35"/>
      <c r="J1973" s="34">
        <v>0</v>
      </c>
    </row>
    <row r="1974" spans="1:10" ht="15.75" hidden="1" thickBot="1" x14ac:dyDescent="0.3">
      <c r="A1974" s="248" t="s">
        <v>512</v>
      </c>
      <c r="B1974" s="251" t="s">
        <v>2348</v>
      </c>
      <c r="C1974" s="28"/>
      <c r="D1974" s="29" t="s">
        <v>28</v>
      </c>
      <c r="E1974" s="30"/>
      <c r="F1974" s="45" t="s">
        <v>23</v>
      </c>
      <c r="G1974" s="31" t="str">
        <f t="shared" si="31"/>
        <v/>
      </c>
      <c r="H1974" s="32"/>
      <c r="I1974" s="33"/>
      <c r="J1974" s="34">
        <v>0</v>
      </c>
    </row>
    <row r="1975" spans="1:10" ht="15.75" hidden="1" thickBot="1" x14ac:dyDescent="0.3">
      <c r="A1975" s="249"/>
      <c r="B1975" s="252"/>
      <c r="C1975" s="36"/>
      <c r="D1975" s="36"/>
      <c r="E1975" s="37"/>
      <c r="F1975" s="46" t="s">
        <v>23</v>
      </c>
      <c r="G1975" s="35" t="str">
        <f t="shared" si="31"/>
        <v/>
      </c>
      <c r="H1975" s="39"/>
      <c r="I1975" s="35"/>
      <c r="J1975" s="34">
        <v>0</v>
      </c>
    </row>
    <row r="1976" spans="1:10" ht="15.75" hidden="1" thickBot="1" x14ac:dyDescent="0.3">
      <c r="A1976" s="249"/>
      <c r="B1976" s="252"/>
      <c r="C1976" s="40" t="s">
        <v>3867</v>
      </c>
      <c r="D1976" s="40" t="s">
        <v>291</v>
      </c>
      <c r="E1976" s="41">
        <v>1.9E-2</v>
      </c>
      <c r="F1976" s="38">
        <v>13.87</v>
      </c>
      <c r="G1976" s="35">
        <f t="shared" si="31"/>
        <v>0.26352999999999999</v>
      </c>
      <c r="H1976" s="43">
        <f>SUM(G1976:G1979)</f>
        <v>190.94947844999996</v>
      </c>
      <c r="I1976" s="44"/>
      <c r="J1976" s="34">
        <v>0</v>
      </c>
    </row>
    <row r="1977" spans="1:10" ht="26.25" hidden="1" thickBot="1" x14ac:dyDescent="0.3">
      <c r="A1977" s="249"/>
      <c r="B1977" s="252"/>
      <c r="C1977" s="40" t="s">
        <v>3910</v>
      </c>
      <c r="D1977" s="40" t="s">
        <v>291</v>
      </c>
      <c r="E1977" s="41">
        <v>1</v>
      </c>
      <c r="F1977" s="38">
        <v>177.81149999999997</v>
      </c>
      <c r="G1977" s="35">
        <f t="shared" si="31"/>
        <v>177.81149999999997</v>
      </c>
      <c r="H1977" s="39"/>
      <c r="I1977" s="35"/>
      <c r="J1977" s="34">
        <v>0</v>
      </c>
    </row>
    <row r="1978" spans="1:10" ht="26.25" hidden="1" thickBot="1" x14ac:dyDescent="0.3">
      <c r="A1978" s="249"/>
      <c r="B1978" s="252"/>
      <c r="C1978" s="40" t="s">
        <v>4119</v>
      </c>
      <c r="D1978" s="40" t="s">
        <v>3752</v>
      </c>
      <c r="E1978" s="41">
        <v>0.26329999999999998</v>
      </c>
      <c r="F1978" s="35">
        <v>21.555499999999999</v>
      </c>
      <c r="G1978" s="38">
        <f t="shared" si="31"/>
        <v>5.6755631499999994</v>
      </c>
      <c r="H1978" s="39"/>
      <c r="I1978" s="35"/>
      <c r="J1978" s="34">
        <v>0</v>
      </c>
    </row>
    <row r="1979" spans="1:10" ht="26.25" hidden="1" thickBot="1" x14ac:dyDescent="0.3">
      <c r="A1979" s="249"/>
      <c r="B1979" s="252"/>
      <c r="C1979" s="40" t="s">
        <v>4110</v>
      </c>
      <c r="D1979" s="40" t="s">
        <v>3752</v>
      </c>
      <c r="E1979" s="41">
        <v>0.26329999999999998</v>
      </c>
      <c r="F1979" s="35">
        <v>27.341000000000001</v>
      </c>
      <c r="G1979" s="38">
        <f t="shared" si="31"/>
        <v>7.1988852999999997</v>
      </c>
      <c r="H1979" s="39"/>
      <c r="I1979" s="35"/>
      <c r="J1979" s="34">
        <v>0</v>
      </c>
    </row>
    <row r="1980" spans="1:10" ht="15.75" hidden="1" thickBot="1" x14ac:dyDescent="0.3">
      <c r="A1980" s="250"/>
      <c r="B1980" s="253"/>
      <c r="C1980" s="40"/>
      <c r="D1980" s="40"/>
      <c r="E1980" s="41"/>
      <c r="F1980" s="35" t="s">
        <v>23</v>
      </c>
      <c r="G1980" s="35" t="str">
        <f t="shared" si="31"/>
        <v/>
      </c>
      <c r="H1980" s="39"/>
      <c r="I1980" s="35"/>
      <c r="J1980" s="34">
        <v>0</v>
      </c>
    </row>
    <row r="1981" spans="1:10" ht="15.75" hidden="1" thickBot="1" x14ac:dyDescent="0.3">
      <c r="A1981" s="248" t="s">
        <v>513</v>
      </c>
      <c r="B1981" s="251" t="s">
        <v>2349</v>
      </c>
      <c r="C1981" s="28"/>
      <c r="D1981" s="29" t="s">
        <v>28</v>
      </c>
      <c r="E1981" s="30"/>
      <c r="F1981" s="45" t="s">
        <v>23</v>
      </c>
      <c r="G1981" s="31" t="str">
        <f t="shared" si="31"/>
        <v/>
      </c>
      <c r="H1981" s="32"/>
      <c r="I1981" s="33"/>
      <c r="J1981" s="34">
        <v>0</v>
      </c>
    </row>
    <row r="1982" spans="1:10" ht="15.75" hidden="1" thickBot="1" x14ac:dyDescent="0.3">
      <c r="A1982" s="249"/>
      <c r="B1982" s="252"/>
      <c r="C1982" s="36"/>
      <c r="D1982" s="36"/>
      <c r="E1982" s="37"/>
      <c r="F1982" s="46" t="s">
        <v>23</v>
      </c>
      <c r="G1982" s="35" t="str">
        <f t="shared" si="31"/>
        <v/>
      </c>
      <c r="H1982" s="39"/>
      <c r="I1982" s="35"/>
      <c r="J1982" s="34">
        <v>0</v>
      </c>
    </row>
    <row r="1983" spans="1:10" ht="15.75" hidden="1" thickBot="1" x14ac:dyDescent="0.3">
      <c r="A1983" s="249"/>
      <c r="B1983" s="252"/>
      <c r="C1983" s="40" t="s">
        <v>3867</v>
      </c>
      <c r="D1983" s="40" t="s">
        <v>291</v>
      </c>
      <c r="E1983" s="41">
        <v>1.6799999999999999E-2</v>
      </c>
      <c r="F1983" s="38">
        <v>13.87</v>
      </c>
      <c r="G1983" s="35">
        <f t="shared" si="31"/>
        <v>0.23301599999999997</v>
      </c>
      <c r="H1983" s="43">
        <f>SUM(G1983:G1986)</f>
        <v>157.66899864999996</v>
      </c>
      <c r="I1983" s="44"/>
      <c r="J1983" s="34">
        <v>0</v>
      </c>
    </row>
    <row r="1984" spans="1:10" ht="26.25" hidden="1" thickBot="1" x14ac:dyDescent="0.3">
      <c r="A1984" s="249"/>
      <c r="B1984" s="252"/>
      <c r="C1984" s="40" t="s">
        <v>3911</v>
      </c>
      <c r="D1984" s="40" t="s">
        <v>291</v>
      </c>
      <c r="E1984" s="41">
        <v>1</v>
      </c>
      <c r="F1984" s="38">
        <v>147.55399999999997</v>
      </c>
      <c r="G1984" s="35">
        <f t="shared" si="31"/>
        <v>147.55399999999997</v>
      </c>
      <c r="H1984" s="39"/>
      <c r="I1984" s="35"/>
      <c r="J1984" s="34">
        <v>0</v>
      </c>
    </row>
    <row r="1985" spans="1:10" ht="26.25" hidden="1" thickBot="1" x14ac:dyDescent="0.3">
      <c r="A1985" s="249"/>
      <c r="B1985" s="252"/>
      <c r="C1985" s="40" t="s">
        <v>4119</v>
      </c>
      <c r="D1985" s="40" t="s">
        <v>3752</v>
      </c>
      <c r="E1985" s="41">
        <v>0.2021</v>
      </c>
      <c r="F1985" s="35">
        <v>21.555499999999999</v>
      </c>
      <c r="G1985" s="38">
        <f t="shared" si="31"/>
        <v>4.3563665499999997</v>
      </c>
      <c r="H1985" s="39"/>
      <c r="I1985" s="35"/>
      <c r="J1985" s="34">
        <v>0</v>
      </c>
    </row>
    <row r="1986" spans="1:10" ht="26.25" hidden="1" thickBot="1" x14ac:dyDescent="0.3">
      <c r="A1986" s="249"/>
      <c r="B1986" s="252"/>
      <c r="C1986" s="40" t="s">
        <v>4110</v>
      </c>
      <c r="D1986" s="40" t="s">
        <v>3752</v>
      </c>
      <c r="E1986" s="41">
        <v>0.2021</v>
      </c>
      <c r="F1986" s="35">
        <v>27.341000000000001</v>
      </c>
      <c r="G1986" s="38">
        <f t="shared" si="31"/>
        <v>5.5256161000000006</v>
      </c>
      <c r="H1986" s="39"/>
      <c r="I1986" s="35"/>
      <c r="J1986" s="34">
        <v>0</v>
      </c>
    </row>
    <row r="1987" spans="1:10" ht="15.75" hidden="1" thickBot="1" x14ac:dyDescent="0.3">
      <c r="A1987" s="250"/>
      <c r="B1987" s="253"/>
      <c r="C1987" s="40"/>
      <c r="D1987" s="40"/>
      <c r="E1987" s="41"/>
      <c r="F1987" s="35" t="s">
        <v>23</v>
      </c>
      <c r="G1987" s="35" t="str">
        <f t="shared" si="31"/>
        <v/>
      </c>
      <c r="H1987" s="39"/>
      <c r="I1987" s="35"/>
      <c r="J1987" s="34">
        <v>0</v>
      </c>
    </row>
    <row r="1988" spans="1:10" ht="15.75" hidden="1" thickBot="1" x14ac:dyDescent="0.3">
      <c r="A1988" s="248" t="s">
        <v>514</v>
      </c>
      <c r="B1988" s="251" t="s">
        <v>2350</v>
      </c>
      <c r="C1988" s="28"/>
      <c r="D1988" s="29" t="s">
        <v>28</v>
      </c>
      <c r="E1988" s="30"/>
      <c r="F1988" s="45" t="s">
        <v>23</v>
      </c>
      <c r="G1988" s="31" t="str">
        <f t="shared" si="31"/>
        <v/>
      </c>
      <c r="H1988" s="32"/>
      <c r="I1988" s="33"/>
      <c r="J1988" s="34">
        <v>0</v>
      </c>
    </row>
    <row r="1989" spans="1:10" ht="15.75" hidden="1" thickBot="1" x14ac:dyDescent="0.3">
      <c r="A1989" s="249"/>
      <c r="B1989" s="252"/>
      <c r="C1989" s="36"/>
      <c r="D1989" s="36"/>
      <c r="E1989" s="37"/>
      <c r="F1989" s="46" t="s">
        <v>23</v>
      </c>
      <c r="G1989" s="35" t="str">
        <f t="shared" si="31"/>
        <v/>
      </c>
      <c r="H1989" s="39"/>
      <c r="I1989" s="35"/>
      <c r="J1989" s="34">
        <v>0</v>
      </c>
    </row>
    <row r="1990" spans="1:10" ht="15.75" hidden="1" thickBot="1" x14ac:dyDescent="0.3">
      <c r="A1990" s="249"/>
      <c r="B1990" s="252"/>
      <c r="C1990" s="40" t="s">
        <v>3867</v>
      </c>
      <c r="D1990" s="40" t="s">
        <v>291</v>
      </c>
      <c r="E1990" s="41">
        <v>1.32E-2</v>
      </c>
      <c r="F1990" s="38">
        <v>13.87</v>
      </c>
      <c r="G1990" s="35">
        <f t="shared" si="31"/>
        <v>0.183084</v>
      </c>
      <c r="H1990" s="43">
        <f>SUM(G1990:G1993)</f>
        <v>106.44371424999997</v>
      </c>
      <c r="I1990" s="44"/>
      <c r="J1990" s="34">
        <v>0</v>
      </c>
    </row>
    <row r="1991" spans="1:10" ht="15.75" hidden="1" thickBot="1" x14ac:dyDescent="0.3">
      <c r="A1991" s="249"/>
      <c r="B1991" s="252"/>
      <c r="C1991" s="40" t="s">
        <v>3912</v>
      </c>
      <c r="D1991" s="40" t="s">
        <v>291</v>
      </c>
      <c r="E1991" s="41">
        <v>1</v>
      </c>
      <c r="F1991" s="38">
        <v>98.999499999999983</v>
      </c>
      <c r="G1991" s="35">
        <f t="shared" si="31"/>
        <v>98.999499999999983</v>
      </c>
      <c r="H1991" s="39"/>
      <c r="I1991" s="35"/>
      <c r="J1991" s="34">
        <v>0</v>
      </c>
    </row>
    <row r="1992" spans="1:10" ht="26.25" hidden="1" thickBot="1" x14ac:dyDescent="0.3">
      <c r="A1992" s="249"/>
      <c r="B1992" s="252"/>
      <c r="C1992" s="40" t="s">
        <v>4119</v>
      </c>
      <c r="D1992" s="40" t="s">
        <v>3752</v>
      </c>
      <c r="E1992" s="41">
        <v>0.14849999999999999</v>
      </c>
      <c r="F1992" s="35">
        <v>21.555499999999999</v>
      </c>
      <c r="G1992" s="38">
        <f t="shared" si="31"/>
        <v>3.2009917499999996</v>
      </c>
      <c r="H1992" s="39"/>
      <c r="I1992" s="35"/>
      <c r="J1992" s="34">
        <v>0</v>
      </c>
    </row>
    <row r="1993" spans="1:10" ht="26.25" hidden="1" thickBot="1" x14ac:dyDescent="0.3">
      <c r="A1993" s="249"/>
      <c r="B1993" s="252"/>
      <c r="C1993" s="40" t="s">
        <v>4110</v>
      </c>
      <c r="D1993" s="40" t="s">
        <v>3752</v>
      </c>
      <c r="E1993" s="41">
        <v>0.14849999999999999</v>
      </c>
      <c r="F1993" s="35">
        <v>27.341000000000001</v>
      </c>
      <c r="G1993" s="38">
        <f t="shared" si="31"/>
        <v>4.0601384999999999</v>
      </c>
      <c r="H1993" s="39"/>
      <c r="I1993" s="35"/>
      <c r="J1993" s="34">
        <v>0</v>
      </c>
    </row>
    <row r="1994" spans="1:10" ht="15.75" hidden="1" thickBot="1" x14ac:dyDescent="0.3">
      <c r="A1994" s="250"/>
      <c r="B1994" s="253"/>
      <c r="C1994" s="40"/>
      <c r="D1994" s="40"/>
      <c r="E1994" s="41"/>
      <c r="F1994" s="35" t="s">
        <v>23</v>
      </c>
      <c r="G1994" s="35" t="str">
        <f t="shared" si="31"/>
        <v/>
      </c>
      <c r="H1994" s="39"/>
      <c r="I1994" s="35"/>
      <c r="J1994" s="34">
        <v>0</v>
      </c>
    </row>
    <row r="1995" spans="1:10" ht="15.75" hidden="1" thickBot="1" x14ac:dyDescent="0.3">
      <c r="A1995" s="248" t="s">
        <v>515</v>
      </c>
      <c r="B1995" s="251" t="s">
        <v>2351</v>
      </c>
      <c r="C1995" s="28"/>
      <c r="D1995" s="29" t="s">
        <v>28</v>
      </c>
      <c r="E1995" s="30"/>
      <c r="F1995" s="45" t="s">
        <v>23</v>
      </c>
      <c r="G1995" s="31" t="str">
        <f t="shared" si="31"/>
        <v/>
      </c>
      <c r="H1995" s="32"/>
      <c r="I1995" s="33"/>
      <c r="J1995" s="34">
        <v>0</v>
      </c>
    </row>
    <row r="1996" spans="1:10" ht="15.75" hidden="1" thickBot="1" x14ac:dyDescent="0.3">
      <c r="A1996" s="249"/>
      <c r="B1996" s="252"/>
      <c r="C1996" s="36"/>
      <c r="D1996" s="36"/>
      <c r="E1996" s="37"/>
      <c r="F1996" s="46" t="s">
        <v>23</v>
      </c>
      <c r="G1996" s="35" t="str">
        <f t="shared" si="31"/>
        <v/>
      </c>
      <c r="H1996" s="39"/>
      <c r="I1996" s="35"/>
      <c r="J1996" s="34">
        <v>0</v>
      </c>
    </row>
    <row r="1997" spans="1:10" ht="15.75" hidden="1" thickBot="1" x14ac:dyDescent="0.3">
      <c r="A1997" s="249"/>
      <c r="B1997" s="252"/>
      <c r="C1997" s="40" t="s">
        <v>3867</v>
      </c>
      <c r="D1997" s="40" t="s">
        <v>291</v>
      </c>
      <c r="E1997" s="41">
        <v>1.06E-2</v>
      </c>
      <c r="F1997" s="38">
        <v>13.87</v>
      </c>
      <c r="G1997" s="35">
        <f t="shared" si="31"/>
        <v>0.14702199999999999</v>
      </c>
      <c r="H1997" s="43">
        <f>SUM(G1997:G2000)</f>
        <v>78.865916300000009</v>
      </c>
      <c r="I1997" s="44"/>
      <c r="J1997" s="34">
        <v>0</v>
      </c>
    </row>
    <row r="1998" spans="1:10" ht="15.75" hidden="1" thickBot="1" x14ac:dyDescent="0.3">
      <c r="A1998" s="249"/>
      <c r="B1998" s="252"/>
      <c r="C1998" s="40" t="s">
        <v>3913</v>
      </c>
      <c r="D1998" s="40" t="s">
        <v>291</v>
      </c>
      <c r="E1998" s="41">
        <v>1</v>
      </c>
      <c r="F1998" s="38">
        <v>73.330500000000001</v>
      </c>
      <c r="G1998" s="35">
        <f t="shared" si="31"/>
        <v>73.330500000000001</v>
      </c>
      <c r="H1998" s="39"/>
      <c r="I1998" s="35"/>
      <c r="J1998" s="34">
        <v>0</v>
      </c>
    </row>
    <row r="1999" spans="1:10" ht="26.25" hidden="1" thickBot="1" x14ac:dyDescent="0.3">
      <c r="A1999" s="249"/>
      <c r="B1999" s="252"/>
      <c r="C1999" s="40" t="s">
        <v>4119</v>
      </c>
      <c r="D1999" s="40" t="s">
        <v>3752</v>
      </c>
      <c r="E1999" s="41">
        <v>0.11020000000000001</v>
      </c>
      <c r="F1999" s="35">
        <v>21.555499999999999</v>
      </c>
      <c r="G1999" s="38">
        <f t="shared" si="31"/>
        <v>2.3754160999999998</v>
      </c>
      <c r="H1999" s="39"/>
      <c r="I1999" s="35"/>
      <c r="J1999" s="34">
        <v>0</v>
      </c>
    </row>
    <row r="2000" spans="1:10" ht="26.25" hidden="1" thickBot="1" x14ac:dyDescent="0.3">
      <c r="A2000" s="249"/>
      <c r="B2000" s="252"/>
      <c r="C2000" s="40" t="s">
        <v>4110</v>
      </c>
      <c r="D2000" s="40" t="s">
        <v>3752</v>
      </c>
      <c r="E2000" s="41">
        <v>0.11020000000000001</v>
      </c>
      <c r="F2000" s="35">
        <v>27.341000000000001</v>
      </c>
      <c r="G2000" s="38">
        <f t="shared" si="31"/>
        <v>3.0129782000000005</v>
      </c>
      <c r="H2000" s="39"/>
      <c r="I2000" s="35"/>
      <c r="J2000" s="34">
        <v>0</v>
      </c>
    </row>
    <row r="2001" spans="1:10" ht="15.75" hidden="1" thickBot="1" x14ac:dyDescent="0.3">
      <c r="A2001" s="250"/>
      <c r="B2001" s="253"/>
      <c r="C2001" s="40"/>
      <c r="D2001" s="40"/>
      <c r="E2001" s="41"/>
      <c r="F2001" s="35" t="s">
        <v>23</v>
      </c>
      <c r="G2001" s="35" t="str">
        <f t="shared" si="31"/>
        <v/>
      </c>
      <c r="H2001" s="39"/>
      <c r="I2001" s="35"/>
      <c r="J2001" s="34">
        <v>0</v>
      </c>
    </row>
    <row r="2002" spans="1:10" ht="15.75" hidden="1" thickBot="1" x14ac:dyDescent="0.3">
      <c r="A2002" s="248" t="s">
        <v>516</v>
      </c>
      <c r="B2002" s="251" t="s">
        <v>2352</v>
      </c>
      <c r="C2002" s="28"/>
      <c r="D2002" s="29" t="s">
        <v>78</v>
      </c>
      <c r="E2002" s="30"/>
      <c r="F2002" s="45" t="s">
        <v>23</v>
      </c>
      <c r="G2002" s="31" t="str">
        <f t="shared" ref="G2002:G2065" si="32">IF(ISNUMBER(F2002),E2002*F2002,"")</f>
        <v/>
      </c>
      <c r="H2002" s="32"/>
      <c r="I2002" s="33"/>
      <c r="J2002" s="34">
        <v>0</v>
      </c>
    </row>
    <row r="2003" spans="1:10" ht="15.75" hidden="1" thickBot="1" x14ac:dyDescent="0.3">
      <c r="A2003" s="249"/>
      <c r="B2003" s="252"/>
      <c r="C2003" s="36"/>
      <c r="D2003" s="36"/>
      <c r="E2003" s="37"/>
      <c r="F2003" s="46" t="s">
        <v>23</v>
      </c>
      <c r="G2003" s="35" t="str">
        <f t="shared" si="32"/>
        <v/>
      </c>
      <c r="H2003" s="39"/>
      <c r="I2003" s="35"/>
      <c r="J2003" s="34">
        <v>0</v>
      </c>
    </row>
    <row r="2004" spans="1:10" ht="26.25" hidden="1" thickBot="1" x14ac:dyDescent="0.3">
      <c r="A2004" s="249"/>
      <c r="B2004" s="252"/>
      <c r="C2004" s="40" t="s">
        <v>4119</v>
      </c>
      <c r="D2004" s="40" t="s">
        <v>3752</v>
      </c>
      <c r="E2004" s="41">
        <v>0.1</v>
      </c>
      <c r="F2004" s="35">
        <v>21.555499999999999</v>
      </c>
      <c r="G2004" s="38">
        <f t="shared" si="32"/>
        <v>2.1555499999999999</v>
      </c>
      <c r="H2004" s="43">
        <f>SUM(G2004:G2006)</f>
        <v>4.8896499999999996</v>
      </c>
      <c r="I2004" s="44"/>
      <c r="J2004" s="34">
        <v>0</v>
      </c>
    </row>
    <row r="2005" spans="1:10" ht="26.25" hidden="1" thickBot="1" x14ac:dyDescent="0.3">
      <c r="A2005" s="249"/>
      <c r="B2005" s="252"/>
      <c r="C2005" s="40" t="s">
        <v>4110</v>
      </c>
      <c r="D2005" s="40" t="s">
        <v>3752</v>
      </c>
      <c r="E2005" s="41">
        <v>0.1</v>
      </c>
      <c r="F2005" s="35">
        <v>27.341000000000001</v>
      </c>
      <c r="G2005" s="38">
        <f t="shared" si="32"/>
        <v>2.7341000000000002</v>
      </c>
      <c r="H2005" s="39"/>
      <c r="I2005" s="35"/>
      <c r="J2005" s="34">
        <v>0</v>
      </c>
    </row>
    <row r="2006" spans="1:10" ht="26.25" hidden="1" thickBot="1" x14ac:dyDescent="0.3">
      <c r="A2006" s="249"/>
      <c r="B2006" s="252"/>
      <c r="C2006" s="40" t="s">
        <v>517</v>
      </c>
      <c r="D2006" s="53" t="s">
        <v>78</v>
      </c>
      <c r="E2006" s="41">
        <v>1.05</v>
      </c>
      <c r="F2006" s="38" t="s">
        <v>23</v>
      </c>
      <c r="G2006" s="38" t="str">
        <f t="shared" si="32"/>
        <v/>
      </c>
      <c r="H2006" s="39"/>
      <c r="I2006" s="35"/>
      <c r="J2006" s="34">
        <v>0</v>
      </c>
    </row>
    <row r="2007" spans="1:10" ht="15.75" hidden="1" thickBot="1" x14ac:dyDescent="0.3">
      <c r="A2007" s="250"/>
      <c r="B2007" s="253"/>
      <c r="C2007" s="40"/>
      <c r="D2007" s="40"/>
      <c r="E2007" s="41"/>
      <c r="F2007" s="35" t="s">
        <v>23</v>
      </c>
      <c r="G2007" s="35" t="str">
        <f t="shared" si="32"/>
        <v/>
      </c>
      <c r="H2007" s="39"/>
      <c r="I2007" s="35"/>
      <c r="J2007" s="34">
        <v>0</v>
      </c>
    </row>
    <row r="2008" spans="1:10" ht="15.75" hidden="1" thickBot="1" x14ac:dyDescent="0.3">
      <c r="A2008" s="248" t="s">
        <v>518</v>
      </c>
      <c r="B2008" s="251" t="s">
        <v>2353</v>
      </c>
      <c r="C2008" s="28"/>
      <c r="D2008" s="29" t="s">
        <v>121</v>
      </c>
      <c r="E2008" s="30"/>
      <c r="F2008" s="45" t="s">
        <v>23</v>
      </c>
      <c r="G2008" s="31" t="str">
        <f t="shared" si="32"/>
        <v/>
      </c>
      <c r="H2008" s="32"/>
      <c r="I2008" s="33"/>
      <c r="J2008" s="34">
        <v>0</v>
      </c>
    </row>
    <row r="2009" spans="1:10" ht="15.75" hidden="1" thickBot="1" x14ac:dyDescent="0.3">
      <c r="A2009" s="249"/>
      <c r="B2009" s="252"/>
      <c r="C2009" s="36"/>
      <c r="D2009" s="36"/>
      <c r="E2009" s="37"/>
      <c r="F2009" s="46" t="s">
        <v>23</v>
      </c>
      <c r="G2009" s="35" t="str">
        <f t="shared" si="32"/>
        <v/>
      </c>
      <c r="H2009" s="39"/>
      <c r="I2009" s="35"/>
      <c r="J2009" s="34">
        <v>0</v>
      </c>
    </row>
    <row r="2010" spans="1:10" ht="51.75" hidden="1" thickBot="1" x14ac:dyDescent="0.3">
      <c r="A2010" s="249"/>
      <c r="B2010" s="252"/>
      <c r="C2010" s="40" t="s">
        <v>519</v>
      </c>
      <c r="D2010" s="53" t="s">
        <v>121</v>
      </c>
      <c r="E2010" s="41">
        <v>1.0210999999999999</v>
      </c>
      <c r="F2010" s="38" t="s">
        <v>23</v>
      </c>
      <c r="G2010" s="38" t="str">
        <f t="shared" si="32"/>
        <v/>
      </c>
      <c r="H2010" s="43">
        <f>SUM(G2010:G2012)</f>
        <v>0.93881279999999989</v>
      </c>
      <c r="I2010" s="44"/>
      <c r="J2010" s="34">
        <v>0</v>
      </c>
    </row>
    <row r="2011" spans="1:10" ht="26.25" hidden="1" thickBot="1" x14ac:dyDescent="0.3">
      <c r="A2011" s="249"/>
      <c r="B2011" s="252"/>
      <c r="C2011" s="40" t="s">
        <v>4119</v>
      </c>
      <c r="D2011" s="40" t="s">
        <v>3752</v>
      </c>
      <c r="E2011" s="41">
        <f>0.064*0.3</f>
        <v>1.9199999999999998E-2</v>
      </c>
      <c r="F2011" s="35">
        <v>21.555499999999999</v>
      </c>
      <c r="G2011" s="38">
        <f t="shared" si="32"/>
        <v>0.41386559999999994</v>
      </c>
      <c r="H2011" s="39"/>
      <c r="I2011" s="35"/>
      <c r="J2011" s="34">
        <v>0</v>
      </c>
    </row>
    <row r="2012" spans="1:10" ht="26.25" hidden="1" thickBot="1" x14ac:dyDescent="0.3">
      <c r="A2012" s="249"/>
      <c r="B2012" s="252"/>
      <c r="C2012" s="40" t="s">
        <v>4110</v>
      </c>
      <c r="D2012" s="40" t="s">
        <v>3752</v>
      </c>
      <c r="E2012" s="41">
        <f>0.064*0.3</f>
        <v>1.9199999999999998E-2</v>
      </c>
      <c r="F2012" s="35">
        <v>27.341000000000001</v>
      </c>
      <c r="G2012" s="38">
        <f t="shared" si="32"/>
        <v>0.52494719999999995</v>
      </c>
      <c r="H2012" s="39"/>
      <c r="I2012" s="35"/>
      <c r="J2012" s="34">
        <v>0</v>
      </c>
    </row>
    <row r="2013" spans="1:10" ht="15.75" hidden="1" thickBot="1" x14ac:dyDescent="0.3">
      <c r="A2013" s="249"/>
      <c r="B2013" s="252"/>
      <c r="C2013" s="40"/>
      <c r="D2013" s="53"/>
      <c r="E2013" s="41"/>
      <c r="F2013" s="38" t="s">
        <v>23</v>
      </c>
      <c r="G2013" s="38" t="str">
        <f t="shared" si="32"/>
        <v/>
      </c>
      <c r="H2013" s="39"/>
      <c r="I2013" s="35"/>
      <c r="J2013" s="34">
        <v>0</v>
      </c>
    </row>
    <row r="2014" spans="1:10" ht="39" hidden="1" thickBot="1" x14ac:dyDescent="0.3">
      <c r="A2014" s="249"/>
      <c r="B2014" s="252"/>
      <c r="C2014" s="54" t="s">
        <v>520</v>
      </c>
      <c r="D2014" s="53"/>
      <c r="E2014" s="41"/>
      <c r="F2014" s="38" t="s">
        <v>23</v>
      </c>
      <c r="G2014" s="38" t="str">
        <f t="shared" si="32"/>
        <v/>
      </c>
      <c r="H2014" s="39"/>
      <c r="I2014" s="35"/>
      <c r="J2014" s="34">
        <v>0</v>
      </c>
    </row>
    <row r="2015" spans="1:10" ht="15.75" hidden="1" thickBot="1" x14ac:dyDescent="0.3">
      <c r="A2015" s="250"/>
      <c r="B2015" s="253"/>
      <c r="C2015" s="40"/>
      <c r="D2015" s="40"/>
      <c r="E2015" s="41"/>
      <c r="F2015" s="35" t="s">
        <v>23</v>
      </c>
      <c r="G2015" s="35" t="str">
        <f t="shared" si="32"/>
        <v/>
      </c>
      <c r="H2015" s="39"/>
      <c r="I2015" s="35"/>
      <c r="J2015" s="34">
        <v>0</v>
      </c>
    </row>
    <row r="2016" spans="1:10" ht="15.75" hidden="1" thickBot="1" x14ac:dyDescent="0.3">
      <c r="A2016" s="248" t="s">
        <v>521</v>
      </c>
      <c r="B2016" s="251" t="s">
        <v>2354</v>
      </c>
      <c r="C2016" s="28"/>
      <c r="D2016" s="29" t="s">
        <v>121</v>
      </c>
      <c r="E2016" s="30"/>
      <c r="F2016" s="45" t="s">
        <v>23</v>
      </c>
      <c r="G2016" s="31" t="str">
        <f t="shared" si="32"/>
        <v/>
      </c>
      <c r="H2016" s="32"/>
      <c r="I2016" s="33"/>
      <c r="J2016" s="34">
        <v>0</v>
      </c>
    </row>
    <row r="2017" spans="1:10" ht="15.75" hidden="1" thickBot="1" x14ac:dyDescent="0.3">
      <c r="A2017" s="249"/>
      <c r="B2017" s="252"/>
      <c r="C2017" s="36"/>
      <c r="D2017" s="36"/>
      <c r="E2017" s="37"/>
      <c r="F2017" s="46" t="s">
        <v>23</v>
      </c>
      <c r="G2017" s="35" t="str">
        <f t="shared" si="32"/>
        <v/>
      </c>
      <c r="H2017" s="39"/>
      <c r="I2017" s="35"/>
      <c r="J2017" s="34">
        <v>0</v>
      </c>
    </row>
    <row r="2018" spans="1:10" ht="39" hidden="1" thickBot="1" x14ac:dyDescent="0.3">
      <c r="A2018" s="249"/>
      <c r="B2018" s="252"/>
      <c r="C2018" s="40" t="s">
        <v>522</v>
      </c>
      <c r="D2018" s="53" t="s">
        <v>121</v>
      </c>
      <c r="E2018" s="41">
        <v>1.0210999999999999</v>
      </c>
      <c r="F2018" s="38" t="s">
        <v>23</v>
      </c>
      <c r="G2018" s="38" t="str">
        <f t="shared" si="32"/>
        <v/>
      </c>
      <c r="H2018" s="43">
        <f>SUM(G2018:G2020)</f>
        <v>0.89480595000000007</v>
      </c>
      <c r="I2018" s="44"/>
      <c r="J2018" s="34">
        <v>0</v>
      </c>
    </row>
    <row r="2019" spans="1:10" ht="26.25" hidden="1" thickBot="1" x14ac:dyDescent="0.3">
      <c r="A2019" s="249"/>
      <c r="B2019" s="252"/>
      <c r="C2019" s="40" t="s">
        <v>4119</v>
      </c>
      <c r="D2019" s="40" t="s">
        <v>3752</v>
      </c>
      <c r="E2019" s="41">
        <f>0.061*0.3</f>
        <v>1.83E-2</v>
      </c>
      <c r="F2019" s="35">
        <v>21.555499999999999</v>
      </c>
      <c r="G2019" s="38">
        <f t="shared" si="32"/>
        <v>0.39446565</v>
      </c>
      <c r="H2019" s="39"/>
      <c r="I2019" s="35"/>
      <c r="J2019" s="34">
        <v>0</v>
      </c>
    </row>
    <row r="2020" spans="1:10" ht="26.25" hidden="1" thickBot="1" x14ac:dyDescent="0.3">
      <c r="A2020" s="249"/>
      <c r="B2020" s="252"/>
      <c r="C2020" s="40" t="s">
        <v>4110</v>
      </c>
      <c r="D2020" s="40" t="s">
        <v>3752</v>
      </c>
      <c r="E2020" s="41">
        <f>0.061*0.3</f>
        <v>1.83E-2</v>
      </c>
      <c r="F2020" s="35">
        <v>27.341000000000001</v>
      </c>
      <c r="G2020" s="38">
        <f t="shared" si="32"/>
        <v>0.50034030000000007</v>
      </c>
      <c r="H2020" s="39"/>
      <c r="I2020" s="35"/>
      <c r="J2020" s="34">
        <v>0</v>
      </c>
    </row>
    <row r="2021" spans="1:10" ht="15.75" hidden="1" thickBot="1" x14ac:dyDescent="0.3">
      <c r="A2021" s="249"/>
      <c r="B2021" s="252"/>
      <c r="C2021" s="40"/>
      <c r="D2021" s="53"/>
      <c r="E2021" s="41"/>
      <c r="F2021" s="38" t="s">
        <v>23</v>
      </c>
      <c r="G2021" s="38" t="str">
        <f t="shared" si="32"/>
        <v/>
      </c>
      <c r="H2021" s="39"/>
      <c r="I2021" s="35"/>
      <c r="J2021" s="34">
        <v>0</v>
      </c>
    </row>
    <row r="2022" spans="1:10" ht="39" hidden="1" thickBot="1" x14ac:dyDescent="0.3">
      <c r="A2022" s="249"/>
      <c r="B2022" s="252"/>
      <c r="C2022" s="54" t="s">
        <v>520</v>
      </c>
      <c r="D2022" s="53"/>
      <c r="E2022" s="41"/>
      <c r="F2022" s="38" t="s">
        <v>23</v>
      </c>
      <c r="G2022" s="38" t="str">
        <f t="shared" si="32"/>
        <v/>
      </c>
      <c r="H2022" s="39"/>
      <c r="I2022" s="35"/>
      <c r="J2022" s="34">
        <v>0</v>
      </c>
    </row>
    <row r="2023" spans="1:10" ht="15.75" hidden="1" thickBot="1" x14ac:dyDescent="0.3">
      <c r="A2023" s="250"/>
      <c r="B2023" s="253"/>
      <c r="C2023" s="40"/>
      <c r="D2023" s="40"/>
      <c r="E2023" s="41"/>
      <c r="F2023" s="35" t="s">
        <v>23</v>
      </c>
      <c r="G2023" s="35" t="str">
        <f t="shared" si="32"/>
        <v/>
      </c>
      <c r="H2023" s="39"/>
      <c r="I2023" s="35"/>
      <c r="J2023" s="34">
        <v>0</v>
      </c>
    </row>
    <row r="2024" spans="1:10" ht="15.75" hidden="1" thickBot="1" x14ac:dyDescent="0.3">
      <c r="A2024" s="248" t="s">
        <v>523</v>
      </c>
      <c r="B2024" s="251" t="s">
        <v>2355</v>
      </c>
      <c r="C2024" s="28"/>
      <c r="D2024" s="29" t="s">
        <v>121</v>
      </c>
      <c r="E2024" s="30"/>
      <c r="F2024" s="45" t="s">
        <v>23</v>
      </c>
      <c r="G2024" s="31" t="str">
        <f t="shared" si="32"/>
        <v/>
      </c>
      <c r="H2024" s="32"/>
      <c r="I2024" s="33"/>
      <c r="J2024" s="34">
        <v>0</v>
      </c>
    </row>
    <row r="2025" spans="1:10" ht="15.75" hidden="1" thickBot="1" x14ac:dyDescent="0.3">
      <c r="A2025" s="249"/>
      <c r="B2025" s="252"/>
      <c r="C2025" s="36"/>
      <c r="D2025" s="36"/>
      <c r="E2025" s="37"/>
      <c r="F2025" s="46" t="s">
        <v>23</v>
      </c>
      <c r="G2025" s="35" t="str">
        <f t="shared" si="32"/>
        <v/>
      </c>
      <c r="H2025" s="39"/>
      <c r="I2025" s="35"/>
      <c r="J2025" s="34">
        <v>0</v>
      </c>
    </row>
    <row r="2026" spans="1:10" ht="39" hidden="1" thickBot="1" x14ac:dyDescent="0.3">
      <c r="A2026" s="249"/>
      <c r="B2026" s="252"/>
      <c r="C2026" s="40" t="s">
        <v>524</v>
      </c>
      <c r="D2026" s="53" t="s">
        <v>121</v>
      </c>
      <c r="E2026" s="41">
        <v>1.0210999999999999</v>
      </c>
      <c r="F2026" s="38" t="s">
        <v>23</v>
      </c>
      <c r="G2026" s="38" t="str">
        <f t="shared" si="32"/>
        <v/>
      </c>
      <c r="H2026" s="43">
        <f>SUM(G2026:G2028)</f>
        <v>0.76278539999999995</v>
      </c>
      <c r="I2026" s="44"/>
      <c r="J2026" s="34">
        <v>0</v>
      </c>
    </row>
    <row r="2027" spans="1:10" ht="26.25" hidden="1" thickBot="1" x14ac:dyDescent="0.3">
      <c r="A2027" s="249"/>
      <c r="B2027" s="252"/>
      <c r="C2027" s="40" t="s">
        <v>4119</v>
      </c>
      <c r="D2027" s="40" t="s">
        <v>3752</v>
      </c>
      <c r="E2027" s="41">
        <f>0.052*0.3</f>
        <v>1.5599999999999999E-2</v>
      </c>
      <c r="F2027" s="35">
        <v>21.555499999999999</v>
      </c>
      <c r="G2027" s="38">
        <f t="shared" si="32"/>
        <v>0.33626579999999995</v>
      </c>
      <c r="H2027" s="39"/>
      <c r="I2027" s="35"/>
      <c r="J2027" s="34">
        <v>0</v>
      </c>
    </row>
    <row r="2028" spans="1:10" ht="26.25" hidden="1" thickBot="1" x14ac:dyDescent="0.3">
      <c r="A2028" s="249"/>
      <c r="B2028" s="252"/>
      <c r="C2028" s="40" t="s">
        <v>4110</v>
      </c>
      <c r="D2028" s="40" t="s">
        <v>3752</v>
      </c>
      <c r="E2028" s="41">
        <f>0.052*0.3</f>
        <v>1.5599999999999999E-2</v>
      </c>
      <c r="F2028" s="35">
        <v>27.341000000000001</v>
      </c>
      <c r="G2028" s="38">
        <f t="shared" si="32"/>
        <v>0.4265196</v>
      </c>
      <c r="H2028" s="39"/>
      <c r="I2028" s="35"/>
      <c r="J2028" s="34">
        <v>0</v>
      </c>
    </row>
    <row r="2029" spans="1:10" ht="15.75" hidden="1" thickBot="1" x14ac:dyDescent="0.3">
      <c r="A2029" s="249"/>
      <c r="B2029" s="252"/>
      <c r="C2029" s="40"/>
      <c r="D2029" s="53"/>
      <c r="E2029" s="41"/>
      <c r="F2029" s="38" t="s">
        <v>23</v>
      </c>
      <c r="G2029" s="38" t="str">
        <f t="shared" si="32"/>
        <v/>
      </c>
      <c r="H2029" s="39"/>
      <c r="I2029" s="35"/>
      <c r="J2029" s="34">
        <v>0</v>
      </c>
    </row>
    <row r="2030" spans="1:10" ht="39" hidden="1" thickBot="1" x14ac:dyDescent="0.3">
      <c r="A2030" s="249"/>
      <c r="B2030" s="252"/>
      <c r="C2030" s="54" t="s">
        <v>520</v>
      </c>
      <c r="D2030" s="53"/>
      <c r="E2030" s="41"/>
      <c r="F2030" s="38" t="s">
        <v>23</v>
      </c>
      <c r="G2030" s="38" t="str">
        <f t="shared" si="32"/>
        <v/>
      </c>
      <c r="H2030" s="39"/>
      <c r="I2030" s="35"/>
      <c r="J2030" s="34">
        <v>0</v>
      </c>
    </row>
    <row r="2031" spans="1:10" ht="15.75" hidden="1" thickBot="1" x14ac:dyDescent="0.3">
      <c r="A2031" s="250"/>
      <c r="B2031" s="253"/>
      <c r="C2031" s="40"/>
      <c r="D2031" s="40"/>
      <c r="E2031" s="41"/>
      <c r="F2031" s="35" t="s">
        <v>23</v>
      </c>
      <c r="G2031" s="35" t="str">
        <f t="shared" si="32"/>
        <v/>
      </c>
      <c r="H2031" s="39"/>
      <c r="I2031" s="35"/>
      <c r="J2031" s="34">
        <v>0</v>
      </c>
    </row>
    <row r="2032" spans="1:10" ht="15.75" hidden="1" thickBot="1" x14ac:dyDescent="0.3">
      <c r="A2032" s="248" t="s">
        <v>525</v>
      </c>
      <c r="B2032" s="251" t="s">
        <v>2356</v>
      </c>
      <c r="C2032" s="28"/>
      <c r="D2032" s="29" t="s">
        <v>121</v>
      </c>
      <c r="E2032" s="30"/>
      <c r="F2032" s="45" t="s">
        <v>23</v>
      </c>
      <c r="G2032" s="31" t="str">
        <f t="shared" si="32"/>
        <v/>
      </c>
      <c r="H2032" s="32"/>
      <c r="I2032" s="33"/>
      <c r="J2032" s="34">
        <v>0</v>
      </c>
    </row>
    <row r="2033" spans="1:10" ht="15.75" hidden="1" thickBot="1" x14ac:dyDescent="0.3">
      <c r="A2033" s="249"/>
      <c r="B2033" s="252"/>
      <c r="C2033" s="36"/>
      <c r="D2033" s="36"/>
      <c r="E2033" s="37"/>
      <c r="F2033" s="46" t="s">
        <v>23</v>
      </c>
      <c r="G2033" s="35" t="str">
        <f t="shared" si="32"/>
        <v/>
      </c>
      <c r="H2033" s="39"/>
      <c r="I2033" s="35"/>
      <c r="J2033" s="34">
        <v>0</v>
      </c>
    </row>
    <row r="2034" spans="1:10" ht="39" hidden="1" thickBot="1" x14ac:dyDescent="0.3">
      <c r="A2034" s="249"/>
      <c r="B2034" s="252"/>
      <c r="C2034" s="40" t="s">
        <v>526</v>
      </c>
      <c r="D2034" s="53" t="s">
        <v>121</v>
      </c>
      <c r="E2034" s="41">
        <v>1.0210999999999999</v>
      </c>
      <c r="F2034" s="38" t="s">
        <v>23</v>
      </c>
      <c r="G2034" s="38" t="str">
        <f t="shared" si="32"/>
        <v/>
      </c>
      <c r="H2034" s="43">
        <f>SUM(G2034:G2036)</f>
        <v>0.93881279999999989</v>
      </c>
      <c r="I2034" s="44"/>
      <c r="J2034" s="34">
        <v>0</v>
      </c>
    </row>
    <row r="2035" spans="1:10" ht="26.25" hidden="1" thickBot="1" x14ac:dyDescent="0.3">
      <c r="A2035" s="249"/>
      <c r="B2035" s="252"/>
      <c r="C2035" s="40" t="s">
        <v>4119</v>
      </c>
      <c r="D2035" s="40" t="s">
        <v>3752</v>
      </c>
      <c r="E2035" s="41">
        <f>0.064*0.3</f>
        <v>1.9199999999999998E-2</v>
      </c>
      <c r="F2035" s="35">
        <v>21.555499999999999</v>
      </c>
      <c r="G2035" s="38">
        <f t="shared" si="32"/>
        <v>0.41386559999999994</v>
      </c>
      <c r="H2035" s="39"/>
      <c r="I2035" s="35"/>
      <c r="J2035" s="34">
        <v>0</v>
      </c>
    </row>
    <row r="2036" spans="1:10" ht="26.25" hidden="1" thickBot="1" x14ac:dyDescent="0.3">
      <c r="A2036" s="249"/>
      <c r="B2036" s="252"/>
      <c r="C2036" s="40" t="s">
        <v>4110</v>
      </c>
      <c r="D2036" s="40" t="s">
        <v>3752</v>
      </c>
      <c r="E2036" s="41">
        <f>0.064*0.3</f>
        <v>1.9199999999999998E-2</v>
      </c>
      <c r="F2036" s="35">
        <v>27.341000000000001</v>
      </c>
      <c r="G2036" s="38">
        <f t="shared" si="32"/>
        <v>0.52494719999999995</v>
      </c>
      <c r="H2036" s="39"/>
      <c r="I2036" s="35"/>
      <c r="J2036" s="34">
        <v>0</v>
      </c>
    </row>
    <row r="2037" spans="1:10" ht="15.75" hidden="1" thickBot="1" x14ac:dyDescent="0.3">
      <c r="A2037" s="249"/>
      <c r="B2037" s="252"/>
      <c r="C2037" s="40"/>
      <c r="D2037" s="53"/>
      <c r="E2037" s="41"/>
      <c r="F2037" s="38" t="s">
        <v>23</v>
      </c>
      <c r="G2037" s="38" t="str">
        <f t="shared" si="32"/>
        <v/>
      </c>
      <c r="H2037" s="39"/>
      <c r="I2037" s="35"/>
      <c r="J2037" s="34">
        <v>0</v>
      </c>
    </row>
    <row r="2038" spans="1:10" ht="39" hidden="1" thickBot="1" x14ac:dyDescent="0.3">
      <c r="A2038" s="249"/>
      <c r="B2038" s="252"/>
      <c r="C2038" s="54" t="s">
        <v>520</v>
      </c>
      <c r="D2038" s="53"/>
      <c r="E2038" s="41"/>
      <c r="F2038" s="38" t="s">
        <v>23</v>
      </c>
      <c r="G2038" s="38" t="str">
        <f t="shared" si="32"/>
        <v/>
      </c>
      <c r="H2038" s="39"/>
      <c r="I2038" s="35"/>
      <c r="J2038" s="34">
        <v>0</v>
      </c>
    </row>
    <row r="2039" spans="1:10" ht="15.75" hidden="1" thickBot="1" x14ac:dyDescent="0.3">
      <c r="A2039" s="250"/>
      <c r="B2039" s="253"/>
      <c r="C2039" s="40"/>
      <c r="D2039" s="40"/>
      <c r="E2039" s="41"/>
      <c r="F2039" s="35" t="s">
        <v>23</v>
      </c>
      <c r="G2039" s="35" t="str">
        <f t="shared" si="32"/>
        <v/>
      </c>
      <c r="H2039" s="39"/>
      <c r="I2039" s="35"/>
      <c r="J2039" s="34">
        <v>0</v>
      </c>
    </row>
    <row r="2040" spans="1:10" ht="15.75" hidden="1" thickBot="1" x14ac:dyDescent="0.3">
      <c r="A2040" s="248" t="s">
        <v>527</v>
      </c>
      <c r="B2040" s="251" t="s">
        <v>2357</v>
      </c>
      <c r="C2040" s="28"/>
      <c r="D2040" s="29" t="s">
        <v>121</v>
      </c>
      <c r="E2040" s="30"/>
      <c r="F2040" s="45" t="s">
        <v>23</v>
      </c>
      <c r="G2040" s="31" t="str">
        <f t="shared" si="32"/>
        <v/>
      </c>
      <c r="H2040" s="32"/>
      <c r="I2040" s="33"/>
      <c r="J2040" s="34">
        <v>0</v>
      </c>
    </row>
    <row r="2041" spans="1:10" ht="15.75" hidden="1" thickBot="1" x14ac:dyDescent="0.3">
      <c r="A2041" s="249"/>
      <c r="B2041" s="252"/>
      <c r="C2041" s="36"/>
      <c r="D2041" s="36"/>
      <c r="E2041" s="37"/>
      <c r="F2041" s="46" t="s">
        <v>23</v>
      </c>
      <c r="G2041" s="35" t="str">
        <f t="shared" si="32"/>
        <v/>
      </c>
      <c r="H2041" s="39"/>
      <c r="I2041" s="35"/>
      <c r="J2041" s="34">
        <v>0</v>
      </c>
    </row>
    <row r="2042" spans="1:10" ht="39" hidden="1" thickBot="1" x14ac:dyDescent="0.3">
      <c r="A2042" s="249"/>
      <c r="B2042" s="252"/>
      <c r="C2042" s="40" t="s">
        <v>528</v>
      </c>
      <c r="D2042" s="53" t="s">
        <v>121</v>
      </c>
      <c r="E2042" s="41">
        <v>1.0210999999999999</v>
      </c>
      <c r="F2042" s="38" t="s">
        <v>23</v>
      </c>
      <c r="G2042" s="38" t="str">
        <f t="shared" si="32"/>
        <v/>
      </c>
      <c r="H2042" s="43">
        <f>SUM(G2042:G2044)</f>
        <v>0.83613015000000002</v>
      </c>
      <c r="I2042" s="44"/>
      <c r="J2042" s="34">
        <v>0</v>
      </c>
    </row>
    <row r="2043" spans="1:10" ht="26.25" hidden="1" thickBot="1" x14ac:dyDescent="0.3">
      <c r="A2043" s="249"/>
      <c r="B2043" s="252"/>
      <c r="C2043" s="40" t="s">
        <v>4119</v>
      </c>
      <c r="D2043" s="40" t="s">
        <v>3752</v>
      </c>
      <c r="E2043" s="41">
        <f>0.057*0.3</f>
        <v>1.7100000000000001E-2</v>
      </c>
      <c r="F2043" s="35">
        <v>21.555499999999999</v>
      </c>
      <c r="G2043" s="38">
        <f t="shared" si="32"/>
        <v>0.36859904999999998</v>
      </c>
      <c r="H2043" s="39"/>
      <c r="I2043" s="35"/>
      <c r="J2043" s="34">
        <v>0</v>
      </c>
    </row>
    <row r="2044" spans="1:10" ht="26.25" hidden="1" thickBot="1" x14ac:dyDescent="0.3">
      <c r="A2044" s="249"/>
      <c r="B2044" s="252"/>
      <c r="C2044" s="40" t="s">
        <v>4110</v>
      </c>
      <c r="D2044" s="40" t="s">
        <v>3752</v>
      </c>
      <c r="E2044" s="41">
        <f>0.057*0.3</f>
        <v>1.7100000000000001E-2</v>
      </c>
      <c r="F2044" s="35">
        <v>27.341000000000001</v>
      </c>
      <c r="G2044" s="38">
        <f t="shared" si="32"/>
        <v>0.46753110000000003</v>
      </c>
      <c r="H2044" s="39"/>
      <c r="I2044" s="35"/>
      <c r="J2044" s="34">
        <v>0</v>
      </c>
    </row>
    <row r="2045" spans="1:10" ht="15.75" hidden="1" thickBot="1" x14ac:dyDescent="0.3">
      <c r="A2045" s="249"/>
      <c r="B2045" s="252"/>
      <c r="C2045" s="40"/>
      <c r="D2045" s="53"/>
      <c r="E2045" s="41"/>
      <c r="F2045" s="38" t="s">
        <v>23</v>
      </c>
      <c r="G2045" s="38" t="str">
        <f t="shared" si="32"/>
        <v/>
      </c>
      <c r="H2045" s="39"/>
      <c r="I2045" s="35"/>
      <c r="J2045" s="34">
        <v>0</v>
      </c>
    </row>
    <row r="2046" spans="1:10" ht="39" hidden="1" thickBot="1" x14ac:dyDescent="0.3">
      <c r="A2046" s="249"/>
      <c r="B2046" s="252"/>
      <c r="C2046" s="54" t="s">
        <v>520</v>
      </c>
      <c r="D2046" s="53"/>
      <c r="E2046" s="41"/>
      <c r="F2046" s="38" t="s">
        <v>23</v>
      </c>
      <c r="G2046" s="38" t="str">
        <f t="shared" si="32"/>
        <v/>
      </c>
      <c r="H2046" s="39"/>
      <c r="I2046" s="35"/>
      <c r="J2046" s="34">
        <v>0</v>
      </c>
    </row>
    <row r="2047" spans="1:10" ht="15.75" hidden="1" thickBot="1" x14ac:dyDescent="0.3">
      <c r="A2047" s="250"/>
      <c r="B2047" s="253"/>
      <c r="C2047" s="40"/>
      <c r="D2047" s="40"/>
      <c r="E2047" s="41"/>
      <c r="F2047" s="35" t="s">
        <v>23</v>
      </c>
      <c r="G2047" s="35" t="str">
        <f t="shared" si="32"/>
        <v/>
      </c>
      <c r="H2047" s="39"/>
      <c r="I2047" s="35"/>
      <c r="J2047" s="34">
        <v>0</v>
      </c>
    </row>
    <row r="2048" spans="1:10" ht="15.75" hidden="1" thickBot="1" x14ac:dyDescent="0.3">
      <c r="A2048" s="248" t="s">
        <v>529</v>
      </c>
      <c r="B2048" s="251" t="s">
        <v>2358</v>
      </c>
      <c r="C2048" s="28"/>
      <c r="D2048" s="29" t="s">
        <v>121</v>
      </c>
      <c r="E2048" s="30"/>
      <c r="F2048" s="45" t="s">
        <v>23</v>
      </c>
      <c r="G2048" s="31" t="str">
        <f t="shared" si="32"/>
        <v/>
      </c>
      <c r="H2048" s="32"/>
      <c r="I2048" s="33"/>
      <c r="J2048" s="34">
        <v>0</v>
      </c>
    </row>
    <row r="2049" spans="1:10" ht="15.75" hidden="1" thickBot="1" x14ac:dyDescent="0.3">
      <c r="A2049" s="249"/>
      <c r="B2049" s="252"/>
      <c r="C2049" s="36"/>
      <c r="D2049" s="36"/>
      <c r="E2049" s="37"/>
      <c r="F2049" s="46" t="s">
        <v>23</v>
      </c>
      <c r="G2049" s="35" t="str">
        <f t="shared" si="32"/>
        <v/>
      </c>
      <c r="H2049" s="39"/>
      <c r="I2049" s="35"/>
      <c r="J2049" s="34">
        <v>0</v>
      </c>
    </row>
    <row r="2050" spans="1:10" ht="39" hidden="1" thickBot="1" x14ac:dyDescent="0.3">
      <c r="A2050" s="249"/>
      <c r="B2050" s="252"/>
      <c r="C2050" s="40" t="s">
        <v>530</v>
      </c>
      <c r="D2050" s="53" t="s">
        <v>121</v>
      </c>
      <c r="E2050" s="41">
        <v>1.0210999999999999</v>
      </c>
      <c r="F2050" s="38" t="s">
        <v>23</v>
      </c>
      <c r="G2050" s="38" t="str">
        <f t="shared" si="32"/>
        <v/>
      </c>
      <c r="H2050" s="43">
        <f>SUM(G2050:G2052)</f>
        <v>0.93881279999999989</v>
      </c>
      <c r="I2050" s="44"/>
      <c r="J2050" s="34">
        <v>0</v>
      </c>
    </row>
    <row r="2051" spans="1:10" ht="26.25" hidden="1" thickBot="1" x14ac:dyDescent="0.3">
      <c r="A2051" s="249"/>
      <c r="B2051" s="252"/>
      <c r="C2051" s="40" t="s">
        <v>4119</v>
      </c>
      <c r="D2051" s="40" t="s">
        <v>3752</v>
      </c>
      <c r="E2051" s="41">
        <f>0.064*0.3</f>
        <v>1.9199999999999998E-2</v>
      </c>
      <c r="F2051" s="35">
        <v>21.555499999999999</v>
      </c>
      <c r="G2051" s="38">
        <f t="shared" si="32"/>
        <v>0.41386559999999994</v>
      </c>
      <c r="H2051" s="39"/>
      <c r="I2051" s="35"/>
      <c r="J2051" s="34">
        <v>0</v>
      </c>
    </row>
    <row r="2052" spans="1:10" ht="26.25" hidden="1" thickBot="1" x14ac:dyDescent="0.3">
      <c r="A2052" s="249"/>
      <c r="B2052" s="252"/>
      <c r="C2052" s="40" t="s">
        <v>4110</v>
      </c>
      <c r="D2052" s="40" t="s">
        <v>3752</v>
      </c>
      <c r="E2052" s="41">
        <f>0.064*0.3</f>
        <v>1.9199999999999998E-2</v>
      </c>
      <c r="F2052" s="35">
        <v>27.341000000000001</v>
      </c>
      <c r="G2052" s="38">
        <f t="shared" si="32"/>
        <v>0.52494719999999995</v>
      </c>
      <c r="H2052" s="39"/>
      <c r="I2052" s="35"/>
      <c r="J2052" s="34">
        <v>0</v>
      </c>
    </row>
    <row r="2053" spans="1:10" ht="15.75" hidden="1" thickBot="1" x14ac:dyDescent="0.3">
      <c r="A2053" s="249"/>
      <c r="B2053" s="252"/>
      <c r="C2053" s="40"/>
      <c r="D2053" s="53"/>
      <c r="E2053" s="41"/>
      <c r="F2053" s="38" t="s">
        <v>23</v>
      </c>
      <c r="G2053" s="38" t="str">
        <f t="shared" si="32"/>
        <v/>
      </c>
      <c r="H2053" s="39"/>
      <c r="I2053" s="35"/>
      <c r="J2053" s="34">
        <v>0</v>
      </c>
    </row>
    <row r="2054" spans="1:10" ht="39" hidden="1" thickBot="1" x14ac:dyDescent="0.3">
      <c r="A2054" s="249"/>
      <c r="B2054" s="252"/>
      <c r="C2054" s="54" t="s">
        <v>520</v>
      </c>
      <c r="D2054" s="53"/>
      <c r="E2054" s="41"/>
      <c r="F2054" s="38" t="s">
        <v>23</v>
      </c>
      <c r="G2054" s="38" t="str">
        <f t="shared" si="32"/>
        <v/>
      </c>
      <c r="H2054" s="39"/>
      <c r="I2054" s="35"/>
      <c r="J2054" s="34">
        <v>0</v>
      </c>
    </row>
    <row r="2055" spans="1:10" ht="15.75" hidden="1" thickBot="1" x14ac:dyDescent="0.3">
      <c r="A2055" s="250"/>
      <c r="B2055" s="253"/>
      <c r="C2055" s="40"/>
      <c r="D2055" s="40"/>
      <c r="E2055" s="41"/>
      <c r="F2055" s="35" t="s">
        <v>23</v>
      </c>
      <c r="G2055" s="35" t="str">
        <f t="shared" si="32"/>
        <v/>
      </c>
      <c r="H2055" s="39"/>
      <c r="I2055" s="35"/>
      <c r="J2055" s="34">
        <v>0</v>
      </c>
    </row>
    <row r="2056" spans="1:10" ht="15.75" hidden="1" thickBot="1" x14ac:dyDescent="0.3">
      <c r="A2056" s="248" t="s">
        <v>531</v>
      </c>
      <c r="B2056" s="251" t="s">
        <v>2359</v>
      </c>
      <c r="C2056" s="28"/>
      <c r="D2056" s="29" t="s">
        <v>121</v>
      </c>
      <c r="E2056" s="30"/>
      <c r="F2056" s="45" t="s">
        <v>23</v>
      </c>
      <c r="G2056" s="31" t="str">
        <f t="shared" si="32"/>
        <v/>
      </c>
      <c r="H2056" s="32"/>
      <c r="I2056" s="33"/>
      <c r="J2056" s="34">
        <v>0</v>
      </c>
    </row>
    <row r="2057" spans="1:10" ht="15.75" hidden="1" thickBot="1" x14ac:dyDescent="0.3">
      <c r="A2057" s="249"/>
      <c r="B2057" s="252"/>
      <c r="C2057" s="36"/>
      <c r="D2057" s="36"/>
      <c r="E2057" s="37"/>
      <c r="F2057" s="46" t="s">
        <v>23</v>
      </c>
      <c r="G2057" s="35" t="str">
        <f t="shared" si="32"/>
        <v/>
      </c>
      <c r="H2057" s="39"/>
      <c r="I2057" s="35"/>
      <c r="J2057" s="34">
        <v>0</v>
      </c>
    </row>
    <row r="2058" spans="1:10" ht="39" hidden="1" thickBot="1" x14ac:dyDescent="0.3">
      <c r="A2058" s="249"/>
      <c r="B2058" s="252"/>
      <c r="C2058" s="40" t="s">
        <v>532</v>
      </c>
      <c r="D2058" s="53" t="s">
        <v>121</v>
      </c>
      <c r="E2058" s="41">
        <v>1.0210999999999999</v>
      </c>
      <c r="F2058" s="38" t="s">
        <v>23</v>
      </c>
      <c r="G2058" s="38" t="str">
        <f t="shared" si="32"/>
        <v/>
      </c>
      <c r="H2058" s="43">
        <f>SUM(G2058:G2060)</f>
        <v>0.93881279999999989</v>
      </c>
      <c r="I2058" s="44"/>
      <c r="J2058" s="34">
        <v>0</v>
      </c>
    </row>
    <row r="2059" spans="1:10" ht="26.25" hidden="1" thickBot="1" x14ac:dyDescent="0.3">
      <c r="A2059" s="249"/>
      <c r="B2059" s="252"/>
      <c r="C2059" s="40" t="s">
        <v>4119</v>
      </c>
      <c r="D2059" s="40" t="s">
        <v>3752</v>
      </c>
      <c r="E2059" s="41">
        <f>0.064*0.3</f>
        <v>1.9199999999999998E-2</v>
      </c>
      <c r="F2059" s="35">
        <v>21.555499999999999</v>
      </c>
      <c r="G2059" s="38">
        <f t="shared" si="32"/>
        <v>0.41386559999999994</v>
      </c>
      <c r="H2059" s="39"/>
      <c r="I2059" s="35"/>
      <c r="J2059" s="34">
        <v>0</v>
      </c>
    </row>
    <row r="2060" spans="1:10" ht="26.25" hidden="1" thickBot="1" x14ac:dyDescent="0.3">
      <c r="A2060" s="249"/>
      <c r="B2060" s="252"/>
      <c r="C2060" s="40" t="s">
        <v>4110</v>
      </c>
      <c r="D2060" s="40" t="s">
        <v>3752</v>
      </c>
      <c r="E2060" s="41">
        <f>0.064*0.3</f>
        <v>1.9199999999999998E-2</v>
      </c>
      <c r="F2060" s="35">
        <v>27.341000000000001</v>
      </c>
      <c r="G2060" s="38">
        <f t="shared" si="32"/>
        <v>0.52494719999999995</v>
      </c>
      <c r="H2060" s="39"/>
      <c r="I2060" s="35"/>
      <c r="J2060" s="34">
        <v>0</v>
      </c>
    </row>
    <row r="2061" spans="1:10" ht="15.75" hidden="1" thickBot="1" x14ac:dyDescent="0.3">
      <c r="A2061" s="249"/>
      <c r="B2061" s="252"/>
      <c r="C2061" s="40"/>
      <c r="D2061" s="53"/>
      <c r="E2061" s="41"/>
      <c r="F2061" s="38" t="s">
        <v>23</v>
      </c>
      <c r="G2061" s="38" t="str">
        <f t="shared" si="32"/>
        <v/>
      </c>
      <c r="H2061" s="39"/>
      <c r="I2061" s="35"/>
      <c r="J2061" s="34">
        <v>0</v>
      </c>
    </row>
    <row r="2062" spans="1:10" ht="39" hidden="1" thickBot="1" x14ac:dyDescent="0.3">
      <c r="A2062" s="249"/>
      <c r="B2062" s="252"/>
      <c r="C2062" s="54" t="s">
        <v>520</v>
      </c>
      <c r="D2062" s="53"/>
      <c r="E2062" s="41"/>
      <c r="F2062" s="38" t="s">
        <v>23</v>
      </c>
      <c r="G2062" s="38" t="str">
        <f t="shared" si="32"/>
        <v/>
      </c>
      <c r="H2062" s="39"/>
      <c r="I2062" s="35"/>
      <c r="J2062" s="34">
        <v>0</v>
      </c>
    </row>
    <row r="2063" spans="1:10" ht="15.75" hidden="1" thickBot="1" x14ac:dyDescent="0.3">
      <c r="A2063" s="250"/>
      <c r="B2063" s="253"/>
      <c r="C2063" s="40"/>
      <c r="D2063" s="40"/>
      <c r="E2063" s="41"/>
      <c r="F2063" s="35" t="s">
        <v>23</v>
      </c>
      <c r="G2063" s="35" t="str">
        <f t="shared" si="32"/>
        <v/>
      </c>
      <c r="H2063" s="39"/>
      <c r="I2063" s="35"/>
      <c r="J2063" s="34">
        <v>0</v>
      </c>
    </row>
    <row r="2064" spans="1:10" ht="15.75" hidden="1" thickBot="1" x14ac:dyDescent="0.3">
      <c r="A2064" s="248" t="s">
        <v>533</v>
      </c>
      <c r="B2064" s="251" t="s">
        <v>2360</v>
      </c>
      <c r="C2064" s="28"/>
      <c r="D2064" s="29" t="s">
        <v>121</v>
      </c>
      <c r="E2064" s="30"/>
      <c r="F2064" s="45" t="s">
        <v>23</v>
      </c>
      <c r="G2064" s="31" t="str">
        <f t="shared" si="32"/>
        <v/>
      </c>
      <c r="H2064" s="32"/>
      <c r="I2064" s="33"/>
      <c r="J2064" s="34">
        <v>0</v>
      </c>
    </row>
    <row r="2065" spans="1:10" ht="15.75" hidden="1" thickBot="1" x14ac:dyDescent="0.3">
      <c r="A2065" s="249"/>
      <c r="B2065" s="252"/>
      <c r="C2065" s="36"/>
      <c r="D2065" s="36"/>
      <c r="E2065" s="37"/>
      <c r="F2065" s="46" t="s">
        <v>23</v>
      </c>
      <c r="G2065" s="35" t="str">
        <f t="shared" si="32"/>
        <v/>
      </c>
      <c r="H2065" s="39"/>
      <c r="I2065" s="35"/>
      <c r="J2065" s="34">
        <v>0</v>
      </c>
    </row>
    <row r="2066" spans="1:10" ht="39" hidden="1" thickBot="1" x14ac:dyDescent="0.3">
      <c r="A2066" s="249"/>
      <c r="B2066" s="252"/>
      <c r="C2066" s="40" t="s">
        <v>534</v>
      </c>
      <c r="D2066" s="53" t="s">
        <v>121</v>
      </c>
      <c r="E2066" s="41">
        <v>1.0210999999999999</v>
      </c>
      <c r="F2066" s="38" t="s">
        <v>23</v>
      </c>
      <c r="G2066" s="38" t="str">
        <f t="shared" ref="G2066:G2129" si="33">IF(ISNUMBER(F2066),E2066*F2066,"")</f>
        <v/>
      </c>
      <c r="H2066" s="43">
        <f>SUM(G2066:G2068)</f>
        <v>0.93881279999999989</v>
      </c>
      <c r="I2066" s="44"/>
      <c r="J2066" s="34">
        <v>0</v>
      </c>
    </row>
    <row r="2067" spans="1:10" ht="26.25" hidden="1" thickBot="1" x14ac:dyDescent="0.3">
      <c r="A2067" s="249"/>
      <c r="B2067" s="252"/>
      <c r="C2067" s="40" t="s">
        <v>4119</v>
      </c>
      <c r="D2067" s="40" t="s">
        <v>3752</v>
      </c>
      <c r="E2067" s="41">
        <f>0.064*0.3</f>
        <v>1.9199999999999998E-2</v>
      </c>
      <c r="F2067" s="35">
        <v>21.555499999999999</v>
      </c>
      <c r="G2067" s="38">
        <f t="shared" si="33"/>
        <v>0.41386559999999994</v>
      </c>
      <c r="H2067" s="39"/>
      <c r="I2067" s="35"/>
      <c r="J2067" s="34">
        <v>0</v>
      </c>
    </row>
    <row r="2068" spans="1:10" ht="26.25" hidden="1" thickBot="1" x14ac:dyDescent="0.3">
      <c r="A2068" s="249"/>
      <c r="B2068" s="252"/>
      <c r="C2068" s="40" t="s">
        <v>4110</v>
      </c>
      <c r="D2068" s="40" t="s">
        <v>3752</v>
      </c>
      <c r="E2068" s="41">
        <f>0.064*0.3</f>
        <v>1.9199999999999998E-2</v>
      </c>
      <c r="F2068" s="35">
        <v>27.341000000000001</v>
      </c>
      <c r="G2068" s="38">
        <f t="shared" si="33"/>
        <v>0.52494719999999995</v>
      </c>
      <c r="H2068" s="39"/>
      <c r="I2068" s="35"/>
      <c r="J2068" s="34">
        <v>0</v>
      </c>
    </row>
    <row r="2069" spans="1:10" ht="15.75" hidden="1" thickBot="1" x14ac:dyDescent="0.3">
      <c r="A2069" s="249"/>
      <c r="B2069" s="252"/>
      <c r="C2069" s="40"/>
      <c r="D2069" s="53"/>
      <c r="E2069" s="41"/>
      <c r="F2069" s="38" t="s">
        <v>23</v>
      </c>
      <c r="G2069" s="38" t="str">
        <f t="shared" si="33"/>
        <v/>
      </c>
      <c r="H2069" s="39"/>
      <c r="I2069" s="35"/>
      <c r="J2069" s="34">
        <v>0</v>
      </c>
    </row>
    <row r="2070" spans="1:10" ht="39" hidden="1" thickBot="1" x14ac:dyDescent="0.3">
      <c r="A2070" s="249"/>
      <c r="B2070" s="252"/>
      <c r="C2070" s="54" t="s">
        <v>520</v>
      </c>
      <c r="D2070" s="53"/>
      <c r="E2070" s="41"/>
      <c r="F2070" s="38" t="s">
        <v>23</v>
      </c>
      <c r="G2070" s="38" t="str">
        <f t="shared" si="33"/>
        <v/>
      </c>
      <c r="H2070" s="39"/>
      <c r="I2070" s="35"/>
      <c r="J2070" s="34">
        <v>0</v>
      </c>
    </row>
    <row r="2071" spans="1:10" ht="15.75" hidden="1" thickBot="1" x14ac:dyDescent="0.3">
      <c r="A2071" s="250"/>
      <c r="B2071" s="253"/>
      <c r="C2071" s="40"/>
      <c r="D2071" s="40"/>
      <c r="E2071" s="41"/>
      <c r="F2071" s="35" t="s">
        <v>23</v>
      </c>
      <c r="G2071" s="35" t="str">
        <f t="shared" si="33"/>
        <v/>
      </c>
      <c r="H2071" s="39"/>
      <c r="I2071" s="35"/>
      <c r="J2071" s="34">
        <v>0</v>
      </c>
    </row>
    <row r="2072" spans="1:10" ht="15.75" hidden="1" thickBot="1" x14ac:dyDescent="0.3">
      <c r="A2072" s="248" t="s">
        <v>535</v>
      </c>
      <c r="B2072" s="251" t="s">
        <v>2361</v>
      </c>
      <c r="C2072" s="28"/>
      <c r="D2072" s="29" t="s">
        <v>121</v>
      </c>
      <c r="E2072" s="30"/>
      <c r="F2072" s="45" t="s">
        <v>23</v>
      </c>
      <c r="G2072" s="31" t="str">
        <f t="shared" si="33"/>
        <v/>
      </c>
      <c r="H2072" s="32"/>
      <c r="I2072" s="33"/>
      <c r="J2072" s="34">
        <v>0</v>
      </c>
    </row>
    <row r="2073" spans="1:10" ht="15.75" hidden="1" thickBot="1" x14ac:dyDescent="0.3">
      <c r="A2073" s="249"/>
      <c r="B2073" s="252"/>
      <c r="C2073" s="36"/>
      <c r="D2073" s="36"/>
      <c r="E2073" s="37"/>
      <c r="F2073" s="46" t="s">
        <v>23</v>
      </c>
      <c r="G2073" s="35" t="str">
        <f t="shared" si="33"/>
        <v/>
      </c>
      <c r="H2073" s="39"/>
      <c r="I2073" s="35"/>
      <c r="J2073" s="34">
        <v>0</v>
      </c>
    </row>
    <row r="2074" spans="1:10" ht="39" hidden="1" thickBot="1" x14ac:dyDescent="0.3">
      <c r="A2074" s="249"/>
      <c r="B2074" s="252"/>
      <c r="C2074" s="40" t="s">
        <v>536</v>
      </c>
      <c r="D2074" s="53" t="s">
        <v>121</v>
      </c>
      <c r="E2074" s="41">
        <v>1.0210999999999999</v>
      </c>
      <c r="F2074" s="38" t="s">
        <v>23</v>
      </c>
      <c r="G2074" s="38" t="str">
        <f t="shared" si="33"/>
        <v/>
      </c>
      <c r="H2074" s="43">
        <f>SUM(G2074:G2076)</f>
        <v>0.93881279999999989</v>
      </c>
      <c r="I2074" s="44"/>
      <c r="J2074" s="34">
        <v>0</v>
      </c>
    </row>
    <row r="2075" spans="1:10" ht="26.25" hidden="1" thickBot="1" x14ac:dyDescent="0.3">
      <c r="A2075" s="249"/>
      <c r="B2075" s="252"/>
      <c r="C2075" s="40" t="s">
        <v>4119</v>
      </c>
      <c r="D2075" s="40" t="s">
        <v>3752</v>
      </c>
      <c r="E2075" s="41">
        <f>0.064*0.3</f>
        <v>1.9199999999999998E-2</v>
      </c>
      <c r="F2075" s="35">
        <v>21.555499999999999</v>
      </c>
      <c r="G2075" s="38">
        <f t="shared" si="33"/>
        <v>0.41386559999999994</v>
      </c>
      <c r="H2075" s="39"/>
      <c r="I2075" s="35"/>
      <c r="J2075" s="34">
        <v>0</v>
      </c>
    </row>
    <row r="2076" spans="1:10" ht="26.25" hidden="1" thickBot="1" x14ac:dyDescent="0.3">
      <c r="A2076" s="249"/>
      <c r="B2076" s="252"/>
      <c r="C2076" s="40" t="s">
        <v>4110</v>
      </c>
      <c r="D2076" s="40" t="s">
        <v>3752</v>
      </c>
      <c r="E2076" s="41">
        <f>0.064*0.3</f>
        <v>1.9199999999999998E-2</v>
      </c>
      <c r="F2076" s="35">
        <v>27.341000000000001</v>
      </c>
      <c r="G2076" s="38">
        <f t="shared" si="33"/>
        <v>0.52494719999999995</v>
      </c>
      <c r="H2076" s="39"/>
      <c r="I2076" s="35"/>
      <c r="J2076" s="34">
        <v>0</v>
      </c>
    </row>
    <row r="2077" spans="1:10" ht="15.75" hidden="1" thickBot="1" x14ac:dyDescent="0.3">
      <c r="A2077" s="249"/>
      <c r="B2077" s="252"/>
      <c r="C2077" s="40"/>
      <c r="D2077" s="53"/>
      <c r="E2077" s="41"/>
      <c r="F2077" s="38" t="s">
        <v>23</v>
      </c>
      <c r="G2077" s="38" t="str">
        <f t="shared" si="33"/>
        <v/>
      </c>
      <c r="H2077" s="39"/>
      <c r="I2077" s="35"/>
      <c r="J2077" s="34">
        <v>0</v>
      </c>
    </row>
    <row r="2078" spans="1:10" ht="39" hidden="1" thickBot="1" x14ac:dyDescent="0.3">
      <c r="A2078" s="249"/>
      <c r="B2078" s="252"/>
      <c r="C2078" s="54" t="s">
        <v>520</v>
      </c>
      <c r="D2078" s="53"/>
      <c r="E2078" s="41"/>
      <c r="F2078" s="38" t="s">
        <v>23</v>
      </c>
      <c r="G2078" s="38" t="str">
        <f t="shared" si="33"/>
        <v/>
      </c>
      <c r="H2078" s="39"/>
      <c r="I2078" s="35"/>
      <c r="J2078" s="34">
        <v>0</v>
      </c>
    </row>
    <row r="2079" spans="1:10" ht="15.75" hidden="1" thickBot="1" x14ac:dyDescent="0.3">
      <c r="A2079" s="250"/>
      <c r="B2079" s="253"/>
      <c r="C2079" s="40"/>
      <c r="D2079" s="40"/>
      <c r="E2079" s="41"/>
      <c r="F2079" s="35" t="s">
        <v>23</v>
      </c>
      <c r="G2079" s="35" t="str">
        <f t="shared" si="33"/>
        <v/>
      </c>
      <c r="H2079" s="39"/>
      <c r="I2079" s="35"/>
      <c r="J2079" s="34">
        <v>0</v>
      </c>
    </row>
    <row r="2080" spans="1:10" ht="15.75" hidden="1" thickBot="1" x14ac:dyDescent="0.3">
      <c r="A2080" s="248" t="s">
        <v>537</v>
      </c>
      <c r="B2080" s="251" t="s">
        <v>2362</v>
      </c>
      <c r="C2080" s="28"/>
      <c r="D2080" s="29" t="s">
        <v>121</v>
      </c>
      <c r="E2080" s="30"/>
      <c r="F2080" s="45" t="s">
        <v>23</v>
      </c>
      <c r="G2080" s="31" t="str">
        <f t="shared" si="33"/>
        <v/>
      </c>
      <c r="H2080" s="32"/>
      <c r="I2080" s="33"/>
      <c r="J2080" s="34">
        <v>0</v>
      </c>
    </row>
    <row r="2081" spans="1:10" ht="15.75" hidden="1" thickBot="1" x14ac:dyDescent="0.3">
      <c r="A2081" s="249"/>
      <c r="B2081" s="252"/>
      <c r="C2081" s="36"/>
      <c r="D2081" s="36"/>
      <c r="E2081" s="37"/>
      <c r="F2081" s="46" t="s">
        <v>23</v>
      </c>
      <c r="G2081" s="35" t="str">
        <f t="shared" si="33"/>
        <v/>
      </c>
      <c r="H2081" s="39"/>
      <c r="I2081" s="35"/>
      <c r="J2081" s="34">
        <v>0</v>
      </c>
    </row>
    <row r="2082" spans="1:10" ht="39" hidden="1" thickBot="1" x14ac:dyDescent="0.3">
      <c r="A2082" s="249"/>
      <c r="B2082" s="252"/>
      <c r="C2082" s="40" t="s">
        <v>538</v>
      </c>
      <c r="D2082" s="53" t="s">
        <v>121</v>
      </c>
      <c r="E2082" s="41">
        <v>1.0210999999999999</v>
      </c>
      <c r="F2082" s="38" t="s">
        <v>23</v>
      </c>
      <c r="G2082" s="38" t="str">
        <f t="shared" si="33"/>
        <v/>
      </c>
      <c r="H2082" s="43">
        <f>SUM(G2082:G2084)</f>
        <v>0.93881279999999989</v>
      </c>
      <c r="I2082" s="44"/>
      <c r="J2082" s="34">
        <v>0</v>
      </c>
    </row>
    <row r="2083" spans="1:10" ht="26.25" hidden="1" thickBot="1" x14ac:dyDescent="0.3">
      <c r="A2083" s="249"/>
      <c r="B2083" s="252"/>
      <c r="C2083" s="40" t="s">
        <v>4119</v>
      </c>
      <c r="D2083" s="40" t="s">
        <v>3752</v>
      </c>
      <c r="E2083" s="41">
        <f>0.064*0.3</f>
        <v>1.9199999999999998E-2</v>
      </c>
      <c r="F2083" s="35">
        <v>21.555499999999999</v>
      </c>
      <c r="G2083" s="38">
        <f t="shared" si="33"/>
        <v>0.41386559999999994</v>
      </c>
      <c r="H2083" s="39"/>
      <c r="I2083" s="35"/>
      <c r="J2083" s="34">
        <v>0</v>
      </c>
    </row>
    <row r="2084" spans="1:10" ht="26.25" hidden="1" thickBot="1" x14ac:dyDescent="0.3">
      <c r="A2084" s="249"/>
      <c r="B2084" s="252"/>
      <c r="C2084" s="40" t="s">
        <v>4110</v>
      </c>
      <c r="D2084" s="40" t="s">
        <v>3752</v>
      </c>
      <c r="E2084" s="41">
        <f>0.064*0.3</f>
        <v>1.9199999999999998E-2</v>
      </c>
      <c r="F2084" s="35">
        <v>27.341000000000001</v>
      </c>
      <c r="G2084" s="38">
        <f t="shared" si="33"/>
        <v>0.52494719999999995</v>
      </c>
      <c r="H2084" s="39"/>
      <c r="I2084" s="35"/>
      <c r="J2084" s="34">
        <v>0</v>
      </c>
    </row>
    <row r="2085" spans="1:10" ht="15.75" hidden="1" thickBot="1" x14ac:dyDescent="0.3">
      <c r="A2085" s="249"/>
      <c r="B2085" s="252"/>
      <c r="C2085" s="40"/>
      <c r="D2085" s="53"/>
      <c r="E2085" s="41"/>
      <c r="F2085" s="38" t="s">
        <v>23</v>
      </c>
      <c r="G2085" s="38" t="str">
        <f t="shared" si="33"/>
        <v/>
      </c>
      <c r="H2085" s="39"/>
      <c r="I2085" s="35"/>
      <c r="J2085" s="34">
        <v>0</v>
      </c>
    </row>
    <row r="2086" spans="1:10" ht="39" hidden="1" thickBot="1" x14ac:dyDescent="0.3">
      <c r="A2086" s="249"/>
      <c r="B2086" s="252"/>
      <c r="C2086" s="54" t="s">
        <v>520</v>
      </c>
      <c r="D2086" s="53"/>
      <c r="E2086" s="41"/>
      <c r="F2086" s="38" t="s">
        <v>23</v>
      </c>
      <c r="G2086" s="38" t="str">
        <f t="shared" si="33"/>
        <v/>
      </c>
      <c r="H2086" s="39"/>
      <c r="I2086" s="35"/>
      <c r="J2086" s="34">
        <v>0</v>
      </c>
    </row>
    <row r="2087" spans="1:10" ht="15.75" hidden="1" thickBot="1" x14ac:dyDescent="0.3">
      <c r="A2087" s="250"/>
      <c r="B2087" s="253"/>
      <c r="C2087" s="40"/>
      <c r="D2087" s="40"/>
      <c r="E2087" s="41"/>
      <c r="F2087" s="35" t="s">
        <v>23</v>
      </c>
      <c r="G2087" s="35" t="str">
        <f t="shared" si="33"/>
        <v/>
      </c>
      <c r="H2087" s="39"/>
      <c r="I2087" s="35"/>
      <c r="J2087" s="34">
        <v>0</v>
      </c>
    </row>
    <row r="2088" spans="1:10" ht="15.75" hidden="1" thickBot="1" x14ac:dyDescent="0.3">
      <c r="A2088" s="248" t="s">
        <v>539</v>
      </c>
      <c r="B2088" s="251" t="s">
        <v>2363</v>
      </c>
      <c r="C2088" s="28"/>
      <c r="D2088" s="29" t="s">
        <v>121</v>
      </c>
      <c r="E2088" s="30"/>
      <c r="F2088" s="45" t="s">
        <v>23</v>
      </c>
      <c r="G2088" s="31" t="str">
        <f t="shared" si="33"/>
        <v/>
      </c>
      <c r="H2088" s="32"/>
      <c r="I2088" s="33"/>
      <c r="J2088" s="34">
        <v>0</v>
      </c>
    </row>
    <row r="2089" spans="1:10" ht="15.75" hidden="1" thickBot="1" x14ac:dyDescent="0.3">
      <c r="A2089" s="249"/>
      <c r="B2089" s="252"/>
      <c r="C2089" s="36"/>
      <c r="D2089" s="36"/>
      <c r="E2089" s="37"/>
      <c r="F2089" s="46" t="s">
        <v>23</v>
      </c>
      <c r="G2089" s="35" t="str">
        <f t="shared" si="33"/>
        <v/>
      </c>
      <c r="H2089" s="39"/>
      <c r="I2089" s="35"/>
      <c r="J2089" s="34">
        <v>0</v>
      </c>
    </row>
    <row r="2090" spans="1:10" ht="39" hidden="1" thickBot="1" x14ac:dyDescent="0.3">
      <c r="A2090" s="249"/>
      <c r="B2090" s="252"/>
      <c r="C2090" s="40" t="s">
        <v>540</v>
      </c>
      <c r="D2090" s="53" t="s">
        <v>121</v>
      </c>
      <c r="E2090" s="41">
        <v>1.0210999999999999</v>
      </c>
      <c r="F2090" s="38" t="s">
        <v>23</v>
      </c>
      <c r="G2090" s="38" t="str">
        <f t="shared" si="33"/>
        <v/>
      </c>
      <c r="H2090" s="43">
        <f>SUM(G2090:G2092)</f>
        <v>0.93881279999999989</v>
      </c>
      <c r="I2090" s="44"/>
      <c r="J2090" s="34">
        <v>0</v>
      </c>
    </row>
    <row r="2091" spans="1:10" ht="26.25" hidden="1" thickBot="1" x14ac:dyDescent="0.3">
      <c r="A2091" s="249"/>
      <c r="B2091" s="252"/>
      <c r="C2091" s="40" t="s">
        <v>4119</v>
      </c>
      <c r="D2091" s="40" t="s">
        <v>3752</v>
      </c>
      <c r="E2091" s="41">
        <f>0.064*0.3</f>
        <v>1.9199999999999998E-2</v>
      </c>
      <c r="F2091" s="35">
        <v>21.555499999999999</v>
      </c>
      <c r="G2091" s="38">
        <f t="shared" si="33"/>
        <v>0.41386559999999994</v>
      </c>
      <c r="H2091" s="39"/>
      <c r="I2091" s="35"/>
      <c r="J2091" s="34">
        <v>0</v>
      </c>
    </row>
    <row r="2092" spans="1:10" ht="26.25" hidden="1" thickBot="1" x14ac:dyDescent="0.3">
      <c r="A2092" s="249"/>
      <c r="B2092" s="252"/>
      <c r="C2092" s="40" t="s">
        <v>4110</v>
      </c>
      <c r="D2092" s="40" t="s">
        <v>3752</v>
      </c>
      <c r="E2092" s="41">
        <f>0.064*0.3</f>
        <v>1.9199999999999998E-2</v>
      </c>
      <c r="F2092" s="35">
        <v>27.341000000000001</v>
      </c>
      <c r="G2092" s="38">
        <f t="shared" si="33"/>
        <v>0.52494719999999995</v>
      </c>
      <c r="H2092" s="39"/>
      <c r="I2092" s="35"/>
      <c r="J2092" s="34">
        <v>0</v>
      </c>
    </row>
    <row r="2093" spans="1:10" ht="15.75" hidden="1" thickBot="1" x14ac:dyDescent="0.3">
      <c r="A2093" s="249"/>
      <c r="B2093" s="252"/>
      <c r="C2093" s="40"/>
      <c r="D2093" s="53"/>
      <c r="E2093" s="41"/>
      <c r="F2093" s="38" t="s">
        <v>23</v>
      </c>
      <c r="G2093" s="38" t="str">
        <f t="shared" si="33"/>
        <v/>
      </c>
      <c r="H2093" s="39"/>
      <c r="I2093" s="35"/>
      <c r="J2093" s="34">
        <v>0</v>
      </c>
    </row>
    <row r="2094" spans="1:10" ht="39" hidden="1" thickBot="1" x14ac:dyDescent="0.3">
      <c r="A2094" s="249"/>
      <c r="B2094" s="252"/>
      <c r="C2094" s="54" t="s">
        <v>520</v>
      </c>
      <c r="D2094" s="53"/>
      <c r="E2094" s="41"/>
      <c r="F2094" s="38" t="s">
        <v>23</v>
      </c>
      <c r="G2094" s="38" t="str">
        <f t="shared" si="33"/>
        <v/>
      </c>
      <c r="H2094" s="39"/>
      <c r="I2094" s="35"/>
      <c r="J2094" s="34">
        <v>0</v>
      </c>
    </row>
    <row r="2095" spans="1:10" ht="15.75" hidden="1" thickBot="1" x14ac:dyDescent="0.3">
      <c r="A2095" s="250"/>
      <c r="B2095" s="253"/>
      <c r="C2095" s="40"/>
      <c r="D2095" s="40"/>
      <c r="E2095" s="41"/>
      <c r="F2095" s="35" t="s">
        <v>23</v>
      </c>
      <c r="G2095" s="35" t="str">
        <f t="shared" si="33"/>
        <v/>
      </c>
      <c r="H2095" s="39"/>
      <c r="I2095" s="35"/>
      <c r="J2095" s="34">
        <v>0</v>
      </c>
    </row>
    <row r="2096" spans="1:10" ht="15.75" hidden="1" thickBot="1" x14ac:dyDescent="0.3">
      <c r="A2096" s="248" t="s">
        <v>541</v>
      </c>
      <c r="B2096" s="251" t="s">
        <v>2364</v>
      </c>
      <c r="C2096" s="28"/>
      <c r="D2096" s="29" t="s">
        <v>78</v>
      </c>
      <c r="E2096" s="30"/>
      <c r="F2096" s="45" t="s">
        <v>23</v>
      </c>
      <c r="G2096" s="31" t="str">
        <f t="shared" si="33"/>
        <v/>
      </c>
      <c r="H2096" s="32"/>
      <c r="I2096" s="33"/>
      <c r="J2096" s="34">
        <v>0</v>
      </c>
    </row>
    <row r="2097" spans="1:10" ht="15.75" hidden="1" thickBot="1" x14ac:dyDescent="0.3">
      <c r="A2097" s="249"/>
      <c r="B2097" s="252"/>
      <c r="C2097" s="36"/>
      <c r="D2097" s="36"/>
      <c r="E2097" s="37"/>
      <c r="F2097" s="46" t="s">
        <v>23</v>
      </c>
      <c r="G2097" s="35" t="str">
        <f t="shared" si="33"/>
        <v/>
      </c>
      <c r="H2097" s="39"/>
      <c r="I2097" s="35"/>
      <c r="J2097" s="34">
        <v>0</v>
      </c>
    </row>
    <row r="2098" spans="1:10" ht="26.25" hidden="1" thickBot="1" x14ac:dyDescent="0.3">
      <c r="A2098" s="249"/>
      <c r="B2098" s="252"/>
      <c r="C2098" s="40" t="s">
        <v>4119</v>
      </c>
      <c r="D2098" s="40" t="s">
        <v>3752</v>
      </c>
      <c r="E2098" s="41">
        <v>0.2</v>
      </c>
      <c r="F2098" s="35">
        <v>21.555499999999999</v>
      </c>
      <c r="G2098" s="38">
        <f t="shared" si="33"/>
        <v>4.3110999999999997</v>
      </c>
      <c r="H2098" s="43">
        <f>SUM(G2098:G2100)</f>
        <v>9.7792999999999992</v>
      </c>
      <c r="I2098" s="44"/>
      <c r="J2098" s="34">
        <v>0</v>
      </c>
    </row>
    <row r="2099" spans="1:10" ht="26.25" hidden="1" thickBot="1" x14ac:dyDescent="0.3">
      <c r="A2099" s="249"/>
      <c r="B2099" s="252"/>
      <c r="C2099" s="40" t="s">
        <v>4110</v>
      </c>
      <c r="D2099" s="40" t="s">
        <v>3752</v>
      </c>
      <c r="E2099" s="41">
        <v>0.2</v>
      </c>
      <c r="F2099" s="35">
        <v>27.341000000000001</v>
      </c>
      <c r="G2099" s="38">
        <f t="shared" si="33"/>
        <v>5.4682000000000004</v>
      </c>
      <c r="H2099" s="39"/>
      <c r="I2099" s="35"/>
      <c r="J2099" s="34">
        <v>0</v>
      </c>
    </row>
    <row r="2100" spans="1:10" ht="15.75" hidden="1" thickBot="1" x14ac:dyDescent="0.3">
      <c r="A2100" s="249"/>
      <c r="B2100" s="252"/>
      <c r="C2100" s="40" t="s">
        <v>542</v>
      </c>
      <c r="D2100" s="53" t="s">
        <v>78</v>
      </c>
      <c r="E2100" s="41">
        <v>1.05</v>
      </c>
      <c r="F2100" s="38" t="s">
        <v>23</v>
      </c>
      <c r="G2100" s="38" t="str">
        <f t="shared" si="33"/>
        <v/>
      </c>
      <c r="H2100" s="39"/>
      <c r="I2100" s="35"/>
      <c r="J2100" s="34">
        <v>0</v>
      </c>
    </row>
    <row r="2101" spans="1:10" ht="15.75" hidden="1" thickBot="1" x14ac:dyDescent="0.3">
      <c r="A2101" s="250"/>
      <c r="B2101" s="253"/>
      <c r="C2101" s="40"/>
      <c r="D2101" s="40"/>
      <c r="E2101" s="41"/>
      <c r="F2101" s="35" t="s">
        <v>23</v>
      </c>
      <c r="G2101" s="35" t="str">
        <f t="shared" si="33"/>
        <v/>
      </c>
      <c r="H2101" s="39"/>
      <c r="I2101" s="35"/>
      <c r="J2101" s="34">
        <v>0</v>
      </c>
    </row>
    <row r="2102" spans="1:10" ht="15.75" hidden="1" thickBot="1" x14ac:dyDescent="0.3">
      <c r="A2102" s="248" t="s">
        <v>543</v>
      </c>
      <c r="B2102" s="251" t="s">
        <v>2365</v>
      </c>
      <c r="C2102" s="28"/>
      <c r="D2102" s="29" t="s">
        <v>121</v>
      </c>
      <c r="E2102" s="30"/>
      <c r="F2102" s="45" t="s">
        <v>23</v>
      </c>
      <c r="G2102" s="31" t="str">
        <f t="shared" si="33"/>
        <v/>
      </c>
      <c r="H2102" s="32"/>
      <c r="I2102" s="33"/>
      <c r="J2102" s="34">
        <v>0</v>
      </c>
    </row>
    <row r="2103" spans="1:10" ht="15.75" hidden="1" thickBot="1" x14ac:dyDescent="0.3">
      <c r="A2103" s="249"/>
      <c r="B2103" s="252"/>
      <c r="C2103" s="36"/>
      <c r="D2103" s="36"/>
      <c r="E2103" s="37"/>
      <c r="F2103" s="46" t="s">
        <v>23</v>
      </c>
      <c r="G2103" s="35" t="str">
        <f t="shared" si="33"/>
        <v/>
      </c>
      <c r="H2103" s="39"/>
      <c r="I2103" s="35"/>
      <c r="J2103" s="34">
        <v>0</v>
      </c>
    </row>
    <row r="2104" spans="1:10" ht="26.25" hidden="1" thickBot="1" x14ac:dyDescent="0.3">
      <c r="A2104" s="249"/>
      <c r="B2104" s="252"/>
      <c r="C2104" s="40" t="s">
        <v>4110</v>
      </c>
      <c r="D2104" s="40" t="s">
        <v>3752</v>
      </c>
      <c r="E2104" s="41">
        <v>0.29199999999999998</v>
      </c>
      <c r="F2104" s="35">
        <v>27.341000000000001</v>
      </c>
      <c r="G2104" s="35">
        <f t="shared" si="33"/>
        <v>7.9835719999999997</v>
      </c>
      <c r="H2104" s="43">
        <f>SUM(G2104:G2106)</f>
        <v>108.13636249999999</v>
      </c>
      <c r="I2104" s="44"/>
      <c r="J2104" s="34">
        <v>0</v>
      </c>
    </row>
    <row r="2105" spans="1:10" ht="26.25" hidden="1" thickBot="1" x14ac:dyDescent="0.3">
      <c r="A2105" s="249"/>
      <c r="B2105" s="252"/>
      <c r="C2105" s="40" t="s">
        <v>4119</v>
      </c>
      <c r="D2105" s="40" t="s">
        <v>3752</v>
      </c>
      <c r="E2105" s="41">
        <v>0.29199999999999998</v>
      </c>
      <c r="F2105" s="35">
        <v>21.555499999999999</v>
      </c>
      <c r="G2105" s="35">
        <f t="shared" si="33"/>
        <v>6.2942059999999991</v>
      </c>
      <c r="H2105" s="39"/>
      <c r="I2105" s="35"/>
      <c r="J2105" s="34">
        <v>0</v>
      </c>
    </row>
    <row r="2106" spans="1:10" ht="26.25" hidden="1" thickBot="1" x14ac:dyDescent="0.3">
      <c r="A2106" s="249"/>
      <c r="B2106" s="252"/>
      <c r="C2106" s="40" t="s">
        <v>3914</v>
      </c>
      <c r="D2106" s="40" t="s">
        <v>1286</v>
      </c>
      <c r="E2106" s="41">
        <v>1.0389999999999999</v>
      </c>
      <c r="F2106" s="38">
        <v>90.335499999999996</v>
      </c>
      <c r="G2106" s="35">
        <f t="shared" si="33"/>
        <v>93.858584499999992</v>
      </c>
      <c r="H2106" s="39"/>
      <c r="I2106" s="35"/>
      <c r="J2106" s="34">
        <v>0</v>
      </c>
    </row>
    <row r="2107" spans="1:10" ht="15.75" hidden="1" thickBot="1" x14ac:dyDescent="0.3">
      <c r="A2107" s="250"/>
      <c r="B2107" s="253"/>
      <c r="C2107" s="40"/>
      <c r="D2107" s="40"/>
      <c r="E2107" s="41"/>
      <c r="F2107" s="35" t="s">
        <v>23</v>
      </c>
      <c r="G2107" s="35" t="str">
        <f t="shared" si="33"/>
        <v/>
      </c>
      <c r="H2107" s="39"/>
      <c r="I2107" s="35"/>
      <c r="J2107" s="34">
        <v>0</v>
      </c>
    </row>
    <row r="2108" spans="1:10" ht="15.75" hidden="1" thickBot="1" x14ac:dyDescent="0.3">
      <c r="A2108" s="248" t="s">
        <v>544</v>
      </c>
      <c r="B2108" s="251" t="s">
        <v>2366</v>
      </c>
      <c r="C2108" s="28"/>
      <c r="D2108" s="29" t="s">
        <v>121</v>
      </c>
      <c r="E2108" s="30"/>
      <c r="F2108" s="45" t="s">
        <v>23</v>
      </c>
      <c r="G2108" s="31" t="str">
        <f t="shared" si="33"/>
        <v/>
      </c>
      <c r="H2108" s="32"/>
      <c r="I2108" s="33"/>
      <c r="J2108" s="34">
        <v>0</v>
      </c>
    </row>
    <row r="2109" spans="1:10" ht="15.75" hidden="1" thickBot="1" x14ac:dyDescent="0.3">
      <c r="A2109" s="249"/>
      <c r="B2109" s="252"/>
      <c r="C2109" s="36"/>
      <c r="D2109" s="36"/>
      <c r="E2109" s="37"/>
      <c r="F2109" s="46" t="s">
        <v>23</v>
      </c>
      <c r="G2109" s="35" t="str">
        <f t="shared" si="33"/>
        <v/>
      </c>
      <c r="H2109" s="39"/>
      <c r="I2109" s="35"/>
      <c r="J2109" s="34">
        <v>0</v>
      </c>
    </row>
    <row r="2110" spans="1:10" ht="26.25" hidden="1" thickBot="1" x14ac:dyDescent="0.3">
      <c r="A2110" s="249"/>
      <c r="B2110" s="252"/>
      <c r="C2110" s="40" t="s">
        <v>4110</v>
      </c>
      <c r="D2110" s="40" t="s">
        <v>3752</v>
      </c>
      <c r="E2110" s="41">
        <v>0.27500000000000002</v>
      </c>
      <c r="F2110" s="35">
        <v>27.341000000000001</v>
      </c>
      <c r="G2110" s="35">
        <f t="shared" si="33"/>
        <v>7.5187750000000007</v>
      </c>
      <c r="H2110" s="43">
        <f>SUM(G2110:G2112)</f>
        <v>99.576520500000001</v>
      </c>
      <c r="I2110" s="44"/>
      <c r="J2110" s="34">
        <v>0</v>
      </c>
    </row>
    <row r="2111" spans="1:10" ht="26.25" hidden="1" thickBot="1" x14ac:dyDescent="0.3">
      <c r="A2111" s="249"/>
      <c r="B2111" s="252"/>
      <c r="C2111" s="40" t="s">
        <v>4119</v>
      </c>
      <c r="D2111" s="40" t="s">
        <v>3752</v>
      </c>
      <c r="E2111" s="41">
        <v>0.27500000000000002</v>
      </c>
      <c r="F2111" s="35">
        <v>21.555499999999999</v>
      </c>
      <c r="G2111" s="35">
        <f t="shared" si="33"/>
        <v>5.9277625</v>
      </c>
      <c r="H2111" s="39"/>
      <c r="I2111" s="35"/>
      <c r="J2111" s="34">
        <v>0</v>
      </c>
    </row>
    <row r="2112" spans="1:10" ht="26.25" hidden="1" thickBot="1" x14ac:dyDescent="0.3">
      <c r="A2112" s="249"/>
      <c r="B2112" s="252"/>
      <c r="C2112" s="40" t="s">
        <v>3915</v>
      </c>
      <c r="D2112" s="40" t="s">
        <v>1286</v>
      </c>
      <c r="E2112" s="41">
        <v>1.0389999999999999</v>
      </c>
      <c r="F2112" s="35">
        <v>82.897000000000006</v>
      </c>
      <c r="G2112" s="35">
        <f t="shared" si="33"/>
        <v>86.129982999999996</v>
      </c>
      <c r="H2112" s="39"/>
      <c r="I2112" s="35"/>
      <c r="J2112" s="34">
        <v>0</v>
      </c>
    </row>
    <row r="2113" spans="1:10" ht="15.75" hidden="1" thickBot="1" x14ac:dyDescent="0.3">
      <c r="A2113" s="250"/>
      <c r="B2113" s="253"/>
      <c r="C2113" s="40"/>
      <c r="D2113" s="40"/>
      <c r="E2113" s="41"/>
      <c r="F2113" s="35" t="s">
        <v>23</v>
      </c>
      <c r="G2113" s="35" t="str">
        <f t="shared" si="33"/>
        <v/>
      </c>
      <c r="H2113" s="39"/>
      <c r="I2113" s="35"/>
      <c r="J2113" s="34">
        <v>0</v>
      </c>
    </row>
    <row r="2114" spans="1:10" ht="15.75" hidden="1" thickBot="1" x14ac:dyDescent="0.3">
      <c r="A2114" s="248" t="s">
        <v>545</v>
      </c>
      <c r="B2114" s="251" t="s">
        <v>2367</v>
      </c>
      <c r="C2114" s="28"/>
      <c r="D2114" s="29" t="s">
        <v>121</v>
      </c>
      <c r="E2114" s="30"/>
      <c r="F2114" s="45" t="s">
        <v>23</v>
      </c>
      <c r="G2114" s="31" t="str">
        <f t="shared" si="33"/>
        <v/>
      </c>
      <c r="H2114" s="32"/>
      <c r="I2114" s="33"/>
      <c r="J2114" s="34">
        <v>0</v>
      </c>
    </row>
    <row r="2115" spans="1:10" ht="15.75" hidden="1" thickBot="1" x14ac:dyDescent="0.3">
      <c r="A2115" s="249"/>
      <c r="B2115" s="252"/>
      <c r="C2115" s="36"/>
      <c r="D2115" s="36"/>
      <c r="E2115" s="37"/>
      <c r="F2115" s="46" t="s">
        <v>23</v>
      </c>
      <c r="G2115" s="35" t="str">
        <f t="shared" si="33"/>
        <v/>
      </c>
      <c r="H2115" s="39"/>
      <c r="I2115" s="35"/>
      <c r="J2115" s="34">
        <v>0</v>
      </c>
    </row>
    <row r="2116" spans="1:10" ht="26.25" hidden="1" thickBot="1" x14ac:dyDescent="0.3">
      <c r="A2116" s="249"/>
      <c r="B2116" s="252"/>
      <c r="C2116" s="40" t="s">
        <v>4110</v>
      </c>
      <c r="D2116" s="40" t="s">
        <v>3752</v>
      </c>
      <c r="E2116" s="41">
        <v>0.29699999999999999</v>
      </c>
      <c r="F2116" s="35">
        <v>27.341000000000001</v>
      </c>
      <c r="G2116" s="38">
        <f t="shared" si="33"/>
        <v>8.1202769999999997</v>
      </c>
      <c r="H2116" s="43">
        <f>SUM(G2116:G2118)</f>
        <v>78.798956500000003</v>
      </c>
      <c r="I2116" s="44"/>
      <c r="J2116" s="34">
        <v>0</v>
      </c>
    </row>
    <row r="2117" spans="1:10" ht="26.25" hidden="1" thickBot="1" x14ac:dyDescent="0.3">
      <c r="A2117" s="249"/>
      <c r="B2117" s="252"/>
      <c r="C2117" s="40" t="s">
        <v>4119</v>
      </c>
      <c r="D2117" s="40" t="s">
        <v>3752</v>
      </c>
      <c r="E2117" s="41">
        <v>0.29699999999999999</v>
      </c>
      <c r="F2117" s="35">
        <v>21.555499999999999</v>
      </c>
      <c r="G2117" s="38">
        <f t="shared" si="33"/>
        <v>6.4019834999999992</v>
      </c>
      <c r="H2117" s="39"/>
      <c r="I2117" s="35"/>
      <c r="J2117" s="34">
        <v>0</v>
      </c>
    </row>
    <row r="2118" spans="1:10" ht="26.25" hidden="1" thickBot="1" x14ac:dyDescent="0.3">
      <c r="A2118" s="249"/>
      <c r="B2118" s="252"/>
      <c r="C2118" s="40" t="s">
        <v>3916</v>
      </c>
      <c r="D2118" s="40" t="s">
        <v>1286</v>
      </c>
      <c r="E2118" s="41">
        <v>1.0389999999999999</v>
      </c>
      <c r="F2118" s="35">
        <v>61.864000000000004</v>
      </c>
      <c r="G2118" s="38">
        <f t="shared" si="33"/>
        <v>64.276696000000001</v>
      </c>
      <c r="H2118" s="39"/>
      <c r="I2118" s="35"/>
      <c r="J2118" s="34">
        <v>0</v>
      </c>
    </row>
    <row r="2119" spans="1:10" ht="15.75" hidden="1" thickBot="1" x14ac:dyDescent="0.3">
      <c r="A2119" s="250"/>
      <c r="B2119" s="253"/>
      <c r="C2119" s="40"/>
      <c r="D2119" s="40"/>
      <c r="E2119" s="41"/>
      <c r="F2119" s="35" t="s">
        <v>23</v>
      </c>
      <c r="G2119" s="35" t="str">
        <f t="shared" si="33"/>
        <v/>
      </c>
      <c r="H2119" s="39"/>
      <c r="I2119" s="35"/>
      <c r="J2119" s="34">
        <v>0</v>
      </c>
    </row>
    <row r="2120" spans="1:10" ht="15.75" hidden="1" thickBot="1" x14ac:dyDescent="0.3">
      <c r="A2120" s="248" t="s">
        <v>546</v>
      </c>
      <c r="B2120" s="251" t="s">
        <v>2368</v>
      </c>
      <c r="C2120" s="28"/>
      <c r="D2120" s="29" t="s">
        <v>121</v>
      </c>
      <c r="E2120" s="30"/>
      <c r="F2120" s="45" t="s">
        <v>23</v>
      </c>
      <c r="G2120" s="31" t="str">
        <f t="shared" si="33"/>
        <v/>
      </c>
      <c r="H2120" s="32"/>
      <c r="I2120" s="33"/>
      <c r="J2120" s="34">
        <v>0</v>
      </c>
    </row>
    <row r="2121" spans="1:10" ht="15.75" hidden="1" thickBot="1" x14ac:dyDescent="0.3">
      <c r="A2121" s="249"/>
      <c r="B2121" s="252"/>
      <c r="C2121" s="36"/>
      <c r="D2121" s="36"/>
      <c r="E2121" s="37"/>
      <c r="F2121" s="46" t="s">
        <v>23</v>
      </c>
      <c r="G2121" s="35" t="str">
        <f t="shared" si="33"/>
        <v/>
      </c>
      <c r="H2121" s="39"/>
      <c r="I2121" s="35"/>
      <c r="J2121" s="34">
        <v>0</v>
      </c>
    </row>
    <row r="2122" spans="1:10" ht="26.25" hidden="1" thickBot="1" x14ac:dyDescent="0.3">
      <c r="A2122" s="249"/>
      <c r="B2122" s="252"/>
      <c r="C2122" s="40" t="s">
        <v>4110</v>
      </c>
      <c r="D2122" s="40" t="s">
        <v>3752</v>
      </c>
      <c r="E2122" s="41">
        <v>0.29699999999999999</v>
      </c>
      <c r="F2122" s="35">
        <v>27.341000000000001</v>
      </c>
      <c r="G2122" s="35">
        <f t="shared" si="33"/>
        <v>8.1202769999999997</v>
      </c>
      <c r="H2122" s="43">
        <f>SUM(G2122:G2124)</f>
        <v>71.632973499999991</v>
      </c>
      <c r="I2122" s="44"/>
      <c r="J2122" s="34">
        <v>0</v>
      </c>
    </row>
    <row r="2123" spans="1:10" ht="26.25" hidden="1" thickBot="1" x14ac:dyDescent="0.3">
      <c r="A2123" s="249"/>
      <c r="B2123" s="252"/>
      <c r="C2123" s="40" t="s">
        <v>4119</v>
      </c>
      <c r="D2123" s="40" t="s">
        <v>3752</v>
      </c>
      <c r="E2123" s="41">
        <v>0.29699999999999999</v>
      </c>
      <c r="F2123" s="35">
        <v>21.555499999999999</v>
      </c>
      <c r="G2123" s="35">
        <f t="shared" si="33"/>
        <v>6.4019834999999992</v>
      </c>
      <c r="H2123" s="39"/>
      <c r="I2123" s="35"/>
      <c r="J2123" s="34">
        <v>0</v>
      </c>
    </row>
    <row r="2124" spans="1:10" ht="26.25" hidden="1" thickBot="1" x14ac:dyDescent="0.3">
      <c r="A2124" s="249"/>
      <c r="B2124" s="252"/>
      <c r="C2124" s="40" t="s">
        <v>3917</v>
      </c>
      <c r="D2124" s="40" t="s">
        <v>1286</v>
      </c>
      <c r="E2124" s="41">
        <v>1.0389999999999999</v>
      </c>
      <c r="F2124" s="38">
        <v>54.966999999999999</v>
      </c>
      <c r="G2124" s="35">
        <f t="shared" si="33"/>
        <v>57.110712999999997</v>
      </c>
      <c r="H2124" s="39"/>
      <c r="I2124" s="35"/>
      <c r="J2124" s="34">
        <v>0</v>
      </c>
    </row>
    <row r="2125" spans="1:10" ht="15.75" hidden="1" thickBot="1" x14ac:dyDescent="0.3">
      <c r="A2125" s="250"/>
      <c r="B2125" s="253"/>
      <c r="C2125" s="40"/>
      <c r="D2125" s="40"/>
      <c r="E2125" s="41"/>
      <c r="F2125" s="35" t="s">
        <v>23</v>
      </c>
      <c r="G2125" s="35" t="str">
        <f t="shared" si="33"/>
        <v/>
      </c>
      <c r="H2125" s="39"/>
      <c r="I2125" s="35"/>
      <c r="J2125" s="34">
        <v>0</v>
      </c>
    </row>
    <row r="2126" spans="1:10" ht="15.75" hidden="1" thickBot="1" x14ac:dyDescent="0.3">
      <c r="A2126" s="248" t="s">
        <v>547</v>
      </c>
      <c r="B2126" s="251" t="s">
        <v>2369</v>
      </c>
      <c r="C2126" s="28"/>
      <c r="D2126" s="29" t="s">
        <v>121</v>
      </c>
      <c r="E2126" s="30"/>
      <c r="F2126" s="45" t="s">
        <v>23</v>
      </c>
      <c r="G2126" s="31" t="str">
        <f t="shared" si="33"/>
        <v/>
      </c>
      <c r="H2126" s="32"/>
      <c r="I2126" s="33"/>
      <c r="J2126" s="34">
        <v>0</v>
      </c>
    </row>
    <row r="2127" spans="1:10" ht="15.75" hidden="1" thickBot="1" x14ac:dyDescent="0.3">
      <c r="A2127" s="249"/>
      <c r="B2127" s="252"/>
      <c r="C2127" s="36"/>
      <c r="D2127" s="36"/>
      <c r="E2127" s="37"/>
      <c r="F2127" s="46" t="s">
        <v>23</v>
      </c>
      <c r="G2127" s="35" t="str">
        <f t="shared" si="33"/>
        <v/>
      </c>
      <c r="H2127" s="39"/>
      <c r="I2127" s="35"/>
      <c r="J2127" s="34">
        <v>0</v>
      </c>
    </row>
    <row r="2128" spans="1:10" ht="26.25" hidden="1" thickBot="1" x14ac:dyDescent="0.3">
      <c r="A2128" s="249"/>
      <c r="B2128" s="252"/>
      <c r="C2128" s="40" t="s">
        <v>3918</v>
      </c>
      <c r="D2128" s="40" t="s">
        <v>1286</v>
      </c>
      <c r="E2128" s="41">
        <v>1.0210999999999999</v>
      </c>
      <c r="F2128" s="38">
        <v>43.6905</v>
      </c>
      <c r="G2128" s="38">
        <f t="shared" si="33"/>
        <v>44.612369549999997</v>
      </c>
      <c r="H2128" s="43">
        <f>SUM(G2128:G2130)</f>
        <v>46.700250099999998</v>
      </c>
      <c r="I2128" s="44"/>
      <c r="J2128" s="34">
        <v>0</v>
      </c>
    </row>
    <row r="2129" spans="1:10" ht="26.25" hidden="1" thickBot="1" x14ac:dyDescent="0.3">
      <c r="A2129" s="249"/>
      <c r="B2129" s="252"/>
      <c r="C2129" s="40" t="s">
        <v>4119</v>
      </c>
      <c r="D2129" s="40" t="s">
        <v>3752</v>
      </c>
      <c r="E2129" s="41">
        <f>0.061*0.7</f>
        <v>4.2699999999999995E-2</v>
      </c>
      <c r="F2129" s="35">
        <v>21.555499999999999</v>
      </c>
      <c r="G2129" s="38">
        <f t="shared" si="33"/>
        <v>0.92041984999999982</v>
      </c>
      <c r="H2129" s="39"/>
      <c r="I2129" s="35"/>
      <c r="J2129" s="34">
        <v>0</v>
      </c>
    </row>
    <row r="2130" spans="1:10" ht="26.25" hidden="1" thickBot="1" x14ac:dyDescent="0.3">
      <c r="A2130" s="249"/>
      <c r="B2130" s="252"/>
      <c r="C2130" s="40" t="s">
        <v>4110</v>
      </c>
      <c r="D2130" s="40" t="s">
        <v>3752</v>
      </c>
      <c r="E2130" s="41">
        <f>0.061*0.7</f>
        <v>4.2699999999999995E-2</v>
      </c>
      <c r="F2130" s="35">
        <v>27.341000000000001</v>
      </c>
      <c r="G2130" s="38">
        <f t="shared" ref="G2130:G2193" si="34">IF(ISNUMBER(F2130),E2130*F2130,"")</f>
        <v>1.1674606999999999</v>
      </c>
      <c r="H2130" s="39"/>
      <c r="I2130" s="35"/>
      <c r="J2130" s="34">
        <v>0</v>
      </c>
    </row>
    <row r="2131" spans="1:10" ht="15.75" hidden="1" thickBot="1" x14ac:dyDescent="0.3">
      <c r="A2131" s="249"/>
      <c r="B2131" s="252"/>
      <c r="C2131" s="40"/>
      <c r="D2131" s="53"/>
      <c r="E2131" s="41"/>
      <c r="F2131" s="35" t="s">
        <v>23</v>
      </c>
      <c r="G2131" s="38" t="str">
        <f t="shared" si="34"/>
        <v/>
      </c>
      <c r="H2131" s="39"/>
      <c r="I2131" s="35"/>
      <c r="J2131" s="34">
        <v>0</v>
      </c>
    </row>
    <row r="2132" spans="1:10" ht="39" hidden="1" thickBot="1" x14ac:dyDescent="0.3">
      <c r="A2132" s="249"/>
      <c r="B2132" s="252"/>
      <c r="C2132" s="54" t="s">
        <v>520</v>
      </c>
      <c r="D2132" s="53"/>
      <c r="E2132" s="41"/>
      <c r="F2132" s="35" t="s">
        <v>23</v>
      </c>
      <c r="G2132" s="38" t="str">
        <f t="shared" si="34"/>
        <v/>
      </c>
      <c r="H2132" s="39"/>
      <c r="I2132" s="35"/>
      <c r="J2132" s="34">
        <v>0</v>
      </c>
    </row>
    <row r="2133" spans="1:10" ht="15.75" hidden="1" thickBot="1" x14ac:dyDescent="0.3">
      <c r="A2133" s="250"/>
      <c r="B2133" s="253"/>
      <c r="C2133" s="40"/>
      <c r="D2133" s="40"/>
      <c r="E2133" s="41"/>
      <c r="F2133" s="35" t="s">
        <v>23</v>
      </c>
      <c r="G2133" s="35" t="str">
        <f t="shared" si="34"/>
        <v/>
      </c>
      <c r="H2133" s="39"/>
      <c r="I2133" s="35"/>
      <c r="J2133" s="34">
        <v>0</v>
      </c>
    </row>
    <row r="2134" spans="1:10" ht="15.75" hidden="1" thickBot="1" x14ac:dyDescent="0.3">
      <c r="A2134" s="248" t="s">
        <v>548</v>
      </c>
      <c r="B2134" s="251" t="s">
        <v>2370</v>
      </c>
      <c r="C2134" s="28"/>
      <c r="D2134" s="29" t="s">
        <v>121</v>
      </c>
      <c r="E2134" s="30"/>
      <c r="F2134" s="45" t="s">
        <v>23</v>
      </c>
      <c r="G2134" s="31" t="str">
        <f t="shared" si="34"/>
        <v/>
      </c>
      <c r="H2134" s="32"/>
      <c r="I2134" s="33"/>
      <c r="J2134" s="34">
        <v>0</v>
      </c>
    </row>
    <row r="2135" spans="1:10" ht="15.75" hidden="1" thickBot="1" x14ac:dyDescent="0.3">
      <c r="A2135" s="249"/>
      <c r="B2135" s="252"/>
      <c r="C2135" s="36"/>
      <c r="D2135" s="36"/>
      <c r="E2135" s="37"/>
      <c r="F2135" s="46" t="s">
        <v>23</v>
      </c>
      <c r="G2135" s="35" t="str">
        <f t="shared" si="34"/>
        <v/>
      </c>
      <c r="H2135" s="39"/>
      <c r="I2135" s="35"/>
      <c r="J2135" s="34">
        <v>0</v>
      </c>
    </row>
    <row r="2136" spans="1:10" ht="26.25" hidden="1" thickBot="1" x14ac:dyDescent="0.3">
      <c r="A2136" s="249"/>
      <c r="B2136" s="252"/>
      <c r="C2136" s="40" t="s">
        <v>3919</v>
      </c>
      <c r="D2136" s="40" t="s">
        <v>1286</v>
      </c>
      <c r="E2136" s="41">
        <v>1.0210999999999999</v>
      </c>
      <c r="F2136" s="38">
        <v>20.937999999999999</v>
      </c>
      <c r="G2136" s="38">
        <f t="shared" si="34"/>
        <v>21.379791799999996</v>
      </c>
      <c r="H2136" s="43">
        <f>SUM(G2136:G2138)</f>
        <v>23.159624399999995</v>
      </c>
      <c r="I2136" s="44"/>
      <c r="J2136" s="34">
        <v>0</v>
      </c>
    </row>
    <row r="2137" spans="1:10" ht="26.25" hidden="1" thickBot="1" x14ac:dyDescent="0.3">
      <c r="A2137" s="249"/>
      <c r="B2137" s="252"/>
      <c r="C2137" s="40" t="s">
        <v>4119</v>
      </c>
      <c r="D2137" s="40" t="s">
        <v>3752</v>
      </c>
      <c r="E2137" s="41">
        <f>0.052*0.7</f>
        <v>3.6399999999999995E-2</v>
      </c>
      <c r="F2137" s="35">
        <v>21.555499999999999</v>
      </c>
      <c r="G2137" s="38">
        <f t="shared" si="34"/>
        <v>0.78462019999999988</v>
      </c>
      <c r="H2137" s="39"/>
      <c r="I2137" s="35"/>
      <c r="J2137" s="34">
        <v>0</v>
      </c>
    </row>
    <row r="2138" spans="1:10" ht="26.25" hidden="1" thickBot="1" x14ac:dyDescent="0.3">
      <c r="A2138" s="249"/>
      <c r="B2138" s="252"/>
      <c r="C2138" s="40" t="s">
        <v>4110</v>
      </c>
      <c r="D2138" s="40" t="s">
        <v>3752</v>
      </c>
      <c r="E2138" s="41">
        <f>0.052*0.7</f>
        <v>3.6399999999999995E-2</v>
      </c>
      <c r="F2138" s="35">
        <v>27.341000000000001</v>
      </c>
      <c r="G2138" s="38">
        <f t="shared" si="34"/>
        <v>0.99521239999999989</v>
      </c>
      <c r="H2138" s="39"/>
      <c r="I2138" s="35"/>
      <c r="J2138" s="34">
        <v>0</v>
      </c>
    </row>
    <row r="2139" spans="1:10" ht="15.75" hidden="1" thickBot="1" x14ac:dyDescent="0.3">
      <c r="A2139" s="249"/>
      <c r="B2139" s="252"/>
      <c r="C2139" s="40"/>
      <c r="D2139" s="53"/>
      <c r="E2139" s="41"/>
      <c r="F2139" s="38" t="s">
        <v>23</v>
      </c>
      <c r="G2139" s="38" t="str">
        <f t="shared" si="34"/>
        <v/>
      </c>
      <c r="H2139" s="39"/>
      <c r="I2139" s="35"/>
      <c r="J2139" s="34">
        <v>0</v>
      </c>
    </row>
    <row r="2140" spans="1:10" ht="39" hidden="1" thickBot="1" x14ac:dyDescent="0.3">
      <c r="A2140" s="249"/>
      <c r="B2140" s="252"/>
      <c r="C2140" s="54" t="s">
        <v>520</v>
      </c>
      <c r="D2140" s="53"/>
      <c r="E2140" s="41"/>
      <c r="F2140" s="38" t="s">
        <v>23</v>
      </c>
      <c r="G2140" s="38" t="str">
        <f t="shared" si="34"/>
        <v/>
      </c>
      <c r="H2140" s="39"/>
      <c r="I2140" s="35"/>
      <c r="J2140" s="34">
        <v>0</v>
      </c>
    </row>
    <row r="2141" spans="1:10" ht="15.75" hidden="1" thickBot="1" x14ac:dyDescent="0.3">
      <c r="A2141" s="250"/>
      <c r="B2141" s="253"/>
      <c r="C2141" s="40"/>
      <c r="D2141" s="40"/>
      <c r="E2141" s="41"/>
      <c r="F2141" s="35" t="s">
        <v>23</v>
      </c>
      <c r="G2141" s="35" t="str">
        <f t="shared" si="34"/>
        <v/>
      </c>
      <c r="H2141" s="39"/>
      <c r="I2141" s="35"/>
      <c r="J2141" s="34">
        <v>0</v>
      </c>
    </row>
    <row r="2142" spans="1:10" ht="15.75" hidden="1" thickBot="1" x14ac:dyDescent="0.3">
      <c r="A2142" s="248" t="s">
        <v>549</v>
      </c>
      <c r="B2142" s="251" t="s">
        <v>2371</v>
      </c>
      <c r="C2142" s="28"/>
      <c r="D2142" s="29" t="s">
        <v>121</v>
      </c>
      <c r="E2142" s="30"/>
      <c r="F2142" s="45" t="s">
        <v>23</v>
      </c>
      <c r="G2142" s="31" t="str">
        <f t="shared" si="34"/>
        <v/>
      </c>
      <c r="H2142" s="32"/>
      <c r="I2142" s="33"/>
      <c r="J2142" s="34">
        <v>0</v>
      </c>
    </row>
    <row r="2143" spans="1:10" ht="15.75" hidden="1" thickBot="1" x14ac:dyDescent="0.3">
      <c r="A2143" s="249"/>
      <c r="B2143" s="252"/>
      <c r="C2143" s="36"/>
      <c r="D2143" s="36"/>
      <c r="E2143" s="37"/>
      <c r="F2143" s="46" t="s">
        <v>23</v>
      </c>
      <c r="G2143" s="35" t="str">
        <f t="shared" si="34"/>
        <v/>
      </c>
      <c r="H2143" s="39"/>
      <c r="I2143" s="35"/>
      <c r="J2143" s="34">
        <v>0</v>
      </c>
    </row>
    <row r="2144" spans="1:10" ht="26.25" hidden="1" thickBot="1" x14ac:dyDescent="0.3">
      <c r="A2144" s="249"/>
      <c r="B2144" s="252"/>
      <c r="C2144" s="40" t="s">
        <v>3920</v>
      </c>
      <c r="D2144" s="40" t="s">
        <v>1286</v>
      </c>
      <c r="E2144" s="41">
        <v>1.0210999999999999</v>
      </c>
      <c r="F2144" s="38">
        <v>65.730499999999992</v>
      </c>
      <c r="G2144" s="38">
        <f t="shared" si="34"/>
        <v>67.117413549999981</v>
      </c>
      <c r="H2144" s="43">
        <f>SUM(G2144:G2146)</f>
        <v>69.30797674999998</v>
      </c>
      <c r="I2144" s="44"/>
      <c r="J2144" s="34">
        <v>0</v>
      </c>
    </row>
    <row r="2145" spans="1:10" ht="26.25" hidden="1" thickBot="1" x14ac:dyDescent="0.3">
      <c r="A2145" s="249"/>
      <c r="B2145" s="252"/>
      <c r="C2145" s="40" t="s">
        <v>4119</v>
      </c>
      <c r="D2145" s="40" t="s">
        <v>3752</v>
      </c>
      <c r="E2145" s="41">
        <f>0.064*0.7</f>
        <v>4.48E-2</v>
      </c>
      <c r="F2145" s="35">
        <v>21.555499999999999</v>
      </c>
      <c r="G2145" s="38">
        <f t="shared" si="34"/>
        <v>0.96568639999999994</v>
      </c>
      <c r="H2145" s="39"/>
      <c r="I2145" s="35"/>
      <c r="J2145" s="34">
        <v>0</v>
      </c>
    </row>
    <row r="2146" spans="1:10" ht="26.25" hidden="1" thickBot="1" x14ac:dyDescent="0.3">
      <c r="A2146" s="249"/>
      <c r="B2146" s="252"/>
      <c r="C2146" s="40" t="s">
        <v>4110</v>
      </c>
      <c r="D2146" s="40" t="s">
        <v>3752</v>
      </c>
      <c r="E2146" s="41">
        <f>0.064*0.7</f>
        <v>4.48E-2</v>
      </c>
      <c r="F2146" s="35">
        <v>27.341000000000001</v>
      </c>
      <c r="G2146" s="38">
        <f t="shared" si="34"/>
        <v>1.2248768000000001</v>
      </c>
      <c r="H2146" s="39"/>
      <c r="I2146" s="35"/>
      <c r="J2146" s="34">
        <v>0</v>
      </c>
    </row>
    <row r="2147" spans="1:10" ht="15.75" hidden="1" thickBot="1" x14ac:dyDescent="0.3">
      <c r="A2147" s="249"/>
      <c r="B2147" s="252"/>
      <c r="C2147" s="40"/>
      <c r="D2147" s="53"/>
      <c r="E2147" s="41"/>
      <c r="F2147" s="38" t="s">
        <v>23</v>
      </c>
      <c r="G2147" s="38" t="str">
        <f t="shared" si="34"/>
        <v/>
      </c>
      <c r="H2147" s="39"/>
      <c r="I2147" s="35"/>
      <c r="J2147" s="34">
        <v>0</v>
      </c>
    </row>
    <row r="2148" spans="1:10" ht="39" hidden="1" thickBot="1" x14ac:dyDescent="0.3">
      <c r="A2148" s="249"/>
      <c r="B2148" s="252"/>
      <c r="C2148" s="54" t="s">
        <v>520</v>
      </c>
      <c r="D2148" s="53"/>
      <c r="E2148" s="41"/>
      <c r="F2148" s="38" t="s">
        <v>23</v>
      </c>
      <c r="G2148" s="38" t="str">
        <f t="shared" si="34"/>
        <v/>
      </c>
      <c r="H2148" s="39"/>
      <c r="I2148" s="35"/>
      <c r="J2148" s="34">
        <v>0</v>
      </c>
    </row>
    <row r="2149" spans="1:10" ht="15.75" hidden="1" thickBot="1" x14ac:dyDescent="0.3">
      <c r="A2149" s="250"/>
      <c r="B2149" s="253"/>
      <c r="C2149" s="40"/>
      <c r="D2149" s="40"/>
      <c r="E2149" s="41"/>
      <c r="F2149" s="35" t="s">
        <v>23</v>
      </c>
      <c r="G2149" s="35" t="str">
        <f t="shared" si="34"/>
        <v/>
      </c>
      <c r="H2149" s="39"/>
      <c r="I2149" s="35"/>
      <c r="J2149" s="34">
        <v>0</v>
      </c>
    </row>
    <row r="2150" spans="1:10" ht="15.75" hidden="1" thickBot="1" x14ac:dyDescent="0.3">
      <c r="A2150" s="248" t="s">
        <v>550</v>
      </c>
      <c r="B2150" s="251" t="s">
        <v>2372</v>
      </c>
      <c r="C2150" s="28"/>
      <c r="D2150" s="29" t="s">
        <v>121</v>
      </c>
      <c r="E2150" s="30"/>
      <c r="F2150" s="45" t="s">
        <v>23</v>
      </c>
      <c r="G2150" s="31" t="str">
        <f t="shared" si="34"/>
        <v/>
      </c>
      <c r="H2150" s="32"/>
      <c r="I2150" s="33"/>
      <c r="J2150" s="34">
        <v>0</v>
      </c>
    </row>
    <row r="2151" spans="1:10" ht="15.75" hidden="1" thickBot="1" x14ac:dyDescent="0.3">
      <c r="A2151" s="249"/>
      <c r="B2151" s="252"/>
      <c r="C2151" s="36"/>
      <c r="D2151" s="36"/>
      <c r="E2151" s="37"/>
      <c r="F2151" s="46" t="s">
        <v>23</v>
      </c>
      <c r="G2151" s="35" t="str">
        <f t="shared" si="34"/>
        <v/>
      </c>
      <c r="H2151" s="39"/>
      <c r="I2151" s="35"/>
      <c r="J2151" s="34">
        <v>0</v>
      </c>
    </row>
    <row r="2152" spans="1:10" ht="26.25" hidden="1" thickBot="1" x14ac:dyDescent="0.3">
      <c r="A2152" s="249"/>
      <c r="B2152" s="252"/>
      <c r="C2152" s="40" t="s">
        <v>3921</v>
      </c>
      <c r="D2152" s="40" t="s">
        <v>1286</v>
      </c>
      <c r="E2152" s="41">
        <v>1.0210999999999999</v>
      </c>
      <c r="F2152" s="38">
        <v>32.214499999999994</v>
      </c>
      <c r="G2152" s="38">
        <f t="shared" si="34"/>
        <v>32.894225949999992</v>
      </c>
      <c r="H2152" s="43">
        <f>SUM(G2152:G2154)</f>
        <v>34.845196299999998</v>
      </c>
      <c r="I2152" s="44"/>
      <c r="J2152" s="34">
        <v>0</v>
      </c>
    </row>
    <row r="2153" spans="1:10" ht="26.25" hidden="1" thickBot="1" x14ac:dyDescent="0.3">
      <c r="A2153" s="249"/>
      <c r="B2153" s="252"/>
      <c r="C2153" s="40" t="s">
        <v>4119</v>
      </c>
      <c r="D2153" s="40" t="s">
        <v>3752</v>
      </c>
      <c r="E2153" s="41">
        <f>0.057*0.7</f>
        <v>3.9899999999999998E-2</v>
      </c>
      <c r="F2153" s="35">
        <v>21.555499999999999</v>
      </c>
      <c r="G2153" s="38">
        <f t="shared" si="34"/>
        <v>0.86006444999999987</v>
      </c>
      <c r="H2153" s="39"/>
      <c r="I2153" s="35"/>
      <c r="J2153" s="34">
        <v>0</v>
      </c>
    </row>
    <row r="2154" spans="1:10" ht="26.25" hidden="1" thickBot="1" x14ac:dyDescent="0.3">
      <c r="A2154" s="249"/>
      <c r="B2154" s="252"/>
      <c r="C2154" s="40" t="s">
        <v>4110</v>
      </c>
      <c r="D2154" s="40" t="s">
        <v>3752</v>
      </c>
      <c r="E2154" s="41">
        <f>0.057*0.7</f>
        <v>3.9899999999999998E-2</v>
      </c>
      <c r="F2154" s="35">
        <v>27.341000000000001</v>
      </c>
      <c r="G2154" s="38">
        <f t="shared" si="34"/>
        <v>1.0909059000000001</v>
      </c>
      <c r="H2154" s="39"/>
      <c r="I2154" s="35"/>
      <c r="J2154" s="34">
        <v>0</v>
      </c>
    </row>
    <row r="2155" spans="1:10" ht="15.75" hidden="1" thickBot="1" x14ac:dyDescent="0.3">
      <c r="A2155" s="249"/>
      <c r="B2155" s="252"/>
      <c r="C2155" s="40"/>
      <c r="D2155" s="53"/>
      <c r="E2155" s="41"/>
      <c r="F2155" s="38" t="s">
        <v>23</v>
      </c>
      <c r="G2155" s="38" t="str">
        <f t="shared" si="34"/>
        <v/>
      </c>
      <c r="H2155" s="39"/>
      <c r="I2155" s="35"/>
      <c r="J2155" s="34">
        <v>0</v>
      </c>
    </row>
    <row r="2156" spans="1:10" ht="39" hidden="1" thickBot="1" x14ac:dyDescent="0.3">
      <c r="A2156" s="249"/>
      <c r="B2156" s="252"/>
      <c r="C2156" s="54" t="s">
        <v>520</v>
      </c>
      <c r="D2156" s="53"/>
      <c r="E2156" s="41"/>
      <c r="F2156" s="38" t="s">
        <v>23</v>
      </c>
      <c r="G2156" s="38" t="str">
        <f t="shared" si="34"/>
        <v/>
      </c>
      <c r="H2156" s="39"/>
      <c r="I2156" s="35"/>
      <c r="J2156" s="34">
        <v>0</v>
      </c>
    </row>
    <row r="2157" spans="1:10" ht="15.75" hidden="1" thickBot="1" x14ac:dyDescent="0.3">
      <c r="A2157" s="250"/>
      <c r="B2157" s="253"/>
      <c r="C2157" s="40"/>
      <c r="D2157" s="40"/>
      <c r="E2157" s="41"/>
      <c r="F2157" s="35" t="s">
        <v>23</v>
      </c>
      <c r="G2157" s="35" t="str">
        <f t="shared" si="34"/>
        <v/>
      </c>
      <c r="H2157" s="39"/>
      <c r="I2157" s="35"/>
      <c r="J2157" s="34">
        <v>0</v>
      </c>
    </row>
    <row r="2158" spans="1:10" ht="15.75" hidden="1" thickBot="1" x14ac:dyDescent="0.3">
      <c r="A2158" s="248" t="s">
        <v>551</v>
      </c>
      <c r="B2158" s="251" t="s">
        <v>2373</v>
      </c>
      <c r="C2158" s="28"/>
      <c r="D2158" s="29" t="s">
        <v>121</v>
      </c>
      <c r="E2158" s="30"/>
      <c r="F2158" s="45" t="s">
        <v>23</v>
      </c>
      <c r="G2158" s="31" t="str">
        <f t="shared" si="34"/>
        <v/>
      </c>
      <c r="H2158" s="32"/>
      <c r="I2158" s="33"/>
      <c r="J2158" s="34">
        <v>0</v>
      </c>
    </row>
    <row r="2159" spans="1:10" ht="15.75" hidden="1" thickBot="1" x14ac:dyDescent="0.3">
      <c r="A2159" s="249"/>
      <c r="B2159" s="252"/>
      <c r="C2159" s="36"/>
      <c r="D2159" s="36"/>
      <c r="E2159" s="37"/>
      <c r="F2159" s="46" t="s">
        <v>23</v>
      </c>
      <c r="G2159" s="35" t="str">
        <f t="shared" si="34"/>
        <v/>
      </c>
      <c r="H2159" s="39"/>
      <c r="I2159" s="35"/>
      <c r="J2159" s="34">
        <v>0</v>
      </c>
    </row>
    <row r="2160" spans="1:10" ht="26.25" hidden="1" thickBot="1" x14ac:dyDescent="0.3">
      <c r="A2160" s="249"/>
      <c r="B2160" s="252"/>
      <c r="C2160" s="40" t="s">
        <v>3922</v>
      </c>
      <c r="D2160" s="40" t="s">
        <v>1286</v>
      </c>
      <c r="E2160" s="41">
        <v>1.0210999999999999</v>
      </c>
      <c r="F2160" s="38">
        <v>54.349499999999999</v>
      </c>
      <c r="G2160" s="38">
        <f t="shared" si="34"/>
        <v>55.496274449999994</v>
      </c>
      <c r="H2160" s="43">
        <f>SUM(G2160:G2162)</f>
        <v>57.686837649999994</v>
      </c>
      <c r="I2160" s="44"/>
      <c r="J2160" s="34">
        <v>0</v>
      </c>
    </row>
    <row r="2161" spans="1:10" ht="26.25" hidden="1" thickBot="1" x14ac:dyDescent="0.3">
      <c r="A2161" s="249"/>
      <c r="B2161" s="252"/>
      <c r="C2161" s="40" t="s">
        <v>4119</v>
      </c>
      <c r="D2161" s="40" t="s">
        <v>3752</v>
      </c>
      <c r="E2161" s="41">
        <f>0.064*0.7</f>
        <v>4.48E-2</v>
      </c>
      <c r="F2161" s="35">
        <v>21.555499999999999</v>
      </c>
      <c r="G2161" s="38">
        <f t="shared" si="34"/>
        <v>0.96568639999999994</v>
      </c>
      <c r="H2161" s="39"/>
      <c r="I2161" s="35"/>
      <c r="J2161" s="34">
        <v>0</v>
      </c>
    </row>
    <row r="2162" spans="1:10" ht="26.25" hidden="1" thickBot="1" x14ac:dyDescent="0.3">
      <c r="A2162" s="249"/>
      <c r="B2162" s="252"/>
      <c r="C2162" s="40" t="s">
        <v>4110</v>
      </c>
      <c r="D2162" s="40" t="s">
        <v>3752</v>
      </c>
      <c r="E2162" s="41">
        <f>0.064*0.7</f>
        <v>4.48E-2</v>
      </c>
      <c r="F2162" s="35">
        <v>27.341000000000001</v>
      </c>
      <c r="G2162" s="38">
        <f t="shared" si="34"/>
        <v>1.2248768000000001</v>
      </c>
      <c r="H2162" s="39"/>
      <c r="I2162" s="35"/>
      <c r="J2162" s="34">
        <v>0</v>
      </c>
    </row>
    <row r="2163" spans="1:10" ht="15.75" hidden="1" thickBot="1" x14ac:dyDescent="0.3">
      <c r="A2163" s="249"/>
      <c r="B2163" s="252"/>
      <c r="C2163" s="40"/>
      <c r="D2163" s="53"/>
      <c r="E2163" s="41"/>
      <c r="F2163" s="38" t="s">
        <v>23</v>
      </c>
      <c r="G2163" s="38" t="str">
        <f t="shared" si="34"/>
        <v/>
      </c>
      <c r="H2163" s="39"/>
      <c r="I2163" s="35"/>
      <c r="J2163" s="34">
        <v>0</v>
      </c>
    </row>
    <row r="2164" spans="1:10" ht="39" hidden="1" thickBot="1" x14ac:dyDescent="0.3">
      <c r="A2164" s="249"/>
      <c r="B2164" s="252"/>
      <c r="C2164" s="54" t="s">
        <v>520</v>
      </c>
      <c r="D2164" s="53"/>
      <c r="E2164" s="41"/>
      <c r="F2164" s="38" t="s">
        <v>23</v>
      </c>
      <c r="G2164" s="38" t="str">
        <f t="shared" si="34"/>
        <v/>
      </c>
      <c r="H2164" s="39"/>
      <c r="I2164" s="35"/>
      <c r="J2164" s="34">
        <v>0</v>
      </c>
    </row>
    <row r="2165" spans="1:10" ht="15.75" hidden="1" thickBot="1" x14ac:dyDescent="0.3">
      <c r="A2165" s="250"/>
      <c r="B2165" s="253"/>
      <c r="C2165" s="40"/>
      <c r="D2165" s="40"/>
      <c r="E2165" s="41"/>
      <c r="F2165" s="35" t="s">
        <v>23</v>
      </c>
      <c r="G2165" s="35" t="str">
        <f t="shared" si="34"/>
        <v/>
      </c>
      <c r="H2165" s="39"/>
      <c r="I2165" s="35"/>
      <c r="J2165" s="34">
        <v>0</v>
      </c>
    </row>
    <row r="2166" spans="1:10" ht="15.75" hidden="1" thickBot="1" x14ac:dyDescent="0.3">
      <c r="A2166" s="248" t="s">
        <v>552</v>
      </c>
      <c r="B2166" s="251" t="s">
        <v>2374</v>
      </c>
      <c r="C2166" s="28"/>
      <c r="D2166" s="29" t="s">
        <v>121</v>
      </c>
      <c r="E2166" s="30"/>
      <c r="F2166" s="45" t="s">
        <v>23</v>
      </c>
      <c r="G2166" s="31" t="str">
        <f t="shared" si="34"/>
        <v/>
      </c>
      <c r="H2166" s="32"/>
      <c r="I2166" s="33"/>
      <c r="J2166" s="34">
        <v>0</v>
      </c>
    </row>
    <row r="2167" spans="1:10" ht="15.75" hidden="1" thickBot="1" x14ac:dyDescent="0.3">
      <c r="A2167" s="249"/>
      <c r="B2167" s="252"/>
      <c r="C2167" s="36"/>
      <c r="D2167" s="36"/>
      <c r="E2167" s="37"/>
      <c r="F2167" s="46" t="s">
        <v>23</v>
      </c>
      <c r="G2167" s="35" t="str">
        <f t="shared" si="34"/>
        <v/>
      </c>
      <c r="H2167" s="39"/>
      <c r="I2167" s="35"/>
      <c r="J2167" s="34">
        <v>0</v>
      </c>
    </row>
    <row r="2168" spans="1:10" ht="26.25" hidden="1" thickBot="1" x14ac:dyDescent="0.3">
      <c r="A2168" s="249"/>
      <c r="B2168" s="252"/>
      <c r="C2168" s="40" t="s">
        <v>553</v>
      </c>
      <c r="D2168" s="53" t="s">
        <v>121</v>
      </c>
      <c r="E2168" s="41">
        <v>1.0210999999999999</v>
      </c>
      <c r="F2168" s="38">
        <v>0</v>
      </c>
      <c r="G2168" s="38">
        <f t="shared" si="34"/>
        <v>0</v>
      </c>
      <c r="H2168" s="43">
        <f>SUM(G2168:G2170)</f>
        <v>2.1905632000000002</v>
      </c>
      <c r="I2168" s="44"/>
      <c r="J2168" s="34">
        <v>0</v>
      </c>
    </row>
    <row r="2169" spans="1:10" ht="26.25" hidden="1" thickBot="1" x14ac:dyDescent="0.3">
      <c r="A2169" s="249"/>
      <c r="B2169" s="252"/>
      <c r="C2169" s="40" t="s">
        <v>4119</v>
      </c>
      <c r="D2169" s="40" t="s">
        <v>3752</v>
      </c>
      <c r="E2169" s="41">
        <f>0.064*0.7</f>
        <v>4.48E-2</v>
      </c>
      <c r="F2169" s="35">
        <v>21.555499999999999</v>
      </c>
      <c r="G2169" s="38">
        <f t="shared" si="34"/>
        <v>0.96568639999999994</v>
      </c>
      <c r="H2169" s="39"/>
      <c r="I2169" s="35"/>
      <c r="J2169" s="34">
        <v>0</v>
      </c>
    </row>
    <row r="2170" spans="1:10" ht="26.25" hidden="1" thickBot="1" x14ac:dyDescent="0.3">
      <c r="A2170" s="249"/>
      <c r="B2170" s="252"/>
      <c r="C2170" s="40" t="s">
        <v>4110</v>
      </c>
      <c r="D2170" s="40" t="s">
        <v>3752</v>
      </c>
      <c r="E2170" s="41">
        <f>0.064*0.7</f>
        <v>4.48E-2</v>
      </c>
      <c r="F2170" s="35">
        <v>27.341000000000001</v>
      </c>
      <c r="G2170" s="38">
        <f t="shared" si="34"/>
        <v>1.2248768000000001</v>
      </c>
      <c r="H2170" s="39"/>
      <c r="I2170" s="35"/>
      <c r="J2170" s="34">
        <v>0</v>
      </c>
    </row>
    <row r="2171" spans="1:10" ht="15.75" hidden="1" thickBot="1" x14ac:dyDescent="0.3">
      <c r="A2171" s="249"/>
      <c r="B2171" s="252"/>
      <c r="C2171" s="40"/>
      <c r="D2171" s="53"/>
      <c r="E2171" s="41"/>
      <c r="F2171" s="38" t="s">
        <v>23</v>
      </c>
      <c r="G2171" s="38" t="str">
        <f t="shared" si="34"/>
        <v/>
      </c>
      <c r="H2171" s="39"/>
      <c r="I2171" s="35"/>
      <c r="J2171" s="34">
        <v>0</v>
      </c>
    </row>
    <row r="2172" spans="1:10" ht="39" hidden="1" thickBot="1" x14ac:dyDescent="0.3">
      <c r="A2172" s="249"/>
      <c r="B2172" s="252"/>
      <c r="C2172" s="54" t="s">
        <v>520</v>
      </c>
      <c r="D2172" s="53"/>
      <c r="E2172" s="41"/>
      <c r="F2172" s="38" t="s">
        <v>23</v>
      </c>
      <c r="G2172" s="38" t="str">
        <f t="shared" si="34"/>
        <v/>
      </c>
      <c r="H2172" s="39"/>
      <c r="I2172" s="35"/>
      <c r="J2172" s="34">
        <v>0</v>
      </c>
    </row>
    <row r="2173" spans="1:10" ht="15.75" hidden="1" thickBot="1" x14ac:dyDescent="0.3">
      <c r="A2173" s="250"/>
      <c r="B2173" s="253"/>
      <c r="C2173" s="40"/>
      <c r="D2173" s="40"/>
      <c r="E2173" s="41"/>
      <c r="F2173" s="35" t="s">
        <v>23</v>
      </c>
      <c r="G2173" s="35" t="str">
        <f t="shared" si="34"/>
        <v/>
      </c>
      <c r="H2173" s="39"/>
      <c r="I2173" s="35"/>
      <c r="J2173" s="34">
        <v>0</v>
      </c>
    </row>
    <row r="2174" spans="1:10" ht="15.75" hidden="1" thickBot="1" x14ac:dyDescent="0.3">
      <c r="A2174" s="248" t="s">
        <v>554</v>
      </c>
      <c r="B2174" s="251" t="s">
        <v>2375</v>
      </c>
      <c r="C2174" s="28"/>
      <c r="D2174" s="29" t="s">
        <v>121</v>
      </c>
      <c r="E2174" s="30"/>
      <c r="F2174" s="45" t="s">
        <v>23</v>
      </c>
      <c r="G2174" s="31" t="str">
        <f t="shared" si="34"/>
        <v/>
      </c>
      <c r="H2174" s="32"/>
      <c r="I2174" s="33"/>
      <c r="J2174" s="34">
        <v>0</v>
      </c>
    </row>
    <row r="2175" spans="1:10" ht="15.75" hidden="1" thickBot="1" x14ac:dyDescent="0.3">
      <c r="A2175" s="249"/>
      <c r="B2175" s="252"/>
      <c r="C2175" s="36"/>
      <c r="D2175" s="36"/>
      <c r="E2175" s="37"/>
      <c r="F2175" s="46" t="s">
        <v>23</v>
      </c>
      <c r="G2175" s="35" t="str">
        <f t="shared" si="34"/>
        <v/>
      </c>
      <c r="H2175" s="39"/>
      <c r="I2175" s="35"/>
      <c r="J2175" s="34">
        <v>0</v>
      </c>
    </row>
    <row r="2176" spans="1:10" ht="26.25" hidden="1" thickBot="1" x14ac:dyDescent="0.3">
      <c r="A2176" s="249"/>
      <c r="B2176" s="252"/>
      <c r="C2176" s="40" t="s">
        <v>555</v>
      </c>
      <c r="D2176" s="53" t="s">
        <v>121</v>
      </c>
      <c r="E2176" s="41">
        <v>1.0210999999999999</v>
      </c>
      <c r="F2176" s="38">
        <v>0</v>
      </c>
      <c r="G2176" s="38">
        <f t="shared" si="34"/>
        <v>0</v>
      </c>
      <c r="H2176" s="43">
        <f>SUM(G2176:G2178)</f>
        <v>2.1905632000000002</v>
      </c>
      <c r="I2176" s="44"/>
      <c r="J2176" s="34">
        <v>0</v>
      </c>
    </row>
    <row r="2177" spans="1:10" ht="26.25" hidden="1" thickBot="1" x14ac:dyDescent="0.3">
      <c r="A2177" s="249"/>
      <c r="B2177" s="252"/>
      <c r="C2177" s="40" t="s">
        <v>4119</v>
      </c>
      <c r="D2177" s="40" t="s">
        <v>3752</v>
      </c>
      <c r="E2177" s="41">
        <f>0.064*0.7</f>
        <v>4.48E-2</v>
      </c>
      <c r="F2177" s="35">
        <v>21.555499999999999</v>
      </c>
      <c r="G2177" s="38">
        <f t="shared" si="34"/>
        <v>0.96568639999999994</v>
      </c>
      <c r="H2177" s="39"/>
      <c r="I2177" s="35"/>
      <c r="J2177" s="34">
        <v>0</v>
      </c>
    </row>
    <row r="2178" spans="1:10" ht="26.25" hidden="1" thickBot="1" x14ac:dyDescent="0.3">
      <c r="A2178" s="249"/>
      <c r="B2178" s="252"/>
      <c r="C2178" s="40" t="s">
        <v>4110</v>
      </c>
      <c r="D2178" s="40" t="s">
        <v>3752</v>
      </c>
      <c r="E2178" s="41">
        <f>0.064*0.7</f>
        <v>4.48E-2</v>
      </c>
      <c r="F2178" s="35">
        <v>27.341000000000001</v>
      </c>
      <c r="G2178" s="38">
        <f t="shared" si="34"/>
        <v>1.2248768000000001</v>
      </c>
      <c r="H2178" s="39"/>
      <c r="I2178" s="35"/>
      <c r="J2178" s="34">
        <v>0</v>
      </c>
    </row>
    <row r="2179" spans="1:10" ht="15.75" hidden="1" thickBot="1" x14ac:dyDescent="0.3">
      <c r="A2179" s="249"/>
      <c r="B2179" s="252"/>
      <c r="C2179" s="40"/>
      <c r="D2179" s="53"/>
      <c r="E2179" s="41"/>
      <c r="F2179" s="38" t="s">
        <v>23</v>
      </c>
      <c r="G2179" s="38" t="str">
        <f t="shared" si="34"/>
        <v/>
      </c>
      <c r="H2179" s="39"/>
      <c r="I2179" s="35"/>
      <c r="J2179" s="34">
        <v>0</v>
      </c>
    </row>
    <row r="2180" spans="1:10" ht="39" hidden="1" thickBot="1" x14ac:dyDescent="0.3">
      <c r="A2180" s="249"/>
      <c r="B2180" s="252"/>
      <c r="C2180" s="54" t="s">
        <v>520</v>
      </c>
      <c r="D2180" s="53"/>
      <c r="E2180" s="41"/>
      <c r="F2180" s="38" t="s">
        <v>23</v>
      </c>
      <c r="G2180" s="38" t="str">
        <f t="shared" si="34"/>
        <v/>
      </c>
      <c r="H2180" s="39"/>
      <c r="I2180" s="35"/>
      <c r="J2180" s="34">
        <v>0</v>
      </c>
    </row>
    <row r="2181" spans="1:10" ht="15.75" hidden="1" thickBot="1" x14ac:dyDescent="0.3">
      <c r="A2181" s="250"/>
      <c r="B2181" s="253"/>
      <c r="C2181" s="40"/>
      <c r="D2181" s="40"/>
      <c r="E2181" s="41"/>
      <c r="F2181" s="35" t="s">
        <v>23</v>
      </c>
      <c r="G2181" s="35" t="str">
        <f t="shared" si="34"/>
        <v/>
      </c>
      <c r="H2181" s="39"/>
      <c r="I2181" s="35"/>
      <c r="J2181" s="34">
        <v>0</v>
      </c>
    </row>
    <row r="2182" spans="1:10" ht="15.75" hidden="1" thickBot="1" x14ac:dyDescent="0.3">
      <c r="A2182" s="248" t="s">
        <v>556</v>
      </c>
      <c r="B2182" s="251" t="s">
        <v>2376</v>
      </c>
      <c r="C2182" s="28"/>
      <c r="D2182" s="29" t="s">
        <v>121</v>
      </c>
      <c r="E2182" s="30"/>
      <c r="F2182" s="45" t="s">
        <v>23</v>
      </c>
      <c r="G2182" s="31" t="str">
        <f t="shared" si="34"/>
        <v/>
      </c>
      <c r="H2182" s="32"/>
      <c r="I2182" s="33"/>
      <c r="J2182" s="34">
        <v>0</v>
      </c>
    </row>
    <row r="2183" spans="1:10" ht="15.75" hidden="1" thickBot="1" x14ac:dyDescent="0.3">
      <c r="A2183" s="249"/>
      <c r="B2183" s="252"/>
      <c r="C2183" s="36"/>
      <c r="D2183" s="36"/>
      <c r="E2183" s="37"/>
      <c r="F2183" s="46" t="s">
        <v>23</v>
      </c>
      <c r="G2183" s="35" t="str">
        <f t="shared" si="34"/>
        <v/>
      </c>
      <c r="H2183" s="39"/>
      <c r="I2183" s="35"/>
      <c r="J2183" s="34">
        <v>0</v>
      </c>
    </row>
    <row r="2184" spans="1:10" ht="26.25" hidden="1" thickBot="1" x14ac:dyDescent="0.3">
      <c r="A2184" s="249"/>
      <c r="B2184" s="252"/>
      <c r="C2184" s="40" t="s">
        <v>557</v>
      </c>
      <c r="D2184" s="53" t="s">
        <v>121</v>
      </c>
      <c r="E2184" s="41">
        <v>1.0210999999999999</v>
      </c>
      <c r="F2184" s="38">
        <v>0</v>
      </c>
      <c r="G2184" s="38">
        <f t="shared" si="34"/>
        <v>0</v>
      </c>
      <c r="H2184" s="43">
        <f>SUM(G2184:G2186)</f>
        <v>2.1905632000000002</v>
      </c>
      <c r="I2184" s="44"/>
      <c r="J2184" s="34">
        <v>0</v>
      </c>
    </row>
    <row r="2185" spans="1:10" ht="26.25" hidden="1" thickBot="1" x14ac:dyDescent="0.3">
      <c r="A2185" s="249"/>
      <c r="B2185" s="252"/>
      <c r="C2185" s="40" t="s">
        <v>4119</v>
      </c>
      <c r="D2185" s="40" t="s">
        <v>3752</v>
      </c>
      <c r="E2185" s="41">
        <f>0.064*0.7</f>
        <v>4.48E-2</v>
      </c>
      <c r="F2185" s="35">
        <v>21.555499999999999</v>
      </c>
      <c r="G2185" s="38">
        <f t="shared" si="34"/>
        <v>0.96568639999999994</v>
      </c>
      <c r="H2185" s="39"/>
      <c r="I2185" s="35"/>
      <c r="J2185" s="34">
        <v>0</v>
      </c>
    </row>
    <row r="2186" spans="1:10" ht="26.25" hidden="1" thickBot="1" x14ac:dyDescent="0.3">
      <c r="A2186" s="249"/>
      <c r="B2186" s="252"/>
      <c r="C2186" s="40" t="s">
        <v>4110</v>
      </c>
      <c r="D2186" s="40" t="s">
        <v>3752</v>
      </c>
      <c r="E2186" s="41">
        <f>0.064*0.7</f>
        <v>4.48E-2</v>
      </c>
      <c r="F2186" s="35">
        <v>27.341000000000001</v>
      </c>
      <c r="G2186" s="38">
        <f t="shared" si="34"/>
        <v>1.2248768000000001</v>
      </c>
      <c r="H2186" s="39"/>
      <c r="I2186" s="35"/>
      <c r="J2186" s="34">
        <v>0</v>
      </c>
    </row>
    <row r="2187" spans="1:10" ht="15.75" hidden="1" thickBot="1" x14ac:dyDescent="0.3">
      <c r="A2187" s="249"/>
      <c r="B2187" s="252"/>
      <c r="C2187" s="40"/>
      <c r="D2187" s="53"/>
      <c r="E2187" s="41"/>
      <c r="F2187" s="38" t="s">
        <v>23</v>
      </c>
      <c r="G2187" s="38" t="str">
        <f t="shared" si="34"/>
        <v/>
      </c>
      <c r="H2187" s="39"/>
      <c r="I2187" s="35"/>
      <c r="J2187" s="34">
        <v>0</v>
      </c>
    </row>
    <row r="2188" spans="1:10" ht="39" hidden="1" thickBot="1" x14ac:dyDescent="0.3">
      <c r="A2188" s="249"/>
      <c r="B2188" s="252"/>
      <c r="C2188" s="54" t="s">
        <v>520</v>
      </c>
      <c r="D2188" s="53"/>
      <c r="E2188" s="41"/>
      <c r="F2188" s="38" t="s">
        <v>23</v>
      </c>
      <c r="G2188" s="38" t="str">
        <f t="shared" si="34"/>
        <v/>
      </c>
      <c r="H2188" s="39"/>
      <c r="I2188" s="35"/>
      <c r="J2188" s="34">
        <v>0</v>
      </c>
    </row>
    <row r="2189" spans="1:10" ht="15.75" hidden="1" thickBot="1" x14ac:dyDescent="0.3">
      <c r="A2189" s="250"/>
      <c r="B2189" s="253"/>
      <c r="C2189" s="40"/>
      <c r="D2189" s="40"/>
      <c r="E2189" s="41"/>
      <c r="F2189" s="35" t="s">
        <v>23</v>
      </c>
      <c r="G2189" s="35" t="str">
        <f t="shared" si="34"/>
        <v/>
      </c>
      <c r="H2189" s="39"/>
      <c r="I2189" s="35"/>
      <c r="J2189" s="34">
        <v>0</v>
      </c>
    </row>
    <row r="2190" spans="1:10" ht="15.75" hidden="1" thickBot="1" x14ac:dyDescent="0.3">
      <c r="A2190" s="248" t="s">
        <v>558</v>
      </c>
      <c r="B2190" s="251" t="s">
        <v>2377</v>
      </c>
      <c r="C2190" s="28"/>
      <c r="D2190" s="29" t="s">
        <v>78</v>
      </c>
      <c r="E2190" s="30"/>
      <c r="F2190" s="45" t="s">
        <v>23</v>
      </c>
      <c r="G2190" s="31" t="str">
        <f t="shared" si="34"/>
        <v/>
      </c>
      <c r="H2190" s="32"/>
      <c r="I2190" s="33"/>
      <c r="J2190" s="34">
        <v>0</v>
      </c>
    </row>
    <row r="2191" spans="1:10" ht="15.75" hidden="1" thickBot="1" x14ac:dyDescent="0.3">
      <c r="A2191" s="249"/>
      <c r="B2191" s="252"/>
      <c r="C2191" s="36"/>
      <c r="D2191" s="36"/>
      <c r="E2191" s="37"/>
      <c r="F2191" s="46" t="s">
        <v>23</v>
      </c>
      <c r="G2191" s="35" t="str">
        <f t="shared" si="34"/>
        <v/>
      </c>
      <c r="H2191" s="39"/>
      <c r="I2191" s="35"/>
      <c r="J2191" s="34">
        <v>0</v>
      </c>
    </row>
    <row r="2192" spans="1:10" ht="15.75" hidden="1" thickBot="1" x14ac:dyDescent="0.3">
      <c r="A2192" s="249"/>
      <c r="B2192" s="252"/>
      <c r="C2192" s="40" t="s">
        <v>3909</v>
      </c>
      <c r="D2192" s="40" t="s">
        <v>3752</v>
      </c>
      <c r="E2192" s="41">
        <v>1.8</v>
      </c>
      <c r="F2192" s="35">
        <v>26.248499999999996</v>
      </c>
      <c r="G2192" s="35">
        <f t="shared" si="34"/>
        <v>47.247299999999996</v>
      </c>
      <c r="H2192" s="43">
        <f>SUM(G2192:G2193)</f>
        <v>116.49374999999999</v>
      </c>
      <c r="I2192" s="44"/>
      <c r="J2192" s="34">
        <v>0</v>
      </c>
    </row>
    <row r="2193" spans="1:10" ht="15.75" hidden="1" thickBot="1" x14ac:dyDescent="0.3">
      <c r="A2193" s="249"/>
      <c r="B2193" s="252"/>
      <c r="C2193" s="40" t="s">
        <v>4111</v>
      </c>
      <c r="D2193" s="40" t="s">
        <v>3752</v>
      </c>
      <c r="E2193" s="41">
        <v>3.15</v>
      </c>
      <c r="F2193" s="35">
        <v>21.983000000000001</v>
      </c>
      <c r="G2193" s="35">
        <f t="shared" si="34"/>
        <v>69.246449999999996</v>
      </c>
      <c r="H2193" s="39"/>
      <c r="I2193" s="35"/>
      <c r="J2193" s="34">
        <v>0</v>
      </c>
    </row>
    <row r="2194" spans="1:10" ht="15.75" hidden="1" thickBot="1" x14ac:dyDescent="0.3">
      <c r="A2194" s="250"/>
      <c r="B2194" s="253"/>
      <c r="C2194" s="40"/>
      <c r="D2194" s="40"/>
      <c r="E2194" s="41"/>
      <c r="F2194" s="35" t="s">
        <v>23</v>
      </c>
      <c r="G2194" s="35" t="str">
        <f t="shared" ref="G2194:G2231" si="35">IF(ISNUMBER(F2194),E2194*F2194,"")</f>
        <v/>
      </c>
      <c r="H2194" s="39"/>
      <c r="I2194" s="35"/>
      <c r="J2194" s="34">
        <v>0</v>
      </c>
    </row>
    <row r="2195" spans="1:10" ht="15.75" hidden="1" thickBot="1" x14ac:dyDescent="0.3">
      <c r="A2195" s="248" t="s">
        <v>559</v>
      </c>
      <c r="B2195" s="251" t="s">
        <v>2378</v>
      </c>
      <c r="C2195" s="28"/>
      <c r="D2195" s="29" t="s">
        <v>78</v>
      </c>
      <c r="E2195" s="30"/>
      <c r="F2195" s="45" t="s">
        <v>23</v>
      </c>
      <c r="G2195" s="31" t="str">
        <f t="shared" si="35"/>
        <v/>
      </c>
      <c r="H2195" s="32"/>
      <c r="I2195" s="33"/>
      <c r="J2195" s="34">
        <v>0</v>
      </c>
    </row>
    <row r="2196" spans="1:10" ht="15.75" hidden="1" thickBot="1" x14ac:dyDescent="0.3">
      <c r="A2196" s="249"/>
      <c r="B2196" s="252"/>
      <c r="C2196" s="36"/>
      <c r="D2196" s="36"/>
      <c r="E2196" s="37"/>
      <c r="F2196" s="46" t="s">
        <v>23</v>
      </c>
      <c r="G2196" s="35" t="str">
        <f t="shared" si="35"/>
        <v/>
      </c>
      <c r="H2196" s="39"/>
      <c r="I2196" s="35"/>
      <c r="J2196" s="34">
        <v>0</v>
      </c>
    </row>
    <row r="2197" spans="1:10" ht="15.75" hidden="1" thickBot="1" x14ac:dyDescent="0.3">
      <c r="A2197" s="249"/>
      <c r="B2197" s="252"/>
      <c r="C2197" s="40" t="s">
        <v>3909</v>
      </c>
      <c r="D2197" s="40" t="s">
        <v>3752</v>
      </c>
      <c r="E2197" s="41">
        <v>1.8</v>
      </c>
      <c r="F2197" s="35">
        <v>26.248499999999996</v>
      </c>
      <c r="G2197" s="35">
        <f t="shared" si="35"/>
        <v>47.247299999999996</v>
      </c>
      <c r="H2197" s="43">
        <f>SUM(G2197:G2200)</f>
        <v>220.00052499999998</v>
      </c>
      <c r="I2197" s="44"/>
      <c r="J2197" s="34">
        <v>0</v>
      </c>
    </row>
    <row r="2198" spans="1:10" ht="15.75" hidden="1" thickBot="1" x14ac:dyDescent="0.3">
      <c r="A2198" s="249"/>
      <c r="B2198" s="252"/>
      <c r="C2198" s="40" t="s">
        <v>4111</v>
      </c>
      <c r="D2198" s="40" t="s">
        <v>3752</v>
      </c>
      <c r="E2198" s="41">
        <f>3.15/2</f>
        <v>1.575</v>
      </c>
      <c r="F2198" s="35">
        <v>21.983000000000001</v>
      </c>
      <c r="G2198" s="38">
        <f t="shared" si="35"/>
        <v>34.623224999999998</v>
      </c>
      <c r="H2198" s="47"/>
      <c r="I2198" s="44"/>
      <c r="J2198" s="34">
        <v>0</v>
      </c>
    </row>
    <row r="2199" spans="1:10" ht="26.25" hidden="1" thickBot="1" x14ac:dyDescent="0.3">
      <c r="A2199" s="249"/>
      <c r="B2199" s="252"/>
      <c r="C2199" s="40" t="s">
        <v>3999</v>
      </c>
      <c r="D2199" s="40" t="s">
        <v>291</v>
      </c>
      <c r="E2199" s="41">
        <v>2</v>
      </c>
      <c r="F2199" s="38">
        <v>24.206</v>
      </c>
      <c r="G2199" s="35">
        <f t="shared" si="35"/>
        <v>48.411999999999999</v>
      </c>
      <c r="H2199" s="47"/>
      <c r="I2199" s="44"/>
      <c r="J2199" s="34">
        <v>0</v>
      </c>
    </row>
    <row r="2200" spans="1:10" ht="26.25" hidden="1" thickBot="1" x14ac:dyDescent="0.3">
      <c r="A2200" s="249"/>
      <c r="B2200" s="252"/>
      <c r="C2200" s="40" t="s">
        <v>3923</v>
      </c>
      <c r="D2200" s="40" t="s">
        <v>177</v>
      </c>
      <c r="E2200" s="41">
        <v>1</v>
      </c>
      <c r="F2200" s="38">
        <v>89.717999999999989</v>
      </c>
      <c r="G2200" s="35">
        <f t="shared" si="35"/>
        <v>89.717999999999989</v>
      </c>
      <c r="H2200" s="39"/>
      <c r="I2200" s="35"/>
      <c r="J2200" s="34">
        <v>0</v>
      </c>
    </row>
    <row r="2201" spans="1:10" ht="15.75" hidden="1" thickBot="1" x14ac:dyDescent="0.3">
      <c r="A2201" s="250"/>
      <c r="B2201" s="253"/>
      <c r="C2201" s="40"/>
      <c r="D2201" s="40"/>
      <c r="E2201" s="41"/>
      <c r="F2201" s="35" t="s">
        <v>23</v>
      </c>
      <c r="G2201" s="35" t="str">
        <f t="shared" si="35"/>
        <v/>
      </c>
      <c r="H2201" s="39"/>
      <c r="I2201" s="35"/>
      <c r="J2201" s="34">
        <v>0</v>
      </c>
    </row>
    <row r="2202" spans="1:10" ht="15.75" hidden="1" thickBot="1" x14ac:dyDescent="0.3">
      <c r="A2202" s="256" t="s">
        <v>560</v>
      </c>
      <c r="B2202" s="259" t="s">
        <v>2379</v>
      </c>
      <c r="C2202" s="28"/>
      <c r="D2202" s="29" t="s">
        <v>78</v>
      </c>
      <c r="E2202" s="30"/>
      <c r="F2202" s="45" t="s">
        <v>23</v>
      </c>
      <c r="G2202" s="31" t="str">
        <f t="shared" si="35"/>
        <v/>
      </c>
      <c r="H2202" s="32"/>
      <c r="I2202" s="33"/>
      <c r="J2202" s="34">
        <v>0</v>
      </c>
    </row>
    <row r="2203" spans="1:10" ht="15.75" hidden="1" thickBot="1" x14ac:dyDescent="0.3">
      <c r="A2203" s="257"/>
      <c r="B2203" s="260"/>
      <c r="C2203" s="36"/>
      <c r="D2203" s="36"/>
      <c r="E2203" s="37"/>
      <c r="F2203" s="46" t="s">
        <v>23</v>
      </c>
      <c r="G2203" s="35" t="str">
        <f t="shared" si="35"/>
        <v/>
      </c>
      <c r="H2203" s="39"/>
      <c r="I2203" s="35"/>
      <c r="J2203" s="34">
        <v>0</v>
      </c>
    </row>
    <row r="2204" spans="1:10" ht="15.75" hidden="1" thickBot="1" x14ac:dyDescent="0.3">
      <c r="A2204" s="257"/>
      <c r="B2204" s="260"/>
      <c r="C2204" s="40" t="s">
        <v>3909</v>
      </c>
      <c r="D2204" s="40" t="s">
        <v>3752</v>
      </c>
      <c r="E2204" s="41">
        <v>1.6</v>
      </c>
      <c r="F2204" s="35">
        <v>26.248499999999996</v>
      </c>
      <c r="G2204" s="38">
        <f t="shared" si="35"/>
        <v>41.997599999999998</v>
      </c>
      <c r="H2204" s="43">
        <f>SUM(G2204:G2207)</f>
        <v>219.38539999999998</v>
      </c>
      <c r="I2204" s="44"/>
      <c r="J2204" s="34">
        <v>0</v>
      </c>
    </row>
    <row r="2205" spans="1:10" ht="15.75" hidden="1" thickBot="1" x14ac:dyDescent="0.3">
      <c r="A2205" s="257"/>
      <c r="B2205" s="260"/>
      <c r="C2205" s="40" t="s">
        <v>4111</v>
      </c>
      <c r="D2205" s="40" t="s">
        <v>3752</v>
      </c>
      <c r="E2205" s="41">
        <v>1.6</v>
      </c>
      <c r="F2205" s="35">
        <v>21.983000000000001</v>
      </c>
      <c r="G2205" s="38">
        <f t="shared" si="35"/>
        <v>35.172800000000002</v>
      </c>
      <c r="H2205" s="47"/>
      <c r="I2205" s="44"/>
      <c r="J2205" s="34">
        <v>0</v>
      </c>
    </row>
    <row r="2206" spans="1:10" ht="26.25" hidden="1" thickBot="1" x14ac:dyDescent="0.3">
      <c r="A2206" s="257"/>
      <c r="B2206" s="260"/>
      <c r="C2206" s="40" t="s">
        <v>3924</v>
      </c>
      <c r="D2206" s="40" t="s">
        <v>177</v>
      </c>
      <c r="E2206" s="41">
        <v>1.2</v>
      </c>
      <c r="F2206" s="38">
        <v>118.51249999999999</v>
      </c>
      <c r="G2206" s="35">
        <f t="shared" si="35"/>
        <v>142.21499999999997</v>
      </c>
      <c r="H2206" s="39"/>
      <c r="I2206" s="35"/>
      <c r="J2206" s="34">
        <v>0</v>
      </c>
    </row>
    <row r="2207" spans="1:10" ht="15.75" hidden="1" thickBot="1" x14ac:dyDescent="0.3">
      <c r="A2207" s="257"/>
      <c r="B2207" s="260"/>
      <c r="C2207" s="70" t="s">
        <v>561</v>
      </c>
      <c r="D2207" s="40" t="s">
        <v>78</v>
      </c>
      <c r="E2207" s="41">
        <v>1</v>
      </c>
      <c r="F2207" s="38" t="s">
        <v>23</v>
      </c>
      <c r="G2207" s="35" t="str">
        <f t="shared" si="35"/>
        <v/>
      </c>
      <c r="H2207" s="39"/>
      <c r="I2207" s="35"/>
      <c r="J2207" s="34">
        <v>0</v>
      </c>
    </row>
    <row r="2208" spans="1:10" ht="15.75" hidden="1" thickBot="1" x14ac:dyDescent="0.3">
      <c r="A2208" s="258"/>
      <c r="B2208" s="261"/>
      <c r="C2208" s="40"/>
      <c r="D2208" s="40"/>
      <c r="E2208" s="41"/>
      <c r="F2208" s="35" t="s">
        <v>23</v>
      </c>
      <c r="G2208" s="35" t="str">
        <f t="shared" si="35"/>
        <v/>
      </c>
      <c r="H2208" s="39"/>
      <c r="I2208" s="35"/>
      <c r="J2208" s="34">
        <v>0</v>
      </c>
    </row>
    <row r="2209" spans="1:10" ht="15.75" hidden="1" thickBot="1" x14ac:dyDescent="0.3">
      <c r="A2209" s="256" t="s">
        <v>562</v>
      </c>
      <c r="B2209" s="259" t="s">
        <v>2380</v>
      </c>
      <c r="C2209" s="28"/>
      <c r="D2209" s="29" t="s">
        <v>78</v>
      </c>
      <c r="E2209" s="30"/>
      <c r="F2209" s="45" t="s">
        <v>23</v>
      </c>
      <c r="G2209" s="31" t="str">
        <f t="shared" si="35"/>
        <v/>
      </c>
      <c r="H2209" s="32"/>
      <c r="I2209" s="33"/>
      <c r="J2209" s="34">
        <v>0</v>
      </c>
    </row>
    <row r="2210" spans="1:10" ht="15.75" hidden="1" thickBot="1" x14ac:dyDescent="0.3">
      <c r="A2210" s="257"/>
      <c r="B2210" s="260"/>
      <c r="C2210" s="36"/>
      <c r="D2210" s="36"/>
      <c r="E2210" s="37"/>
      <c r="F2210" s="46" t="s">
        <v>23</v>
      </c>
      <c r="G2210" s="35" t="str">
        <f t="shared" si="35"/>
        <v/>
      </c>
      <c r="H2210" s="39"/>
      <c r="I2210" s="35"/>
      <c r="J2210" s="34">
        <v>0</v>
      </c>
    </row>
    <row r="2211" spans="1:10" ht="15.75" hidden="1" thickBot="1" x14ac:dyDescent="0.3">
      <c r="A2211" s="257"/>
      <c r="B2211" s="260"/>
      <c r="C2211" s="40" t="s">
        <v>3909</v>
      </c>
      <c r="D2211" s="40" t="s">
        <v>3752</v>
      </c>
      <c r="E2211" s="41">
        <v>2.4</v>
      </c>
      <c r="F2211" s="35">
        <v>26.248499999999996</v>
      </c>
      <c r="G2211" s="38">
        <f t="shared" si="35"/>
        <v>62.996399999999987</v>
      </c>
      <c r="H2211" s="43">
        <f>SUM(G2211:G2213)</f>
        <v>186.10499999999996</v>
      </c>
      <c r="I2211" s="44"/>
      <c r="J2211" s="34">
        <v>0</v>
      </c>
    </row>
    <row r="2212" spans="1:10" ht="15.75" hidden="1" thickBot="1" x14ac:dyDescent="0.3">
      <c r="A2212" s="257"/>
      <c r="B2212" s="260"/>
      <c r="C2212" s="40" t="s">
        <v>4111</v>
      </c>
      <c r="D2212" s="40" t="s">
        <v>3752</v>
      </c>
      <c r="E2212" s="41">
        <v>2.4</v>
      </c>
      <c r="F2212" s="35">
        <v>21.983000000000001</v>
      </c>
      <c r="G2212" s="38">
        <f t="shared" si="35"/>
        <v>52.7592</v>
      </c>
      <c r="H2212" s="39"/>
      <c r="I2212" s="35"/>
      <c r="J2212" s="34">
        <v>0</v>
      </c>
    </row>
    <row r="2213" spans="1:10" ht="15.75" hidden="1" thickBot="1" x14ac:dyDescent="0.3">
      <c r="A2213" s="257"/>
      <c r="B2213" s="260"/>
      <c r="C2213" s="40" t="s">
        <v>3925</v>
      </c>
      <c r="D2213" s="40" t="s">
        <v>177</v>
      </c>
      <c r="E2213" s="41">
        <v>1.2</v>
      </c>
      <c r="F2213" s="38">
        <v>58.624499999999998</v>
      </c>
      <c r="G2213" s="35">
        <f t="shared" si="35"/>
        <v>70.349399999999989</v>
      </c>
      <c r="H2213" s="39"/>
      <c r="I2213" s="35"/>
      <c r="J2213" s="34">
        <v>0</v>
      </c>
    </row>
    <row r="2214" spans="1:10" ht="15.75" hidden="1" thickBot="1" x14ac:dyDescent="0.3">
      <c r="A2214" s="258"/>
      <c r="B2214" s="261"/>
      <c r="C2214" s="40"/>
      <c r="D2214" s="40"/>
      <c r="E2214" s="41"/>
      <c r="F2214" s="35" t="s">
        <v>23</v>
      </c>
      <c r="G2214" s="35" t="str">
        <f t="shared" si="35"/>
        <v/>
      </c>
      <c r="H2214" s="39"/>
      <c r="I2214" s="35"/>
      <c r="J2214" s="34">
        <v>0</v>
      </c>
    </row>
    <row r="2215" spans="1:10" ht="15.75" hidden="1" thickBot="1" x14ac:dyDescent="0.3">
      <c r="A2215" s="248" t="s">
        <v>563</v>
      </c>
      <c r="B2215" s="251" t="s">
        <v>2381</v>
      </c>
      <c r="C2215" s="28"/>
      <c r="D2215" s="29" t="s">
        <v>28</v>
      </c>
      <c r="E2215" s="30"/>
      <c r="F2215" s="45" t="s">
        <v>23</v>
      </c>
      <c r="G2215" s="31" t="str">
        <f t="shared" si="35"/>
        <v/>
      </c>
      <c r="H2215" s="32"/>
      <c r="I2215" s="33"/>
      <c r="J2215" s="34">
        <v>0</v>
      </c>
    </row>
    <row r="2216" spans="1:10" ht="15.75" hidden="1" thickBot="1" x14ac:dyDescent="0.3">
      <c r="A2216" s="249"/>
      <c r="B2216" s="252"/>
      <c r="C2216" s="36"/>
      <c r="D2216" s="36"/>
      <c r="E2216" s="37"/>
      <c r="F2216" s="46" t="s">
        <v>23</v>
      </c>
      <c r="G2216" s="35" t="str">
        <f t="shared" si="35"/>
        <v/>
      </c>
      <c r="H2216" s="39"/>
      <c r="I2216" s="35"/>
      <c r="J2216" s="34">
        <v>0</v>
      </c>
    </row>
    <row r="2217" spans="1:10" ht="15.75" hidden="1" thickBot="1" x14ac:dyDescent="0.3">
      <c r="A2217" s="249"/>
      <c r="B2217" s="252"/>
      <c r="C2217" s="40" t="s">
        <v>3909</v>
      </c>
      <c r="D2217" s="40" t="s">
        <v>3752</v>
      </c>
      <c r="E2217" s="41">
        <v>1</v>
      </c>
      <c r="F2217" s="35">
        <v>26.248499999999996</v>
      </c>
      <c r="G2217" s="38">
        <f t="shared" si="35"/>
        <v>26.248499999999996</v>
      </c>
      <c r="H2217" s="43">
        <f>SUM(G2217:G2219)</f>
        <v>48.231499999999997</v>
      </c>
      <c r="I2217" s="44"/>
      <c r="J2217" s="34">
        <v>0</v>
      </c>
    </row>
    <row r="2218" spans="1:10" ht="15.75" hidden="1" thickBot="1" x14ac:dyDescent="0.3">
      <c r="A2218" s="249"/>
      <c r="B2218" s="252"/>
      <c r="C2218" s="40" t="s">
        <v>4111</v>
      </c>
      <c r="D2218" s="40" t="s">
        <v>3752</v>
      </c>
      <c r="E2218" s="41">
        <v>1</v>
      </c>
      <c r="F2218" s="35">
        <v>21.983000000000001</v>
      </c>
      <c r="G2218" s="38">
        <f t="shared" si="35"/>
        <v>21.983000000000001</v>
      </c>
      <c r="H2218" s="39"/>
      <c r="I2218" s="35"/>
      <c r="J2218" s="34">
        <v>0</v>
      </c>
    </row>
    <row r="2219" spans="1:10" ht="26.25" hidden="1" thickBot="1" x14ac:dyDescent="0.3">
      <c r="A2219" s="249"/>
      <c r="B2219" s="252"/>
      <c r="C2219" s="40" t="s">
        <v>564</v>
      </c>
      <c r="D2219" s="40" t="s">
        <v>28</v>
      </c>
      <c r="E2219" s="41">
        <v>1</v>
      </c>
      <c r="F2219" s="38" t="s">
        <v>23</v>
      </c>
      <c r="G2219" s="35" t="str">
        <f t="shared" si="35"/>
        <v/>
      </c>
      <c r="H2219" s="39"/>
      <c r="I2219" s="35"/>
      <c r="J2219" s="34">
        <v>0</v>
      </c>
    </row>
    <row r="2220" spans="1:10" ht="15.75" hidden="1" thickBot="1" x14ac:dyDescent="0.3">
      <c r="A2220" s="250"/>
      <c r="B2220" s="253"/>
      <c r="C2220" s="40"/>
      <c r="D2220" s="40"/>
      <c r="E2220" s="41"/>
      <c r="F2220" s="35" t="s">
        <v>23</v>
      </c>
      <c r="G2220" s="35" t="str">
        <f t="shared" si="35"/>
        <v/>
      </c>
      <c r="H2220" s="39"/>
      <c r="I2220" s="35"/>
      <c r="J2220" s="34">
        <v>0</v>
      </c>
    </row>
    <row r="2221" spans="1:10" ht="15.75" hidden="1" thickBot="1" x14ac:dyDescent="0.3">
      <c r="A2221" s="248" t="s">
        <v>565</v>
      </c>
      <c r="B2221" s="251" t="s">
        <v>2382</v>
      </c>
      <c r="C2221" s="28"/>
      <c r="D2221" s="29" t="s">
        <v>28</v>
      </c>
      <c r="E2221" s="30"/>
      <c r="F2221" s="45" t="s">
        <v>23</v>
      </c>
      <c r="G2221" s="31" t="str">
        <f t="shared" si="35"/>
        <v/>
      </c>
      <c r="H2221" s="32"/>
      <c r="I2221" s="33"/>
      <c r="J2221" s="34">
        <v>0</v>
      </c>
    </row>
    <row r="2222" spans="1:10" ht="15.75" hidden="1" thickBot="1" x14ac:dyDescent="0.3">
      <c r="A2222" s="249"/>
      <c r="B2222" s="252"/>
      <c r="C2222" s="36"/>
      <c r="D2222" s="36"/>
      <c r="E2222" s="37"/>
      <c r="F2222" s="46" t="s">
        <v>23</v>
      </c>
      <c r="G2222" s="35" t="str">
        <f t="shared" si="35"/>
        <v/>
      </c>
      <c r="H2222" s="39"/>
      <c r="I2222" s="35"/>
      <c r="J2222" s="34">
        <v>0</v>
      </c>
    </row>
    <row r="2223" spans="1:10" ht="51.75" hidden="1" thickBot="1" x14ac:dyDescent="0.3">
      <c r="A2223" s="249"/>
      <c r="B2223" s="252"/>
      <c r="C2223" s="40" t="s">
        <v>3926</v>
      </c>
      <c r="D2223" s="40" t="s">
        <v>3927</v>
      </c>
      <c r="E2223" s="41">
        <v>1</v>
      </c>
      <c r="F2223" s="38">
        <v>164.73949999999999</v>
      </c>
      <c r="G2223" s="38">
        <f t="shared" si="35"/>
        <v>164.73949999999999</v>
      </c>
      <c r="H2223" s="43">
        <f>SUM(G2223:G2231)</f>
        <v>343.65185809999997</v>
      </c>
      <c r="I2223" s="44"/>
      <c r="J2223" s="34">
        <v>0</v>
      </c>
    </row>
    <row r="2224" spans="1:10" ht="15.75" hidden="1" thickBot="1" x14ac:dyDescent="0.3">
      <c r="A2224" s="249"/>
      <c r="B2224" s="252"/>
      <c r="C2224" s="40" t="s">
        <v>3928</v>
      </c>
      <c r="D2224" s="40" t="s">
        <v>1035</v>
      </c>
      <c r="E2224" s="41">
        <v>1.0999999999999999E-2</v>
      </c>
      <c r="F2224" s="38">
        <v>27.378999999999998</v>
      </c>
      <c r="G2224" s="38">
        <f t="shared" si="35"/>
        <v>0.30116899999999996</v>
      </c>
      <c r="H2224" s="39"/>
      <c r="I2224" s="35"/>
      <c r="J2224" s="34">
        <v>0</v>
      </c>
    </row>
    <row r="2225" spans="1:10" ht="15.75" hidden="1" thickBot="1" x14ac:dyDescent="0.3">
      <c r="A2225" s="249"/>
      <c r="B2225" s="252"/>
      <c r="C2225" s="40" t="s">
        <v>4101</v>
      </c>
      <c r="D2225" s="40" t="s">
        <v>1035</v>
      </c>
      <c r="E2225" s="41">
        <v>2.4E-2</v>
      </c>
      <c r="F2225" s="35">
        <v>20.776499999999999</v>
      </c>
      <c r="G2225" s="38">
        <f t="shared" si="35"/>
        <v>0.49863599999999997</v>
      </c>
      <c r="H2225" s="39"/>
      <c r="I2225" s="35"/>
      <c r="J2225" s="34">
        <v>0</v>
      </c>
    </row>
    <row r="2226" spans="1:10" ht="15.75" hidden="1" thickBot="1" x14ac:dyDescent="0.3">
      <c r="A2226" s="249"/>
      <c r="B2226" s="252"/>
      <c r="C2226" s="40" t="s">
        <v>3766</v>
      </c>
      <c r="D2226" s="40" t="s">
        <v>3752</v>
      </c>
      <c r="E2226" s="41">
        <f>2.741+0.068</f>
        <v>2.8090000000000002</v>
      </c>
      <c r="F2226" s="35">
        <v>26.552499999999998</v>
      </c>
      <c r="G2226" s="38">
        <f t="shared" si="35"/>
        <v>74.585972499999997</v>
      </c>
      <c r="H2226" s="39"/>
      <c r="I2226" s="35"/>
      <c r="J2226" s="34">
        <v>0</v>
      </c>
    </row>
    <row r="2227" spans="1:10" ht="15.75" hidden="1" thickBot="1" x14ac:dyDescent="0.3">
      <c r="A2227" s="249"/>
      <c r="B2227" s="252"/>
      <c r="C2227" s="40" t="s">
        <v>3754</v>
      </c>
      <c r="D2227" s="40" t="s">
        <v>3752</v>
      </c>
      <c r="E2227" s="41">
        <f>1.375+0.034</f>
        <v>1.409</v>
      </c>
      <c r="F2227" s="35">
        <v>20.814499999999999</v>
      </c>
      <c r="G2227" s="38">
        <f t="shared" si="35"/>
        <v>29.327630499999998</v>
      </c>
      <c r="H2227" s="39"/>
      <c r="I2227" s="35"/>
      <c r="J2227" s="34">
        <v>0</v>
      </c>
    </row>
    <row r="2228" spans="1:10" ht="15.75" hidden="1" thickBot="1" x14ac:dyDescent="0.3">
      <c r="A2228" s="249"/>
      <c r="B2228" s="252"/>
      <c r="C2228" s="40" t="s">
        <v>4144</v>
      </c>
      <c r="D2228" s="40" t="s">
        <v>1035</v>
      </c>
      <c r="E2228" s="41">
        <v>6.0000000000000001E-3</v>
      </c>
      <c r="F2228" s="35">
        <v>23.360499999999998</v>
      </c>
      <c r="G2228" s="38">
        <f t="shared" si="35"/>
        <v>0.14016299999999998</v>
      </c>
      <c r="H2228" s="39"/>
      <c r="I2228" s="35"/>
      <c r="J2228" s="34">
        <v>0</v>
      </c>
    </row>
    <row r="2229" spans="1:10" ht="39" hidden="1" thickBot="1" x14ac:dyDescent="0.3">
      <c r="A2229" s="249"/>
      <c r="B2229" s="252"/>
      <c r="C2229" s="40" t="s">
        <v>3929</v>
      </c>
      <c r="D2229" s="40" t="s">
        <v>1286</v>
      </c>
      <c r="E2229" s="41">
        <f>(2.1*2+0.8)*1.163</f>
        <v>5.8150000000000004</v>
      </c>
      <c r="F2229" s="38">
        <v>9.6709999999999994</v>
      </c>
      <c r="G2229" s="38">
        <f t="shared" si="35"/>
        <v>56.236865000000002</v>
      </c>
      <c r="H2229" s="39"/>
      <c r="I2229" s="35"/>
      <c r="J2229" s="34">
        <v>0</v>
      </c>
    </row>
    <row r="2230" spans="1:10" ht="15.75" hidden="1" thickBot="1" x14ac:dyDescent="0.3">
      <c r="A2230" s="249"/>
      <c r="B2230" s="252"/>
      <c r="C2230" s="40" t="s">
        <v>138</v>
      </c>
      <c r="D2230" s="58" t="s">
        <v>80</v>
      </c>
      <c r="E2230" s="41">
        <f>ROUND(0.108*0.15*(2*2.1+0.8),4)</f>
        <v>8.1000000000000003E-2</v>
      </c>
      <c r="F2230" s="38">
        <v>28.69</v>
      </c>
      <c r="G2230" s="35">
        <f t="shared" si="35"/>
        <v>2.32389</v>
      </c>
      <c r="H2230" s="39"/>
      <c r="I2230" s="35"/>
      <c r="J2230" s="34">
        <v>0</v>
      </c>
    </row>
    <row r="2231" spans="1:10" ht="15.75" hidden="1" thickBot="1" x14ac:dyDescent="0.3">
      <c r="A2231" s="249"/>
      <c r="B2231" s="252"/>
      <c r="C2231" s="40" t="s">
        <v>3753</v>
      </c>
      <c r="D2231" s="40" t="s">
        <v>3752</v>
      </c>
      <c r="E2231" s="41">
        <f>ROUND(0.7076*0.15*(2*2.1+0.8),4)</f>
        <v>0.53069999999999995</v>
      </c>
      <c r="F2231" s="35">
        <v>29.202999999999996</v>
      </c>
      <c r="G2231" s="35">
        <f t="shared" si="35"/>
        <v>15.498032099999996</v>
      </c>
      <c r="H2231" s="39"/>
      <c r="I2231" s="35"/>
      <c r="J2231" s="34">
        <v>0</v>
      </c>
    </row>
    <row r="2232" spans="1:10" ht="15.75" hidden="1" thickBot="1" x14ac:dyDescent="0.3">
      <c r="A2232" s="249"/>
      <c r="B2232" s="252"/>
      <c r="C2232" s="40"/>
      <c r="D2232" s="40"/>
      <c r="E2232" s="41"/>
      <c r="F2232" s="35" t="s">
        <v>23</v>
      </c>
      <c r="G2232" s="35"/>
      <c r="H2232" s="39"/>
      <c r="I2232" s="35"/>
      <c r="J2232" s="34">
        <v>0</v>
      </c>
    </row>
    <row r="2233" spans="1:10" ht="39" hidden="1" thickBot="1" x14ac:dyDescent="0.3">
      <c r="A2233" s="249"/>
      <c r="B2233" s="252"/>
      <c r="C2233" s="54" t="s">
        <v>139</v>
      </c>
      <c r="D2233" s="40"/>
      <c r="E2233" s="41"/>
      <c r="F2233" s="35" t="s">
        <v>23</v>
      </c>
      <c r="G2233" s="35"/>
      <c r="H2233" s="39"/>
      <c r="I2233" s="35"/>
      <c r="J2233" s="34">
        <v>0</v>
      </c>
    </row>
    <row r="2234" spans="1:10" ht="15.75" hidden="1" thickBot="1" x14ac:dyDescent="0.3">
      <c r="A2234" s="250"/>
      <c r="B2234" s="253"/>
      <c r="C2234" s="40"/>
      <c r="D2234" s="40"/>
      <c r="E2234" s="41"/>
      <c r="F2234" s="35" t="s">
        <v>23</v>
      </c>
      <c r="G2234" s="35" t="str">
        <f t="shared" ref="G2234:G2247" si="36">IF(ISNUMBER(F2234),E2234*F2234,"")</f>
        <v/>
      </c>
      <c r="H2234" s="39"/>
      <c r="I2234" s="35"/>
      <c r="J2234" s="34">
        <v>0</v>
      </c>
    </row>
    <row r="2235" spans="1:10" ht="15.75" hidden="1" thickBot="1" x14ac:dyDescent="0.3">
      <c r="A2235" s="248" t="s">
        <v>566</v>
      </c>
      <c r="B2235" s="251" t="s">
        <v>2383</v>
      </c>
      <c r="C2235" s="74"/>
      <c r="D2235" s="29" t="s">
        <v>78</v>
      </c>
      <c r="E2235" s="30"/>
      <c r="F2235" s="45" t="s">
        <v>23</v>
      </c>
      <c r="G2235" s="31" t="str">
        <f t="shared" si="36"/>
        <v/>
      </c>
      <c r="H2235" s="32"/>
      <c r="I2235" s="33"/>
      <c r="J2235" s="34">
        <v>0</v>
      </c>
    </row>
    <row r="2236" spans="1:10" ht="15.75" hidden="1" thickBot="1" x14ac:dyDescent="0.3">
      <c r="A2236" s="249"/>
      <c r="B2236" s="252"/>
      <c r="C2236" s="36"/>
      <c r="D2236" s="36"/>
      <c r="E2236" s="37"/>
      <c r="F2236" s="46" t="s">
        <v>23</v>
      </c>
      <c r="G2236" s="35" t="str">
        <f t="shared" si="36"/>
        <v/>
      </c>
      <c r="H2236" s="39"/>
      <c r="I2236" s="35"/>
      <c r="J2236" s="34">
        <v>0</v>
      </c>
    </row>
    <row r="2237" spans="1:10" ht="15.75" hidden="1" thickBot="1" x14ac:dyDescent="0.3">
      <c r="A2237" s="249"/>
      <c r="B2237" s="252"/>
      <c r="C2237" s="40" t="s">
        <v>3754</v>
      </c>
      <c r="D2237" s="40" t="s">
        <v>3752</v>
      </c>
      <c r="E2237" s="41">
        <v>0.3</v>
      </c>
      <c r="F2237" s="35">
        <v>20.814499999999999</v>
      </c>
      <c r="G2237" s="38">
        <f t="shared" si="36"/>
        <v>6.2443499999999998</v>
      </c>
      <c r="H2237" s="43">
        <f>SUM(G2237:G2239)</f>
        <v>14.118899999999998</v>
      </c>
      <c r="I2237" s="44"/>
      <c r="J2237" s="34">
        <v>0</v>
      </c>
    </row>
    <row r="2238" spans="1:10" ht="15.75" hidden="1" thickBot="1" x14ac:dyDescent="0.3">
      <c r="A2238" s="249"/>
      <c r="B2238" s="252"/>
      <c r="C2238" s="40" t="s">
        <v>3909</v>
      </c>
      <c r="D2238" s="40" t="s">
        <v>3752</v>
      </c>
      <c r="E2238" s="41">
        <v>0.3</v>
      </c>
      <c r="F2238" s="35">
        <v>26.248499999999996</v>
      </c>
      <c r="G2238" s="38">
        <f t="shared" si="36"/>
        <v>7.8745499999999984</v>
      </c>
      <c r="H2238" s="48"/>
      <c r="I2238" s="49"/>
      <c r="J2238" s="34">
        <v>0</v>
      </c>
    </row>
    <row r="2239" spans="1:10" ht="26.25" hidden="1" thickBot="1" x14ac:dyDescent="0.3">
      <c r="A2239" s="249"/>
      <c r="B2239" s="252"/>
      <c r="C2239" s="40" t="s">
        <v>567</v>
      </c>
      <c r="D2239" s="53" t="s">
        <v>78</v>
      </c>
      <c r="E2239" s="41">
        <v>1</v>
      </c>
      <c r="F2239" s="38" t="s">
        <v>23</v>
      </c>
      <c r="G2239" s="38" t="str">
        <f t="shared" si="36"/>
        <v/>
      </c>
      <c r="H2239" s="39"/>
      <c r="I2239" s="35"/>
      <c r="J2239" s="34">
        <v>0</v>
      </c>
    </row>
    <row r="2240" spans="1:10" ht="15.75" hidden="1" thickBot="1" x14ac:dyDescent="0.3">
      <c r="A2240" s="250"/>
      <c r="B2240" s="253"/>
      <c r="C2240" s="40"/>
      <c r="D2240" s="40"/>
      <c r="E2240" s="41"/>
      <c r="F2240" s="35" t="s">
        <v>23</v>
      </c>
      <c r="G2240" s="35" t="str">
        <f t="shared" si="36"/>
        <v/>
      </c>
      <c r="H2240" s="39"/>
      <c r="I2240" s="35"/>
      <c r="J2240" s="34">
        <v>0</v>
      </c>
    </row>
    <row r="2241" spans="1:10" ht="15.75" hidden="1" thickBot="1" x14ac:dyDescent="0.3">
      <c r="A2241" s="256" t="s">
        <v>568</v>
      </c>
      <c r="B2241" s="259" t="s">
        <v>2384</v>
      </c>
      <c r="C2241" s="28"/>
      <c r="D2241" s="29" t="s">
        <v>28</v>
      </c>
      <c r="E2241" s="30"/>
      <c r="F2241" s="45" t="s">
        <v>23</v>
      </c>
      <c r="G2241" s="31" t="str">
        <f t="shared" si="36"/>
        <v/>
      </c>
      <c r="H2241" s="32"/>
      <c r="I2241" s="33"/>
      <c r="J2241" s="34">
        <v>0</v>
      </c>
    </row>
    <row r="2242" spans="1:10" ht="15.75" hidden="1" thickBot="1" x14ac:dyDescent="0.3">
      <c r="A2242" s="257"/>
      <c r="B2242" s="260"/>
      <c r="C2242" s="36"/>
      <c r="D2242" s="36"/>
      <c r="E2242" s="37"/>
      <c r="F2242" s="46" t="s">
        <v>23</v>
      </c>
      <c r="G2242" s="35" t="str">
        <f t="shared" si="36"/>
        <v/>
      </c>
      <c r="H2242" s="39"/>
      <c r="I2242" s="35"/>
      <c r="J2242" s="34">
        <v>0</v>
      </c>
    </row>
    <row r="2243" spans="1:10" ht="51.75" hidden="1" thickBot="1" x14ac:dyDescent="0.3">
      <c r="A2243" s="257"/>
      <c r="B2243" s="260"/>
      <c r="C2243" s="40" t="s">
        <v>3930</v>
      </c>
      <c r="D2243" s="40" t="s">
        <v>291</v>
      </c>
      <c r="E2243" s="41">
        <v>1</v>
      </c>
      <c r="F2243" s="38">
        <v>234.47899999999998</v>
      </c>
      <c r="G2243" s="38">
        <f t="shared" si="36"/>
        <v>234.47899999999998</v>
      </c>
      <c r="H2243" s="43">
        <f>SUM(G2243:G2247)</f>
        <v>332.26912719999996</v>
      </c>
      <c r="I2243" s="44"/>
      <c r="J2243" s="34">
        <v>0</v>
      </c>
    </row>
    <row r="2244" spans="1:10" ht="15.75" hidden="1" thickBot="1" x14ac:dyDescent="0.3">
      <c r="A2244" s="257"/>
      <c r="B2244" s="260"/>
      <c r="C2244" s="40" t="s">
        <v>3766</v>
      </c>
      <c r="D2244" s="40" t="s">
        <v>3752</v>
      </c>
      <c r="E2244" s="41">
        <f>ROUND(1.282*0.8,4)</f>
        <v>1.0256000000000001</v>
      </c>
      <c r="F2244" s="35">
        <v>26.552499999999998</v>
      </c>
      <c r="G2244" s="38">
        <f t="shared" si="36"/>
        <v>27.232244000000001</v>
      </c>
      <c r="H2244" s="39"/>
      <c r="I2244" s="35"/>
      <c r="J2244" s="34">
        <v>0</v>
      </c>
    </row>
    <row r="2245" spans="1:10" ht="15.75" hidden="1" thickBot="1" x14ac:dyDescent="0.3">
      <c r="A2245" s="257"/>
      <c r="B2245" s="260"/>
      <c r="C2245" s="40" t="s">
        <v>3754</v>
      </c>
      <c r="D2245" s="40" t="s">
        <v>3752</v>
      </c>
      <c r="E2245" s="41">
        <f>ROUND(0.641*0.8,4)</f>
        <v>0.51280000000000003</v>
      </c>
      <c r="F2245" s="35">
        <v>20.814499999999999</v>
      </c>
      <c r="G2245" s="38">
        <f t="shared" si="36"/>
        <v>10.673675599999999</v>
      </c>
      <c r="H2245" s="39"/>
      <c r="I2245" s="35"/>
      <c r="J2245" s="34">
        <v>0</v>
      </c>
    </row>
    <row r="2246" spans="1:10" ht="15.75" hidden="1" thickBot="1" x14ac:dyDescent="0.3">
      <c r="A2246" s="257"/>
      <c r="B2246" s="260"/>
      <c r="C2246" s="40" t="s">
        <v>138</v>
      </c>
      <c r="D2246" s="58" t="s">
        <v>80</v>
      </c>
      <c r="E2246" s="41">
        <f>ROUND(0.108*(2*0.6*2.1),4)</f>
        <v>0.2722</v>
      </c>
      <c r="F2246" s="38">
        <v>28.69</v>
      </c>
      <c r="G2246" s="35">
        <f t="shared" si="36"/>
        <v>7.809418</v>
      </c>
      <c r="H2246" s="39"/>
      <c r="I2246" s="35"/>
      <c r="J2246" s="34">
        <v>0</v>
      </c>
    </row>
    <row r="2247" spans="1:10" ht="15.75" hidden="1" thickBot="1" x14ac:dyDescent="0.3">
      <c r="A2247" s="257"/>
      <c r="B2247" s="260"/>
      <c r="C2247" s="40" t="s">
        <v>3753</v>
      </c>
      <c r="D2247" s="40" t="s">
        <v>3752</v>
      </c>
      <c r="E2247" s="41">
        <f>ROUND(0.7076*(2*0.6*2.1),4)</f>
        <v>1.7831999999999999</v>
      </c>
      <c r="F2247" s="35">
        <v>29.202999999999996</v>
      </c>
      <c r="G2247" s="35">
        <f t="shared" si="36"/>
        <v>52.074789599999988</v>
      </c>
      <c r="H2247" s="39"/>
      <c r="I2247" s="35"/>
      <c r="J2247" s="34">
        <v>0</v>
      </c>
    </row>
    <row r="2248" spans="1:10" ht="15.75" hidden="1" thickBot="1" x14ac:dyDescent="0.3">
      <c r="A2248" s="257"/>
      <c r="B2248" s="260"/>
      <c r="C2248" s="40"/>
      <c r="D2248" s="40"/>
      <c r="E2248" s="41"/>
      <c r="F2248" s="35" t="s">
        <v>23</v>
      </c>
      <c r="G2248" s="35"/>
      <c r="H2248" s="39"/>
      <c r="I2248" s="35"/>
      <c r="J2248" s="34">
        <v>0</v>
      </c>
    </row>
    <row r="2249" spans="1:10" ht="39" hidden="1" thickBot="1" x14ac:dyDescent="0.3">
      <c r="A2249" s="257"/>
      <c r="B2249" s="260"/>
      <c r="C2249" s="54" t="s">
        <v>139</v>
      </c>
      <c r="D2249" s="40"/>
      <c r="E2249" s="41"/>
      <c r="F2249" s="35" t="s">
        <v>23</v>
      </c>
      <c r="G2249" s="35"/>
      <c r="H2249" s="39"/>
      <c r="I2249" s="35"/>
      <c r="J2249" s="34">
        <v>0</v>
      </c>
    </row>
    <row r="2250" spans="1:10" ht="15.75" hidden="1" thickBot="1" x14ac:dyDescent="0.3">
      <c r="A2250" s="257"/>
      <c r="B2250" s="260"/>
      <c r="C2250" s="40"/>
      <c r="D2250" s="53"/>
      <c r="E2250" s="41"/>
      <c r="F2250" s="38" t="s">
        <v>23</v>
      </c>
      <c r="G2250" s="38" t="str">
        <f t="shared" ref="G2250:G2257" si="37">IF(ISNUMBER(F2250),E2250*F2250,"")</f>
        <v/>
      </c>
      <c r="H2250" s="39"/>
      <c r="I2250" s="35"/>
      <c r="J2250" s="34">
        <v>0</v>
      </c>
    </row>
    <row r="2251" spans="1:10" ht="15.75" hidden="1" thickBot="1" x14ac:dyDescent="0.3">
      <c r="A2251" s="256" t="s">
        <v>569</v>
      </c>
      <c r="B2251" s="259" t="s">
        <v>2385</v>
      </c>
      <c r="C2251" s="28"/>
      <c r="D2251" s="29" t="s">
        <v>28</v>
      </c>
      <c r="E2251" s="30"/>
      <c r="F2251" s="45" t="s">
        <v>23</v>
      </c>
      <c r="G2251" s="31" t="str">
        <f t="shared" si="37"/>
        <v/>
      </c>
      <c r="H2251" s="32"/>
      <c r="I2251" s="33"/>
      <c r="J2251" s="34">
        <v>0</v>
      </c>
    </row>
    <row r="2252" spans="1:10" ht="15.75" hidden="1" thickBot="1" x14ac:dyDescent="0.3">
      <c r="A2252" s="257"/>
      <c r="B2252" s="260"/>
      <c r="C2252" s="36"/>
      <c r="D2252" s="36"/>
      <c r="E2252" s="37"/>
      <c r="F2252" s="46" t="s">
        <v>23</v>
      </c>
      <c r="G2252" s="35" t="str">
        <f t="shared" si="37"/>
        <v/>
      </c>
      <c r="H2252" s="39"/>
      <c r="I2252" s="35"/>
      <c r="J2252" s="34">
        <v>0</v>
      </c>
    </row>
    <row r="2253" spans="1:10" ht="51.75" hidden="1" thickBot="1" x14ac:dyDescent="0.3">
      <c r="A2253" s="257"/>
      <c r="B2253" s="260"/>
      <c r="C2253" s="40" t="s">
        <v>3931</v>
      </c>
      <c r="D2253" s="40" t="s">
        <v>291</v>
      </c>
      <c r="E2253" s="41">
        <v>1</v>
      </c>
      <c r="F2253" s="38">
        <v>237.02499999999998</v>
      </c>
      <c r="G2253" s="38">
        <f t="shared" si="37"/>
        <v>237.02499999999998</v>
      </c>
      <c r="H2253" s="43">
        <f>SUM(G2253:G2257)</f>
        <v>348.69394510000001</v>
      </c>
      <c r="I2253" s="44"/>
      <c r="J2253" s="34">
        <v>0</v>
      </c>
    </row>
    <row r="2254" spans="1:10" ht="15.75" hidden="1" thickBot="1" x14ac:dyDescent="0.3">
      <c r="A2254" s="257"/>
      <c r="B2254" s="260"/>
      <c r="C2254" s="40" t="s">
        <v>3766</v>
      </c>
      <c r="D2254" s="40" t="s">
        <v>3752</v>
      </c>
      <c r="E2254" s="41">
        <f>ROUND(1.414*0.8,4)</f>
        <v>1.1312</v>
      </c>
      <c r="F2254" s="35">
        <v>26.552499999999998</v>
      </c>
      <c r="G2254" s="38">
        <f t="shared" si="37"/>
        <v>30.036187999999999</v>
      </c>
      <c r="H2254" s="39"/>
      <c r="I2254" s="35"/>
      <c r="J2254" s="34">
        <v>0</v>
      </c>
    </row>
    <row r="2255" spans="1:10" ht="15.75" hidden="1" thickBot="1" x14ac:dyDescent="0.3">
      <c r="A2255" s="257"/>
      <c r="B2255" s="260"/>
      <c r="C2255" s="40" t="s">
        <v>3754</v>
      </c>
      <c r="D2255" s="40" t="s">
        <v>3752</v>
      </c>
      <c r="E2255" s="41">
        <f>ROUND(0.707*0.8,4)</f>
        <v>0.56559999999999999</v>
      </c>
      <c r="F2255" s="35">
        <v>20.814499999999999</v>
      </c>
      <c r="G2255" s="38">
        <f t="shared" si="37"/>
        <v>11.772681199999999</v>
      </c>
      <c r="H2255" s="39"/>
      <c r="I2255" s="35"/>
      <c r="J2255" s="34">
        <v>0</v>
      </c>
    </row>
    <row r="2256" spans="1:10" ht="15.75" hidden="1" thickBot="1" x14ac:dyDescent="0.3">
      <c r="A2256" s="257"/>
      <c r="B2256" s="260"/>
      <c r="C2256" s="40" t="s">
        <v>138</v>
      </c>
      <c r="D2256" s="58" t="s">
        <v>80</v>
      </c>
      <c r="E2256" s="41">
        <f>ROUND(0.108*(2*0.7*2.1),4)</f>
        <v>0.3175</v>
      </c>
      <c r="F2256" s="38">
        <v>28.69</v>
      </c>
      <c r="G2256" s="35">
        <f t="shared" si="37"/>
        <v>9.1090750000000007</v>
      </c>
      <c r="H2256" s="39"/>
      <c r="I2256" s="35"/>
      <c r="J2256" s="34">
        <v>0</v>
      </c>
    </row>
    <row r="2257" spans="1:10" ht="15.75" hidden="1" thickBot="1" x14ac:dyDescent="0.3">
      <c r="A2257" s="257"/>
      <c r="B2257" s="260"/>
      <c r="C2257" s="40" t="s">
        <v>3753</v>
      </c>
      <c r="D2257" s="40" t="s">
        <v>3752</v>
      </c>
      <c r="E2257" s="41">
        <f>ROUND(0.7076*(2*0.7*2.1),4)</f>
        <v>2.0802999999999998</v>
      </c>
      <c r="F2257" s="35">
        <v>29.202999999999996</v>
      </c>
      <c r="G2257" s="35">
        <f t="shared" si="37"/>
        <v>60.751000899999987</v>
      </c>
      <c r="H2257" s="39"/>
      <c r="I2257" s="35"/>
      <c r="J2257" s="34">
        <v>0</v>
      </c>
    </row>
    <row r="2258" spans="1:10" ht="15.75" hidden="1" thickBot="1" x14ac:dyDescent="0.3">
      <c r="A2258" s="257"/>
      <c r="B2258" s="260"/>
      <c r="C2258" s="40"/>
      <c r="D2258" s="40"/>
      <c r="E2258" s="41"/>
      <c r="F2258" s="35" t="s">
        <v>23</v>
      </c>
      <c r="G2258" s="35"/>
      <c r="H2258" s="39"/>
      <c r="I2258" s="35"/>
      <c r="J2258" s="34">
        <v>0</v>
      </c>
    </row>
    <row r="2259" spans="1:10" ht="39" hidden="1" thickBot="1" x14ac:dyDescent="0.3">
      <c r="A2259" s="257"/>
      <c r="B2259" s="260"/>
      <c r="C2259" s="54" t="s">
        <v>139</v>
      </c>
      <c r="D2259" s="40"/>
      <c r="E2259" s="41"/>
      <c r="F2259" s="35" t="s">
        <v>23</v>
      </c>
      <c r="G2259" s="35"/>
      <c r="H2259" s="39"/>
      <c r="I2259" s="35"/>
      <c r="J2259" s="34">
        <v>0</v>
      </c>
    </row>
    <row r="2260" spans="1:10" ht="15.75" hidden="1" thickBot="1" x14ac:dyDescent="0.3">
      <c r="A2260" s="257"/>
      <c r="B2260" s="260"/>
      <c r="C2260" s="40"/>
      <c r="D2260" s="53"/>
      <c r="E2260" s="41"/>
      <c r="F2260" s="38" t="s">
        <v>23</v>
      </c>
      <c r="G2260" s="38" t="str">
        <f t="shared" ref="G2260:G2267" si="38">IF(ISNUMBER(F2260),E2260*F2260,"")</f>
        <v/>
      </c>
      <c r="H2260" s="39"/>
      <c r="I2260" s="35"/>
      <c r="J2260" s="34">
        <v>0</v>
      </c>
    </row>
    <row r="2261" spans="1:10" ht="15.75" hidden="1" thickBot="1" x14ac:dyDescent="0.3">
      <c r="A2261" s="256" t="s">
        <v>570</v>
      </c>
      <c r="B2261" s="259" t="s">
        <v>2386</v>
      </c>
      <c r="C2261" s="28"/>
      <c r="D2261" s="29" t="s">
        <v>28</v>
      </c>
      <c r="E2261" s="30"/>
      <c r="F2261" s="45" t="s">
        <v>23</v>
      </c>
      <c r="G2261" s="31" t="str">
        <f t="shared" si="38"/>
        <v/>
      </c>
      <c r="H2261" s="32"/>
      <c r="I2261" s="33"/>
      <c r="J2261" s="34">
        <v>0</v>
      </c>
    </row>
    <row r="2262" spans="1:10" ht="15.75" hidden="1" thickBot="1" x14ac:dyDescent="0.3">
      <c r="A2262" s="257"/>
      <c r="B2262" s="260"/>
      <c r="C2262" s="36"/>
      <c r="D2262" s="36"/>
      <c r="E2262" s="37"/>
      <c r="F2262" s="46" t="s">
        <v>23</v>
      </c>
      <c r="G2262" s="35" t="str">
        <f t="shared" si="38"/>
        <v/>
      </c>
      <c r="H2262" s="39"/>
      <c r="I2262" s="35"/>
      <c r="J2262" s="34">
        <v>0</v>
      </c>
    </row>
    <row r="2263" spans="1:10" ht="51.75" hidden="1" thickBot="1" x14ac:dyDescent="0.3">
      <c r="A2263" s="257"/>
      <c r="B2263" s="260"/>
      <c r="C2263" s="40" t="s">
        <v>3932</v>
      </c>
      <c r="D2263" s="40" t="s">
        <v>291</v>
      </c>
      <c r="E2263" s="41">
        <v>1</v>
      </c>
      <c r="F2263" s="38">
        <v>293.721</v>
      </c>
      <c r="G2263" s="38">
        <f t="shared" si="38"/>
        <v>293.721</v>
      </c>
      <c r="H2263" s="43">
        <f>SUM(G2263:G2267)</f>
        <v>419.27455229999998</v>
      </c>
      <c r="I2263" s="44"/>
      <c r="J2263" s="34">
        <v>0</v>
      </c>
    </row>
    <row r="2264" spans="1:10" ht="15.75" hidden="1" thickBot="1" x14ac:dyDescent="0.3">
      <c r="A2264" s="257"/>
      <c r="B2264" s="260"/>
      <c r="C2264" s="40" t="s">
        <v>3766</v>
      </c>
      <c r="D2264" s="40" t="s">
        <v>3752</v>
      </c>
      <c r="E2264" s="41">
        <f>ROUND(1.546*0.8,4)</f>
        <v>1.2367999999999999</v>
      </c>
      <c r="F2264" s="35">
        <v>26.552499999999998</v>
      </c>
      <c r="G2264" s="38">
        <f t="shared" si="38"/>
        <v>32.840131999999997</v>
      </c>
      <c r="H2264" s="39"/>
      <c r="I2264" s="35"/>
      <c r="J2264" s="34">
        <v>0</v>
      </c>
    </row>
    <row r="2265" spans="1:10" ht="15.75" hidden="1" thickBot="1" x14ac:dyDescent="0.3">
      <c r="A2265" s="257"/>
      <c r="B2265" s="260"/>
      <c r="C2265" s="40" t="s">
        <v>3754</v>
      </c>
      <c r="D2265" s="40" t="s">
        <v>3752</v>
      </c>
      <c r="E2265" s="41">
        <f>ROUND(0.773*0.8,4)</f>
        <v>0.61839999999999995</v>
      </c>
      <c r="F2265" s="35">
        <v>20.814499999999999</v>
      </c>
      <c r="G2265" s="38">
        <f t="shared" si="38"/>
        <v>12.871686799999999</v>
      </c>
      <c r="H2265" s="39"/>
      <c r="I2265" s="35"/>
      <c r="J2265" s="34">
        <v>0</v>
      </c>
    </row>
    <row r="2266" spans="1:10" ht="15.75" hidden="1" thickBot="1" x14ac:dyDescent="0.3">
      <c r="A2266" s="257"/>
      <c r="B2266" s="260"/>
      <c r="C2266" s="40" t="s">
        <v>138</v>
      </c>
      <c r="D2266" s="58" t="s">
        <v>80</v>
      </c>
      <c r="E2266" s="41">
        <f>ROUND(0.108*(2*0.8*2.1),4)</f>
        <v>0.3629</v>
      </c>
      <c r="F2266" s="38">
        <v>28.69</v>
      </c>
      <c r="G2266" s="35">
        <f t="shared" si="38"/>
        <v>10.411601000000001</v>
      </c>
      <c r="H2266" s="39"/>
      <c r="I2266" s="35"/>
      <c r="J2266" s="34">
        <v>0</v>
      </c>
    </row>
    <row r="2267" spans="1:10" ht="15.75" hidden="1" thickBot="1" x14ac:dyDescent="0.3">
      <c r="A2267" s="257"/>
      <c r="B2267" s="260"/>
      <c r="C2267" s="40" t="s">
        <v>3753</v>
      </c>
      <c r="D2267" s="40" t="s">
        <v>3752</v>
      </c>
      <c r="E2267" s="41">
        <f>ROUND(0.7076*(2*0.8*2.1),4)</f>
        <v>2.3774999999999999</v>
      </c>
      <c r="F2267" s="35">
        <v>29.202999999999996</v>
      </c>
      <c r="G2267" s="35">
        <f t="shared" si="38"/>
        <v>69.430132499999985</v>
      </c>
      <c r="H2267" s="39"/>
      <c r="I2267" s="35"/>
      <c r="J2267" s="34">
        <v>0</v>
      </c>
    </row>
    <row r="2268" spans="1:10" ht="15.75" hidden="1" thickBot="1" x14ac:dyDescent="0.3">
      <c r="A2268" s="257"/>
      <c r="B2268" s="260"/>
      <c r="C2268" s="40"/>
      <c r="D2268" s="40"/>
      <c r="E2268" s="41"/>
      <c r="F2268" s="35" t="s">
        <v>23</v>
      </c>
      <c r="G2268" s="35"/>
      <c r="H2268" s="39"/>
      <c r="I2268" s="35"/>
      <c r="J2268" s="34">
        <v>0</v>
      </c>
    </row>
    <row r="2269" spans="1:10" ht="39" hidden="1" thickBot="1" x14ac:dyDescent="0.3">
      <c r="A2269" s="257"/>
      <c r="B2269" s="260"/>
      <c r="C2269" s="54" t="s">
        <v>139</v>
      </c>
      <c r="D2269" s="40"/>
      <c r="E2269" s="41"/>
      <c r="F2269" s="35" t="s">
        <v>23</v>
      </c>
      <c r="G2269" s="35"/>
      <c r="H2269" s="39"/>
      <c r="I2269" s="35"/>
      <c r="J2269" s="34">
        <v>0</v>
      </c>
    </row>
    <row r="2270" spans="1:10" ht="15.75" hidden="1" thickBot="1" x14ac:dyDescent="0.3">
      <c r="A2270" s="257"/>
      <c r="B2270" s="260"/>
      <c r="C2270" s="40"/>
      <c r="D2270" s="53"/>
      <c r="E2270" s="41"/>
      <c r="F2270" s="38" t="s">
        <v>23</v>
      </c>
      <c r="G2270" s="38" t="str">
        <f t="shared" ref="G2270:G2277" si="39">IF(ISNUMBER(F2270),E2270*F2270,"")</f>
        <v/>
      </c>
      <c r="H2270" s="39"/>
      <c r="I2270" s="35"/>
      <c r="J2270" s="34">
        <v>0</v>
      </c>
    </row>
    <row r="2271" spans="1:10" ht="15.75" hidden="1" thickBot="1" x14ac:dyDescent="0.3">
      <c r="A2271" s="256" t="s">
        <v>571</v>
      </c>
      <c r="B2271" s="259" t="s">
        <v>2387</v>
      </c>
      <c r="C2271" s="28"/>
      <c r="D2271" s="29" t="s">
        <v>28</v>
      </c>
      <c r="E2271" s="30"/>
      <c r="F2271" s="45" t="s">
        <v>23</v>
      </c>
      <c r="G2271" s="31" t="str">
        <f t="shared" si="39"/>
        <v/>
      </c>
      <c r="H2271" s="32"/>
      <c r="I2271" s="33"/>
      <c r="J2271" s="34">
        <v>0</v>
      </c>
    </row>
    <row r="2272" spans="1:10" ht="15.75" hidden="1" thickBot="1" x14ac:dyDescent="0.3">
      <c r="A2272" s="257"/>
      <c r="B2272" s="260"/>
      <c r="C2272" s="36"/>
      <c r="D2272" s="36"/>
      <c r="E2272" s="37"/>
      <c r="F2272" s="46" t="s">
        <v>23</v>
      </c>
      <c r="G2272" s="35" t="str">
        <f t="shared" si="39"/>
        <v/>
      </c>
      <c r="H2272" s="39"/>
      <c r="I2272" s="35"/>
      <c r="J2272" s="34">
        <v>0</v>
      </c>
    </row>
    <row r="2273" spans="1:10" ht="51.75" hidden="1" thickBot="1" x14ac:dyDescent="0.3">
      <c r="A2273" s="257"/>
      <c r="B2273" s="260"/>
      <c r="C2273" s="40" t="s">
        <v>3933</v>
      </c>
      <c r="D2273" s="40" t="s">
        <v>291</v>
      </c>
      <c r="E2273" s="41">
        <v>1</v>
      </c>
      <c r="F2273" s="38">
        <v>336.04349999999999</v>
      </c>
      <c r="G2273" s="38">
        <f t="shared" si="39"/>
        <v>336.04349999999999</v>
      </c>
      <c r="H2273" s="43">
        <f>SUM(G2273:G2277)</f>
        <v>475.47879049999995</v>
      </c>
      <c r="I2273" s="44"/>
      <c r="J2273" s="34">
        <v>0</v>
      </c>
    </row>
    <row r="2274" spans="1:10" ht="15.75" hidden="1" thickBot="1" x14ac:dyDescent="0.3">
      <c r="A2274" s="257"/>
      <c r="B2274" s="260"/>
      <c r="C2274" s="40" t="s">
        <v>3766</v>
      </c>
      <c r="D2274" s="40" t="s">
        <v>3752</v>
      </c>
      <c r="E2274" s="41">
        <f>ROUND(1.678*0.8,4)</f>
        <v>1.3424</v>
      </c>
      <c r="F2274" s="35">
        <v>26.552499999999998</v>
      </c>
      <c r="G2274" s="38">
        <f t="shared" si="39"/>
        <v>35.644075999999998</v>
      </c>
      <c r="H2274" s="39"/>
      <c r="I2274" s="35"/>
      <c r="J2274" s="34">
        <v>0</v>
      </c>
    </row>
    <row r="2275" spans="1:10" ht="15.75" hidden="1" thickBot="1" x14ac:dyDescent="0.3">
      <c r="A2275" s="257"/>
      <c r="B2275" s="260"/>
      <c r="C2275" s="40" t="s">
        <v>3754</v>
      </c>
      <c r="D2275" s="40" t="s">
        <v>3752</v>
      </c>
      <c r="E2275" s="41">
        <f>ROUND(0.839*0.8,4)</f>
        <v>0.67120000000000002</v>
      </c>
      <c r="F2275" s="35">
        <v>20.814499999999999</v>
      </c>
      <c r="G2275" s="38">
        <f t="shared" si="39"/>
        <v>13.970692399999999</v>
      </c>
      <c r="H2275" s="39"/>
      <c r="I2275" s="35"/>
      <c r="J2275" s="34">
        <v>0</v>
      </c>
    </row>
    <row r="2276" spans="1:10" ht="15.75" hidden="1" thickBot="1" x14ac:dyDescent="0.3">
      <c r="A2276" s="257"/>
      <c r="B2276" s="260"/>
      <c r="C2276" s="40" t="s">
        <v>138</v>
      </c>
      <c r="D2276" s="58" t="s">
        <v>80</v>
      </c>
      <c r="E2276" s="41">
        <f>ROUND(0.108*(2*0.9*2.1),4)</f>
        <v>0.40820000000000001</v>
      </c>
      <c r="F2276" s="38">
        <v>28.69</v>
      </c>
      <c r="G2276" s="35">
        <f t="shared" si="39"/>
        <v>11.711258000000001</v>
      </c>
      <c r="H2276" s="39"/>
      <c r="I2276" s="35"/>
      <c r="J2276" s="34">
        <v>0</v>
      </c>
    </row>
    <row r="2277" spans="1:10" ht="15.75" hidden="1" thickBot="1" x14ac:dyDescent="0.3">
      <c r="A2277" s="257"/>
      <c r="B2277" s="260"/>
      <c r="C2277" s="40" t="s">
        <v>3753</v>
      </c>
      <c r="D2277" s="40" t="s">
        <v>3752</v>
      </c>
      <c r="E2277" s="41">
        <f>ROUND(0.7076*(2*0.9*2.1),4)</f>
        <v>2.6747000000000001</v>
      </c>
      <c r="F2277" s="35">
        <v>29.202999999999996</v>
      </c>
      <c r="G2277" s="35">
        <f t="shared" si="39"/>
        <v>78.10926409999999</v>
      </c>
      <c r="H2277" s="39"/>
      <c r="I2277" s="35"/>
      <c r="J2277" s="34">
        <v>0</v>
      </c>
    </row>
    <row r="2278" spans="1:10" ht="15.75" hidden="1" thickBot="1" x14ac:dyDescent="0.3">
      <c r="A2278" s="257"/>
      <c r="B2278" s="260"/>
      <c r="C2278" s="40"/>
      <c r="D2278" s="40"/>
      <c r="E2278" s="41"/>
      <c r="F2278" s="35" t="s">
        <v>23</v>
      </c>
      <c r="G2278" s="35"/>
      <c r="H2278" s="39"/>
      <c r="I2278" s="35"/>
      <c r="J2278" s="34">
        <v>0</v>
      </c>
    </row>
    <row r="2279" spans="1:10" ht="39" hidden="1" thickBot="1" x14ac:dyDescent="0.3">
      <c r="A2279" s="257"/>
      <c r="B2279" s="260"/>
      <c r="C2279" s="54" t="s">
        <v>139</v>
      </c>
      <c r="D2279" s="40"/>
      <c r="E2279" s="41"/>
      <c r="F2279" s="35" t="s">
        <v>23</v>
      </c>
      <c r="G2279" s="35"/>
      <c r="H2279" s="39"/>
      <c r="I2279" s="35"/>
      <c r="J2279" s="34">
        <v>0</v>
      </c>
    </row>
    <row r="2280" spans="1:10" ht="15.75" hidden="1" thickBot="1" x14ac:dyDescent="0.3">
      <c r="A2280" s="257"/>
      <c r="B2280" s="260"/>
      <c r="C2280" s="40"/>
      <c r="D2280" s="53"/>
      <c r="E2280" s="41"/>
      <c r="F2280" s="38" t="s">
        <v>23</v>
      </c>
      <c r="G2280" s="38" t="str">
        <f t="shared" ref="G2280:G2287" si="40">IF(ISNUMBER(F2280),E2280*F2280,"")</f>
        <v/>
      </c>
      <c r="H2280" s="39"/>
      <c r="I2280" s="35"/>
      <c r="J2280" s="34">
        <v>0</v>
      </c>
    </row>
    <row r="2281" spans="1:10" ht="15.75" hidden="1" thickBot="1" x14ac:dyDescent="0.3">
      <c r="A2281" s="256" t="s">
        <v>572</v>
      </c>
      <c r="B2281" s="259" t="s">
        <v>2388</v>
      </c>
      <c r="C2281" s="28"/>
      <c r="D2281" s="29" t="s">
        <v>28</v>
      </c>
      <c r="E2281" s="30"/>
      <c r="F2281" s="45" t="s">
        <v>23</v>
      </c>
      <c r="G2281" s="31" t="str">
        <f t="shared" si="40"/>
        <v/>
      </c>
      <c r="H2281" s="32"/>
      <c r="I2281" s="33"/>
      <c r="J2281" s="34">
        <v>0</v>
      </c>
    </row>
    <row r="2282" spans="1:10" ht="15.75" hidden="1" thickBot="1" x14ac:dyDescent="0.3">
      <c r="A2282" s="257"/>
      <c r="B2282" s="260"/>
      <c r="C2282" s="36"/>
      <c r="D2282" s="36"/>
      <c r="E2282" s="37"/>
      <c r="F2282" s="46" t="s">
        <v>23</v>
      </c>
      <c r="G2282" s="35" t="str">
        <f t="shared" si="40"/>
        <v/>
      </c>
      <c r="H2282" s="39"/>
      <c r="I2282" s="35"/>
      <c r="J2282" s="34">
        <v>0</v>
      </c>
    </row>
    <row r="2283" spans="1:10" ht="51.75" hidden="1" thickBot="1" x14ac:dyDescent="0.3">
      <c r="A2283" s="257"/>
      <c r="B2283" s="260"/>
      <c r="C2283" s="40" t="s">
        <v>3934</v>
      </c>
      <c r="D2283" s="40" t="s">
        <v>291</v>
      </c>
      <c r="E2283" s="41">
        <v>1</v>
      </c>
      <c r="F2283" s="38">
        <v>359.93599999999998</v>
      </c>
      <c r="G2283" s="38">
        <f t="shared" si="40"/>
        <v>359.93599999999998</v>
      </c>
      <c r="H2283" s="43">
        <f>SUM(G2283:G2287)</f>
        <v>509.35294809999994</v>
      </c>
      <c r="I2283" s="44"/>
      <c r="J2283" s="34">
        <v>0</v>
      </c>
    </row>
    <row r="2284" spans="1:10" ht="15.75" hidden="1" thickBot="1" x14ac:dyDescent="0.3">
      <c r="A2284" s="257"/>
      <c r="B2284" s="260"/>
      <c r="C2284" s="40" t="s">
        <v>3766</v>
      </c>
      <c r="D2284" s="40" t="s">
        <v>3752</v>
      </c>
      <c r="E2284" s="41">
        <f>ROUND(1.678*0.8,4)</f>
        <v>1.3424</v>
      </c>
      <c r="F2284" s="35">
        <v>26.552499999999998</v>
      </c>
      <c r="G2284" s="38">
        <f t="shared" si="40"/>
        <v>35.644075999999998</v>
      </c>
      <c r="H2284" s="39"/>
      <c r="I2284" s="35"/>
      <c r="J2284" s="34">
        <v>0</v>
      </c>
    </row>
    <row r="2285" spans="1:10" ht="15.75" hidden="1" thickBot="1" x14ac:dyDescent="0.3">
      <c r="A2285" s="257"/>
      <c r="B2285" s="260"/>
      <c r="C2285" s="40" t="s">
        <v>3754</v>
      </c>
      <c r="D2285" s="40" t="s">
        <v>3752</v>
      </c>
      <c r="E2285" s="41">
        <f>ROUND(0.839*0.8,4)</f>
        <v>0.67120000000000002</v>
      </c>
      <c r="F2285" s="35">
        <v>20.814499999999999</v>
      </c>
      <c r="G2285" s="38">
        <f t="shared" si="40"/>
        <v>13.970692399999999</v>
      </c>
      <c r="H2285" s="39"/>
      <c r="I2285" s="35"/>
      <c r="J2285" s="34">
        <v>0</v>
      </c>
    </row>
    <row r="2286" spans="1:10" ht="15.75" hidden="1" thickBot="1" x14ac:dyDescent="0.3">
      <c r="A2286" s="257"/>
      <c r="B2286" s="260"/>
      <c r="C2286" s="40" t="s">
        <v>138</v>
      </c>
      <c r="D2286" s="58" t="s">
        <v>80</v>
      </c>
      <c r="E2286" s="41">
        <f>ROUND(0.108*(2*1*2.1),4)</f>
        <v>0.4536</v>
      </c>
      <c r="F2286" s="38">
        <v>28.69</v>
      </c>
      <c r="G2286" s="35">
        <f t="shared" si="40"/>
        <v>13.013784000000001</v>
      </c>
      <c r="H2286" s="39"/>
      <c r="I2286" s="35"/>
      <c r="J2286" s="34">
        <v>0</v>
      </c>
    </row>
    <row r="2287" spans="1:10" ht="15.75" hidden="1" thickBot="1" x14ac:dyDescent="0.3">
      <c r="A2287" s="257"/>
      <c r="B2287" s="260"/>
      <c r="C2287" s="40" t="s">
        <v>3753</v>
      </c>
      <c r="D2287" s="40" t="s">
        <v>3752</v>
      </c>
      <c r="E2287" s="41">
        <f>ROUND(0.7076*(2*1*2.1),4)</f>
        <v>2.9719000000000002</v>
      </c>
      <c r="F2287" s="35">
        <v>29.202999999999996</v>
      </c>
      <c r="G2287" s="35">
        <f t="shared" si="40"/>
        <v>86.788395699999995</v>
      </c>
      <c r="H2287" s="39"/>
      <c r="I2287" s="35"/>
      <c r="J2287" s="34">
        <v>0</v>
      </c>
    </row>
    <row r="2288" spans="1:10" ht="15.75" hidden="1" thickBot="1" x14ac:dyDescent="0.3">
      <c r="A2288" s="257"/>
      <c r="B2288" s="260"/>
      <c r="C2288" s="40"/>
      <c r="D2288" s="40"/>
      <c r="E2288" s="41"/>
      <c r="F2288" s="35" t="s">
        <v>23</v>
      </c>
      <c r="G2288" s="35"/>
      <c r="H2288" s="39"/>
      <c r="I2288" s="35"/>
      <c r="J2288" s="34">
        <v>0</v>
      </c>
    </row>
    <row r="2289" spans="1:10" ht="39" hidden="1" thickBot="1" x14ac:dyDescent="0.3">
      <c r="A2289" s="257"/>
      <c r="B2289" s="260"/>
      <c r="C2289" s="54" t="s">
        <v>139</v>
      </c>
      <c r="D2289" s="40"/>
      <c r="E2289" s="41"/>
      <c r="F2289" s="35" t="s">
        <v>23</v>
      </c>
      <c r="G2289" s="35"/>
      <c r="H2289" s="39"/>
      <c r="I2289" s="35"/>
      <c r="J2289" s="34">
        <v>0</v>
      </c>
    </row>
    <row r="2290" spans="1:10" ht="15.75" hidden="1" thickBot="1" x14ac:dyDescent="0.3">
      <c r="A2290" s="257"/>
      <c r="B2290" s="260"/>
      <c r="C2290" s="40"/>
      <c r="D2290" s="53"/>
      <c r="E2290" s="41"/>
      <c r="F2290" s="38" t="s">
        <v>23</v>
      </c>
      <c r="G2290" s="38" t="str">
        <f t="shared" ref="G2290:G2353" si="41">IF(ISNUMBER(F2290),E2290*F2290,"")</f>
        <v/>
      </c>
      <c r="H2290" s="39"/>
      <c r="I2290" s="35"/>
      <c r="J2290" s="34">
        <v>0</v>
      </c>
    </row>
    <row r="2291" spans="1:10" ht="15.75" hidden="1" thickBot="1" x14ac:dyDescent="0.3">
      <c r="A2291" s="256" t="s">
        <v>573</v>
      </c>
      <c r="B2291" s="259" t="s">
        <v>2389</v>
      </c>
      <c r="C2291" s="28"/>
      <c r="D2291" s="29" t="s">
        <v>28</v>
      </c>
      <c r="E2291" s="30"/>
      <c r="F2291" s="45" t="s">
        <v>23</v>
      </c>
      <c r="G2291" s="31" t="str">
        <f t="shared" si="41"/>
        <v/>
      </c>
      <c r="H2291" s="32"/>
      <c r="I2291" s="33"/>
      <c r="J2291" s="34">
        <v>0</v>
      </c>
    </row>
    <row r="2292" spans="1:10" ht="15.75" hidden="1" thickBot="1" x14ac:dyDescent="0.3">
      <c r="A2292" s="257"/>
      <c r="B2292" s="260"/>
      <c r="C2292" s="36"/>
      <c r="D2292" s="36"/>
      <c r="E2292" s="37"/>
      <c r="F2292" s="46" t="s">
        <v>23</v>
      </c>
      <c r="G2292" s="35" t="str">
        <f t="shared" si="41"/>
        <v/>
      </c>
      <c r="H2292" s="39"/>
      <c r="I2292" s="35"/>
      <c r="J2292" s="34">
        <v>0</v>
      </c>
    </row>
    <row r="2293" spans="1:10" ht="15.75" hidden="1" thickBot="1" x14ac:dyDescent="0.3">
      <c r="A2293" s="257"/>
      <c r="B2293" s="260"/>
      <c r="C2293" s="40" t="s">
        <v>3928</v>
      </c>
      <c r="D2293" s="40" t="s">
        <v>1035</v>
      </c>
      <c r="E2293" s="41">
        <v>1.0999999999999999E-2</v>
      </c>
      <c r="F2293" s="38">
        <v>27.378999999999998</v>
      </c>
      <c r="G2293" s="35">
        <f t="shared" si="41"/>
        <v>0.30116899999999996</v>
      </c>
      <c r="H2293" s="43">
        <f>SUM(G2293:G2296)</f>
        <v>101.825484</v>
      </c>
      <c r="I2293" s="44"/>
      <c r="J2293" s="34">
        <v>0</v>
      </c>
    </row>
    <row r="2294" spans="1:10" ht="15.75" hidden="1" thickBot="1" x14ac:dyDescent="0.3">
      <c r="A2294" s="257"/>
      <c r="B2294" s="260"/>
      <c r="C2294" s="40" t="s">
        <v>4101</v>
      </c>
      <c r="D2294" s="40" t="s">
        <v>1035</v>
      </c>
      <c r="E2294" s="41">
        <v>2.4E-2</v>
      </c>
      <c r="F2294" s="38">
        <v>20.776499999999999</v>
      </c>
      <c r="G2294" s="35">
        <f t="shared" si="41"/>
        <v>0.49863599999999997</v>
      </c>
      <c r="H2294" s="39"/>
      <c r="I2294" s="35"/>
      <c r="J2294" s="34">
        <v>0</v>
      </c>
    </row>
    <row r="2295" spans="1:10" ht="15.75" hidden="1" thickBot="1" x14ac:dyDescent="0.3">
      <c r="A2295" s="257"/>
      <c r="B2295" s="260"/>
      <c r="C2295" s="40" t="s">
        <v>3766</v>
      </c>
      <c r="D2295" s="40" t="s">
        <v>3752</v>
      </c>
      <c r="E2295" s="41">
        <v>2.7410000000000001</v>
      </c>
      <c r="F2295" s="35">
        <v>26.552499999999998</v>
      </c>
      <c r="G2295" s="35">
        <f t="shared" si="41"/>
        <v>72.780402499999994</v>
      </c>
      <c r="H2295" s="39"/>
      <c r="I2295" s="35"/>
      <c r="J2295" s="34">
        <v>0</v>
      </c>
    </row>
    <row r="2296" spans="1:10" ht="15.75" hidden="1" thickBot="1" x14ac:dyDescent="0.3">
      <c r="A2296" s="257"/>
      <c r="B2296" s="260"/>
      <c r="C2296" s="40" t="s">
        <v>3754</v>
      </c>
      <c r="D2296" s="40" t="s">
        <v>3752</v>
      </c>
      <c r="E2296" s="41">
        <v>1.357</v>
      </c>
      <c r="F2296" s="35">
        <v>20.814499999999999</v>
      </c>
      <c r="G2296" s="35">
        <f t="shared" si="41"/>
        <v>28.245276499999999</v>
      </c>
      <c r="H2296" s="39"/>
      <c r="I2296" s="35"/>
      <c r="J2296" s="34">
        <v>0</v>
      </c>
    </row>
    <row r="2297" spans="1:10" ht="15.75" hidden="1" thickBot="1" x14ac:dyDescent="0.3">
      <c r="A2297" s="257"/>
      <c r="B2297" s="260"/>
      <c r="C2297" s="40"/>
      <c r="D2297" s="40"/>
      <c r="E2297" s="41"/>
      <c r="F2297" s="35" t="s">
        <v>23</v>
      </c>
      <c r="G2297" s="38" t="str">
        <f t="shared" si="41"/>
        <v/>
      </c>
      <c r="H2297" s="39"/>
      <c r="I2297" s="35"/>
      <c r="J2297" s="34">
        <v>0</v>
      </c>
    </row>
    <row r="2298" spans="1:10" ht="15.75" hidden="1" thickBot="1" x14ac:dyDescent="0.3">
      <c r="A2298" s="256" t="s">
        <v>574</v>
      </c>
      <c r="B2298" s="259" t="s">
        <v>2390</v>
      </c>
      <c r="C2298" s="28"/>
      <c r="D2298" s="29" t="s">
        <v>28</v>
      </c>
      <c r="E2298" s="30"/>
      <c r="F2298" s="45" t="s">
        <v>23</v>
      </c>
      <c r="G2298" s="31" t="str">
        <f t="shared" si="41"/>
        <v/>
      </c>
      <c r="H2298" s="32"/>
      <c r="I2298" s="33"/>
      <c r="J2298" s="34">
        <v>0</v>
      </c>
    </row>
    <row r="2299" spans="1:10" ht="15.75" hidden="1" thickBot="1" x14ac:dyDescent="0.3">
      <c r="A2299" s="257"/>
      <c r="B2299" s="260"/>
      <c r="C2299" s="36"/>
      <c r="D2299" s="36"/>
      <c r="E2299" s="37"/>
      <c r="F2299" s="46" t="s">
        <v>23</v>
      </c>
      <c r="G2299" s="38" t="str">
        <f t="shared" si="41"/>
        <v/>
      </c>
      <c r="H2299" s="39"/>
      <c r="I2299" s="35"/>
      <c r="J2299" s="34">
        <v>0</v>
      </c>
    </row>
    <row r="2300" spans="1:10" ht="26.25" hidden="1" thickBot="1" x14ac:dyDescent="0.3">
      <c r="A2300" s="257"/>
      <c r="B2300" s="260"/>
      <c r="C2300" s="40" t="s">
        <v>3935</v>
      </c>
      <c r="D2300" s="40" t="s">
        <v>291</v>
      </c>
      <c r="E2300" s="41">
        <v>19.8</v>
      </c>
      <c r="F2300" s="35">
        <v>7.5999999999999998E-2</v>
      </c>
      <c r="G2300" s="38">
        <f t="shared" si="41"/>
        <v>1.5047999999999999</v>
      </c>
      <c r="H2300" s="43">
        <f>SUM(G2300:G2303)</f>
        <v>73.877890000000008</v>
      </c>
      <c r="I2300" s="44"/>
      <c r="J2300" s="34">
        <v>0</v>
      </c>
    </row>
    <row r="2301" spans="1:10" ht="15.75" hidden="1" thickBot="1" x14ac:dyDescent="0.3">
      <c r="A2301" s="257"/>
      <c r="B2301" s="260"/>
      <c r="C2301" s="40" t="s">
        <v>3766</v>
      </c>
      <c r="D2301" s="40" t="s">
        <v>3752</v>
      </c>
      <c r="E2301" s="41">
        <v>1.546</v>
      </c>
      <c r="F2301" s="35">
        <v>26.552499999999998</v>
      </c>
      <c r="G2301" s="38">
        <f t="shared" si="41"/>
        <v>41.050165</v>
      </c>
      <c r="H2301" s="39"/>
      <c r="I2301" s="35"/>
      <c r="J2301" s="34">
        <v>0</v>
      </c>
    </row>
    <row r="2302" spans="1:10" ht="15.75" hidden="1" thickBot="1" x14ac:dyDescent="0.3">
      <c r="A2302" s="257"/>
      <c r="B2302" s="260"/>
      <c r="C2302" s="40" t="s">
        <v>3757</v>
      </c>
      <c r="D2302" s="40" t="s">
        <v>3752</v>
      </c>
      <c r="E2302" s="41">
        <v>0.221</v>
      </c>
      <c r="F2302" s="35">
        <v>28.0535</v>
      </c>
      <c r="G2302" s="38">
        <f t="shared" si="41"/>
        <v>6.1998234999999999</v>
      </c>
      <c r="H2302" s="39"/>
      <c r="I2302" s="35"/>
      <c r="J2302" s="34">
        <v>0</v>
      </c>
    </row>
    <row r="2303" spans="1:10" ht="15.75" hidden="1" thickBot="1" x14ac:dyDescent="0.3">
      <c r="A2303" s="257"/>
      <c r="B2303" s="260"/>
      <c r="C2303" s="40" t="s">
        <v>3754</v>
      </c>
      <c r="D2303" s="40" t="s">
        <v>3752</v>
      </c>
      <c r="E2303" s="41">
        <v>1.2070000000000001</v>
      </c>
      <c r="F2303" s="35">
        <v>20.814499999999999</v>
      </c>
      <c r="G2303" s="38">
        <f t="shared" si="41"/>
        <v>25.123101500000001</v>
      </c>
      <c r="H2303" s="39"/>
      <c r="I2303" s="35"/>
      <c r="J2303" s="34">
        <v>0</v>
      </c>
    </row>
    <row r="2304" spans="1:10" ht="15.75" hidden="1" thickBot="1" x14ac:dyDescent="0.3">
      <c r="A2304" s="257"/>
      <c r="B2304" s="260"/>
      <c r="C2304" s="40"/>
      <c r="D2304" s="40"/>
      <c r="E2304" s="41"/>
      <c r="F2304" s="35" t="s">
        <v>23</v>
      </c>
      <c r="G2304" s="38" t="str">
        <f t="shared" si="41"/>
        <v/>
      </c>
      <c r="H2304" s="39"/>
      <c r="I2304" s="35"/>
      <c r="J2304" s="34">
        <v>0</v>
      </c>
    </row>
    <row r="2305" spans="1:10" ht="15.75" hidden="1" thickBot="1" x14ac:dyDescent="0.3">
      <c r="A2305" s="248" t="s">
        <v>575</v>
      </c>
      <c r="B2305" s="251" t="s">
        <v>2391</v>
      </c>
      <c r="C2305" s="28"/>
      <c r="D2305" s="29" t="s">
        <v>28</v>
      </c>
      <c r="E2305" s="30"/>
      <c r="F2305" s="45" t="s">
        <v>23</v>
      </c>
      <c r="G2305" s="31" t="str">
        <f t="shared" si="41"/>
        <v/>
      </c>
      <c r="H2305" s="32"/>
      <c r="I2305" s="33"/>
      <c r="J2305" s="34">
        <v>0</v>
      </c>
    </row>
    <row r="2306" spans="1:10" ht="15.75" hidden="1" thickBot="1" x14ac:dyDescent="0.3">
      <c r="A2306" s="249"/>
      <c r="B2306" s="252"/>
      <c r="C2306" s="36"/>
      <c r="D2306" s="36"/>
      <c r="E2306" s="37"/>
      <c r="F2306" s="46" t="s">
        <v>23</v>
      </c>
      <c r="G2306" s="38" t="str">
        <f t="shared" si="41"/>
        <v/>
      </c>
      <c r="H2306" s="39"/>
      <c r="I2306" s="35"/>
      <c r="J2306" s="34">
        <v>0</v>
      </c>
    </row>
    <row r="2307" spans="1:10" ht="26.25" hidden="1" thickBot="1" x14ac:dyDescent="0.3">
      <c r="A2307" s="249"/>
      <c r="B2307" s="252"/>
      <c r="C2307" s="40" t="s">
        <v>3936</v>
      </c>
      <c r="D2307" s="40" t="s">
        <v>291</v>
      </c>
      <c r="E2307" s="41">
        <v>1</v>
      </c>
      <c r="F2307" s="38">
        <v>30.419</v>
      </c>
      <c r="G2307" s="38">
        <f t="shared" si="41"/>
        <v>30.419</v>
      </c>
      <c r="H2307" s="43">
        <f>SUM(G2307:G2309)</f>
        <v>64.274130999999997</v>
      </c>
      <c r="I2307" s="44"/>
      <c r="J2307" s="34">
        <v>0</v>
      </c>
    </row>
    <row r="2308" spans="1:10" ht="15.75" hidden="1" thickBot="1" x14ac:dyDescent="0.3">
      <c r="A2308" s="249"/>
      <c r="B2308" s="252"/>
      <c r="C2308" s="40" t="s">
        <v>3754</v>
      </c>
      <c r="D2308" s="40" t="s">
        <v>3752</v>
      </c>
      <c r="E2308" s="41">
        <v>0.45800000000000002</v>
      </c>
      <c r="F2308" s="35">
        <v>20.814499999999999</v>
      </c>
      <c r="G2308" s="38">
        <f t="shared" si="41"/>
        <v>9.533040999999999</v>
      </c>
      <c r="H2308" s="39"/>
      <c r="I2308" s="35"/>
      <c r="J2308" s="34">
        <v>0</v>
      </c>
    </row>
    <row r="2309" spans="1:10" ht="15.75" hidden="1" thickBot="1" x14ac:dyDescent="0.3">
      <c r="A2309" s="249"/>
      <c r="B2309" s="252"/>
      <c r="C2309" s="40" t="s">
        <v>3766</v>
      </c>
      <c r="D2309" s="40" t="s">
        <v>3752</v>
      </c>
      <c r="E2309" s="41">
        <v>0.91600000000000004</v>
      </c>
      <c r="F2309" s="35">
        <v>26.552499999999998</v>
      </c>
      <c r="G2309" s="38">
        <f t="shared" si="41"/>
        <v>24.322089999999999</v>
      </c>
      <c r="H2309" s="39"/>
      <c r="I2309" s="35"/>
      <c r="J2309" s="34">
        <v>0</v>
      </c>
    </row>
    <row r="2310" spans="1:10" ht="15.75" hidden="1" thickBot="1" x14ac:dyDescent="0.3">
      <c r="A2310" s="250"/>
      <c r="B2310" s="253"/>
      <c r="C2310" s="40"/>
      <c r="D2310" s="40"/>
      <c r="E2310" s="41"/>
      <c r="F2310" s="35" t="s">
        <v>23</v>
      </c>
      <c r="G2310" s="38" t="str">
        <f t="shared" si="41"/>
        <v/>
      </c>
      <c r="H2310" s="39"/>
      <c r="I2310" s="35"/>
      <c r="J2310" s="34">
        <v>0</v>
      </c>
    </row>
    <row r="2311" spans="1:10" ht="15.75" hidden="1" thickBot="1" x14ac:dyDescent="0.3">
      <c r="A2311" s="248" t="s">
        <v>576</v>
      </c>
      <c r="B2311" s="251" t="s">
        <v>2392</v>
      </c>
      <c r="C2311" s="28"/>
      <c r="D2311" s="29" t="s">
        <v>28</v>
      </c>
      <c r="E2311" s="30"/>
      <c r="F2311" s="45" t="s">
        <v>23</v>
      </c>
      <c r="G2311" s="31" t="str">
        <f t="shared" si="41"/>
        <v/>
      </c>
      <c r="H2311" s="32"/>
      <c r="I2311" s="33"/>
      <c r="J2311" s="34">
        <v>0</v>
      </c>
    </row>
    <row r="2312" spans="1:10" ht="15.75" hidden="1" thickBot="1" x14ac:dyDescent="0.3">
      <c r="A2312" s="249"/>
      <c r="B2312" s="252"/>
      <c r="C2312" s="36"/>
      <c r="D2312" s="36"/>
      <c r="E2312" s="37"/>
      <c r="F2312" s="46" t="s">
        <v>23</v>
      </c>
      <c r="G2312" s="38" t="str">
        <f t="shared" si="41"/>
        <v/>
      </c>
      <c r="H2312" s="39"/>
      <c r="I2312" s="35"/>
      <c r="J2312" s="34">
        <v>0</v>
      </c>
    </row>
    <row r="2313" spans="1:10" ht="39" hidden="1" thickBot="1" x14ac:dyDescent="0.3">
      <c r="A2313" s="249"/>
      <c r="B2313" s="252"/>
      <c r="C2313" s="40" t="s">
        <v>577</v>
      </c>
      <c r="D2313" s="53" t="s">
        <v>102</v>
      </c>
      <c r="E2313" s="41">
        <v>1</v>
      </c>
      <c r="F2313" s="38" t="s">
        <v>23</v>
      </c>
      <c r="G2313" s="38" t="str">
        <f t="shared" si="41"/>
        <v/>
      </c>
      <c r="H2313" s="43">
        <f>SUM(G2313:G2315)</f>
        <v>28.358535500000002</v>
      </c>
      <c r="I2313" s="44"/>
      <c r="J2313" s="34">
        <v>0</v>
      </c>
    </row>
    <row r="2314" spans="1:10" ht="15.75" hidden="1" thickBot="1" x14ac:dyDescent="0.3">
      <c r="A2314" s="249"/>
      <c r="B2314" s="252"/>
      <c r="C2314" s="40" t="s">
        <v>3766</v>
      </c>
      <c r="D2314" s="40" t="s">
        <v>3752</v>
      </c>
      <c r="E2314" s="41">
        <v>0.76700000000000002</v>
      </c>
      <c r="F2314" s="35">
        <v>26.552499999999998</v>
      </c>
      <c r="G2314" s="38">
        <f t="shared" si="41"/>
        <v>20.3657675</v>
      </c>
      <c r="H2314" s="39"/>
      <c r="I2314" s="35"/>
      <c r="J2314" s="34">
        <v>0</v>
      </c>
    </row>
    <row r="2315" spans="1:10" ht="15.75" hidden="1" thickBot="1" x14ac:dyDescent="0.3">
      <c r="A2315" s="249"/>
      <c r="B2315" s="252"/>
      <c r="C2315" s="40" t="s">
        <v>3754</v>
      </c>
      <c r="D2315" s="40" t="s">
        <v>3752</v>
      </c>
      <c r="E2315" s="41">
        <v>0.38400000000000001</v>
      </c>
      <c r="F2315" s="35">
        <v>20.814499999999999</v>
      </c>
      <c r="G2315" s="38">
        <f t="shared" si="41"/>
        <v>7.9927679999999999</v>
      </c>
      <c r="H2315" s="39"/>
      <c r="I2315" s="35"/>
      <c r="J2315" s="34">
        <v>0</v>
      </c>
    </row>
    <row r="2316" spans="1:10" ht="15.75" hidden="1" thickBot="1" x14ac:dyDescent="0.3">
      <c r="A2316" s="250"/>
      <c r="B2316" s="253"/>
      <c r="C2316" s="40"/>
      <c r="D2316" s="40"/>
      <c r="E2316" s="41"/>
      <c r="F2316" s="35" t="s">
        <v>23</v>
      </c>
      <c r="G2316" s="38" t="str">
        <f t="shared" si="41"/>
        <v/>
      </c>
      <c r="H2316" s="39"/>
      <c r="I2316" s="35"/>
      <c r="J2316" s="34">
        <v>0</v>
      </c>
    </row>
    <row r="2317" spans="1:10" ht="15.75" hidden="1" thickBot="1" x14ac:dyDescent="0.3">
      <c r="A2317" s="248" t="s">
        <v>578</v>
      </c>
      <c r="B2317" s="251" t="s">
        <v>2393</v>
      </c>
      <c r="C2317" s="28"/>
      <c r="D2317" s="29" t="s">
        <v>28</v>
      </c>
      <c r="E2317" s="30"/>
      <c r="F2317" s="45" t="s">
        <v>23</v>
      </c>
      <c r="G2317" s="31" t="str">
        <f t="shared" si="41"/>
        <v/>
      </c>
      <c r="H2317" s="32"/>
      <c r="I2317" s="33"/>
      <c r="J2317" s="34">
        <v>0</v>
      </c>
    </row>
    <row r="2318" spans="1:10" ht="15.75" hidden="1" thickBot="1" x14ac:dyDescent="0.3">
      <c r="A2318" s="249"/>
      <c r="B2318" s="252"/>
      <c r="C2318" s="36"/>
      <c r="D2318" s="36"/>
      <c r="E2318" s="37"/>
      <c r="F2318" s="46" t="s">
        <v>23</v>
      </c>
      <c r="G2318" s="38" t="str">
        <f t="shared" si="41"/>
        <v/>
      </c>
      <c r="H2318" s="39"/>
      <c r="I2318" s="35"/>
      <c r="J2318" s="34">
        <v>0</v>
      </c>
    </row>
    <row r="2319" spans="1:10" ht="39" hidden="1" thickBot="1" x14ac:dyDescent="0.3">
      <c r="A2319" s="249"/>
      <c r="B2319" s="252"/>
      <c r="C2319" s="40" t="s">
        <v>579</v>
      </c>
      <c r="D2319" s="53" t="s">
        <v>102</v>
      </c>
      <c r="E2319" s="41">
        <v>1</v>
      </c>
      <c r="F2319" s="38" t="s">
        <v>23</v>
      </c>
      <c r="G2319" s="38" t="str">
        <f t="shared" si="41"/>
        <v/>
      </c>
      <c r="H2319" s="43">
        <f>SUM(G2319:G2321)</f>
        <v>37.033669499999995</v>
      </c>
      <c r="I2319" s="44"/>
      <c r="J2319" s="34">
        <v>0</v>
      </c>
    </row>
    <row r="2320" spans="1:10" ht="15.75" hidden="1" thickBot="1" x14ac:dyDescent="0.3">
      <c r="A2320" s="249"/>
      <c r="B2320" s="252"/>
      <c r="C2320" s="40" t="s">
        <v>3766</v>
      </c>
      <c r="D2320" s="40" t="s">
        <v>3752</v>
      </c>
      <c r="E2320" s="41">
        <v>1.002</v>
      </c>
      <c r="F2320" s="35">
        <v>26.552499999999998</v>
      </c>
      <c r="G2320" s="38">
        <f t="shared" si="41"/>
        <v>26.605604999999997</v>
      </c>
      <c r="H2320" s="39"/>
      <c r="I2320" s="35"/>
      <c r="J2320" s="34">
        <v>0</v>
      </c>
    </row>
    <row r="2321" spans="1:10" ht="15.75" hidden="1" thickBot="1" x14ac:dyDescent="0.3">
      <c r="A2321" s="249"/>
      <c r="B2321" s="252"/>
      <c r="C2321" s="40" t="s">
        <v>3754</v>
      </c>
      <c r="D2321" s="40" t="s">
        <v>3752</v>
      </c>
      <c r="E2321" s="41">
        <v>0.501</v>
      </c>
      <c r="F2321" s="35">
        <v>20.814499999999999</v>
      </c>
      <c r="G2321" s="38">
        <f t="shared" si="41"/>
        <v>10.4280645</v>
      </c>
      <c r="H2321" s="39"/>
      <c r="I2321" s="35"/>
      <c r="J2321" s="34">
        <v>0</v>
      </c>
    </row>
    <row r="2322" spans="1:10" ht="15.75" hidden="1" thickBot="1" x14ac:dyDescent="0.3">
      <c r="A2322" s="250"/>
      <c r="B2322" s="253"/>
      <c r="C2322" s="40"/>
      <c r="D2322" s="40"/>
      <c r="E2322" s="41"/>
      <c r="F2322" s="35" t="s">
        <v>23</v>
      </c>
      <c r="G2322" s="38" t="str">
        <f t="shared" si="41"/>
        <v/>
      </c>
      <c r="H2322" s="39"/>
      <c r="I2322" s="35"/>
      <c r="J2322" s="34">
        <v>0</v>
      </c>
    </row>
    <row r="2323" spans="1:10" ht="15.75" hidden="1" thickBot="1" x14ac:dyDescent="0.3">
      <c r="A2323" s="248" t="s">
        <v>580</v>
      </c>
      <c r="B2323" s="251" t="s">
        <v>2394</v>
      </c>
      <c r="C2323" s="28"/>
      <c r="D2323" s="29" t="s">
        <v>28</v>
      </c>
      <c r="E2323" s="30"/>
      <c r="F2323" s="45" t="s">
        <v>23</v>
      </c>
      <c r="G2323" s="31" t="str">
        <f t="shared" si="41"/>
        <v/>
      </c>
      <c r="H2323" s="32"/>
      <c r="I2323" s="33"/>
      <c r="J2323" s="34">
        <v>0</v>
      </c>
    </row>
    <row r="2324" spans="1:10" ht="15.75" hidden="1" thickBot="1" x14ac:dyDescent="0.3">
      <c r="A2324" s="249"/>
      <c r="B2324" s="252"/>
      <c r="C2324" s="36"/>
      <c r="D2324" s="36"/>
      <c r="E2324" s="37"/>
      <c r="F2324" s="46" t="s">
        <v>23</v>
      </c>
      <c r="G2324" s="38" t="str">
        <f t="shared" si="41"/>
        <v/>
      </c>
      <c r="H2324" s="39"/>
      <c r="I2324" s="35"/>
      <c r="J2324" s="34">
        <v>0</v>
      </c>
    </row>
    <row r="2325" spans="1:10" ht="39" hidden="1" thickBot="1" x14ac:dyDescent="0.3">
      <c r="A2325" s="249"/>
      <c r="B2325" s="252"/>
      <c r="C2325" s="40" t="s">
        <v>581</v>
      </c>
      <c r="D2325" s="53" t="s">
        <v>102</v>
      </c>
      <c r="E2325" s="41">
        <v>1</v>
      </c>
      <c r="F2325" s="38" t="s">
        <v>23</v>
      </c>
      <c r="G2325" s="38" t="str">
        <f t="shared" si="41"/>
        <v/>
      </c>
      <c r="H2325" s="43">
        <f>SUM(G2325:G2327)</f>
        <v>37.033669499999995</v>
      </c>
      <c r="I2325" s="44"/>
      <c r="J2325" s="34">
        <v>0</v>
      </c>
    </row>
    <row r="2326" spans="1:10" ht="15.75" hidden="1" thickBot="1" x14ac:dyDescent="0.3">
      <c r="A2326" s="249"/>
      <c r="B2326" s="252"/>
      <c r="C2326" s="40" t="s">
        <v>3766</v>
      </c>
      <c r="D2326" s="40" t="s">
        <v>3752</v>
      </c>
      <c r="E2326" s="41">
        <v>1.002</v>
      </c>
      <c r="F2326" s="35">
        <v>26.552499999999998</v>
      </c>
      <c r="G2326" s="38">
        <f t="shared" si="41"/>
        <v>26.605604999999997</v>
      </c>
      <c r="H2326" s="39"/>
      <c r="I2326" s="35"/>
      <c r="J2326" s="34">
        <v>0</v>
      </c>
    </row>
    <row r="2327" spans="1:10" ht="15.75" hidden="1" thickBot="1" x14ac:dyDescent="0.3">
      <c r="A2327" s="249"/>
      <c r="B2327" s="252"/>
      <c r="C2327" s="40" t="s">
        <v>3754</v>
      </c>
      <c r="D2327" s="40" t="s">
        <v>3752</v>
      </c>
      <c r="E2327" s="41">
        <v>0.501</v>
      </c>
      <c r="F2327" s="35">
        <v>20.814499999999999</v>
      </c>
      <c r="G2327" s="38">
        <f t="shared" si="41"/>
        <v>10.4280645</v>
      </c>
      <c r="H2327" s="39"/>
      <c r="I2327" s="35"/>
      <c r="J2327" s="34">
        <v>0</v>
      </c>
    </row>
    <row r="2328" spans="1:10" ht="15.75" hidden="1" thickBot="1" x14ac:dyDescent="0.3">
      <c r="A2328" s="250"/>
      <c r="B2328" s="253"/>
      <c r="C2328" s="40"/>
      <c r="D2328" s="40"/>
      <c r="E2328" s="41"/>
      <c r="F2328" s="35" t="s">
        <v>23</v>
      </c>
      <c r="G2328" s="38" t="str">
        <f t="shared" si="41"/>
        <v/>
      </c>
      <c r="H2328" s="39"/>
      <c r="I2328" s="35"/>
      <c r="J2328" s="34">
        <v>0</v>
      </c>
    </row>
    <row r="2329" spans="1:10" ht="15.75" hidden="1" thickBot="1" x14ac:dyDescent="0.3">
      <c r="A2329" s="248" t="s">
        <v>582</v>
      </c>
      <c r="B2329" s="251" t="s">
        <v>2395</v>
      </c>
      <c r="C2329" s="28"/>
      <c r="D2329" s="29" t="s">
        <v>28</v>
      </c>
      <c r="E2329" s="30"/>
      <c r="F2329" s="45" t="s">
        <v>23</v>
      </c>
      <c r="G2329" s="31" t="str">
        <f t="shared" si="41"/>
        <v/>
      </c>
      <c r="H2329" s="32"/>
      <c r="I2329" s="33"/>
      <c r="J2329" s="34">
        <v>0</v>
      </c>
    </row>
    <row r="2330" spans="1:10" ht="15.75" hidden="1" thickBot="1" x14ac:dyDescent="0.3">
      <c r="A2330" s="249"/>
      <c r="B2330" s="252"/>
      <c r="C2330" s="36"/>
      <c r="D2330" s="36"/>
      <c r="E2330" s="37"/>
      <c r="F2330" s="46" t="s">
        <v>23</v>
      </c>
      <c r="G2330" s="38" t="str">
        <f t="shared" si="41"/>
        <v/>
      </c>
      <c r="H2330" s="39"/>
      <c r="I2330" s="35"/>
      <c r="J2330" s="34">
        <v>0</v>
      </c>
    </row>
    <row r="2331" spans="1:10" ht="15.75" hidden="1" thickBot="1" x14ac:dyDescent="0.3">
      <c r="A2331" s="249"/>
      <c r="B2331" s="252"/>
      <c r="C2331" s="40" t="s">
        <v>3766</v>
      </c>
      <c r="D2331" s="40" t="s">
        <v>3752</v>
      </c>
      <c r="E2331" s="41">
        <v>1.002</v>
      </c>
      <c r="F2331" s="35">
        <v>26.552499999999998</v>
      </c>
      <c r="G2331" s="38">
        <f t="shared" si="41"/>
        <v>26.605604999999997</v>
      </c>
      <c r="H2331" s="43">
        <f>SUM(G2331:G2332)</f>
        <v>37.033669499999995</v>
      </c>
      <c r="I2331" s="44"/>
      <c r="J2331" s="34">
        <v>0</v>
      </c>
    </row>
    <row r="2332" spans="1:10" ht="15.75" hidden="1" thickBot="1" x14ac:dyDescent="0.3">
      <c r="A2332" s="249"/>
      <c r="B2332" s="252"/>
      <c r="C2332" s="40" t="s">
        <v>3754</v>
      </c>
      <c r="D2332" s="40" t="s">
        <v>3752</v>
      </c>
      <c r="E2332" s="41">
        <v>0.501</v>
      </c>
      <c r="F2332" s="35">
        <v>20.814499999999999</v>
      </c>
      <c r="G2332" s="38">
        <f t="shared" si="41"/>
        <v>10.4280645</v>
      </c>
      <c r="H2332" s="39"/>
      <c r="I2332" s="35"/>
      <c r="J2332" s="34">
        <v>0</v>
      </c>
    </row>
    <row r="2333" spans="1:10" ht="15.75" hidden="1" thickBot="1" x14ac:dyDescent="0.3">
      <c r="A2333" s="250"/>
      <c r="B2333" s="253"/>
      <c r="C2333" s="40"/>
      <c r="D2333" s="40"/>
      <c r="E2333" s="41"/>
      <c r="F2333" s="35" t="s">
        <v>23</v>
      </c>
      <c r="G2333" s="38" t="str">
        <f t="shared" si="41"/>
        <v/>
      </c>
      <c r="H2333" s="39"/>
      <c r="I2333" s="35"/>
      <c r="J2333" s="34">
        <v>0</v>
      </c>
    </row>
    <row r="2334" spans="1:10" ht="15.75" hidden="1" thickBot="1" x14ac:dyDescent="0.3">
      <c r="A2334" s="248" t="s">
        <v>583</v>
      </c>
      <c r="B2334" s="251" t="s">
        <v>2396</v>
      </c>
      <c r="C2334" s="28"/>
      <c r="D2334" s="29" t="s">
        <v>28</v>
      </c>
      <c r="E2334" s="30"/>
      <c r="F2334" s="45" t="s">
        <v>23</v>
      </c>
      <c r="G2334" s="31" t="str">
        <f t="shared" si="41"/>
        <v/>
      </c>
      <c r="H2334" s="32"/>
      <c r="I2334" s="33"/>
      <c r="J2334" s="34">
        <v>0</v>
      </c>
    </row>
    <row r="2335" spans="1:10" ht="15.75" hidden="1" thickBot="1" x14ac:dyDescent="0.3">
      <c r="A2335" s="249"/>
      <c r="B2335" s="252"/>
      <c r="C2335" s="36"/>
      <c r="D2335" s="36"/>
      <c r="E2335" s="37"/>
      <c r="F2335" s="46" t="s">
        <v>23</v>
      </c>
      <c r="G2335" s="38" t="str">
        <f t="shared" si="41"/>
        <v/>
      </c>
      <c r="H2335" s="39"/>
      <c r="I2335" s="35"/>
      <c r="J2335" s="34">
        <v>0</v>
      </c>
    </row>
    <row r="2336" spans="1:10" ht="15.75" hidden="1" thickBot="1" x14ac:dyDescent="0.3">
      <c r="A2336" s="249"/>
      <c r="B2336" s="252"/>
      <c r="C2336" s="40" t="s">
        <v>3909</v>
      </c>
      <c r="D2336" s="40" t="s">
        <v>3752</v>
      </c>
      <c r="E2336" s="41">
        <v>1</v>
      </c>
      <c r="F2336" s="35">
        <v>26.248499999999996</v>
      </c>
      <c r="G2336" s="38">
        <f t="shared" si="41"/>
        <v>26.248499999999996</v>
      </c>
      <c r="H2336" s="43">
        <f>SUM(G2336:G2337)</f>
        <v>26.248499999999996</v>
      </c>
      <c r="I2336" s="44"/>
      <c r="J2336" s="34">
        <v>0</v>
      </c>
    </row>
    <row r="2337" spans="1:10" ht="26.25" hidden="1" thickBot="1" x14ac:dyDescent="0.3">
      <c r="A2337" s="249"/>
      <c r="B2337" s="252"/>
      <c r="C2337" s="40" t="s">
        <v>584</v>
      </c>
      <c r="D2337" s="40" t="s">
        <v>28</v>
      </c>
      <c r="E2337" s="41">
        <v>1</v>
      </c>
      <c r="F2337" s="38" t="s">
        <v>23</v>
      </c>
      <c r="G2337" s="38" t="str">
        <f t="shared" si="41"/>
        <v/>
      </c>
      <c r="H2337" s="39"/>
      <c r="I2337" s="35"/>
      <c r="J2337" s="34">
        <v>0</v>
      </c>
    </row>
    <row r="2338" spans="1:10" ht="15.75" hidden="1" thickBot="1" x14ac:dyDescent="0.3">
      <c r="A2338" s="250"/>
      <c r="B2338" s="253"/>
      <c r="C2338" s="40"/>
      <c r="D2338" s="40"/>
      <c r="E2338" s="41"/>
      <c r="F2338" s="35" t="s">
        <v>23</v>
      </c>
      <c r="G2338" s="38" t="str">
        <f t="shared" si="41"/>
        <v/>
      </c>
      <c r="H2338" s="39"/>
      <c r="I2338" s="35"/>
      <c r="J2338" s="34">
        <v>0</v>
      </c>
    </row>
    <row r="2339" spans="1:10" ht="15.75" hidden="1" thickBot="1" x14ac:dyDescent="0.3">
      <c r="A2339" s="248" t="s">
        <v>585</v>
      </c>
      <c r="B2339" s="251" t="s">
        <v>2397</v>
      </c>
      <c r="C2339" s="28"/>
      <c r="D2339" s="29" t="s">
        <v>28</v>
      </c>
      <c r="E2339" s="30"/>
      <c r="F2339" s="45" t="s">
        <v>23</v>
      </c>
      <c r="G2339" s="31" t="str">
        <f t="shared" si="41"/>
        <v/>
      </c>
      <c r="H2339" s="32"/>
      <c r="I2339" s="33"/>
      <c r="J2339" s="34">
        <v>0</v>
      </c>
    </row>
    <row r="2340" spans="1:10" ht="15.75" hidden="1" thickBot="1" x14ac:dyDescent="0.3">
      <c r="A2340" s="249"/>
      <c r="B2340" s="252"/>
      <c r="C2340" s="36"/>
      <c r="D2340" s="36"/>
      <c r="E2340" s="37"/>
      <c r="F2340" s="46" t="s">
        <v>23</v>
      </c>
      <c r="G2340" s="38" t="str">
        <f t="shared" si="41"/>
        <v/>
      </c>
      <c r="H2340" s="39"/>
      <c r="I2340" s="35"/>
      <c r="J2340" s="34">
        <v>0</v>
      </c>
    </row>
    <row r="2341" spans="1:10" ht="15.75" hidden="1" thickBot="1" x14ac:dyDescent="0.3">
      <c r="A2341" s="249"/>
      <c r="B2341" s="252"/>
      <c r="C2341" s="40" t="s">
        <v>3909</v>
      </c>
      <c r="D2341" s="40" t="s">
        <v>3752</v>
      </c>
      <c r="E2341" s="41">
        <f>1/2</f>
        <v>0.5</v>
      </c>
      <c r="F2341" s="35">
        <v>26.248499999999996</v>
      </c>
      <c r="G2341" s="38">
        <f t="shared" si="41"/>
        <v>13.124249999999998</v>
      </c>
      <c r="H2341" s="43">
        <f>SUM(G2341:G2342)</f>
        <v>13.124249999999998</v>
      </c>
      <c r="I2341" s="44"/>
      <c r="J2341" s="34">
        <v>0</v>
      </c>
    </row>
    <row r="2342" spans="1:10" ht="39" hidden="1" thickBot="1" x14ac:dyDescent="0.3">
      <c r="A2342" s="249"/>
      <c r="B2342" s="252"/>
      <c r="C2342" s="40" t="s">
        <v>586</v>
      </c>
      <c r="D2342" s="40" t="s">
        <v>28</v>
      </c>
      <c r="E2342" s="41">
        <v>1</v>
      </c>
      <c r="F2342" s="38" t="s">
        <v>23</v>
      </c>
      <c r="G2342" s="38" t="str">
        <f t="shared" si="41"/>
        <v/>
      </c>
      <c r="H2342" s="39"/>
      <c r="I2342" s="35"/>
      <c r="J2342" s="34">
        <v>0</v>
      </c>
    </row>
    <row r="2343" spans="1:10" ht="15.75" hidden="1" thickBot="1" x14ac:dyDescent="0.3">
      <c r="A2343" s="250"/>
      <c r="B2343" s="253"/>
      <c r="C2343" s="40"/>
      <c r="D2343" s="40"/>
      <c r="E2343" s="41"/>
      <c r="F2343" s="35" t="s">
        <v>23</v>
      </c>
      <c r="G2343" s="38" t="str">
        <f t="shared" si="41"/>
        <v/>
      </c>
      <c r="H2343" s="39"/>
      <c r="I2343" s="35"/>
      <c r="J2343" s="34">
        <v>0</v>
      </c>
    </row>
    <row r="2344" spans="1:10" ht="15.75" hidden="1" thickBot="1" x14ac:dyDescent="0.3">
      <c r="A2344" s="248" t="s">
        <v>587</v>
      </c>
      <c r="B2344" s="251" t="s">
        <v>2398</v>
      </c>
      <c r="C2344" s="28"/>
      <c r="D2344" s="29" t="s">
        <v>121</v>
      </c>
      <c r="E2344" s="30"/>
      <c r="F2344" s="45" t="s">
        <v>23</v>
      </c>
      <c r="G2344" s="31" t="str">
        <f t="shared" si="41"/>
        <v/>
      </c>
      <c r="H2344" s="32"/>
      <c r="I2344" s="33"/>
      <c r="J2344" s="34">
        <v>0</v>
      </c>
    </row>
    <row r="2345" spans="1:10" ht="15.75" hidden="1" thickBot="1" x14ac:dyDescent="0.3">
      <c r="A2345" s="249"/>
      <c r="B2345" s="252"/>
      <c r="C2345" s="36"/>
      <c r="D2345" s="36"/>
      <c r="E2345" s="37"/>
      <c r="F2345" s="46" t="s">
        <v>23</v>
      </c>
      <c r="G2345" s="38" t="str">
        <f t="shared" si="41"/>
        <v/>
      </c>
      <c r="H2345" s="39"/>
      <c r="I2345" s="35"/>
      <c r="J2345" s="34">
        <v>0</v>
      </c>
    </row>
    <row r="2346" spans="1:10" ht="15.75" hidden="1" thickBot="1" x14ac:dyDescent="0.3">
      <c r="A2346" s="249"/>
      <c r="B2346" s="252"/>
      <c r="C2346" s="40" t="s">
        <v>3770</v>
      </c>
      <c r="D2346" s="40" t="s">
        <v>3752</v>
      </c>
      <c r="E2346" s="41">
        <v>2.8E-3</v>
      </c>
      <c r="F2346" s="35">
        <v>21.954499999999999</v>
      </c>
      <c r="G2346" s="38">
        <f t="shared" si="41"/>
        <v>6.1472599999999995E-2</v>
      </c>
      <c r="H2346" s="43">
        <f>SUM(G2346:G2348)</f>
        <v>0.14095339999999998</v>
      </c>
      <c r="I2346" s="44"/>
      <c r="J2346" s="34">
        <v>0</v>
      </c>
    </row>
    <row r="2347" spans="1:10" ht="15.75" hidden="1" thickBot="1" x14ac:dyDescent="0.3">
      <c r="A2347" s="249"/>
      <c r="B2347" s="252"/>
      <c r="C2347" s="40" t="s">
        <v>3760</v>
      </c>
      <c r="D2347" s="40" t="s">
        <v>3752</v>
      </c>
      <c r="E2347" s="41">
        <v>2.8E-3</v>
      </c>
      <c r="F2347" s="35">
        <v>28.385999999999999</v>
      </c>
      <c r="G2347" s="38">
        <f t="shared" si="41"/>
        <v>7.948079999999999E-2</v>
      </c>
      <c r="H2347" s="39"/>
      <c r="I2347" s="35"/>
      <c r="J2347" s="34">
        <v>0</v>
      </c>
    </row>
    <row r="2348" spans="1:10" ht="26.25" hidden="1" thickBot="1" x14ac:dyDescent="0.3">
      <c r="A2348" s="249"/>
      <c r="B2348" s="252"/>
      <c r="C2348" s="40" t="s">
        <v>588</v>
      </c>
      <c r="D2348" s="40" t="s">
        <v>121</v>
      </c>
      <c r="E2348" s="41">
        <v>1.05</v>
      </c>
      <c r="F2348" s="38" t="s">
        <v>23</v>
      </c>
      <c r="G2348" s="38" t="str">
        <f t="shared" si="41"/>
        <v/>
      </c>
      <c r="H2348" s="39"/>
      <c r="I2348" s="35"/>
      <c r="J2348" s="34">
        <v>0</v>
      </c>
    </row>
    <row r="2349" spans="1:10" ht="15.75" hidden="1" thickBot="1" x14ac:dyDescent="0.3">
      <c r="A2349" s="250"/>
      <c r="B2349" s="253"/>
      <c r="C2349" s="40"/>
      <c r="D2349" s="40"/>
      <c r="E2349" s="41"/>
      <c r="F2349" s="35" t="s">
        <v>23</v>
      </c>
      <c r="G2349" s="38" t="str">
        <f t="shared" si="41"/>
        <v/>
      </c>
      <c r="H2349" s="39"/>
      <c r="I2349" s="35"/>
      <c r="J2349" s="34">
        <v>0</v>
      </c>
    </row>
    <row r="2350" spans="1:10" ht="15.75" hidden="1" thickBot="1" x14ac:dyDescent="0.3">
      <c r="A2350" s="248" t="s">
        <v>589</v>
      </c>
      <c r="B2350" s="251" t="s">
        <v>2399</v>
      </c>
      <c r="C2350" s="28"/>
      <c r="D2350" s="29" t="s">
        <v>28</v>
      </c>
      <c r="E2350" s="30"/>
      <c r="F2350" s="45" t="s">
        <v>23</v>
      </c>
      <c r="G2350" s="31" t="str">
        <f t="shared" si="41"/>
        <v/>
      </c>
      <c r="H2350" s="32"/>
      <c r="I2350" s="33"/>
      <c r="J2350" s="34">
        <v>0</v>
      </c>
    </row>
    <row r="2351" spans="1:10" ht="15.75" hidden="1" thickBot="1" x14ac:dyDescent="0.3">
      <c r="A2351" s="249"/>
      <c r="B2351" s="252"/>
      <c r="C2351" s="36"/>
      <c r="D2351" s="36"/>
      <c r="E2351" s="37"/>
      <c r="F2351" s="46" t="s">
        <v>23</v>
      </c>
      <c r="G2351" s="38" t="str">
        <f t="shared" si="41"/>
        <v/>
      </c>
      <c r="H2351" s="39"/>
      <c r="I2351" s="35"/>
      <c r="J2351" s="34">
        <v>0</v>
      </c>
    </row>
    <row r="2352" spans="1:10" ht="26.25" hidden="1" thickBot="1" x14ac:dyDescent="0.3">
      <c r="A2352" s="249"/>
      <c r="B2352" s="252"/>
      <c r="C2352" s="40" t="s">
        <v>590</v>
      </c>
      <c r="D2352" s="40" t="s">
        <v>102</v>
      </c>
      <c r="E2352" s="41">
        <v>1</v>
      </c>
      <c r="F2352" s="38" t="s">
        <v>23</v>
      </c>
      <c r="G2352" s="38" t="str">
        <f t="shared" si="41"/>
        <v/>
      </c>
      <c r="H2352" s="43">
        <f>SUM(G2352:G2356)</f>
        <v>20.760422200000001</v>
      </c>
      <c r="I2352" s="44"/>
      <c r="J2352" s="34">
        <v>0</v>
      </c>
    </row>
    <row r="2353" spans="1:10" ht="15.75" hidden="1" thickBot="1" x14ac:dyDescent="0.3">
      <c r="A2353" s="249"/>
      <c r="B2353" s="252"/>
      <c r="C2353" s="40" t="s">
        <v>591</v>
      </c>
      <c r="D2353" s="40" t="s">
        <v>102</v>
      </c>
      <c r="E2353" s="41">
        <v>1</v>
      </c>
      <c r="F2353" s="38" t="s">
        <v>23</v>
      </c>
      <c r="G2353" s="38" t="str">
        <f t="shared" si="41"/>
        <v/>
      </c>
      <c r="H2353" s="39"/>
      <c r="I2353" s="35"/>
      <c r="J2353" s="34">
        <v>0</v>
      </c>
    </row>
    <row r="2354" spans="1:10" ht="15.75" hidden="1" thickBot="1" x14ac:dyDescent="0.3">
      <c r="A2354" s="249"/>
      <c r="B2354" s="252"/>
      <c r="C2354" s="40" t="s">
        <v>592</v>
      </c>
      <c r="D2354" s="40" t="s">
        <v>102</v>
      </c>
      <c r="E2354" s="41">
        <v>1</v>
      </c>
      <c r="F2354" s="38" t="s">
        <v>23</v>
      </c>
      <c r="G2354" s="38" t="str">
        <f t="shared" ref="G2354:G2417" si="42">IF(ISNUMBER(F2354),E2354*F2354,"")</f>
        <v/>
      </c>
      <c r="H2354" s="39"/>
      <c r="I2354" s="35"/>
      <c r="J2354" s="34">
        <v>0</v>
      </c>
    </row>
    <row r="2355" spans="1:10" ht="15.75" hidden="1" thickBot="1" x14ac:dyDescent="0.3">
      <c r="A2355" s="249"/>
      <c r="B2355" s="252"/>
      <c r="C2355" s="40" t="s">
        <v>3770</v>
      </c>
      <c r="D2355" s="40" t="s">
        <v>3752</v>
      </c>
      <c r="E2355" s="41">
        <f>0.2062*2</f>
        <v>0.41239999999999999</v>
      </c>
      <c r="F2355" s="35">
        <v>21.954499999999999</v>
      </c>
      <c r="G2355" s="38">
        <f t="shared" si="42"/>
        <v>9.0540357999999994</v>
      </c>
      <c r="H2355" s="39"/>
      <c r="I2355" s="35"/>
      <c r="J2355" s="34">
        <v>0</v>
      </c>
    </row>
    <row r="2356" spans="1:10" ht="15.75" hidden="1" thickBot="1" x14ac:dyDescent="0.3">
      <c r="A2356" s="249"/>
      <c r="B2356" s="252"/>
      <c r="C2356" s="40" t="s">
        <v>3760</v>
      </c>
      <c r="D2356" s="40" t="s">
        <v>3752</v>
      </c>
      <c r="E2356" s="41">
        <f>0.2062*2</f>
        <v>0.41239999999999999</v>
      </c>
      <c r="F2356" s="35">
        <v>28.385999999999999</v>
      </c>
      <c r="G2356" s="38">
        <f t="shared" si="42"/>
        <v>11.7063864</v>
      </c>
      <c r="H2356" s="39"/>
      <c r="I2356" s="35"/>
      <c r="J2356" s="34">
        <v>0</v>
      </c>
    </row>
    <row r="2357" spans="1:10" ht="15.75" hidden="1" thickBot="1" x14ac:dyDescent="0.3">
      <c r="A2357" s="250"/>
      <c r="B2357" s="253"/>
      <c r="C2357" s="40"/>
      <c r="D2357" s="40"/>
      <c r="E2357" s="41"/>
      <c r="F2357" s="35" t="s">
        <v>23</v>
      </c>
      <c r="G2357" s="38" t="str">
        <f t="shared" si="42"/>
        <v/>
      </c>
      <c r="H2357" s="39"/>
      <c r="I2357" s="35"/>
      <c r="J2357" s="34">
        <v>0</v>
      </c>
    </row>
    <row r="2358" spans="1:10" ht="15.75" hidden="1" thickBot="1" x14ac:dyDescent="0.3">
      <c r="A2358" s="248" t="s">
        <v>593</v>
      </c>
      <c r="B2358" s="251" t="s">
        <v>2400</v>
      </c>
      <c r="C2358" s="28"/>
      <c r="D2358" s="29" t="s">
        <v>28</v>
      </c>
      <c r="E2358" s="30"/>
      <c r="F2358" s="45" t="s">
        <v>23</v>
      </c>
      <c r="G2358" s="31" t="str">
        <f t="shared" si="42"/>
        <v/>
      </c>
      <c r="H2358" s="32"/>
      <c r="I2358" s="33"/>
      <c r="J2358" s="34">
        <v>0</v>
      </c>
    </row>
    <row r="2359" spans="1:10" ht="15.75" hidden="1" thickBot="1" x14ac:dyDescent="0.3">
      <c r="A2359" s="249"/>
      <c r="B2359" s="252"/>
      <c r="C2359" s="36"/>
      <c r="D2359" s="36"/>
      <c r="E2359" s="37"/>
      <c r="F2359" s="46" t="s">
        <v>23</v>
      </c>
      <c r="G2359" s="38" t="str">
        <f t="shared" si="42"/>
        <v/>
      </c>
      <c r="H2359" s="39"/>
      <c r="I2359" s="35"/>
      <c r="J2359" s="34">
        <v>0</v>
      </c>
    </row>
    <row r="2360" spans="1:10" ht="15.75" hidden="1" thickBot="1" x14ac:dyDescent="0.3">
      <c r="A2360" s="249"/>
      <c r="B2360" s="252"/>
      <c r="C2360" s="40" t="s">
        <v>3770</v>
      </c>
      <c r="D2360" s="40" t="s">
        <v>3752</v>
      </c>
      <c r="E2360" s="41">
        <f>6.2007</f>
        <v>6.2007000000000003</v>
      </c>
      <c r="F2360" s="35">
        <v>21.954499999999999</v>
      </c>
      <c r="G2360" s="38">
        <f t="shared" si="42"/>
        <v>136.13326814999999</v>
      </c>
      <c r="H2360" s="43">
        <f>SUM(G2360:G2363)</f>
        <v>312.14633835000001</v>
      </c>
      <c r="I2360" s="44"/>
      <c r="J2360" s="34">
        <v>0</v>
      </c>
    </row>
    <row r="2361" spans="1:10" ht="15.75" hidden="1" thickBot="1" x14ac:dyDescent="0.3">
      <c r="A2361" s="249"/>
      <c r="B2361" s="252"/>
      <c r="C2361" s="40" t="s">
        <v>3760</v>
      </c>
      <c r="D2361" s="40" t="s">
        <v>3752</v>
      </c>
      <c r="E2361" s="41">
        <f>6.2007</f>
        <v>6.2007000000000003</v>
      </c>
      <c r="F2361" s="35">
        <v>28.385999999999999</v>
      </c>
      <c r="G2361" s="38">
        <f t="shared" si="42"/>
        <v>176.01307020000002</v>
      </c>
      <c r="H2361" s="39"/>
      <c r="I2361" s="35"/>
      <c r="J2361" s="34">
        <v>0</v>
      </c>
    </row>
    <row r="2362" spans="1:10" ht="26.25" hidden="1" thickBot="1" x14ac:dyDescent="0.3">
      <c r="A2362" s="249"/>
      <c r="B2362" s="252"/>
      <c r="C2362" s="40" t="s">
        <v>594</v>
      </c>
      <c r="D2362" s="40" t="s">
        <v>28</v>
      </c>
      <c r="E2362" s="41">
        <v>1</v>
      </c>
      <c r="F2362" s="38" t="s">
        <v>23</v>
      </c>
      <c r="G2362" s="38" t="str">
        <f t="shared" si="42"/>
        <v/>
      </c>
      <c r="H2362" s="39"/>
      <c r="I2362" s="35"/>
      <c r="J2362" s="34">
        <v>0</v>
      </c>
    </row>
    <row r="2363" spans="1:10" ht="15.75" hidden="1" thickBot="1" x14ac:dyDescent="0.3">
      <c r="A2363" s="249"/>
      <c r="B2363" s="252"/>
      <c r="C2363" s="40" t="s">
        <v>591</v>
      </c>
      <c r="D2363" s="40" t="s">
        <v>102</v>
      </c>
      <c r="E2363" s="41">
        <v>24</v>
      </c>
      <c r="F2363" s="38" t="s">
        <v>23</v>
      </c>
      <c r="G2363" s="38" t="str">
        <f t="shared" si="42"/>
        <v/>
      </c>
      <c r="H2363" s="39"/>
      <c r="I2363" s="35"/>
      <c r="J2363" s="34">
        <v>0</v>
      </c>
    </row>
    <row r="2364" spans="1:10" ht="15.75" hidden="1" thickBot="1" x14ac:dyDescent="0.3">
      <c r="A2364" s="250"/>
      <c r="B2364" s="253"/>
      <c r="C2364" s="40"/>
      <c r="D2364" s="40"/>
      <c r="E2364" s="41"/>
      <c r="F2364" s="35" t="s">
        <v>23</v>
      </c>
      <c r="G2364" s="38" t="str">
        <f t="shared" si="42"/>
        <v/>
      </c>
      <c r="H2364" s="39"/>
      <c r="I2364" s="35"/>
      <c r="J2364" s="34">
        <v>0</v>
      </c>
    </row>
    <row r="2365" spans="1:10" ht="15.75" hidden="1" thickBot="1" x14ac:dyDescent="0.3">
      <c r="A2365" s="248" t="s">
        <v>595</v>
      </c>
      <c r="B2365" s="251" t="s">
        <v>2401</v>
      </c>
      <c r="C2365" s="28"/>
      <c r="D2365" s="29" t="s">
        <v>121</v>
      </c>
      <c r="E2365" s="30"/>
      <c r="F2365" s="45" t="s">
        <v>23</v>
      </c>
      <c r="G2365" s="31" t="str">
        <f t="shared" si="42"/>
        <v/>
      </c>
      <c r="H2365" s="32"/>
      <c r="I2365" s="33"/>
      <c r="J2365" s="34">
        <v>0</v>
      </c>
    </row>
    <row r="2366" spans="1:10" ht="15.75" hidden="1" thickBot="1" x14ac:dyDescent="0.3">
      <c r="A2366" s="262"/>
      <c r="B2366" s="252"/>
      <c r="C2366" s="36"/>
      <c r="D2366" s="36"/>
      <c r="E2366" s="37"/>
      <c r="F2366" s="46" t="s">
        <v>23</v>
      </c>
      <c r="G2366" s="38" t="str">
        <f t="shared" si="42"/>
        <v/>
      </c>
      <c r="H2366" s="39"/>
      <c r="I2366" s="35"/>
      <c r="J2366" s="34">
        <v>0</v>
      </c>
    </row>
    <row r="2367" spans="1:10" ht="15.75" hidden="1" thickBot="1" x14ac:dyDescent="0.3">
      <c r="A2367" s="262"/>
      <c r="B2367" s="252"/>
      <c r="C2367" s="40" t="s">
        <v>3770</v>
      </c>
      <c r="D2367" s="40" t="s">
        <v>3752</v>
      </c>
      <c r="E2367" s="41">
        <v>6.4100000000000004E-2</v>
      </c>
      <c r="F2367" s="35">
        <v>21.954499999999999</v>
      </c>
      <c r="G2367" s="38">
        <f t="shared" si="42"/>
        <v>1.40728345</v>
      </c>
      <c r="H2367" s="43">
        <f>SUM(G2367:G2369)</f>
        <v>4.5734510500000001</v>
      </c>
      <c r="I2367" s="44"/>
      <c r="J2367" s="34">
        <v>0</v>
      </c>
    </row>
    <row r="2368" spans="1:10" ht="15.75" hidden="1" thickBot="1" x14ac:dyDescent="0.3">
      <c r="A2368" s="262"/>
      <c r="B2368" s="252"/>
      <c r="C2368" s="40" t="s">
        <v>3760</v>
      </c>
      <c r="D2368" s="40" t="s">
        <v>3752</v>
      </c>
      <c r="E2368" s="41">
        <v>6.4100000000000004E-2</v>
      </c>
      <c r="F2368" s="35">
        <v>28.385999999999999</v>
      </c>
      <c r="G2368" s="38">
        <f t="shared" si="42"/>
        <v>1.8195426000000001</v>
      </c>
      <c r="H2368" s="39"/>
      <c r="I2368" s="35"/>
      <c r="J2368" s="34">
        <v>0</v>
      </c>
    </row>
    <row r="2369" spans="1:10" ht="26.25" hidden="1" thickBot="1" x14ac:dyDescent="0.3">
      <c r="A2369" s="262"/>
      <c r="B2369" s="252"/>
      <c r="C2369" s="40" t="s">
        <v>3937</v>
      </c>
      <c r="D2369" s="40" t="s">
        <v>1286</v>
      </c>
      <c r="E2369" s="41">
        <v>1.05</v>
      </c>
      <c r="F2369" s="38">
        <v>1.2825</v>
      </c>
      <c r="G2369" s="38">
        <f t="shared" si="42"/>
        <v>1.346625</v>
      </c>
      <c r="H2369" s="39"/>
      <c r="I2369" s="35"/>
      <c r="J2369" s="34">
        <v>0</v>
      </c>
    </row>
    <row r="2370" spans="1:10" ht="15.75" hidden="1" thickBot="1" x14ac:dyDescent="0.3">
      <c r="A2370" s="263"/>
      <c r="B2370" s="253"/>
      <c r="C2370" s="40"/>
      <c r="D2370" s="40"/>
      <c r="E2370" s="41"/>
      <c r="F2370" s="38" t="s">
        <v>23</v>
      </c>
      <c r="G2370" s="38" t="str">
        <f t="shared" si="42"/>
        <v/>
      </c>
      <c r="H2370" s="39"/>
      <c r="I2370" s="35"/>
      <c r="J2370" s="34">
        <v>0</v>
      </c>
    </row>
    <row r="2371" spans="1:10" ht="15.75" hidden="1" thickBot="1" x14ac:dyDescent="0.3">
      <c r="A2371" s="248" t="s">
        <v>596</v>
      </c>
      <c r="B2371" s="251" t="s">
        <v>2402</v>
      </c>
      <c r="C2371" s="28"/>
      <c r="D2371" s="29" t="s">
        <v>28</v>
      </c>
      <c r="E2371" s="30"/>
      <c r="F2371" s="45" t="s">
        <v>23</v>
      </c>
      <c r="G2371" s="31" t="str">
        <f t="shared" si="42"/>
        <v/>
      </c>
      <c r="H2371" s="32"/>
      <c r="I2371" s="33"/>
      <c r="J2371" s="34">
        <v>0</v>
      </c>
    </row>
    <row r="2372" spans="1:10" ht="15.75" hidden="1" thickBot="1" x14ac:dyDescent="0.3">
      <c r="A2372" s="249"/>
      <c r="B2372" s="252"/>
      <c r="C2372" s="36"/>
      <c r="D2372" s="36"/>
      <c r="E2372" s="37"/>
      <c r="F2372" s="46" t="s">
        <v>23</v>
      </c>
      <c r="G2372" s="38" t="str">
        <f t="shared" si="42"/>
        <v/>
      </c>
      <c r="H2372" s="39"/>
      <c r="I2372" s="35"/>
      <c r="J2372" s="34">
        <v>0</v>
      </c>
    </row>
    <row r="2373" spans="1:10" ht="26.25" hidden="1" thickBot="1" x14ac:dyDescent="0.3">
      <c r="A2373" s="249"/>
      <c r="B2373" s="252"/>
      <c r="C2373" s="40" t="s">
        <v>597</v>
      </c>
      <c r="D2373" s="40" t="s">
        <v>102</v>
      </c>
      <c r="E2373" s="41">
        <v>1</v>
      </c>
      <c r="F2373" s="38" t="s">
        <v>23</v>
      </c>
      <c r="G2373" s="38" t="str">
        <f t="shared" si="42"/>
        <v/>
      </c>
      <c r="H2373" s="43">
        <f>SUM(G2373:G2376)</f>
        <v>46.793711099999996</v>
      </c>
      <c r="I2373" s="44"/>
      <c r="J2373" s="34">
        <v>0</v>
      </c>
    </row>
    <row r="2374" spans="1:10" ht="15.75" hidden="1" thickBot="1" x14ac:dyDescent="0.3">
      <c r="A2374" s="249"/>
      <c r="B2374" s="252"/>
      <c r="C2374" s="40" t="s">
        <v>3938</v>
      </c>
      <c r="D2374" s="40" t="s">
        <v>291</v>
      </c>
      <c r="E2374" s="41">
        <v>1</v>
      </c>
      <c r="F2374" s="38">
        <v>36.413499999999999</v>
      </c>
      <c r="G2374" s="38">
        <f t="shared" si="42"/>
        <v>36.413499999999999</v>
      </c>
      <c r="H2374" s="39"/>
      <c r="I2374" s="35"/>
      <c r="J2374" s="34">
        <v>0</v>
      </c>
    </row>
    <row r="2375" spans="1:10" ht="15.75" hidden="1" thickBot="1" x14ac:dyDescent="0.3">
      <c r="A2375" s="249"/>
      <c r="B2375" s="252"/>
      <c r="C2375" s="40" t="s">
        <v>3770</v>
      </c>
      <c r="D2375" s="40" t="s">
        <v>3752</v>
      </c>
      <c r="E2375" s="41">
        <v>0.20619999999999999</v>
      </c>
      <c r="F2375" s="35">
        <v>21.954499999999999</v>
      </c>
      <c r="G2375" s="38">
        <f t="shared" si="42"/>
        <v>4.5270178999999997</v>
      </c>
      <c r="H2375" s="39"/>
      <c r="I2375" s="35"/>
      <c r="J2375" s="34">
        <v>0</v>
      </c>
    </row>
    <row r="2376" spans="1:10" ht="15.75" hidden="1" thickBot="1" x14ac:dyDescent="0.3">
      <c r="A2376" s="249"/>
      <c r="B2376" s="252"/>
      <c r="C2376" s="40" t="s">
        <v>3760</v>
      </c>
      <c r="D2376" s="40" t="s">
        <v>3752</v>
      </c>
      <c r="E2376" s="41">
        <v>0.20619999999999999</v>
      </c>
      <c r="F2376" s="35">
        <v>28.385999999999999</v>
      </c>
      <c r="G2376" s="38">
        <f t="shared" si="42"/>
        <v>5.8531931999999998</v>
      </c>
      <c r="H2376" s="39"/>
      <c r="I2376" s="35"/>
      <c r="J2376" s="34">
        <v>0</v>
      </c>
    </row>
    <row r="2377" spans="1:10" ht="15.75" hidden="1" thickBot="1" x14ac:dyDescent="0.3">
      <c r="A2377" s="250"/>
      <c r="B2377" s="253"/>
      <c r="C2377" s="40"/>
      <c r="D2377" s="40"/>
      <c r="E2377" s="41"/>
      <c r="F2377" s="35" t="s">
        <v>23</v>
      </c>
      <c r="G2377" s="38" t="str">
        <f t="shared" si="42"/>
        <v/>
      </c>
      <c r="H2377" s="39"/>
      <c r="I2377" s="35"/>
      <c r="J2377" s="34">
        <v>0</v>
      </c>
    </row>
    <row r="2378" spans="1:10" ht="15.75" hidden="1" thickBot="1" x14ac:dyDescent="0.3">
      <c r="A2378" s="248" t="s">
        <v>598</v>
      </c>
      <c r="B2378" s="251" t="s">
        <v>2403</v>
      </c>
      <c r="C2378" s="28"/>
      <c r="D2378" s="29" t="s">
        <v>28</v>
      </c>
      <c r="E2378" s="30"/>
      <c r="F2378" s="45" t="s">
        <v>23</v>
      </c>
      <c r="G2378" s="31" t="str">
        <f t="shared" si="42"/>
        <v/>
      </c>
      <c r="H2378" s="32"/>
      <c r="I2378" s="33"/>
      <c r="J2378" s="34">
        <v>0</v>
      </c>
    </row>
    <row r="2379" spans="1:10" ht="15.75" hidden="1" thickBot="1" x14ac:dyDescent="0.3">
      <c r="A2379" s="249"/>
      <c r="B2379" s="252"/>
      <c r="C2379" s="36"/>
      <c r="D2379" s="36"/>
      <c r="E2379" s="37"/>
      <c r="F2379" s="46" t="s">
        <v>23</v>
      </c>
      <c r="G2379" s="38" t="str">
        <f t="shared" si="42"/>
        <v/>
      </c>
      <c r="H2379" s="39"/>
      <c r="I2379" s="35"/>
      <c r="J2379" s="34">
        <v>0</v>
      </c>
    </row>
    <row r="2380" spans="1:10" ht="26.25" hidden="1" thickBot="1" x14ac:dyDescent="0.3">
      <c r="A2380" s="249"/>
      <c r="B2380" s="252"/>
      <c r="C2380" s="40" t="s">
        <v>3827</v>
      </c>
      <c r="D2380" s="40" t="s">
        <v>3752</v>
      </c>
      <c r="E2380" s="41">
        <v>3.5</v>
      </c>
      <c r="F2380" s="35">
        <v>23.882999999999999</v>
      </c>
      <c r="G2380" s="38">
        <f t="shared" si="42"/>
        <v>83.590499999999992</v>
      </c>
      <c r="H2380" s="43">
        <f>SUM(G2380:G2382)</f>
        <v>187.89574999999999</v>
      </c>
      <c r="I2380" s="44"/>
      <c r="J2380" s="34">
        <v>0</v>
      </c>
    </row>
    <row r="2381" spans="1:10" ht="26.25" hidden="1" thickBot="1" x14ac:dyDescent="0.3">
      <c r="A2381" s="249"/>
      <c r="B2381" s="252"/>
      <c r="C2381" s="40" t="s">
        <v>3772</v>
      </c>
      <c r="D2381" s="40" t="s">
        <v>3752</v>
      </c>
      <c r="E2381" s="41">
        <v>3.5</v>
      </c>
      <c r="F2381" s="35">
        <v>29.801500000000001</v>
      </c>
      <c r="G2381" s="38">
        <f t="shared" si="42"/>
        <v>104.30525</v>
      </c>
      <c r="H2381" s="39"/>
      <c r="I2381" s="35"/>
      <c r="J2381" s="34">
        <v>0</v>
      </c>
    </row>
    <row r="2382" spans="1:10" ht="26.25" hidden="1" thickBot="1" x14ac:dyDescent="0.3">
      <c r="A2382" s="249"/>
      <c r="B2382" s="252"/>
      <c r="C2382" s="40" t="s">
        <v>599</v>
      </c>
      <c r="D2382" s="40" t="s">
        <v>102</v>
      </c>
      <c r="E2382" s="41">
        <v>1</v>
      </c>
      <c r="F2382" s="38" t="s">
        <v>23</v>
      </c>
      <c r="G2382" s="38" t="str">
        <f t="shared" si="42"/>
        <v/>
      </c>
      <c r="H2382" s="39"/>
      <c r="I2382" s="35"/>
      <c r="J2382" s="34">
        <v>0</v>
      </c>
    </row>
    <row r="2383" spans="1:10" ht="15.75" hidden="1" thickBot="1" x14ac:dyDescent="0.3">
      <c r="A2383" s="250"/>
      <c r="B2383" s="253"/>
      <c r="C2383" s="40"/>
      <c r="D2383" s="40"/>
      <c r="E2383" s="41"/>
      <c r="F2383" s="35" t="s">
        <v>23</v>
      </c>
      <c r="G2383" s="38" t="str">
        <f t="shared" si="42"/>
        <v/>
      </c>
      <c r="H2383" s="39"/>
      <c r="I2383" s="35"/>
      <c r="J2383" s="34">
        <v>0</v>
      </c>
    </row>
    <row r="2384" spans="1:10" ht="15.75" hidden="1" thickBot="1" x14ac:dyDescent="0.3">
      <c r="A2384" s="248" t="s">
        <v>600</v>
      </c>
      <c r="B2384" s="251" t="s">
        <v>2406</v>
      </c>
      <c r="C2384" s="28"/>
      <c r="D2384" s="29" t="s">
        <v>28</v>
      </c>
      <c r="E2384" s="30"/>
      <c r="F2384" s="45" t="s">
        <v>23</v>
      </c>
      <c r="G2384" s="31" t="str">
        <f t="shared" si="42"/>
        <v/>
      </c>
      <c r="H2384" s="32"/>
      <c r="I2384" s="33"/>
      <c r="J2384" s="34">
        <v>0</v>
      </c>
    </row>
    <row r="2385" spans="1:10" ht="15.75" hidden="1" thickBot="1" x14ac:dyDescent="0.3">
      <c r="A2385" s="249"/>
      <c r="B2385" s="252"/>
      <c r="C2385" s="36"/>
      <c r="D2385" s="36"/>
      <c r="E2385" s="37"/>
      <c r="F2385" s="46" t="s">
        <v>23</v>
      </c>
      <c r="G2385" s="38" t="str">
        <f t="shared" si="42"/>
        <v/>
      </c>
      <c r="H2385" s="39"/>
      <c r="I2385" s="35"/>
      <c r="J2385" s="34">
        <v>0</v>
      </c>
    </row>
    <row r="2386" spans="1:10" ht="26.25" hidden="1" thickBot="1" x14ac:dyDescent="0.3">
      <c r="A2386" s="249"/>
      <c r="B2386" s="252"/>
      <c r="C2386" s="40" t="s">
        <v>3939</v>
      </c>
      <c r="D2386" s="40" t="s">
        <v>291</v>
      </c>
      <c r="E2386" s="41">
        <v>1</v>
      </c>
      <c r="F2386" s="35">
        <v>26.4575</v>
      </c>
      <c r="G2386" s="38">
        <f t="shared" si="42"/>
        <v>26.4575</v>
      </c>
      <c r="H2386" s="43">
        <f>SUM(G2386:G2386)</f>
        <v>26.4575</v>
      </c>
      <c r="I2386" s="44"/>
      <c r="J2386" s="34">
        <v>0</v>
      </c>
    </row>
    <row r="2387" spans="1:10" ht="15.75" hidden="1" thickBot="1" x14ac:dyDescent="0.3">
      <c r="A2387" s="250"/>
      <c r="B2387" s="253"/>
      <c r="C2387" s="40"/>
      <c r="D2387" s="40"/>
      <c r="E2387" s="41"/>
      <c r="F2387" s="35" t="s">
        <v>23</v>
      </c>
      <c r="G2387" s="38" t="str">
        <f t="shared" si="42"/>
        <v/>
      </c>
      <c r="H2387" s="39"/>
      <c r="I2387" s="35"/>
      <c r="J2387" s="34">
        <v>0</v>
      </c>
    </row>
    <row r="2388" spans="1:10" ht="15.75" hidden="1" thickBot="1" x14ac:dyDescent="0.3">
      <c r="A2388" s="248" t="s">
        <v>601</v>
      </c>
      <c r="B2388" s="251" t="s">
        <v>2407</v>
      </c>
      <c r="C2388" s="28"/>
      <c r="D2388" s="29" t="s">
        <v>28</v>
      </c>
      <c r="E2388" s="30"/>
      <c r="F2388" s="45" t="s">
        <v>23</v>
      </c>
      <c r="G2388" s="31" t="str">
        <f t="shared" si="42"/>
        <v/>
      </c>
      <c r="H2388" s="32"/>
      <c r="I2388" s="33"/>
      <c r="J2388" s="34">
        <v>0</v>
      </c>
    </row>
    <row r="2389" spans="1:10" ht="15.75" hidden="1" thickBot="1" x14ac:dyDescent="0.3">
      <c r="A2389" s="249"/>
      <c r="B2389" s="252"/>
      <c r="C2389" s="36"/>
      <c r="D2389" s="36"/>
      <c r="E2389" s="37"/>
      <c r="F2389" s="46" t="s">
        <v>23</v>
      </c>
      <c r="G2389" s="38" t="str">
        <f t="shared" si="42"/>
        <v/>
      </c>
      <c r="H2389" s="39"/>
      <c r="I2389" s="35"/>
      <c r="J2389" s="34">
        <v>0</v>
      </c>
    </row>
    <row r="2390" spans="1:10" ht="51.75" hidden="1" thickBot="1" x14ac:dyDescent="0.3">
      <c r="A2390" s="249"/>
      <c r="B2390" s="252"/>
      <c r="C2390" s="40" t="s">
        <v>3940</v>
      </c>
      <c r="D2390" s="40" t="s">
        <v>3814</v>
      </c>
      <c r="E2390" s="41">
        <v>1</v>
      </c>
      <c r="F2390" s="35">
        <v>69.777500000000003</v>
      </c>
      <c r="G2390" s="38">
        <f t="shared" si="42"/>
        <v>69.777500000000003</v>
      </c>
      <c r="H2390" s="43">
        <f>SUM(G2390:G2390)</f>
        <v>69.777500000000003</v>
      </c>
      <c r="I2390" s="44"/>
      <c r="J2390" s="34">
        <v>0</v>
      </c>
    </row>
    <row r="2391" spans="1:10" ht="15.75" hidden="1" thickBot="1" x14ac:dyDescent="0.3">
      <c r="A2391" s="250"/>
      <c r="B2391" s="253"/>
      <c r="C2391" s="40"/>
      <c r="D2391" s="40"/>
      <c r="E2391" s="41"/>
      <c r="F2391" s="35" t="s">
        <v>23</v>
      </c>
      <c r="G2391" s="38" t="str">
        <f t="shared" si="42"/>
        <v/>
      </c>
      <c r="H2391" s="39"/>
      <c r="I2391" s="35"/>
      <c r="J2391" s="34">
        <v>0</v>
      </c>
    </row>
    <row r="2392" spans="1:10" ht="15.75" hidden="1" thickBot="1" x14ac:dyDescent="0.3">
      <c r="A2392" s="248" t="s">
        <v>602</v>
      </c>
      <c r="B2392" s="251" t="s">
        <v>2408</v>
      </c>
      <c r="C2392" s="28"/>
      <c r="D2392" s="29" t="s">
        <v>28</v>
      </c>
      <c r="E2392" s="30"/>
      <c r="F2392" s="45" t="s">
        <v>23</v>
      </c>
      <c r="G2392" s="31" t="str">
        <f t="shared" si="42"/>
        <v/>
      </c>
      <c r="H2392" s="32"/>
      <c r="I2392" s="33"/>
      <c r="J2392" s="34">
        <v>0</v>
      </c>
    </row>
    <row r="2393" spans="1:10" ht="15.75" hidden="1" thickBot="1" x14ac:dyDescent="0.3">
      <c r="A2393" s="249"/>
      <c r="B2393" s="252"/>
      <c r="C2393" s="36"/>
      <c r="D2393" s="36"/>
      <c r="E2393" s="37"/>
      <c r="F2393" s="46" t="s">
        <v>23</v>
      </c>
      <c r="G2393" s="38" t="str">
        <f t="shared" si="42"/>
        <v/>
      </c>
      <c r="H2393" s="39"/>
      <c r="I2393" s="35"/>
      <c r="J2393" s="34">
        <v>0</v>
      </c>
    </row>
    <row r="2394" spans="1:10" ht="51.75" hidden="1" thickBot="1" x14ac:dyDescent="0.3">
      <c r="A2394" s="249"/>
      <c r="B2394" s="252"/>
      <c r="C2394" s="40" t="s">
        <v>3941</v>
      </c>
      <c r="D2394" s="40" t="s">
        <v>3814</v>
      </c>
      <c r="E2394" s="41">
        <v>1</v>
      </c>
      <c r="F2394" s="35">
        <v>90.686999999999983</v>
      </c>
      <c r="G2394" s="38">
        <f t="shared" si="42"/>
        <v>90.686999999999983</v>
      </c>
      <c r="H2394" s="43">
        <f>SUM(G2394:G2394)</f>
        <v>90.686999999999983</v>
      </c>
      <c r="I2394" s="44"/>
      <c r="J2394" s="34">
        <v>0</v>
      </c>
    </row>
    <row r="2395" spans="1:10" ht="15.75" hidden="1" thickBot="1" x14ac:dyDescent="0.3">
      <c r="A2395" s="250"/>
      <c r="B2395" s="253"/>
      <c r="C2395" s="40"/>
      <c r="D2395" s="40"/>
      <c r="E2395" s="41"/>
      <c r="F2395" s="35" t="s">
        <v>23</v>
      </c>
      <c r="G2395" s="38" t="str">
        <f t="shared" si="42"/>
        <v/>
      </c>
      <c r="H2395" s="39"/>
      <c r="I2395" s="35"/>
      <c r="J2395" s="34">
        <v>0</v>
      </c>
    </row>
    <row r="2396" spans="1:10" ht="15.75" hidden="1" thickBot="1" x14ac:dyDescent="0.3">
      <c r="A2396" s="248" t="s">
        <v>603</v>
      </c>
      <c r="B2396" s="251" t="s">
        <v>2409</v>
      </c>
      <c r="C2396" s="28"/>
      <c r="D2396" s="29" t="s">
        <v>28</v>
      </c>
      <c r="E2396" s="30"/>
      <c r="F2396" s="45" t="s">
        <v>23</v>
      </c>
      <c r="G2396" s="31" t="str">
        <f t="shared" si="42"/>
        <v/>
      </c>
      <c r="H2396" s="32"/>
      <c r="I2396" s="33"/>
      <c r="J2396" s="34">
        <v>0</v>
      </c>
    </row>
    <row r="2397" spans="1:10" ht="15.75" hidden="1" thickBot="1" x14ac:dyDescent="0.3">
      <c r="A2397" s="249"/>
      <c r="B2397" s="252"/>
      <c r="C2397" s="36"/>
      <c r="D2397" s="36"/>
      <c r="E2397" s="37"/>
      <c r="F2397" s="46" t="s">
        <v>23</v>
      </c>
      <c r="G2397" s="38" t="str">
        <f t="shared" si="42"/>
        <v/>
      </c>
      <c r="H2397" s="39"/>
      <c r="I2397" s="35"/>
      <c r="J2397" s="34">
        <v>0</v>
      </c>
    </row>
    <row r="2398" spans="1:10" ht="51.75" hidden="1" thickBot="1" x14ac:dyDescent="0.3">
      <c r="A2398" s="249"/>
      <c r="B2398" s="252"/>
      <c r="C2398" s="40" t="s">
        <v>3942</v>
      </c>
      <c r="D2398" s="40" t="s">
        <v>3814</v>
      </c>
      <c r="E2398" s="41">
        <v>1</v>
      </c>
      <c r="F2398" s="35">
        <v>54.871999999999993</v>
      </c>
      <c r="G2398" s="38">
        <f t="shared" si="42"/>
        <v>54.871999999999993</v>
      </c>
      <c r="H2398" s="43">
        <f>SUM(G2398:G2398)</f>
        <v>54.871999999999993</v>
      </c>
      <c r="I2398" s="44"/>
      <c r="J2398" s="34">
        <v>0</v>
      </c>
    </row>
    <row r="2399" spans="1:10" ht="15.75" hidden="1" thickBot="1" x14ac:dyDescent="0.3">
      <c r="A2399" s="250"/>
      <c r="B2399" s="253"/>
      <c r="C2399" s="40"/>
      <c r="D2399" s="40"/>
      <c r="E2399" s="41"/>
      <c r="F2399" s="35" t="s">
        <v>23</v>
      </c>
      <c r="G2399" s="38" t="str">
        <f t="shared" si="42"/>
        <v/>
      </c>
      <c r="H2399" s="39"/>
      <c r="I2399" s="35"/>
      <c r="J2399" s="34">
        <v>0</v>
      </c>
    </row>
    <row r="2400" spans="1:10" ht="15.75" hidden="1" thickBot="1" x14ac:dyDescent="0.3">
      <c r="A2400" s="248" t="s">
        <v>604</v>
      </c>
      <c r="B2400" s="251" t="s">
        <v>2410</v>
      </c>
      <c r="C2400" s="28"/>
      <c r="D2400" s="29" t="s">
        <v>28</v>
      </c>
      <c r="E2400" s="30"/>
      <c r="F2400" s="45" t="s">
        <v>23</v>
      </c>
      <c r="G2400" s="31" t="str">
        <f t="shared" si="42"/>
        <v/>
      </c>
      <c r="H2400" s="32"/>
      <c r="I2400" s="33"/>
      <c r="J2400" s="34">
        <v>0</v>
      </c>
    </row>
    <row r="2401" spans="1:10" ht="15.75" hidden="1" thickBot="1" x14ac:dyDescent="0.3">
      <c r="A2401" s="249"/>
      <c r="B2401" s="252"/>
      <c r="C2401" s="36"/>
      <c r="D2401" s="36"/>
      <c r="E2401" s="37"/>
      <c r="F2401" s="46" t="s">
        <v>23</v>
      </c>
      <c r="G2401" s="38" t="str">
        <f t="shared" si="42"/>
        <v/>
      </c>
      <c r="H2401" s="39"/>
      <c r="I2401" s="35"/>
      <c r="J2401" s="34">
        <v>0</v>
      </c>
    </row>
    <row r="2402" spans="1:10" ht="26.25" hidden="1" thickBot="1" x14ac:dyDescent="0.3">
      <c r="A2402" s="249"/>
      <c r="B2402" s="252"/>
      <c r="C2402" s="40" t="s">
        <v>3943</v>
      </c>
      <c r="D2402" s="40" t="s">
        <v>291</v>
      </c>
      <c r="E2402" s="41">
        <v>1</v>
      </c>
      <c r="F2402" s="35">
        <v>43.073</v>
      </c>
      <c r="G2402" s="38">
        <f t="shared" si="42"/>
        <v>43.073</v>
      </c>
      <c r="H2402" s="43">
        <f>SUM(G2402:G2402)</f>
        <v>43.073</v>
      </c>
      <c r="I2402" s="44"/>
      <c r="J2402" s="34">
        <v>0</v>
      </c>
    </row>
    <row r="2403" spans="1:10" ht="15.75" hidden="1" thickBot="1" x14ac:dyDescent="0.3">
      <c r="A2403" s="250"/>
      <c r="B2403" s="253"/>
      <c r="C2403" s="40"/>
      <c r="D2403" s="40"/>
      <c r="E2403" s="41"/>
      <c r="F2403" s="35" t="s">
        <v>23</v>
      </c>
      <c r="G2403" s="38" t="str">
        <f t="shared" si="42"/>
        <v/>
      </c>
      <c r="H2403" s="39"/>
      <c r="I2403" s="35"/>
      <c r="J2403" s="34">
        <v>0</v>
      </c>
    </row>
    <row r="2404" spans="1:10" ht="15.75" hidden="1" thickBot="1" x14ac:dyDescent="0.3">
      <c r="A2404" s="248" t="s">
        <v>605</v>
      </c>
      <c r="B2404" s="251" t="s">
        <v>2411</v>
      </c>
      <c r="C2404" s="28"/>
      <c r="D2404" s="29" t="s">
        <v>28</v>
      </c>
      <c r="E2404" s="30"/>
      <c r="F2404" s="45" t="s">
        <v>23</v>
      </c>
      <c r="G2404" s="31" t="str">
        <f t="shared" si="42"/>
        <v/>
      </c>
      <c r="H2404" s="32"/>
      <c r="I2404" s="33"/>
      <c r="J2404" s="34">
        <v>0</v>
      </c>
    </row>
    <row r="2405" spans="1:10" ht="15.75" hidden="1" thickBot="1" x14ac:dyDescent="0.3">
      <c r="A2405" s="249"/>
      <c r="B2405" s="252"/>
      <c r="C2405" s="36"/>
      <c r="D2405" s="36"/>
      <c r="E2405" s="37"/>
      <c r="F2405" s="46" t="s">
        <v>23</v>
      </c>
      <c r="G2405" s="38" t="str">
        <f t="shared" si="42"/>
        <v/>
      </c>
      <c r="H2405" s="39"/>
      <c r="I2405" s="35"/>
      <c r="J2405" s="34">
        <v>0</v>
      </c>
    </row>
    <row r="2406" spans="1:10" ht="39" hidden="1" thickBot="1" x14ac:dyDescent="0.3">
      <c r="A2406" s="249"/>
      <c r="B2406" s="252"/>
      <c r="C2406" s="40" t="s">
        <v>3944</v>
      </c>
      <c r="D2406" s="40" t="s">
        <v>291</v>
      </c>
      <c r="E2406" s="41">
        <v>1</v>
      </c>
      <c r="F2406" s="35">
        <v>13.7845</v>
      </c>
      <c r="G2406" s="38">
        <f t="shared" si="42"/>
        <v>13.7845</v>
      </c>
      <c r="H2406" s="43">
        <f>SUM(G2406:G2406)</f>
        <v>13.7845</v>
      </c>
      <c r="I2406" s="44"/>
      <c r="J2406" s="34">
        <v>0</v>
      </c>
    </row>
    <row r="2407" spans="1:10" ht="39" hidden="1" thickBot="1" x14ac:dyDescent="0.3">
      <c r="A2407" s="250"/>
      <c r="B2407" s="253"/>
      <c r="C2407" s="40" t="s">
        <v>606</v>
      </c>
      <c r="D2407" s="40"/>
      <c r="E2407" s="41"/>
      <c r="F2407" s="35" t="s">
        <v>23</v>
      </c>
      <c r="G2407" s="38" t="str">
        <f t="shared" si="42"/>
        <v/>
      </c>
      <c r="H2407" s="39"/>
      <c r="I2407" s="35"/>
      <c r="J2407" s="34">
        <v>0</v>
      </c>
    </row>
    <row r="2408" spans="1:10" ht="15.75" hidden="1" thickBot="1" x14ac:dyDescent="0.3">
      <c r="A2408" s="248" t="s">
        <v>607</v>
      </c>
      <c r="B2408" s="251" t="s">
        <v>2412</v>
      </c>
      <c r="C2408" s="28"/>
      <c r="D2408" s="29" t="s">
        <v>28</v>
      </c>
      <c r="E2408" s="30"/>
      <c r="F2408" s="45" t="s">
        <v>23</v>
      </c>
      <c r="G2408" s="31" t="str">
        <f t="shared" si="42"/>
        <v/>
      </c>
      <c r="H2408" s="32"/>
      <c r="I2408" s="33"/>
      <c r="J2408" s="34">
        <v>0</v>
      </c>
    </row>
    <row r="2409" spans="1:10" ht="15.75" hidden="1" thickBot="1" x14ac:dyDescent="0.3">
      <c r="A2409" s="249"/>
      <c r="B2409" s="252"/>
      <c r="C2409" s="36"/>
      <c r="D2409" s="36"/>
      <c r="E2409" s="37"/>
      <c r="F2409" s="46" t="s">
        <v>23</v>
      </c>
      <c r="G2409" s="38" t="str">
        <f t="shared" si="42"/>
        <v/>
      </c>
      <c r="H2409" s="39"/>
      <c r="I2409" s="35"/>
      <c r="J2409" s="34">
        <v>0</v>
      </c>
    </row>
    <row r="2410" spans="1:10" ht="51.75" hidden="1" thickBot="1" x14ac:dyDescent="0.3">
      <c r="A2410" s="249"/>
      <c r="B2410" s="252"/>
      <c r="C2410" s="40" t="s">
        <v>3945</v>
      </c>
      <c r="D2410" s="40" t="s">
        <v>291</v>
      </c>
      <c r="E2410" s="41">
        <v>1</v>
      </c>
      <c r="F2410" s="35">
        <v>13.774999999999999</v>
      </c>
      <c r="G2410" s="38">
        <f t="shared" si="42"/>
        <v>13.774999999999999</v>
      </c>
      <c r="H2410" s="43">
        <f>SUM(G2410:G2410)</f>
        <v>13.774999999999999</v>
      </c>
      <c r="I2410" s="44"/>
      <c r="J2410" s="34">
        <v>0</v>
      </c>
    </row>
    <row r="2411" spans="1:10" ht="15.75" hidden="1" thickBot="1" x14ac:dyDescent="0.3">
      <c r="A2411" s="250"/>
      <c r="B2411" s="253"/>
      <c r="C2411" s="40"/>
      <c r="D2411" s="40"/>
      <c r="E2411" s="41"/>
      <c r="F2411" s="35" t="s">
        <v>23</v>
      </c>
      <c r="G2411" s="38" t="str">
        <f t="shared" si="42"/>
        <v/>
      </c>
      <c r="H2411" s="39"/>
      <c r="I2411" s="35"/>
      <c r="J2411" s="34">
        <v>0</v>
      </c>
    </row>
    <row r="2412" spans="1:10" ht="15.75" hidden="1" thickBot="1" x14ac:dyDescent="0.3">
      <c r="A2412" s="248" t="s">
        <v>608</v>
      </c>
      <c r="B2412" s="251" t="s">
        <v>2413</v>
      </c>
      <c r="C2412" s="28"/>
      <c r="D2412" s="29" t="s">
        <v>28</v>
      </c>
      <c r="E2412" s="30"/>
      <c r="F2412" s="45" t="s">
        <v>23</v>
      </c>
      <c r="G2412" s="31" t="str">
        <f t="shared" si="42"/>
        <v/>
      </c>
      <c r="H2412" s="32"/>
      <c r="I2412" s="33"/>
      <c r="J2412" s="34">
        <v>0</v>
      </c>
    </row>
    <row r="2413" spans="1:10" ht="15.75" hidden="1" thickBot="1" x14ac:dyDescent="0.3">
      <c r="A2413" s="249"/>
      <c r="B2413" s="252"/>
      <c r="C2413" s="36"/>
      <c r="D2413" s="36"/>
      <c r="E2413" s="37"/>
      <c r="F2413" s="46" t="s">
        <v>23</v>
      </c>
      <c r="G2413" s="38" t="str">
        <f t="shared" si="42"/>
        <v/>
      </c>
      <c r="H2413" s="39"/>
      <c r="I2413" s="35"/>
      <c r="J2413" s="34">
        <v>0</v>
      </c>
    </row>
    <row r="2414" spans="1:10" ht="51.75" hidden="1" thickBot="1" x14ac:dyDescent="0.3">
      <c r="A2414" s="249"/>
      <c r="B2414" s="252"/>
      <c r="C2414" s="40" t="s">
        <v>3945</v>
      </c>
      <c r="D2414" s="40" t="s">
        <v>291</v>
      </c>
      <c r="E2414" s="41">
        <v>1</v>
      </c>
      <c r="F2414" s="35">
        <v>13.774999999999999</v>
      </c>
      <c r="G2414" s="38">
        <f t="shared" si="42"/>
        <v>13.774999999999999</v>
      </c>
      <c r="H2414" s="43">
        <f>SUM(G2414:G2414)</f>
        <v>13.774999999999999</v>
      </c>
      <c r="I2414" s="44"/>
      <c r="J2414" s="34">
        <v>0</v>
      </c>
    </row>
    <row r="2415" spans="1:10" ht="15.75" hidden="1" thickBot="1" x14ac:dyDescent="0.3">
      <c r="A2415" s="250"/>
      <c r="B2415" s="253"/>
      <c r="C2415" s="40"/>
      <c r="D2415" s="40"/>
      <c r="E2415" s="41"/>
      <c r="F2415" s="35" t="s">
        <v>23</v>
      </c>
      <c r="G2415" s="38" t="str">
        <f t="shared" si="42"/>
        <v/>
      </c>
      <c r="H2415" s="39"/>
      <c r="I2415" s="35"/>
      <c r="J2415" s="34">
        <v>0</v>
      </c>
    </row>
    <row r="2416" spans="1:10" ht="15.75" hidden="1" thickBot="1" x14ac:dyDescent="0.3">
      <c r="A2416" s="248" t="s">
        <v>609</v>
      </c>
      <c r="B2416" s="251" t="s">
        <v>2415</v>
      </c>
      <c r="C2416" s="28"/>
      <c r="D2416" s="29" t="s">
        <v>28</v>
      </c>
      <c r="E2416" s="30"/>
      <c r="F2416" s="45" t="s">
        <v>23</v>
      </c>
      <c r="G2416" s="31" t="str">
        <f t="shared" si="42"/>
        <v/>
      </c>
      <c r="H2416" s="32"/>
      <c r="I2416" s="33"/>
      <c r="J2416" s="34">
        <v>0</v>
      </c>
    </row>
    <row r="2417" spans="1:10" ht="15.75" hidden="1" thickBot="1" x14ac:dyDescent="0.3">
      <c r="A2417" s="249"/>
      <c r="B2417" s="252"/>
      <c r="C2417" s="36"/>
      <c r="D2417" s="36"/>
      <c r="E2417" s="37"/>
      <c r="F2417" s="46" t="s">
        <v>23</v>
      </c>
      <c r="G2417" s="38" t="str">
        <f t="shared" si="42"/>
        <v/>
      </c>
      <c r="H2417" s="39"/>
      <c r="I2417" s="35"/>
      <c r="J2417" s="34">
        <v>0</v>
      </c>
    </row>
    <row r="2418" spans="1:10" ht="39" hidden="1" thickBot="1" x14ac:dyDescent="0.3">
      <c r="A2418" s="249"/>
      <c r="B2418" s="252"/>
      <c r="C2418" s="40" t="s">
        <v>3946</v>
      </c>
      <c r="D2418" s="40" t="s">
        <v>291</v>
      </c>
      <c r="E2418" s="41">
        <v>1</v>
      </c>
      <c r="F2418" s="35">
        <v>19.075999999999997</v>
      </c>
      <c r="G2418" s="38">
        <f t="shared" ref="G2418:G2481" si="43">IF(ISNUMBER(F2418),E2418*F2418,"")</f>
        <v>19.075999999999997</v>
      </c>
      <c r="H2418" s="43">
        <f>SUM(G2418:G2418)</f>
        <v>19.075999999999997</v>
      </c>
      <c r="I2418" s="44"/>
      <c r="J2418" s="34">
        <v>0</v>
      </c>
    </row>
    <row r="2419" spans="1:10" ht="15.75" hidden="1" thickBot="1" x14ac:dyDescent="0.3">
      <c r="A2419" s="250"/>
      <c r="B2419" s="253"/>
      <c r="C2419" s="40"/>
      <c r="D2419" s="40"/>
      <c r="E2419" s="41"/>
      <c r="F2419" s="35" t="s">
        <v>23</v>
      </c>
      <c r="G2419" s="38" t="str">
        <f t="shared" si="43"/>
        <v/>
      </c>
      <c r="H2419" s="39"/>
      <c r="I2419" s="35"/>
      <c r="J2419" s="34">
        <v>0</v>
      </c>
    </row>
    <row r="2420" spans="1:10" ht="15.75" thickBot="1" x14ac:dyDescent="0.3">
      <c r="A2420" s="248" t="s">
        <v>610</v>
      </c>
      <c r="B2420" s="251" t="s">
        <v>2416</v>
      </c>
      <c r="C2420" s="28"/>
      <c r="D2420" s="29" t="s">
        <v>2417</v>
      </c>
      <c r="E2420" s="30"/>
      <c r="F2420" s="45" t="s">
        <v>23</v>
      </c>
      <c r="G2420" s="31" t="str">
        <f t="shared" si="43"/>
        <v/>
      </c>
      <c r="H2420" s="32"/>
      <c r="I2420" s="33"/>
      <c r="J2420" s="34">
        <v>30</v>
      </c>
    </row>
    <row r="2421" spans="1:10" x14ac:dyDescent="0.25">
      <c r="A2421" s="249"/>
      <c r="B2421" s="252"/>
      <c r="C2421" s="36"/>
      <c r="D2421" s="36"/>
      <c r="E2421" s="37"/>
      <c r="F2421" s="46" t="s">
        <v>23</v>
      </c>
      <c r="G2421" s="38" t="str">
        <f t="shared" si="43"/>
        <v/>
      </c>
      <c r="H2421" s="39"/>
      <c r="I2421" s="35"/>
      <c r="J2421" s="34">
        <v>30</v>
      </c>
    </row>
    <row r="2422" spans="1:10" ht="25.5" x14ac:dyDescent="0.25">
      <c r="A2422" s="249"/>
      <c r="B2422" s="252"/>
      <c r="C2422" s="40" t="s">
        <v>4181</v>
      </c>
      <c r="D2422" s="40" t="s">
        <v>291</v>
      </c>
      <c r="E2422" s="41">
        <v>1</v>
      </c>
      <c r="F2422" s="35">
        <v>26.599999999999998</v>
      </c>
      <c r="G2422" s="38">
        <f t="shared" si="43"/>
        <v>26.599999999999998</v>
      </c>
      <c r="H2422" s="43">
        <f>SUM(G2422:G2422)</f>
        <v>26.599999999999998</v>
      </c>
      <c r="I2422" s="44"/>
      <c r="J2422" s="34">
        <v>30</v>
      </c>
    </row>
    <row r="2423" spans="1:10" ht="15.75" thickBot="1" x14ac:dyDescent="0.3">
      <c r="A2423" s="250"/>
      <c r="B2423" s="253"/>
      <c r="C2423" s="40"/>
      <c r="D2423" s="40"/>
      <c r="E2423" s="41"/>
      <c r="F2423" s="35" t="s">
        <v>23</v>
      </c>
      <c r="G2423" s="38" t="str">
        <f t="shared" si="43"/>
        <v/>
      </c>
      <c r="H2423" s="39"/>
      <c r="I2423" s="35"/>
      <c r="J2423" s="34">
        <v>30</v>
      </c>
    </row>
    <row r="2424" spans="1:10" ht="15.75" hidden="1" thickBot="1" x14ac:dyDescent="0.3">
      <c r="A2424" s="248" t="s">
        <v>611</v>
      </c>
      <c r="B2424" s="251" t="s">
        <v>2418</v>
      </c>
      <c r="C2424" s="28"/>
      <c r="D2424" s="29" t="s">
        <v>82</v>
      </c>
      <c r="E2424" s="30"/>
      <c r="F2424" s="45" t="s">
        <v>23</v>
      </c>
      <c r="G2424" s="31" t="str">
        <f t="shared" si="43"/>
        <v/>
      </c>
      <c r="H2424" s="32"/>
      <c r="I2424" s="33"/>
      <c r="J2424" s="34">
        <v>0</v>
      </c>
    </row>
    <row r="2425" spans="1:10" ht="15.75" hidden="1" thickBot="1" x14ac:dyDescent="0.3">
      <c r="A2425" s="249"/>
      <c r="B2425" s="252"/>
      <c r="C2425" s="36"/>
      <c r="D2425" s="36"/>
      <c r="E2425" s="37"/>
      <c r="F2425" s="46" t="s">
        <v>23</v>
      </c>
      <c r="G2425" s="38" t="str">
        <f t="shared" si="43"/>
        <v/>
      </c>
      <c r="H2425" s="39"/>
      <c r="I2425" s="35"/>
      <c r="J2425" s="34">
        <v>0</v>
      </c>
    </row>
    <row r="2426" spans="1:10" ht="15.75" hidden="1" thickBot="1" x14ac:dyDescent="0.3">
      <c r="A2426" s="249"/>
      <c r="B2426" s="252"/>
      <c r="C2426" s="40" t="s">
        <v>3947</v>
      </c>
      <c r="D2426" s="40" t="s">
        <v>1035</v>
      </c>
      <c r="E2426" s="41">
        <v>1</v>
      </c>
      <c r="F2426" s="35">
        <v>49.029499999999999</v>
      </c>
      <c r="G2426" s="38">
        <f t="shared" si="43"/>
        <v>49.029499999999999</v>
      </c>
      <c r="H2426" s="43">
        <f>SUM(G2426:G2426)</f>
        <v>49.029499999999999</v>
      </c>
      <c r="I2426" s="44"/>
      <c r="J2426" s="34">
        <v>0</v>
      </c>
    </row>
    <row r="2427" spans="1:10" ht="15.75" hidden="1" thickBot="1" x14ac:dyDescent="0.3">
      <c r="A2427" s="250"/>
      <c r="B2427" s="253"/>
      <c r="C2427" s="40"/>
      <c r="D2427" s="40"/>
      <c r="E2427" s="41"/>
      <c r="F2427" s="35" t="s">
        <v>23</v>
      </c>
      <c r="G2427" s="38" t="str">
        <f t="shared" si="43"/>
        <v/>
      </c>
      <c r="H2427" s="39"/>
      <c r="I2427" s="35"/>
      <c r="J2427" s="34">
        <v>0</v>
      </c>
    </row>
    <row r="2428" spans="1:10" ht="15.75" hidden="1" thickBot="1" x14ac:dyDescent="0.3">
      <c r="A2428" s="248" t="s">
        <v>612</v>
      </c>
      <c r="B2428" s="251" t="s">
        <v>2419</v>
      </c>
      <c r="C2428" s="28"/>
      <c r="D2428" s="29" t="s">
        <v>78</v>
      </c>
      <c r="E2428" s="30"/>
      <c r="F2428" s="45" t="s">
        <v>23</v>
      </c>
      <c r="G2428" s="31" t="str">
        <f t="shared" si="43"/>
        <v/>
      </c>
      <c r="H2428" s="32"/>
      <c r="I2428" s="33"/>
      <c r="J2428" s="34">
        <v>0</v>
      </c>
    </row>
    <row r="2429" spans="1:10" ht="15.75" hidden="1" thickBot="1" x14ac:dyDescent="0.3">
      <c r="A2429" s="249"/>
      <c r="B2429" s="252"/>
      <c r="C2429" s="36"/>
      <c r="D2429" s="36"/>
      <c r="E2429" s="37"/>
      <c r="F2429" s="46" t="s">
        <v>23</v>
      </c>
      <c r="G2429" s="38" t="str">
        <f t="shared" si="43"/>
        <v/>
      </c>
      <c r="H2429" s="39"/>
      <c r="I2429" s="35"/>
      <c r="J2429" s="34">
        <v>0</v>
      </c>
    </row>
    <row r="2430" spans="1:10" ht="26.25" hidden="1" thickBot="1" x14ac:dyDescent="0.3">
      <c r="A2430" s="249"/>
      <c r="B2430" s="252"/>
      <c r="C2430" s="40" t="s">
        <v>3948</v>
      </c>
      <c r="D2430" s="40" t="s">
        <v>177</v>
      </c>
      <c r="E2430" s="41">
        <v>1</v>
      </c>
      <c r="F2430" s="35">
        <v>65.730499999999992</v>
      </c>
      <c r="G2430" s="38">
        <f t="shared" si="43"/>
        <v>65.730499999999992</v>
      </c>
      <c r="H2430" s="43">
        <f>SUM(G2430:G2430)</f>
        <v>65.730499999999992</v>
      </c>
      <c r="I2430" s="44"/>
      <c r="J2430" s="34">
        <v>0</v>
      </c>
    </row>
    <row r="2431" spans="1:10" ht="15.75" hidden="1" thickBot="1" x14ac:dyDescent="0.3">
      <c r="A2431" s="250"/>
      <c r="B2431" s="253"/>
      <c r="C2431" s="40"/>
      <c r="D2431" s="40"/>
      <c r="E2431" s="41"/>
      <c r="F2431" s="35" t="s">
        <v>23</v>
      </c>
      <c r="G2431" s="38" t="str">
        <f t="shared" si="43"/>
        <v/>
      </c>
      <c r="H2431" s="39"/>
      <c r="I2431" s="35"/>
      <c r="J2431" s="34">
        <v>0</v>
      </c>
    </row>
    <row r="2432" spans="1:10" ht="15.75" hidden="1" thickBot="1" x14ac:dyDescent="0.3">
      <c r="A2432" s="248" t="s">
        <v>613</v>
      </c>
      <c r="B2432" s="251" t="s">
        <v>2420</v>
      </c>
      <c r="C2432" s="28"/>
      <c r="D2432" s="29" t="s">
        <v>78</v>
      </c>
      <c r="E2432" s="30"/>
      <c r="F2432" s="45" t="s">
        <v>23</v>
      </c>
      <c r="G2432" s="31" t="str">
        <f t="shared" si="43"/>
        <v/>
      </c>
      <c r="H2432" s="32"/>
      <c r="I2432" s="33"/>
      <c r="J2432" s="34">
        <v>0</v>
      </c>
    </row>
    <row r="2433" spans="1:10" ht="15.75" hidden="1" thickBot="1" x14ac:dyDescent="0.3">
      <c r="A2433" s="249"/>
      <c r="B2433" s="252"/>
      <c r="C2433" s="36"/>
      <c r="D2433" s="36"/>
      <c r="E2433" s="37"/>
      <c r="F2433" s="46" t="s">
        <v>23</v>
      </c>
      <c r="G2433" s="38" t="str">
        <f t="shared" si="43"/>
        <v/>
      </c>
      <c r="H2433" s="39"/>
      <c r="I2433" s="35"/>
      <c r="J2433" s="34">
        <v>0</v>
      </c>
    </row>
    <row r="2434" spans="1:10" ht="26.25" hidden="1" thickBot="1" x14ac:dyDescent="0.3">
      <c r="A2434" s="249"/>
      <c r="B2434" s="252"/>
      <c r="C2434" s="40" t="s">
        <v>3948</v>
      </c>
      <c r="D2434" s="40" t="s">
        <v>177</v>
      </c>
      <c r="E2434" s="41">
        <v>1</v>
      </c>
      <c r="F2434" s="35">
        <v>65.730499999999992</v>
      </c>
      <c r="G2434" s="38">
        <f t="shared" si="43"/>
        <v>65.730499999999992</v>
      </c>
      <c r="H2434" s="43">
        <f>SUM(G2434:G2434)</f>
        <v>65.730499999999992</v>
      </c>
      <c r="I2434" s="44"/>
      <c r="J2434" s="34">
        <v>0</v>
      </c>
    </row>
    <row r="2435" spans="1:10" ht="15.75" hidden="1" thickBot="1" x14ac:dyDescent="0.3">
      <c r="A2435" s="250"/>
      <c r="B2435" s="253"/>
      <c r="C2435" s="40"/>
      <c r="D2435" s="40"/>
      <c r="E2435" s="41"/>
      <c r="F2435" s="35" t="s">
        <v>23</v>
      </c>
      <c r="G2435" s="38" t="str">
        <f t="shared" si="43"/>
        <v/>
      </c>
      <c r="H2435" s="39"/>
      <c r="I2435" s="35"/>
      <c r="J2435" s="34">
        <v>0</v>
      </c>
    </row>
    <row r="2436" spans="1:10" ht="15.75" hidden="1" thickBot="1" x14ac:dyDescent="0.3">
      <c r="A2436" s="248" t="s">
        <v>614</v>
      </c>
      <c r="B2436" s="251" t="s">
        <v>2421</v>
      </c>
      <c r="C2436" s="28"/>
      <c r="D2436" s="29" t="s">
        <v>78</v>
      </c>
      <c r="E2436" s="30"/>
      <c r="F2436" s="45" t="s">
        <v>23</v>
      </c>
      <c r="G2436" s="31" t="str">
        <f t="shared" si="43"/>
        <v/>
      </c>
      <c r="H2436" s="32"/>
      <c r="I2436" s="33"/>
      <c r="J2436" s="34">
        <v>0</v>
      </c>
    </row>
    <row r="2437" spans="1:10" ht="15.75" hidden="1" thickBot="1" x14ac:dyDescent="0.3">
      <c r="A2437" s="249"/>
      <c r="B2437" s="252"/>
      <c r="C2437" s="36"/>
      <c r="D2437" s="36"/>
      <c r="E2437" s="37"/>
      <c r="F2437" s="46" t="s">
        <v>23</v>
      </c>
      <c r="G2437" s="38" t="str">
        <f t="shared" si="43"/>
        <v/>
      </c>
      <c r="H2437" s="39"/>
      <c r="I2437" s="35"/>
      <c r="J2437" s="34">
        <v>0</v>
      </c>
    </row>
    <row r="2438" spans="1:10" ht="26.25" hidden="1" thickBot="1" x14ac:dyDescent="0.3">
      <c r="A2438" s="249"/>
      <c r="B2438" s="252"/>
      <c r="C2438" s="40" t="s">
        <v>3948</v>
      </c>
      <c r="D2438" s="40" t="s">
        <v>177</v>
      </c>
      <c r="E2438" s="41">
        <v>1</v>
      </c>
      <c r="F2438" s="35">
        <v>65.730499999999992</v>
      </c>
      <c r="G2438" s="38">
        <f t="shared" si="43"/>
        <v>65.730499999999992</v>
      </c>
      <c r="H2438" s="43">
        <f>SUM(G2438:G2438)</f>
        <v>65.730499999999992</v>
      </c>
      <c r="I2438" s="44"/>
      <c r="J2438" s="34">
        <v>0</v>
      </c>
    </row>
    <row r="2439" spans="1:10" ht="15.75" hidden="1" thickBot="1" x14ac:dyDescent="0.3">
      <c r="A2439" s="250"/>
      <c r="B2439" s="253"/>
      <c r="C2439" s="40"/>
      <c r="D2439" s="40"/>
      <c r="E2439" s="41"/>
      <c r="F2439" s="35" t="s">
        <v>23</v>
      </c>
      <c r="G2439" s="38" t="str">
        <f t="shared" si="43"/>
        <v/>
      </c>
      <c r="H2439" s="39"/>
      <c r="I2439" s="35"/>
      <c r="J2439" s="34">
        <v>0</v>
      </c>
    </row>
    <row r="2440" spans="1:10" ht="15.75" hidden="1" thickBot="1" x14ac:dyDescent="0.3">
      <c r="A2440" s="248" t="s">
        <v>615</v>
      </c>
      <c r="B2440" s="251" t="s">
        <v>2422</v>
      </c>
      <c r="C2440" s="28"/>
      <c r="D2440" s="29" t="s">
        <v>1748</v>
      </c>
      <c r="E2440" s="30"/>
      <c r="F2440" s="45" t="s">
        <v>23</v>
      </c>
      <c r="G2440" s="31" t="str">
        <f t="shared" si="43"/>
        <v/>
      </c>
      <c r="H2440" s="32"/>
      <c r="I2440" s="33"/>
      <c r="J2440" s="34">
        <v>0</v>
      </c>
    </row>
    <row r="2441" spans="1:10" ht="15.75" hidden="1" thickBot="1" x14ac:dyDescent="0.3">
      <c r="A2441" s="249"/>
      <c r="B2441" s="252"/>
      <c r="C2441" s="36"/>
      <c r="D2441" s="36"/>
      <c r="E2441" s="37"/>
      <c r="F2441" s="46" t="s">
        <v>23</v>
      </c>
      <c r="G2441" s="38" t="str">
        <f t="shared" si="43"/>
        <v/>
      </c>
      <c r="H2441" s="39"/>
      <c r="I2441" s="35"/>
      <c r="J2441" s="34">
        <v>0</v>
      </c>
    </row>
    <row r="2442" spans="1:10" ht="26.25" hidden="1" thickBot="1" x14ac:dyDescent="0.3">
      <c r="A2442" s="249"/>
      <c r="B2442" s="252"/>
      <c r="C2442" s="40" t="s">
        <v>3949</v>
      </c>
      <c r="D2442" s="40" t="s">
        <v>1286</v>
      </c>
      <c r="E2442" s="41">
        <f>1/(0.025*0.3)</f>
        <v>133.33333333333334</v>
      </c>
      <c r="F2442" s="35">
        <v>12.824999999999999</v>
      </c>
      <c r="G2442" s="38">
        <f t="shared" si="43"/>
        <v>1710</v>
      </c>
      <c r="H2442" s="43">
        <f>SUM(G2442:G2442)</f>
        <v>1710</v>
      </c>
      <c r="I2442" s="44"/>
      <c r="J2442" s="34">
        <v>0</v>
      </c>
    </row>
    <row r="2443" spans="1:10" ht="15.75" hidden="1" thickBot="1" x14ac:dyDescent="0.3">
      <c r="A2443" s="250"/>
      <c r="B2443" s="253"/>
      <c r="C2443" s="40"/>
      <c r="D2443" s="40"/>
      <c r="E2443" s="41"/>
      <c r="F2443" s="35" t="s">
        <v>23</v>
      </c>
      <c r="G2443" s="38" t="str">
        <f t="shared" si="43"/>
        <v/>
      </c>
      <c r="H2443" s="39"/>
      <c r="I2443" s="35"/>
      <c r="J2443" s="34">
        <v>0</v>
      </c>
    </row>
    <row r="2444" spans="1:10" ht="15.75" hidden="1" thickBot="1" x14ac:dyDescent="0.3">
      <c r="A2444" s="248" t="s">
        <v>616</v>
      </c>
      <c r="B2444" s="251" t="s">
        <v>2423</v>
      </c>
      <c r="C2444" s="28"/>
      <c r="D2444" s="29" t="s">
        <v>121</v>
      </c>
      <c r="E2444" s="30"/>
      <c r="F2444" s="45" t="s">
        <v>23</v>
      </c>
      <c r="G2444" s="31" t="str">
        <f t="shared" si="43"/>
        <v/>
      </c>
      <c r="H2444" s="32"/>
      <c r="I2444" s="33"/>
      <c r="J2444" s="34">
        <v>0</v>
      </c>
    </row>
    <row r="2445" spans="1:10" ht="15.75" hidden="1" thickBot="1" x14ac:dyDescent="0.3">
      <c r="A2445" s="249"/>
      <c r="B2445" s="252"/>
      <c r="C2445" s="36"/>
      <c r="D2445" s="36"/>
      <c r="E2445" s="37"/>
      <c r="F2445" s="46" t="s">
        <v>23</v>
      </c>
      <c r="G2445" s="38" t="str">
        <f t="shared" si="43"/>
        <v/>
      </c>
      <c r="H2445" s="39"/>
      <c r="I2445" s="35"/>
      <c r="J2445" s="34">
        <v>0</v>
      </c>
    </row>
    <row r="2446" spans="1:10" ht="26.25" hidden="1" thickBot="1" x14ac:dyDescent="0.3">
      <c r="A2446" s="249"/>
      <c r="B2446" s="252"/>
      <c r="C2446" s="40" t="s">
        <v>3950</v>
      </c>
      <c r="D2446" s="40" t="s">
        <v>1286</v>
      </c>
      <c r="E2446" s="41">
        <v>1</v>
      </c>
      <c r="F2446" s="35">
        <v>3.9234999999999998</v>
      </c>
      <c r="G2446" s="38">
        <f t="shared" si="43"/>
        <v>3.9234999999999998</v>
      </c>
      <c r="H2446" s="43">
        <f>SUM(G2446:G2446)</f>
        <v>3.9234999999999998</v>
      </c>
      <c r="I2446" s="44"/>
      <c r="J2446" s="34">
        <v>0</v>
      </c>
    </row>
    <row r="2447" spans="1:10" ht="15.75" hidden="1" thickBot="1" x14ac:dyDescent="0.3">
      <c r="A2447" s="250"/>
      <c r="B2447" s="253"/>
      <c r="C2447" s="40"/>
      <c r="D2447" s="40"/>
      <c r="E2447" s="41"/>
      <c r="F2447" s="35" t="s">
        <v>23</v>
      </c>
      <c r="G2447" s="38" t="str">
        <f t="shared" si="43"/>
        <v/>
      </c>
      <c r="H2447" s="39"/>
      <c r="I2447" s="35"/>
      <c r="J2447" s="34">
        <v>0</v>
      </c>
    </row>
    <row r="2448" spans="1:10" ht="15.75" hidden="1" thickBot="1" x14ac:dyDescent="0.3">
      <c r="A2448" s="248" t="s">
        <v>617</v>
      </c>
      <c r="B2448" s="251" t="s">
        <v>2424</v>
      </c>
      <c r="C2448" s="28"/>
      <c r="D2448" s="29" t="s">
        <v>121</v>
      </c>
      <c r="E2448" s="30"/>
      <c r="F2448" s="45" t="s">
        <v>23</v>
      </c>
      <c r="G2448" s="31" t="str">
        <f t="shared" si="43"/>
        <v/>
      </c>
      <c r="H2448" s="32"/>
      <c r="I2448" s="33"/>
      <c r="J2448" s="34">
        <v>0</v>
      </c>
    </row>
    <row r="2449" spans="1:10" ht="15.75" hidden="1" thickBot="1" x14ac:dyDescent="0.3">
      <c r="A2449" s="249"/>
      <c r="B2449" s="252"/>
      <c r="C2449" s="36"/>
      <c r="D2449" s="36"/>
      <c r="E2449" s="37"/>
      <c r="F2449" s="46" t="s">
        <v>23</v>
      </c>
      <c r="G2449" s="38" t="str">
        <f t="shared" si="43"/>
        <v/>
      </c>
      <c r="H2449" s="39"/>
      <c r="I2449" s="35"/>
      <c r="J2449" s="34">
        <v>0</v>
      </c>
    </row>
    <row r="2450" spans="1:10" ht="26.25" hidden="1" thickBot="1" x14ac:dyDescent="0.3">
      <c r="A2450" s="249"/>
      <c r="B2450" s="252"/>
      <c r="C2450" s="40" t="s">
        <v>3951</v>
      </c>
      <c r="D2450" s="40" t="s">
        <v>1286</v>
      </c>
      <c r="E2450" s="41">
        <v>1</v>
      </c>
      <c r="F2450" s="35">
        <v>5.4435000000000002</v>
      </c>
      <c r="G2450" s="38">
        <f t="shared" si="43"/>
        <v>5.4435000000000002</v>
      </c>
      <c r="H2450" s="43">
        <f>SUM(G2450:G2450)</f>
        <v>5.4435000000000002</v>
      </c>
      <c r="I2450" s="44"/>
      <c r="J2450" s="34">
        <v>0</v>
      </c>
    </row>
    <row r="2451" spans="1:10" ht="15.75" hidden="1" thickBot="1" x14ac:dyDescent="0.3">
      <c r="A2451" s="250"/>
      <c r="B2451" s="253"/>
      <c r="C2451" s="40"/>
      <c r="D2451" s="40"/>
      <c r="E2451" s="41"/>
      <c r="F2451" s="35" t="s">
        <v>23</v>
      </c>
      <c r="G2451" s="38" t="str">
        <f t="shared" si="43"/>
        <v/>
      </c>
      <c r="H2451" s="39"/>
      <c r="I2451" s="35"/>
      <c r="J2451" s="34">
        <v>0</v>
      </c>
    </row>
    <row r="2452" spans="1:10" ht="15.75" hidden="1" thickBot="1" x14ac:dyDescent="0.3">
      <c r="A2452" s="248" t="s">
        <v>618</v>
      </c>
      <c r="B2452" s="251" t="s">
        <v>2425</v>
      </c>
      <c r="C2452" s="28"/>
      <c r="D2452" s="29" t="s">
        <v>78</v>
      </c>
      <c r="E2452" s="30"/>
      <c r="F2452" s="45" t="s">
        <v>23</v>
      </c>
      <c r="G2452" s="31" t="str">
        <f t="shared" si="43"/>
        <v/>
      </c>
      <c r="H2452" s="32"/>
      <c r="I2452" s="33"/>
      <c r="J2452" s="34">
        <v>0</v>
      </c>
    </row>
    <row r="2453" spans="1:10" ht="15.75" hidden="1" thickBot="1" x14ac:dyDescent="0.3">
      <c r="A2453" s="249"/>
      <c r="B2453" s="252"/>
      <c r="C2453" s="36"/>
      <c r="D2453" s="36"/>
      <c r="E2453" s="37"/>
      <c r="F2453" s="46" t="s">
        <v>23</v>
      </c>
      <c r="G2453" s="38" t="str">
        <f t="shared" si="43"/>
        <v/>
      </c>
      <c r="H2453" s="39"/>
      <c r="I2453" s="35"/>
      <c r="J2453" s="34">
        <v>0</v>
      </c>
    </row>
    <row r="2454" spans="1:10" ht="15.75" hidden="1" thickBot="1" x14ac:dyDescent="0.3">
      <c r="A2454" s="249"/>
      <c r="B2454" s="252"/>
      <c r="C2454" s="40" t="s">
        <v>3952</v>
      </c>
      <c r="D2454" s="40" t="s">
        <v>177</v>
      </c>
      <c r="E2454" s="41">
        <v>1</v>
      </c>
      <c r="F2454" s="35">
        <v>30.495000000000001</v>
      </c>
      <c r="G2454" s="38">
        <f t="shared" si="43"/>
        <v>30.495000000000001</v>
      </c>
      <c r="H2454" s="43">
        <f>SUM(G2454:G2454)</f>
        <v>30.495000000000001</v>
      </c>
      <c r="I2454" s="44"/>
      <c r="J2454" s="34">
        <v>0</v>
      </c>
    </row>
    <row r="2455" spans="1:10" ht="15.75" hidden="1" thickBot="1" x14ac:dyDescent="0.3">
      <c r="A2455" s="250"/>
      <c r="B2455" s="253"/>
      <c r="C2455" s="40"/>
      <c r="D2455" s="40"/>
      <c r="E2455" s="41"/>
      <c r="F2455" s="35" t="s">
        <v>23</v>
      </c>
      <c r="G2455" s="38" t="str">
        <f t="shared" si="43"/>
        <v/>
      </c>
      <c r="H2455" s="39"/>
      <c r="I2455" s="35"/>
      <c r="J2455" s="34">
        <v>0</v>
      </c>
    </row>
    <row r="2456" spans="1:10" ht="15.75" hidden="1" thickBot="1" x14ac:dyDescent="0.3">
      <c r="A2456" s="248" t="s">
        <v>619</v>
      </c>
      <c r="B2456" s="251" t="s">
        <v>2426</v>
      </c>
      <c r="C2456" s="28"/>
      <c r="D2456" s="29" t="s">
        <v>78</v>
      </c>
      <c r="E2456" s="30"/>
      <c r="F2456" s="45" t="s">
        <v>23</v>
      </c>
      <c r="G2456" s="31" t="str">
        <f t="shared" si="43"/>
        <v/>
      </c>
      <c r="H2456" s="32"/>
      <c r="I2456" s="33"/>
      <c r="J2456" s="34">
        <v>0</v>
      </c>
    </row>
    <row r="2457" spans="1:10" ht="15.75" hidden="1" thickBot="1" x14ac:dyDescent="0.3">
      <c r="A2457" s="249"/>
      <c r="B2457" s="252"/>
      <c r="C2457" s="36"/>
      <c r="D2457" s="36"/>
      <c r="E2457" s="37"/>
      <c r="F2457" s="46" t="s">
        <v>23</v>
      </c>
      <c r="G2457" s="38" t="str">
        <f t="shared" si="43"/>
        <v/>
      </c>
      <c r="H2457" s="39"/>
      <c r="I2457" s="35"/>
      <c r="J2457" s="34">
        <v>0</v>
      </c>
    </row>
    <row r="2458" spans="1:10" ht="26.25" hidden="1" thickBot="1" x14ac:dyDescent="0.3">
      <c r="A2458" s="249"/>
      <c r="B2458" s="252"/>
      <c r="C2458" s="40" t="s">
        <v>3953</v>
      </c>
      <c r="D2458" s="40" t="s">
        <v>177</v>
      </c>
      <c r="E2458" s="41">
        <v>1</v>
      </c>
      <c r="F2458" s="35">
        <v>47.841999999999999</v>
      </c>
      <c r="G2458" s="38">
        <f t="shared" si="43"/>
        <v>47.841999999999999</v>
      </c>
      <c r="H2458" s="43">
        <f>SUM(G2458:G2458)</f>
        <v>47.841999999999999</v>
      </c>
      <c r="I2458" s="44"/>
      <c r="J2458" s="34">
        <v>0</v>
      </c>
    </row>
    <row r="2459" spans="1:10" ht="15.75" hidden="1" thickBot="1" x14ac:dyDescent="0.3">
      <c r="A2459" s="250"/>
      <c r="B2459" s="253"/>
      <c r="C2459" s="40"/>
      <c r="D2459" s="40"/>
      <c r="E2459" s="41"/>
      <c r="F2459" s="35" t="s">
        <v>23</v>
      </c>
      <c r="G2459" s="38" t="str">
        <f t="shared" si="43"/>
        <v/>
      </c>
      <c r="H2459" s="39"/>
      <c r="I2459" s="35"/>
      <c r="J2459" s="34">
        <v>0</v>
      </c>
    </row>
    <row r="2460" spans="1:10" ht="15.75" hidden="1" thickBot="1" x14ac:dyDescent="0.3">
      <c r="A2460" s="248" t="s">
        <v>620</v>
      </c>
      <c r="B2460" s="251" t="s">
        <v>2427</v>
      </c>
      <c r="C2460" s="28"/>
      <c r="D2460" s="29" t="s">
        <v>78</v>
      </c>
      <c r="E2460" s="30"/>
      <c r="F2460" s="45" t="s">
        <v>23</v>
      </c>
      <c r="G2460" s="31" t="str">
        <f t="shared" si="43"/>
        <v/>
      </c>
      <c r="H2460" s="32"/>
      <c r="I2460" s="33"/>
      <c r="J2460" s="34">
        <v>0</v>
      </c>
    </row>
    <row r="2461" spans="1:10" ht="15.75" hidden="1" thickBot="1" x14ac:dyDescent="0.3">
      <c r="A2461" s="249"/>
      <c r="B2461" s="252"/>
      <c r="C2461" s="36"/>
      <c r="D2461" s="36"/>
      <c r="E2461" s="37"/>
      <c r="F2461" s="46" t="s">
        <v>23</v>
      </c>
      <c r="G2461" s="38" t="str">
        <f t="shared" si="43"/>
        <v/>
      </c>
      <c r="H2461" s="39"/>
      <c r="I2461" s="35"/>
      <c r="J2461" s="34">
        <v>0</v>
      </c>
    </row>
    <row r="2462" spans="1:10" ht="26.25" hidden="1" thickBot="1" x14ac:dyDescent="0.3">
      <c r="A2462" s="249"/>
      <c r="B2462" s="252"/>
      <c r="C2462" s="40" t="s">
        <v>3954</v>
      </c>
      <c r="D2462" s="40" t="s">
        <v>177</v>
      </c>
      <c r="E2462" s="41">
        <v>1</v>
      </c>
      <c r="F2462" s="35">
        <v>59.393999999999998</v>
      </c>
      <c r="G2462" s="38">
        <f t="shared" si="43"/>
        <v>59.393999999999998</v>
      </c>
      <c r="H2462" s="43">
        <f>SUM(G2462:G2462)</f>
        <v>59.393999999999998</v>
      </c>
      <c r="I2462" s="44"/>
      <c r="J2462" s="34">
        <v>0</v>
      </c>
    </row>
    <row r="2463" spans="1:10" ht="15.75" hidden="1" thickBot="1" x14ac:dyDescent="0.3">
      <c r="A2463" s="250"/>
      <c r="B2463" s="253"/>
      <c r="C2463" s="40"/>
      <c r="D2463" s="40"/>
      <c r="E2463" s="41"/>
      <c r="F2463" s="35" t="s">
        <v>23</v>
      </c>
      <c r="G2463" s="38" t="str">
        <f t="shared" si="43"/>
        <v/>
      </c>
      <c r="H2463" s="39"/>
      <c r="I2463" s="35"/>
      <c r="J2463" s="34">
        <v>0</v>
      </c>
    </row>
    <row r="2464" spans="1:10" ht="15.75" hidden="1" thickBot="1" x14ac:dyDescent="0.3">
      <c r="A2464" s="248" t="s">
        <v>621</v>
      </c>
      <c r="B2464" s="251" t="s">
        <v>2428</v>
      </c>
      <c r="C2464" s="28"/>
      <c r="D2464" s="29" t="s">
        <v>121</v>
      </c>
      <c r="E2464" s="30"/>
      <c r="F2464" s="45" t="s">
        <v>23</v>
      </c>
      <c r="G2464" s="31" t="str">
        <f t="shared" si="43"/>
        <v/>
      </c>
      <c r="H2464" s="32"/>
      <c r="I2464" s="33"/>
      <c r="J2464" s="34">
        <v>0</v>
      </c>
    </row>
    <row r="2465" spans="1:10" ht="15.75" hidden="1" thickBot="1" x14ac:dyDescent="0.3">
      <c r="A2465" s="249"/>
      <c r="B2465" s="252"/>
      <c r="C2465" s="36"/>
      <c r="D2465" s="36"/>
      <c r="E2465" s="37"/>
      <c r="F2465" s="46" t="s">
        <v>23</v>
      </c>
      <c r="G2465" s="38" t="str">
        <f t="shared" si="43"/>
        <v/>
      </c>
      <c r="H2465" s="39"/>
      <c r="I2465" s="35"/>
      <c r="J2465" s="34">
        <v>0</v>
      </c>
    </row>
    <row r="2466" spans="1:10" ht="26.25" hidden="1" thickBot="1" x14ac:dyDescent="0.3">
      <c r="A2466" s="249"/>
      <c r="B2466" s="252"/>
      <c r="C2466" s="40" t="s">
        <v>3981</v>
      </c>
      <c r="D2466" s="40" t="s">
        <v>1035</v>
      </c>
      <c r="E2466" s="41">
        <v>1.73</v>
      </c>
      <c r="F2466" s="35">
        <v>9.5854999999999997</v>
      </c>
      <c r="G2466" s="38">
        <f t="shared" si="43"/>
        <v>16.582915</v>
      </c>
      <c r="H2466" s="43">
        <f>SUM(G2466:G2466)</f>
        <v>16.582915</v>
      </c>
      <c r="I2466" s="44"/>
      <c r="J2466" s="34">
        <v>0</v>
      </c>
    </row>
    <row r="2467" spans="1:10" ht="15.75" hidden="1" thickBot="1" x14ac:dyDescent="0.3">
      <c r="A2467" s="250"/>
      <c r="B2467" s="253"/>
      <c r="C2467" s="40"/>
      <c r="D2467" s="40"/>
      <c r="E2467" s="41"/>
      <c r="F2467" s="35" t="s">
        <v>23</v>
      </c>
      <c r="G2467" s="38" t="str">
        <f t="shared" si="43"/>
        <v/>
      </c>
      <c r="H2467" s="39"/>
      <c r="I2467" s="35"/>
      <c r="J2467" s="34">
        <v>0</v>
      </c>
    </row>
    <row r="2468" spans="1:10" ht="15.75" hidden="1" thickBot="1" x14ac:dyDescent="0.3">
      <c r="A2468" s="248" t="s">
        <v>622</v>
      </c>
      <c r="B2468" s="251" t="s">
        <v>2429</v>
      </c>
      <c r="C2468" s="28"/>
      <c r="D2468" s="29" t="s">
        <v>121</v>
      </c>
      <c r="E2468" s="30"/>
      <c r="F2468" s="45" t="s">
        <v>23</v>
      </c>
      <c r="G2468" s="31" t="str">
        <f t="shared" si="43"/>
        <v/>
      </c>
      <c r="H2468" s="32"/>
      <c r="I2468" s="33"/>
      <c r="J2468" s="34">
        <v>0</v>
      </c>
    </row>
    <row r="2469" spans="1:10" ht="15.75" hidden="1" thickBot="1" x14ac:dyDescent="0.3">
      <c r="A2469" s="249"/>
      <c r="B2469" s="252"/>
      <c r="C2469" s="36"/>
      <c r="D2469" s="36"/>
      <c r="E2469" s="37"/>
      <c r="F2469" s="46" t="s">
        <v>23</v>
      </c>
      <c r="G2469" s="38" t="str">
        <f t="shared" si="43"/>
        <v/>
      </c>
      <c r="H2469" s="39"/>
      <c r="I2469" s="35"/>
      <c r="J2469" s="34">
        <v>0</v>
      </c>
    </row>
    <row r="2470" spans="1:10" ht="26.25" hidden="1" thickBot="1" x14ac:dyDescent="0.3">
      <c r="A2470" s="249"/>
      <c r="B2470" s="252"/>
      <c r="C2470" s="40" t="s">
        <v>3981</v>
      </c>
      <c r="D2470" s="40" t="s">
        <v>1035</v>
      </c>
      <c r="E2470" s="41">
        <v>2.2000000000000002</v>
      </c>
      <c r="F2470" s="35">
        <v>9.5854999999999997</v>
      </c>
      <c r="G2470" s="38">
        <f t="shared" si="43"/>
        <v>21.088100000000001</v>
      </c>
      <c r="H2470" s="43">
        <f>SUM(G2470:G2470)</f>
        <v>21.088100000000001</v>
      </c>
      <c r="I2470" s="44"/>
      <c r="J2470" s="34">
        <v>0</v>
      </c>
    </row>
    <row r="2471" spans="1:10" ht="15.75" hidden="1" thickBot="1" x14ac:dyDescent="0.3">
      <c r="A2471" s="250"/>
      <c r="B2471" s="253"/>
      <c r="C2471" s="40"/>
      <c r="D2471" s="40"/>
      <c r="E2471" s="41"/>
      <c r="F2471" s="35" t="s">
        <v>23</v>
      </c>
      <c r="G2471" s="38" t="str">
        <f t="shared" si="43"/>
        <v/>
      </c>
      <c r="H2471" s="39"/>
      <c r="I2471" s="35"/>
      <c r="J2471" s="34">
        <v>0</v>
      </c>
    </row>
    <row r="2472" spans="1:10" ht="15.75" hidden="1" thickBot="1" x14ac:dyDescent="0.3">
      <c r="A2472" s="248" t="s">
        <v>623</v>
      </c>
      <c r="B2472" s="251" t="s">
        <v>2430</v>
      </c>
      <c r="C2472" s="28"/>
      <c r="D2472" s="29" t="s">
        <v>121</v>
      </c>
      <c r="E2472" s="30"/>
      <c r="F2472" s="45" t="s">
        <v>23</v>
      </c>
      <c r="G2472" s="31" t="str">
        <f t="shared" si="43"/>
        <v/>
      </c>
      <c r="H2472" s="32"/>
      <c r="I2472" s="33"/>
      <c r="J2472" s="34">
        <v>0</v>
      </c>
    </row>
    <row r="2473" spans="1:10" ht="15.75" hidden="1" thickBot="1" x14ac:dyDescent="0.3">
      <c r="A2473" s="249"/>
      <c r="B2473" s="252"/>
      <c r="C2473" s="36"/>
      <c r="D2473" s="36"/>
      <c r="E2473" s="37"/>
      <c r="F2473" s="46" t="s">
        <v>23</v>
      </c>
      <c r="G2473" s="38" t="str">
        <f t="shared" si="43"/>
        <v/>
      </c>
      <c r="H2473" s="39"/>
      <c r="I2473" s="35"/>
      <c r="J2473" s="34">
        <v>0</v>
      </c>
    </row>
    <row r="2474" spans="1:10" ht="26.25" hidden="1" thickBot="1" x14ac:dyDescent="0.3">
      <c r="A2474" s="249"/>
      <c r="B2474" s="252"/>
      <c r="C2474" s="40" t="s">
        <v>3981</v>
      </c>
      <c r="D2474" s="40" t="s">
        <v>1035</v>
      </c>
      <c r="E2474" s="41">
        <v>2.46</v>
      </c>
      <c r="F2474" s="35">
        <v>9.5854999999999997</v>
      </c>
      <c r="G2474" s="38">
        <f t="shared" si="43"/>
        <v>23.58033</v>
      </c>
      <c r="H2474" s="43">
        <f>SUM(G2474:G2474)</f>
        <v>23.58033</v>
      </c>
      <c r="I2474" s="44"/>
      <c r="J2474" s="34">
        <v>0</v>
      </c>
    </row>
    <row r="2475" spans="1:10" ht="15.75" hidden="1" thickBot="1" x14ac:dyDescent="0.3">
      <c r="A2475" s="250"/>
      <c r="B2475" s="253"/>
      <c r="C2475" s="40"/>
      <c r="D2475" s="40"/>
      <c r="E2475" s="41"/>
      <c r="F2475" s="35" t="s">
        <v>23</v>
      </c>
      <c r="G2475" s="38" t="str">
        <f t="shared" si="43"/>
        <v/>
      </c>
      <c r="H2475" s="39"/>
      <c r="I2475" s="35"/>
      <c r="J2475" s="34">
        <v>0</v>
      </c>
    </row>
    <row r="2476" spans="1:10" ht="15.75" hidden="1" thickBot="1" x14ac:dyDescent="0.3">
      <c r="A2476" s="248" t="s">
        <v>624</v>
      </c>
      <c r="B2476" s="251" t="s">
        <v>2431</v>
      </c>
      <c r="C2476" s="28"/>
      <c r="D2476" s="29" t="s">
        <v>121</v>
      </c>
      <c r="E2476" s="30"/>
      <c r="F2476" s="45" t="s">
        <v>23</v>
      </c>
      <c r="G2476" s="31" t="str">
        <f t="shared" si="43"/>
        <v/>
      </c>
      <c r="H2476" s="32"/>
      <c r="I2476" s="33"/>
      <c r="J2476" s="34">
        <v>0</v>
      </c>
    </row>
    <row r="2477" spans="1:10" ht="15.75" hidden="1" thickBot="1" x14ac:dyDescent="0.3">
      <c r="A2477" s="249"/>
      <c r="B2477" s="252"/>
      <c r="C2477" s="36"/>
      <c r="D2477" s="36"/>
      <c r="E2477" s="37"/>
      <c r="F2477" s="46" t="s">
        <v>23</v>
      </c>
      <c r="G2477" s="38" t="str">
        <f t="shared" si="43"/>
        <v/>
      </c>
      <c r="H2477" s="39"/>
      <c r="I2477" s="35"/>
      <c r="J2477" s="34">
        <v>0</v>
      </c>
    </row>
    <row r="2478" spans="1:10" ht="26.25" hidden="1" thickBot="1" x14ac:dyDescent="0.3">
      <c r="A2478" s="249"/>
      <c r="B2478" s="252"/>
      <c r="C2478" s="40" t="s">
        <v>3981</v>
      </c>
      <c r="D2478" s="40" t="s">
        <v>1035</v>
      </c>
      <c r="E2478" s="41">
        <v>3.63</v>
      </c>
      <c r="F2478" s="35">
        <v>9.5854999999999997</v>
      </c>
      <c r="G2478" s="38">
        <f t="shared" si="43"/>
        <v>34.795364999999997</v>
      </c>
      <c r="H2478" s="43">
        <f>SUM(G2478:G2478)</f>
        <v>34.795364999999997</v>
      </c>
      <c r="I2478" s="44"/>
      <c r="J2478" s="34">
        <v>0</v>
      </c>
    </row>
    <row r="2479" spans="1:10" ht="15.75" hidden="1" thickBot="1" x14ac:dyDescent="0.3">
      <c r="A2479" s="250"/>
      <c r="B2479" s="253"/>
      <c r="C2479" s="40"/>
      <c r="D2479" s="40"/>
      <c r="E2479" s="41"/>
      <c r="F2479" s="35" t="s">
        <v>23</v>
      </c>
      <c r="G2479" s="38" t="str">
        <f t="shared" si="43"/>
        <v/>
      </c>
      <c r="H2479" s="39"/>
      <c r="I2479" s="35"/>
      <c r="J2479" s="34">
        <v>0</v>
      </c>
    </row>
    <row r="2480" spans="1:10" ht="15.75" hidden="1" thickBot="1" x14ac:dyDescent="0.3">
      <c r="A2480" s="248" t="s">
        <v>625</v>
      </c>
      <c r="B2480" s="251" t="s">
        <v>2432</v>
      </c>
      <c r="C2480" s="28"/>
      <c r="D2480" s="29" t="s">
        <v>121</v>
      </c>
      <c r="E2480" s="30"/>
      <c r="F2480" s="45" t="s">
        <v>23</v>
      </c>
      <c r="G2480" s="31" t="str">
        <f t="shared" si="43"/>
        <v/>
      </c>
      <c r="H2480" s="32"/>
      <c r="I2480" s="33"/>
      <c r="J2480" s="34">
        <v>0</v>
      </c>
    </row>
    <row r="2481" spans="1:10" ht="15.75" hidden="1" thickBot="1" x14ac:dyDescent="0.3">
      <c r="A2481" s="249"/>
      <c r="B2481" s="252"/>
      <c r="C2481" s="36"/>
      <c r="D2481" s="36"/>
      <c r="E2481" s="37"/>
      <c r="F2481" s="46" t="s">
        <v>23</v>
      </c>
      <c r="G2481" s="38" t="str">
        <f t="shared" si="43"/>
        <v/>
      </c>
      <c r="H2481" s="39"/>
      <c r="I2481" s="35"/>
      <c r="J2481" s="34">
        <v>0</v>
      </c>
    </row>
    <row r="2482" spans="1:10" ht="26.25" hidden="1" thickBot="1" x14ac:dyDescent="0.3">
      <c r="A2482" s="249"/>
      <c r="B2482" s="252"/>
      <c r="C2482" s="40" t="s">
        <v>3981</v>
      </c>
      <c r="D2482" s="40" t="s">
        <v>1035</v>
      </c>
      <c r="E2482" s="41">
        <v>0.71</v>
      </c>
      <c r="F2482" s="35">
        <v>9.5854999999999997</v>
      </c>
      <c r="G2482" s="38">
        <f t="shared" ref="G2482:G2545" si="44">IF(ISNUMBER(F2482),E2482*F2482,"")</f>
        <v>6.8057049999999997</v>
      </c>
      <c r="H2482" s="43">
        <f>SUM(G2482:G2482)</f>
        <v>6.8057049999999997</v>
      </c>
      <c r="I2482" s="44"/>
      <c r="J2482" s="34">
        <v>0</v>
      </c>
    </row>
    <row r="2483" spans="1:10" ht="15.75" hidden="1" thickBot="1" x14ac:dyDescent="0.3">
      <c r="A2483" s="250"/>
      <c r="B2483" s="253"/>
      <c r="C2483" s="40"/>
      <c r="D2483" s="40"/>
      <c r="E2483" s="41"/>
      <c r="F2483" s="35" t="s">
        <v>23</v>
      </c>
      <c r="G2483" s="38" t="str">
        <f t="shared" si="44"/>
        <v/>
      </c>
      <c r="H2483" s="39"/>
      <c r="I2483" s="35"/>
      <c r="J2483" s="34">
        <v>0</v>
      </c>
    </row>
    <row r="2484" spans="1:10" ht="15.75" hidden="1" thickBot="1" x14ac:dyDescent="0.3">
      <c r="A2484" s="248" t="s">
        <v>626</v>
      </c>
      <c r="B2484" s="251" t="s">
        <v>2433</v>
      </c>
      <c r="C2484" s="28"/>
      <c r="D2484" s="29" t="s">
        <v>82</v>
      </c>
      <c r="E2484" s="30"/>
      <c r="F2484" s="45" t="s">
        <v>23</v>
      </c>
      <c r="G2484" s="31" t="str">
        <f t="shared" si="44"/>
        <v/>
      </c>
      <c r="H2484" s="32"/>
      <c r="I2484" s="33"/>
      <c r="J2484" s="34">
        <v>0</v>
      </c>
    </row>
    <row r="2485" spans="1:10" ht="15.75" hidden="1" thickBot="1" x14ac:dyDescent="0.3">
      <c r="A2485" s="249"/>
      <c r="B2485" s="252"/>
      <c r="C2485" s="36"/>
      <c r="D2485" s="36"/>
      <c r="E2485" s="37"/>
      <c r="F2485" s="46" t="s">
        <v>23</v>
      </c>
      <c r="G2485" s="38" t="str">
        <f t="shared" si="44"/>
        <v/>
      </c>
      <c r="H2485" s="39"/>
      <c r="I2485" s="35"/>
      <c r="J2485" s="34">
        <v>0</v>
      </c>
    </row>
    <row r="2486" spans="1:10" ht="26.25" hidden="1" thickBot="1" x14ac:dyDescent="0.3">
      <c r="A2486" s="249"/>
      <c r="B2486" s="252"/>
      <c r="C2486" s="40" t="s">
        <v>3955</v>
      </c>
      <c r="D2486" s="40" t="s">
        <v>1035</v>
      </c>
      <c r="E2486" s="41">
        <v>1</v>
      </c>
      <c r="F2486" s="35">
        <v>13.328499999999998</v>
      </c>
      <c r="G2486" s="38">
        <f t="shared" si="44"/>
        <v>13.328499999999998</v>
      </c>
      <c r="H2486" s="43">
        <f>SUM(G2486:G2486)</f>
        <v>13.328499999999998</v>
      </c>
      <c r="I2486" s="44"/>
      <c r="J2486" s="34">
        <v>0</v>
      </c>
    </row>
    <row r="2487" spans="1:10" ht="15.75" hidden="1" thickBot="1" x14ac:dyDescent="0.3">
      <c r="A2487" s="250"/>
      <c r="B2487" s="253"/>
      <c r="C2487" s="40"/>
      <c r="D2487" s="40"/>
      <c r="E2487" s="41"/>
      <c r="F2487" s="35" t="s">
        <v>23</v>
      </c>
      <c r="G2487" s="38" t="str">
        <f t="shared" si="44"/>
        <v/>
      </c>
      <c r="H2487" s="39"/>
      <c r="I2487" s="35"/>
      <c r="J2487" s="34">
        <v>0</v>
      </c>
    </row>
    <row r="2488" spans="1:10" ht="15.75" hidden="1" thickBot="1" x14ac:dyDescent="0.3">
      <c r="A2488" s="248" t="s">
        <v>627</v>
      </c>
      <c r="B2488" s="251" t="s">
        <v>2434</v>
      </c>
      <c r="C2488" s="28"/>
      <c r="D2488" s="29" t="s">
        <v>121</v>
      </c>
      <c r="E2488" s="30"/>
      <c r="F2488" s="45" t="s">
        <v>23</v>
      </c>
      <c r="G2488" s="31" t="str">
        <f t="shared" si="44"/>
        <v/>
      </c>
      <c r="H2488" s="32"/>
      <c r="I2488" s="33"/>
      <c r="J2488" s="34">
        <v>0</v>
      </c>
    </row>
    <row r="2489" spans="1:10" ht="15.75" hidden="1" thickBot="1" x14ac:dyDescent="0.3">
      <c r="A2489" s="249"/>
      <c r="B2489" s="252"/>
      <c r="C2489" s="36"/>
      <c r="D2489" s="36"/>
      <c r="E2489" s="37"/>
      <c r="F2489" s="46" t="s">
        <v>23</v>
      </c>
      <c r="G2489" s="38" t="str">
        <f t="shared" si="44"/>
        <v/>
      </c>
      <c r="H2489" s="39"/>
      <c r="I2489" s="35"/>
      <c r="J2489" s="34">
        <v>0</v>
      </c>
    </row>
    <row r="2490" spans="1:10" ht="15.75" hidden="1" thickBot="1" x14ac:dyDescent="0.3">
      <c r="A2490" s="249"/>
      <c r="B2490" s="252"/>
      <c r="C2490" s="40" t="s">
        <v>3956</v>
      </c>
      <c r="D2490" s="40" t="s">
        <v>1035</v>
      </c>
      <c r="E2490" s="41">
        <v>0.63</v>
      </c>
      <c r="F2490" s="35">
        <v>9.6804999999999986</v>
      </c>
      <c r="G2490" s="38">
        <f t="shared" si="44"/>
        <v>6.0987149999999994</v>
      </c>
      <c r="H2490" s="43">
        <f>SUM(G2490:G2490)</f>
        <v>6.0987149999999994</v>
      </c>
      <c r="I2490" s="44"/>
      <c r="J2490" s="34">
        <v>0</v>
      </c>
    </row>
    <row r="2491" spans="1:10" ht="15.75" hidden="1" thickBot="1" x14ac:dyDescent="0.3">
      <c r="A2491" s="250"/>
      <c r="B2491" s="253"/>
      <c r="C2491" s="40"/>
      <c r="D2491" s="40"/>
      <c r="E2491" s="41"/>
      <c r="F2491" s="35" t="s">
        <v>23</v>
      </c>
      <c r="G2491" s="38" t="str">
        <f t="shared" si="44"/>
        <v/>
      </c>
      <c r="H2491" s="39"/>
      <c r="I2491" s="35"/>
      <c r="J2491" s="34">
        <v>0</v>
      </c>
    </row>
    <row r="2492" spans="1:10" ht="15.75" hidden="1" thickBot="1" x14ac:dyDescent="0.3">
      <c r="A2492" s="248" t="s">
        <v>628</v>
      </c>
      <c r="B2492" s="251" t="s">
        <v>2435</v>
      </c>
      <c r="C2492" s="28"/>
      <c r="D2492" s="29" t="s">
        <v>121</v>
      </c>
      <c r="E2492" s="30"/>
      <c r="F2492" s="45" t="s">
        <v>23</v>
      </c>
      <c r="G2492" s="31" t="str">
        <f t="shared" si="44"/>
        <v/>
      </c>
      <c r="H2492" s="32"/>
      <c r="I2492" s="33"/>
      <c r="J2492" s="34">
        <v>0</v>
      </c>
    </row>
    <row r="2493" spans="1:10" ht="15.75" hidden="1" thickBot="1" x14ac:dyDescent="0.3">
      <c r="A2493" s="249"/>
      <c r="B2493" s="252"/>
      <c r="C2493" s="36"/>
      <c r="D2493" s="36"/>
      <c r="E2493" s="37"/>
      <c r="F2493" s="46" t="s">
        <v>23</v>
      </c>
      <c r="G2493" s="38" t="str">
        <f t="shared" si="44"/>
        <v/>
      </c>
      <c r="H2493" s="39"/>
      <c r="I2493" s="35"/>
      <c r="J2493" s="34">
        <v>0</v>
      </c>
    </row>
    <row r="2494" spans="1:10" ht="15.75" hidden="1" thickBot="1" x14ac:dyDescent="0.3">
      <c r="A2494" s="249"/>
      <c r="B2494" s="252"/>
      <c r="C2494" s="40" t="s">
        <v>3956</v>
      </c>
      <c r="D2494" s="40" t="s">
        <v>1035</v>
      </c>
      <c r="E2494" s="41">
        <v>0.95</v>
      </c>
      <c r="F2494" s="35">
        <v>9.6804999999999986</v>
      </c>
      <c r="G2494" s="38">
        <f t="shared" si="44"/>
        <v>9.1964749999999977</v>
      </c>
      <c r="H2494" s="43">
        <f>SUM(G2494:G2494)</f>
        <v>9.1964749999999977</v>
      </c>
      <c r="I2494" s="44"/>
      <c r="J2494" s="34">
        <v>0</v>
      </c>
    </row>
    <row r="2495" spans="1:10" ht="15.75" hidden="1" thickBot="1" x14ac:dyDescent="0.3">
      <c r="A2495" s="250"/>
      <c r="B2495" s="253"/>
      <c r="C2495" s="40"/>
      <c r="D2495" s="40"/>
      <c r="E2495" s="41"/>
      <c r="F2495" s="35" t="s">
        <v>23</v>
      </c>
      <c r="G2495" s="38" t="str">
        <f t="shared" si="44"/>
        <v/>
      </c>
      <c r="H2495" s="39"/>
      <c r="I2495" s="35"/>
      <c r="J2495" s="34">
        <v>0</v>
      </c>
    </row>
    <row r="2496" spans="1:10" ht="15.75" hidden="1" thickBot="1" x14ac:dyDescent="0.3">
      <c r="A2496" s="248" t="s">
        <v>629</v>
      </c>
      <c r="B2496" s="251" t="s">
        <v>2436</v>
      </c>
      <c r="C2496" s="28"/>
      <c r="D2496" s="29" t="s">
        <v>121</v>
      </c>
      <c r="E2496" s="30"/>
      <c r="F2496" s="45" t="s">
        <v>23</v>
      </c>
      <c r="G2496" s="31" t="str">
        <f t="shared" si="44"/>
        <v/>
      </c>
      <c r="H2496" s="32"/>
      <c r="I2496" s="33"/>
      <c r="J2496" s="34">
        <v>0</v>
      </c>
    </row>
    <row r="2497" spans="1:10" ht="15.75" hidden="1" thickBot="1" x14ac:dyDescent="0.3">
      <c r="A2497" s="249"/>
      <c r="B2497" s="252"/>
      <c r="C2497" s="36"/>
      <c r="D2497" s="36"/>
      <c r="E2497" s="37"/>
      <c r="F2497" s="46" t="s">
        <v>23</v>
      </c>
      <c r="G2497" s="38" t="str">
        <f t="shared" si="44"/>
        <v/>
      </c>
      <c r="H2497" s="39"/>
      <c r="I2497" s="35"/>
      <c r="J2497" s="34">
        <v>0</v>
      </c>
    </row>
    <row r="2498" spans="1:10" ht="15.75" hidden="1" thickBot="1" x14ac:dyDescent="0.3">
      <c r="A2498" s="249"/>
      <c r="B2498" s="252"/>
      <c r="C2498" s="40" t="s">
        <v>3956</v>
      </c>
      <c r="D2498" s="40" t="s">
        <v>1035</v>
      </c>
      <c r="E2498" s="41">
        <v>1.1100000000000001</v>
      </c>
      <c r="F2498" s="35">
        <v>9.6804999999999986</v>
      </c>
      <c r="G2498" s="38">
        <f t="shared" si="44"/>
        <v>10.745355</v>
      </c>
      <c r="H2498" s="43">
        <f>SUM(G2498:G2498)</f>
        <v>10.745355</v>
      </c>
      <c r="I2498" s="44"/>
      <c r="J2498" s="34">
        <v>0</v>
      </c>
    </row>
    <row r="2499" spans="1:10" ht="15.75" hidden="1" thickBot="1" x14ac:dyDescent="0.3">
      <c r="A2499" s="250"/>
      <c r="B2499" s="253"/>
      <c r="C2499" s="40"/>
      <c r="D2499" s="40"/>
      <c r="E2499" s="41"/>
      <c r="F2499" s="35" t="s">
        <v>23</v>
      </c>
      <c r="G2499" s="38" t="str">
        <f t="shared" si="44"/>
        <v/>
      </c>
      <c r="H2499" s="39"/>
      <c r="I2499" s="35"/>
      <c r="J2499" s="34">
        <v>0</v>
      </c>
    </row>
    <row r="2500" spans="1:10" ht="15.75" hidden="1" thickBot="1" x14ac:dyDescent="0.3">
      <c r="A2500" s="248" t="s">
        <v>630</v>
      </c>
      <c r="B2500" s="251" t="s">
        <v>2437</v>
      </c>
      <c r="C2500" s="28"/>
      <c r="D2500" s="29" t="s">
        <v>121</v>
      </c>
      <c r="E2500" s="30"/>
      <c r="F2500" s="45" t="s">
        <v>23</v>
      </c>
      <c r="G2500" s="31" t="str">
        <f t="shared" si="44"/>
        <v/>
      </c>
      <c r="H2500" s="32"/>
      <c r="I2500" s="33"/>
      <c r="J2500" s="34">
        <v>0</v>
      </c>
    </row>
    <row r="2501" spans="1:10" ht="15.75" hidden="1" thickBot="1" x14ac:dyDescent="0.3">
      <c r="A2501" s="249"/>
      <c r="B2501" s="252"/>
      <c r="C2501" s="36"/>
      <c r="D2501" s="36"/>
      <c r="E2501" s="37"/>
      <c r="F2501" s="46" t="s">
        <v>23</v>
      </c>
      <c r="G2501" s="38" t="str">
        <f t="shared" si="44"/>
        <v/>
      </c>
      <c r="H2501" s="39"/>
      <c r="I2501" s="35"/>
      <c r="J2501" s="34">
        <v>0</v>
      </c>
    </row>
    <row r="2502" spans="1:10" ht="15.75" hidden="1" thickBot="1" x14ac:dyDescent="0.3">
      <c r="A2502" s="249"/>
      <c r="B2502" s="252"/>
      <c r="C2502" s="40" t="s">
        <v>3956</v>
      </c>
      <c r="D2502" s="40" t="s">
        <v>1035</v>
      </c>
      <c r="E2502" s="41">
        <v>0.48</v>
      </c>
      <c r="F2502" s="35">
        <v>9.6804999999999986</v>
      </c>
      <c r="G2502" s="38">
        <f t="shared" si="44"/>
        <v>4.6466399999999988</v>
      </c>
      <c r="H2502" s="43">
        <f>SUM(G2502:G2502)</f>
        <v>4.6466399999999988</v>
      </c>
      <c r="I2502" s="44"/>
      <c r="J2502" s="34">
        <v>0</v>
      </c>
    </row>
    <row r="2503" spans="1:10" ht="15.75" hidden="1" thickBot="1" x14ac:dyDescent="0.3">
      <c r="A2503" s="250"/>
      <c r="B2503" s="253"/>
      <c r="C2503" s="40"/>
      <c r="D2503" s="40"/>
      <c r="E2503" s="41"/>
      <c r="F2503" s="35" t="s">
        <v>23</v>
      </c>
      <c r="G2503" s="38" t="str">
        <f t="shared" si="44"/>
        <v/>
      </c>
      <c r="H2503" s="39"/>
      <c r="I2503" s="35"/>
      <c r="J2503" s="34">
        <v>0</v>
      </c>
    </row>
    <row r="2504" spans="1:10" ht="15.75" hidden="1" thickBot="1" x14ac:dyDescent="0.3">
      <c r="A2504" s="248" t="s">
        <v>631</v>
      </c>
      <c r="B2504" s="251" t="s">
        <v>2438</v>
      </c>
      <c r="C2504" s="28"/>
      <c r="D2504" s="29" t="s">
        <v>121</v>
      </c>
      <c r="E2504" s="30"/>
      <c r="F2504" s="45" t="s">
        <v>23</v>
      </c>
      <c r="G2504" s="31" t="str">
        <f t="shared" si="44"/>
        <v/>
      </c>
      <c r="H2504" s="32"/>
      <c r="I2504" s="33"/>
      <c r="J2504" s="34">
        <v>0</v>
      </c>
    </row>
    <row r="2505" spans="1:10" ht="15.75" hidden="1" thickBot="1" x14ac:dyDescent="0.3">
      <c r="A2505" s="249"/>
      <c r="B2505" s="252"/>
      <c r="C2505" s="36"/>
      <c r="D2505" s="36"/>
      <c r="E2505" s="37"/>
      <c r="F2505" s="46" t="s">
        <v>23</v>
      </c>
      <c r="G2505" s="38" t="str">
        <f t="shared" si="44"/>
        <v/>
      </c>
      <c r="H2505" s="39"/>
      <c r="I2505" s="35"/>
      <c r="J2505" s="34">
        <v>0</v>
      </c>
    </row>
    <row r="2506" spans="1:10" ht="15.75" hidden="1" thickBot="1" x14ac:dyDescent="0.3">
      <c r="A2506" s="249"/>
      <c r="B2506" s="252"/>
      <c r="C2506" s="40" t="s">
        <v>3956</v>
      </c>
      <c r="D2506" s="40" t="s">
        <v>1035</v>
      </c>
      <c r="E2506" s="41">
        <v>0.71</v>
      </c>
      <c r="F2506" s="35">
        <v>9.6804999999999986</v>
      </c>
      <c r="G2506" s="38">
        <f t="shared" si="44"/>
        <v>6.8731549999999988</v>
      </c>
      <c r="H2506" s="43">
        <f>SUM(G2506:G2506)</f>
        <v>6.8731549999999988</v>
      </c>
      <c r="I2506" s="44"/>
      <c r="J2506" s="34">
        <v>0</v>
      </c>
    </row>
    <row r="2507" spans="1:10" ht="15.75" hidden="1" thickBot="1" x14ac:dyDescent="0.3">
      <c r="A2507" s="250"/>
      <c r="B2507" s="253"/>
      <c r="C2507" s="40"/>
      <c r="D2507" s="40"/>
      <c r="E2507" s="41"/>
      <c r="F2507" s="35" t="s">
        <v>23</v>
      </c>
      <c r="G2507" s="38" t="str">
        <f t="shared" si="44"/>
        <v/>
      </c>
      <c r="H2507" s="39"/>
      <c r="I2507" s="35"/>
      <c r="J2507" s="34">
        <v>0</v>
      </c>
    </row>
    <row r="2508" spans="1:10" ht="15.75" hidden="1" thickBot="1" x14ac:dyDescent="0.3">
      <c r="A2508" s="248" t="s">
        <v>632</v>
      </c>
      <c r="B2508" s="251" t="s">
        <v>2439</v>
      </c>
      <c r="C2508" s="28"/>
      <c r="D2508" s="29" t="s">
        <v>121</v>
      </c>
      <c r="E2508" s="30"/>
      <c r="F2508" s="45" t="s">
        <v>23</v>
      </c>
      <c r="G2508" s="31" t="str">
        <f t="shared" si="44"/>
        <v/>
      </c>
      <c r="H2508" s="32"/>
      <c r="I2508" s="33"/>
      <c r="J2508" s="34">
        <v>0</v>
      </c>
    </row>
    <row r="2509" spans="1:10" ht="15.75" hidden="1" thickBot="1" x14ac:dyDescent="0.3">
      <c r="A2509" s="249"/>
      <c r="B2509" s="252"/>
      <c r="C2509" s="36"/>
      <c r="D2509" s="36"/>
      <c r="E2509" s="37"/>
      <c r="F2509" s="46" t="s">
        <v>23</v>
      </c>
      <c r="G2509" s="38" t="str">
        <f t="shared" si="44"/>
        <v/>
      </c>
      <c r="H2509" s="39"/>
      <c r="I2509" s="35"/>
      <c r="J2509" s="34">
        <v>0</v>
      </c>
    </row>
    <row r="2510" spans="1:10" ht="15.75" hidden="1" thickBot="1" x14ac:dyDescent="0.3">
      <c r="A2510" s="249"/>
      <c r="B2510" s="252"/>
      <c r="C2510" s="40" t="s">
        <v>3956</v>
      </c>
      <c r="D2510" s="40" t="s">
        <v>1035</v>
      </c>
      <c r="E2510" s="41">
        <v>0.4</v>
      </c>
      <c r="F2510" s="35">
        <v>9.6804999999999986</v>
      </c>
      <c r="G2510" s="38">
        <f t="shared" si="44"/>
        <v>3.8721999999999994</v>
      </c>
      <c r="H2510" s="43">
        <f>SUM(G2510:G2510)</f>
        <v>3.8721999999999994</v>
      </c>
      <c r="I2510" s="44"/>
      <c r="J2510" s="34">
        <v>0</v>
      </c>
    </row>
    <row r="2511" spans="1:10" ht="15.75" hidden="1" thickBot="1" x14ac:dyDescent="0.3">
      <c r="A2511" s="250"/>
      <c r="B2511" s="253"/>
      <c r="C2511" s="40"/>
      <c r="D2511" s="40"/>
      <c r="E2511" s="41"/>
      <c r="F2511" s="35" t="s">
        <v>23</v>
      </c>
      <c r="G2511" s="38" t="str">
        <f t="shared" si="44"/>
        <v/>
      </c>
      <c r="H2511" s="39"/>
      <c r="I2511" s="35"/>
      <c r="J2511" s="34">
        <v>0</v>
      </c>
    </row>
    <row r="2512" spans="1:10" ht="15.75" hidden="1" thickBot="1" x14ac:dyDescent="0.3">
      <c r="A2512" s="248" t="s">
        <v>633</v>
      </c>
      <c r="B2512" s="251" t="s">
        <v>2440</v>
      </c>
      <c r="C2512" s="28"/>
      <c r="D2512" s="29" t="s">
        <v>121</v>
      </c>
      <c r="E2512" s="30"/>
      <c r="F2512" s="45" t="s">
        <v>23</v>
      </c>
      <c r="G2512" s="31" t="str">
        <f t="shared" si="44"/>
        <v/>
      </c>
      <c r="H2512" s="32"/>
      <c r="I2512" s="33"/>
      <c r="J2512" s="34">
        <v>0</v>
      </c>
    </row>
    <row r="2513" spans="1:10" ht="15.75" hidden="1" thickBot="1" x14ac:dyDescent="0.3">
      <c r="A2513" s="249"/>
      <c r="B2513" s="252"/>
      <c r="C2513" s="36"/>
      <c r="D2513" s="36"/>
      <c r="E2513" s="37"/>
      <c r="F2513" s="46" t="s">
        <v>23</v>
      </c>
      <c r="G2513" s="38" t="str">
        <f t="shared" si="44"/>
        <v/>
      </c>
      <c r="H2513" s="39"/>
      <c r="I2513" s="35"/>
      <c r="J2513" s="34">
        <v>0</v>
      </c>
    </row>
    <row r="2514" spans="1:10" ht="15.75" hidden="1" thickBot="1" x14ac:dyDescent="0.3">
      <c r="A2514" s="249"/>
      <c r="B2514" s="252"/>
      <c r="C2514" s="40" t="s">
        <v>3956</v>
      </c>
      <c r="D2514" s="40" t="s">
        <v>1035</v>
      </c>
      <c r="E2514" s="41">
        <v>0.79</v>
      </c>
      <c r="F2514" s="35">
        <v>9.6804999999999986</v>
      </c>
      <c r="G2514" s="38">
        <f t="shared" si="44"/>
        <v>7.647594999999999</v>
      </c>
      <c r="H2514" s="43">
        <f>SUM(G2514:G2514)</f>
        <v>7.647594999999999</v>
      </c>
      <c r="I2514" s="44"/>
      <c r="J2514" s="34">
        <v>0</v>
      </c>
    </row>
    <row r="2515" spans="1:10" ht="15.75" hidden="1" thickBot="1" x14ac:dyDescent="0.3">
      <c r="A2515" s="250"/>
      <c r="B2515" s="253"/>
      <c r="C2515" s="40"/>
      <c r="D2515" s="40"/>
      <c r="E2515" s="41"/>
      <c r="F2515" s="35" t="s">
        <v>23</v>
      </c>
      <c r="G2515" s="38" t="str">
        <f t="shared" si="44"/>
        <v/>
      </c>
      <c r="H2515" s="39"/>
      <c r="I2515" s="35"/>
      <c r="J2515" s="34">
        <v>0</v>
      </c>
    </row>
    <row r="2516" spans="1:10" ht="15.75" hidden="1" thickBot="1" x14ac:dyDescent="0.3">
      <c r="A2516" s="248" t="s">
        <v>634</v>
      </c>
      <c r="B2516" s="251" t="s">
        <v>2441</v>
      </c>
      <c r="C2516" s="28"/>
      <c r="D2516" s="29" t="s">
        <v>121</v>
      </c>
      <c r="E2516" s="30"/>
      <c r="F2516" s="45" t="s">
        <v>23</v>
      </c>
      <c r="G2516" s="31" t="str">
        <f t="shared" si="44"/>
        <v/>
      </c>
      <c r="H2516" s="32"/>
      <c r="I2516" s="33"/>
      <c r="J2516" s="34">
        <v>0</v>
      </c>
    </row>
    <row r="2517" spans="1:10" ht="15.75" hidden="1" thickBot="1" x14ac:dyDescent="0.3">
      <c r="A2517" s="249"/>
      <c r="B2517" s="252"/>
      <c r="C2517" s="36"/>
      <c r="D2517" s="36"/>
      <c r="E2517" s="37"/>
      <c r="F2517" s="46" t="s">
        <v>23</v>
      </c>
      <c r="G2517" s="38" t="str">
        <f t="shared" si="44"/>
        <v/>
      </c>
      <c r="H2517" s="39"/>
      <c r="I2517" s="35"/>
      <c r="J2517" s="34">
        <v>0</v>
      </c>
    </row>
    <row r="2518" spans="1:10" ht="15.75" hidden="1" thickBot="1" x14ac:dyDescent="0.3">
      <c r="A2518" s="249"/>
      <c r="B2518" s="252"/>
      <c r="C2518" s="40" t="s">
        <v>3956</v>
      </c>
      <c r="D2518" s="40" t="s">
        <v>1035</v>
      </c>
      <c r="E2518" s="41">
        <v>0.55000000000000004</v>
      </c>
      <c r="F2518" s="35">
        <v>9.6804999999999986</v>
      </c>
      <c r="G2518" s="38">
        <f t="shared" si="44"/>
        <v>5.3242749999999992</v>
      </c>
      <c r="H2518" s="43">
        <f>SUM(G2518:G2518)</f>
        <v>5.3242749999999992</v>
      </c>
      <c r="I2518" s="44"/>
      <c r="J2518" s="34">
        <v>0</v>
      </c>
    </row>
    <row r="2519" spans="1:10" ht="15.75" hidden="1" thickBot="1" x14ac:dyDescent="0.3">
      <c r="A2519" s="250"/>
      <c r="B2519" s="253"/>
      <c r="C2519" s="40"/>
      <c r="D2519" s="40"/>
      <c r="E2519" s="41"/>
      <c r="F2519" s="35" t="s">
        <v>23</v>
      </c>
      <c r="G2519" s="38" t="str">
        <f t="shared" si="44"/>
        <v/>
      </c>
      <c r="H2519" s="39"/>
      <c r="I2519" s="35"/>
      <c r="J2519" s="34">
        <v>0</v>
      </c>
    </row>
    <row r="2520" spans="1:10" ht="15.75" hidden="1" thickBot="1" x14ac:dyDescent="0.3">
      <c r="A2520" s="248" t="s">
        <v>635</v>
      </c>
      <c r="B2520" s="251" t="s">
        <v>2442</v>
      </c>
      <c r="C2520" s="28"/>
      <c r="D2520" s="29" t="s">
        <v>121</v>
      </c>
      <c r="E2520" s="30"/>
      <c r="F2520" s="45" t="s">
        <v>23</v>
      </c>
      <c r="G2520" s="31" t="str">
        <f t="shared" si="44"/>
        <v/>
      </c>
      <c r="H2520" s="32"/>
      <c r="I2520" s="33"/>
      <c r="J2520" s="34">
        <v>0</v>
      </c>
    </row>
    <row r="2521" spans="1:10" ht="15.75" hidden="1" thickBot="1" x14ac:dyDescent="0.3">
      <c r="A2521" s="249"/>
      <c r="B2521" s="252"/>
      <c r="C2521" s="36"/>
      <c r="D2521" s="36"/>
      <c r="E2521" s="37"/>
      <c r="F2521" s="46" t="s">
        <v>23</v>
      </c>
      <c r="G2521" s="38" t="str">
        <f t="shared" si="44"/>
        <v/>
      </c>
      <c r="H2521" s="39"/>
      <c r="I2521" s="35"/>
      <c r="J2521" s="34">
        <v>0</v>
      </c>
    </row>
    <row r="2522" spans="1:10" ht="15.75" hidden="1" thickBot="1" x14ac:dyDescent="0.3">
      <c r="A2522" s="249"/>
      <c r="B2522" s="252"/>
      <c r="C2522" s="40" t="s">
        <v>3956</v>
      </c>
      <c r="D2522" s="40" t="s">
        <v>1035</v>
      </c>
      <c r="E2522" s="41">
        <v>0.83</v>
      </c>
      <c r="F2522" s="35">
        <v>9.6804999999999986</v>
      </c>
      <c r="G2522" s="38">
        <f t="shared" si="44"/>
        <v>8.0348149999999983</v>
      </c>
      <c r="H2522" s="43">
        <f>SUM(G2522:G2522)</f>
        <v>8.0348149999999983</v>
      </c>
      <c r="I2522" s="44"/>
      <c r="J2522" s="34">
        <v>0</v>
      </c>
    </row>
    <row r="2523" spans="1:10" ht="15.75" hidden="1" thickBot="1" x14ac:dyDescent="0.3">
      <c r="A2523" s="250"/>
      <c r="B2523" s="253"/>
      <c r="C2523" s="40"/>
      <c r="D2523" s="40"/>
      <c r="E2523" s="41"/>
      <c r="F2523" s="35" t="s">
        <v>23</v>
      </c>
      <c r="G2523" s="38" t="str">
        <f t="shared" si="44"/>
        <v/>
      </c>
      <c r="H2523" s="39"/>
      <c r="I2523" s="35"/>
      <c r="J2523" s="34">
        <v>0</v>
      </c>
    </row>
    <row r="2524" spans="1:10" ht="15.75" hidden="1" thickBot="1" x14ac:dyDescent="0.3">
      <c r="A2524" s="248" t="s">
        <v>636</v>
      </c>
      <c r="B2524" s="251" t="s">
        <v>2443</v>
      </c>
      <c r="C2524" s="28"/>
      <c r="D2524" s="29" t="s">
        <v>78</v>
      </c>
      <c r="E2524" s="30"/>
      <c r="F2524" s="45" t="s">
        <v>23</v>
      </c>
      <c r="G2524" s="31" t="str">
        <f t="shared" si="44"/>
        <v/>
      </c>
      <c r="H2524" s="32"/>
      <c r="I2524" s="33"/>
      <c r="J2524" s="34">
        <v>0</v>
      </c>
    </row>
    <row r="2525" spans="1:10" ht="15.75" hidden="1" thickBot="1" x14ac:dyDescent="0.3">
      <c r="A2525" s="249"/>
      <c r="B2525" s="252"/>
      <c r="C2525" s="36"/>
      <c r="D2525" s="36"/>
      <c r="E2525" s="37"/>
      <c r="F2525" s="46" t="s">
        <v>23</v>
      </c>
      <c r="G2525" s="38" t="str">
        <f t="shared" si="44"/>
        <v/>
      </c>
      <c r="H2525" s="39"/>
      <c r="I2525" s="35"/>
      <c r="J2525" s="34">
        <v>0</v>
      </c>
    </row>
    <row r="2526" spans="1:10" ht="15.75" hidden="1" thickBot="1" x14ac:dyDescent="0.3">
      <c r="A2526" s="249"/>
      <c r="B2526" s="252"/>
      <c r="C2526" s="40" t="s">
        <v>3957</v>
      </c>
      <c r="D2526" s="40" t="s">
        <v>177</v>
      </c>
      <c r="E2526" s="41">
        <v>1</v>
      </c>
      <c r="F2526" s="35">
        <v>5.8140000000000001</v>
      </c>
      <c r="G2526" s="38">
        <f t="shared" si="44"/>
        <v>5.8140000000000001</v>
      </c>
      <c r="H2526" s="43">
        <f>SUM(G2526:G2526)</f>
        <v>5.8140000000000001</v>
      </c>
      <c r="I2526" s="44"/>
      <c r="J2526" s="34">
        <v>0</v>
      </c>
    </row>
    <row r="2527" spans="1:10" ht="15.75" hidden="1" thickBot="1" x14ac:dyDescent="0.3">
      <c r="A2527" s="250"/>
      <c r="B2527" s="253"/>
      <c r="C2527" s="40"/>
      <c r="D2527" s="40"/>
      <c r="E2527" s="41"/>
      <c r="F2527" s="35" t="s">
        <v>23</v>
      </c>
      <c r="G2527" s="38" t="str">
        <f t="shared" si="44"/>
        <v/>
      </c>
      <c r="H2527" s="39"/>
      <c r="I2527" s="35"/>
      <c r="J2527" s="34">
        <v>0</v>
      </c>
    </row>
    <row r="2528" spans="1:10" ht="15.75" hidden="1" thickBot="1" x14ac:dyDescent="0.3">
      <c r="A2528" s="248" t="s">
        <v>637</v>
      </c>
      <c r="B2528" s="251" t="s">
        <v>2444</v>
      </c>
      <c r="C2528" s="28"/>
      <c r="D2528" s="29" t="s">
        <v>82</v>
      </c>
      <c r="E2528" s="30"/>
      <c r="F2528" s="45" t="s">
        <v>23</v>
      </c>
      <c r="G2528" s="31" t="str">
        <f t="shared" si="44"/>
        <v/>
      </c>
      <c r="H2528" s="32"/>
      <c r="I2528" s="33"/>
      <c r="J2528" s="34">
        <v>0</v>
      </c>
    </row>
    <row r="2529" spans="1:10" ht="15.75" hidden="1" thickBot="1" x14ac:dyDescent="0.3">
      <c r="A2529" s="249"/>
      <c r="B2529" s="252"/>
      <c r="C2529" s="36"/>
      <c r="D2529" s="36"/>
      <c r="E2529" s="37"/>
      <c r="F2529" s="46" t="s">
        <v>23</v>
      </c>
      <c r="G2529" s="38" t="str">
        <f t="shared" si="44"/>
        <v/>
      </c>
      <c r="H2529" s="39"/>
      <c r="I2529" s="35"/>
      <c r="J2529" s="34">
        <v>0</v>
      </c>
    </row>
    <row r="2530" spans="1:10" ht="15.75" hidden="1" thickBot="1" x14ac:dyDescent="0.3">
      <c r="A2530" s="249"/>
      <c r="B2530" s="252"/>
      <c r="C2530" s="40" t="s">
        <v>3958</v>
      </c>
      <c r="D2530" s="40" t="s">
        <v>1035</v>
      </c>
      <c r="E2530" s="41">
        <v>1</v>
      </c>
      <c r="F2530" s="35">
        <v>23.987499999999997</v>
      </c>
      <c r="G2530" s="38">
        <f t="shared" si="44"/>
        <v>23.987499999999997</v>
      </c>
      <c r="H2530" s="43">
        <f>SUM(G2530:G2530)</f>
        <v>23.987499999999997</v>
      </c>
      <c r="I2530" s="44"/>
      <c r="J2530" s="34">
        <v>0</v>
      </c>
    </row>
    <row r="2531" spans="1:10" ht="15.75" hidden="1" thickBot="1" x14ac:dyDescent="0.3">
      <c r="A2531" s="250"/>
      <c r="B2531" s="253"/>
      <c r="C2531" s="40"/>
      <c r="D2531" s="40"/>
      <c r="E2531" s="41"/>
      <c r="F2531" s="35" t="s">
        <v>23</v>
      </c>
      <c r="G2531" s="38" t="str">
        <f t="shared" si="44"/>
        <v/>
      </c>
      <c r="H2531" s="39"/>
      <c r="I2531" s="35"/>
      <c r="J2531" s="34">
        <v>0</v>
      </c>
    </row>
    <row r="2532" spans="1:10" ht="15.75" hidden="1" thickBot="1" x14ac:dyDescent="0.3">
      <c r="A2532" s="248" t="s">
        <v>638</v>
      </c>
      <c r="B2532" s="251" t="s">
        <v>2445</v>
      </c>
      <c r="C2532" s="28"/>
      <c r="D2532" s="29" t="s">
        <v>78</v>
      </c>
      <c r="E2532" s="30"/>
      <c r="F2532" s="45" t="s">
        <v>23</v>
      </c>
      <c r="G2532" s="31" t="str">
        <f t="shared" si="44"/>
        <v/>
      </c>
      <c r="H2532" s="32"/>
      <c r="I2532" s="33"/>
      <c r="J2532" s="34">
        <v>0</v>
      </c>
    </row>
    <row r="2533" spans="1:10" ht="15.75" hidden="1" thickBot="1" x14ac:dyDescent="0.3">
      <c r="A2533" s="249"/>
      <c r="B2533" s="252"/>
      <c r="C2533" s="36"/>
      <c r="D2533" s="36"/>
      <c r="E2533" s="37"/>
      <c r="F2533" s="46" t="s">
        <v>23</v>
      </c>
      <c r="G2533" s="38" t="str">
        <f t="shared" si="44"/>
        <v/>
      </c>
      <c r="H2533" s="39"/>
      <c r="I2533" s="35"/>
      <c r="J2533" s="34">
        <v>0</v>
      </c>
    </row>
    <row r="2534" spans="1:10" ht="26.25" hidden="1" thickBot="1" x14ac:dyDescent="0.3">
      <c r="A2534" s="249"/>
      <c r="B2534" s="252"/>
      <c r="C2534" s="40" t="s">
        <v>3959</v>
      </c>
      <c r="D2534" s="40" t="s">
        <v>177</v>
      </c>
      <c r="E2534" s="41">
        <v>1</v>
      </c>
      <c r="F2534" s="35">
        <v>41.391500000000001</v>
      </c>
      <c r="G2534" s="38">
        <f t="shared" si="44"/>
        <v>41.391500000000001</v>
      </c>
      <c r="H2534" s="43">
        <f>SUM(G2534:G2534)</f>
        <v>41.391500000000001</v>
      </c>
      <c r="I2534" s="44"/>
      <c r="J2534" s="34">
        <v>0</v>
      </c>
    </row>
    <row r="2535" spans="1:10" ht="15.75" hidden="1" thickBot="1" x14ac:dyDescent="0.3">
      <c r="A2535" s="250"/>
      <c r="B2535" s="253"/>
      <c r="C2535" s="40"/>
      <c r="D2535" s="40"/>
      <c r="E2535" s="41"/>
      <c r="F2535" s="35" t="s">
        <v>23</v>
      </c>
      <c r="G2535" s="38" t="str">
        <f t="shared" si="44"/>
        <v/>
      </c>
      <c r="H2535" s="39"/>
      <c r="I2535" s="35"/>
      <c r="J2535" s="34">
        <v>0</v>
      </c>
    </row>
    <row r="2536" spans="1:10" ht="15.75" thickBot="1" x14ac:dyDescent="0.3">
      <c r="A2536" s="248" t="s">
        <v>639</v>
      </c>
      <c r="B2536" s="251" t="s">
        <v>2446</v>
      </c>
      <c r="C2536" s="28"/>
      <c r="D2536" s="29" t="s">
        <v>28</v>
      </c>
      <c r="E2536" s="30"/>
      <c r="F2536" s="45" t="s">
        <v>23</v>
      </c>
      <c r="G2536" s="31" t="str">
        <f t="shared" si="44"/>
        <v/>
      </c>
      <c r="H2536" s="32"/>
      <c r="I2536" s="33"/>
      <c r="J2536" s="34">
        <v>270</v>
      </c>
    </row>
    <row r="2537" spans="1:10" x14ac:dyDescent="0.25">
      <c r="A2537" s="249"/>
      <c r="B2537" s="252"/>
      <c r="C2537" s="36"/>
      <c r="D2537" s="36"/>
      <c r="E2537" s="37"/>
      <c r="F2537" s="46" t="s">
        <v>23</v>
      </c>
      <c r="G2537" s="38" t="str">
        <f t="shared" si="44"/>
        <v/>
      </c>
      <c r="H2537" s="39"/>
      <c r="I2537" s="35"/>
      <c r="J2537" s="34">
        <v>270</v>
      </c>
    </row>
    <row r="2538" spans="1:10" x14ac:dyDescent="0.25">
      <c r="A2538" s="249"/>
      <c r="B2538" s="252"/>
      <c r="C2538" s="40" t="s">
        <v>4056</v>
      </c>
      <c r="D2538" s="40" t="s">
        <v>1035</v>
      </c>
      <c r="E2538" s="41">
        <v>0.4</v>
      </c>
      <c r="F2538" s="35">
        <v>33.971999999999994</v>
      </c>
      <c r="G2538" s="38">
        <f t="shared" si="44"/>
        <v>13.588799999999999</v>
      </c>
      <c r="H2538" s="43">
        <f>SUM(G2538:G2538)</f>
        <v>13.588799999999999</v>
      </c>
      <c r="I2538" s="44"/>
      <c r="J2538" s="34">
        <v>270</v>
      </c>
    </row>
    <row r="2539" spans="1:10" ht="15.75" thickBot="1" x14ac:dyDescent="0.3">
      <c r="A2539" s="250"/>
      <c r="B2539" s="253"/>
      <c r="C2539" s="40"/>
      <c r="D2539" s="40"/>
      <c r="E2539" s="41"/>
      <c r="F2539" s="35" t="s">
        <v>23</v>
      </c>
      <c r="G2539" s="38" t="str">
        <f t="shared" si="44"/>
        <v/>
      </c>
      <c r="H2539" s="39"/>
      <c r="I2539" s="35"/>
      <c r="J2539" s="34">
        <v>270</v>
      </c>
    </row>
    <row r="2540" spans="1:10" ht="15.75" thickBot="1" x14ac:dyDescent="0.3">
      <c r="A2540" s="248" t="s">
        <v>640</v>
      </c>
      <c r="B2540" s="251" t="s">
        <v>2447</v>
      </c>
      <c r="C2540" s="28"/>
      <c r="D2540" s="29" t="s">
        <v>2448</v>
      </c>
      <c r="E2540" s="30"/>
      <c r="F2540" s="45" t="s">
        <v>23</v>
      </c>
      <c r="G2540" s="31" t="str">
        <f t="shared" si="44"/>
        <v/>
      </c>
      <c r="H2540" s="32"/>
      <c r="I2540" s="33"/>
      <c r="J2540" s="34">
        <v>2430</v>
      </c>
    </row>
    <row r="2541" spans="1:10" x14ac:dyDescent="0.25">
      <c r="A2541" s="249"/>
      <c r="B2541" s="252"/>
      <c r="C2541" s="36"/>
      <c r="D2541" s="36"/>
      <c r="E2541" s="37"/>
      <c r="F2541" s="46" t="s">
        <v>23</v>
      </c>
      <c r="G2541" s="38" t="str">
        <f t="shared" si="44"/>
        <v/>
      </c>
      <c r="H2541" s="39"/>
      <c r="I2541" s="35"/>
      <c r="J2541" s="34">
        <v>2430</v>
      </c>
    </row>
    <row r="2542" spans="1:10" x14ac:dyDescent="0.25">
      <c r="A2542" s="249"/>
      <c r="B2542" s="252"/>
      <c r="C2542" s="40" t="s">
        <v>3992</v>
      </c>
      <c r="D2542" s="40" t="s">
        <v>1035</v>
      </c>
      <c r="E2542" s="41">
        <v>40</v>
      </c>
      <c r="F2542" s="35">
        <v>0.63649999999999995</v>
      </c>
      <c r="G2542" s="38">
        <f t="shared" si="44"/>
        <v>25.459999999999997</v>
      </c>
      <c r="H2542" s="43">
        <f>SUM(G2542:G2542)</f>
        <v>25.459999999999997</v>
      </c>
      <c r="I2542" s="44"/>
      <c r="J2542" s="34">
        <v>2430</v>
      </c>
    </row>
    <row r="2543" spans="1:10" ht="15.75" thickBot="1" x14ac:dyDescent="0.3">
      <c r="A2543" s="250"/>
      <c r="B2543" s="253"/>
      <c r="C2543" s="40"/>
      <c r="D2543" s="40"/>
      <c r="E2543" s="41"/>
      <c r="F2543" s="35" t="s">
        <v>23</v>
      </c>
      <c r="G2543" s="38" t="str">
        <f t="shared" si="44"/>
        <v/>
      </c>
      <c r="H2543" s="39"/>
      <c r="I2543" s="35"/>
      <c r="J2543" s="34">
        <v>2430</v>
      </c>
    </row>
    <row r="2544" spans="1:10" ht="15.75" thickBot="1" x14ac:dyDescent="0.3">
      <c r="A2544" s="248" t="s">
        <v>641</v>
      </c>
      <c r="B2544" s="251" t="s">
        <v>2449</v>
      </c>
      <c r="C2544" s="28"/>
      <c r="D2544" s="29" t="s">
        <v>2448</v>
      </c>
      <c r="E2544" s="30"/>
      <c r="F2544" s="45" t="s">
        <v>23</v>
      </c>
      <c r="G2544" s="31" t="str">
        <f t="shared" si="44"/>
        <v/>
      </c>
      <c r="H2544" s="32"/>
      <c r="I2544" s="33"/>
      <c r="J2544" s="34">
        <v>7650</v>
      </c>
    </row>
    <row r="2545" spans="1:10" x14ac:dyDescent="0.25">
      <c r="A2545" s="249"/>
      <c r="B2545" s="252"/>
      <c r="C2545" s="36"/>
      <c r="D2545" s="36"/>
      <c r="E2545" s="37"/>
      <c r="F2545" s="46" t="s">
        <v>23</v>
      </c>
      <c r="G2545" s="38" t="str">
        <f t="shared" si="44"/>
        <v/>
      </c>
      <c r="H2545" s="39"/>
      <c r="I2545" s="35"/>
      <c r="J2545" s="34">
        <v>7650</v>
      </c>
    </row>
    <row r="2546" spans="1:10" ht="25.5" x14ac:dyDescent="0.25">
      <c r="A2546" s="249"/>
      <c r="B2546" s="252"/>
      <c r="C2546" s="40" t="s">
        <v>3773</v>
      </c>
      <c r="D2546" s="40" t="s">
        <v>1035</v>
      </c>
      <c r="E2546" s="41">
        <v>40</v>
      </c>
      <c r="F2546" s="35">
        <v>0.67449999999999999</v>
      </c>
      <c r="G2546" s="38">
        <f t="shared" ref="G2546:G2609" si="45">IF(ISNUMBER(F2546),E2546*F2546,"")</f>
        <v>26.98</v>
      </c>
      <c r="H2546" s="43">
        <f>SUM(G2546:G2546)</f>
        <v>26.98</v>
      </c>
      <c r="I2546" s="44"/>
      <c r="J2546" s="34">
        <v>7650</v>
      </c>
    </row>
    <row r="2547" spans="1:10" ht="15.75" thickBot="1" x14ac:dyDescent="0.3">
      <c r="A2547" s="250"/>
      <c r="B2547" s="253"/>
      <c r="C2547" s="40"/>
      <c r="D2547" s="40"/>
      <c r="E2547" s="41"/>
      <c r="F2547" s="35" t="s">
        <v>23</v>
      </c>
      <c r="G2547" s="38" t="str">
        <f t="shared" si="45"/>
        <v/>
      </c>
      <c r="H2547" s="39"/>
      <c r="I2547" s="35"/>
      <c r="J2547" s="34">
        <v>7650</v>
      </c>
    </row>
    <row r="2548" spans="1:10" ht="15.75" thickBot="1" x14ac:dyDescent="0.3">
      <c r="A2548" s="248" t="s">
        <v>642</v>
      </c>
      <c r="B2548" s="251" t="s">
        <v>2450</v>
      </c>
      <c r="C2548" s="28"/>
      <c r="D2548" s="29" t="s">
        <v>2451</v>
      </c>
      <c r="E2548" s="30"/>
      <c r="F2548" s="45" t="s">
        <v>23</v>
      </c>
      <c r="G2548" s="31" t="str">
        <f t="shared" si="45"/>
        <v/>
      </c>
      <c r="H2548" s="32"/>
      <c r="I2548" s="33"/>
      <c r="J2548" s="34">
        <v>15890</v>
      </c>
    </row>
    <row r="2549" spans="1:10" x14ac:dyDescent="0.25">
      <c r="A2549" s="249"/>
      <c r="B2549" s="252"/>
      <c r="C2549" s="36"/>
      <c r="D2549" s="36"/>
      <c r="E2549" s="37"/>
      <c r="F2549" s="46" t="s">
        <v>23</v>
      </c>
      <c r="G2549" s="38" t="str">
        <f t="shared" si="45"/>
        <v/>
      </c>
      <c r="H2549" s="39"/>
      <c r="I2549" s="35"/>
      <c r="J2549" s="34">
        <v>15890</v>
      </c>
    </row>
    <row r="2550" spans="1:10" x14ac:dyDescent="0.25">
      <c r="A2550" s="249"/>
      <c r="B2550" s="252"/>
      <c r="C2550" s="40" t="s">
        <v>3759</v>
      </c>
      <c r="D2550" s="40" t="s">
        <v>1035</v>
      </c>
      <c r="E2550" s="41">
        <v>50</v>
      </c>
      <c r="F2550" s="35">
        <v>0.627</v>
      </c>
      <c r="G2550" s="38">
        <f t="shared" si="45"/>
        <v>31.35</v>
      </c>
      <c r="H2550" s="43">
        <f>SUM(G2550:G2550)</f>
        <v>31.35</v>
      </c>
      <c r="I2550" s="44"/>
      <c r="J2550" s="34">
        <v>15890</v>
      </c>
    </row>
    <row r="2551" spans="1:10" ht="15.75" thickBot="1" x14ac:dyDescent="0.3">
      <c r="A2551" s="250"/>
      <c r="B2551" s="253"/>
      <c r="C2551" s="40"/>
      <c r="D2551" s="40"/>
      <c r="E2551" s="41"/>
      <c r="F2551" s="35" t="s">
        <v>23</v>
      </c>
      <c r="G2551" s="38" t="str">
        <f t="shared" si="45"/>
        <v/>
      </c>
      <c r="H2551" s="39"/>
      <c r="I2551" s="35"/>
      <c r="J2551" s="34">
        <v>15890</v>
      </c>
    </row>
    <row r="2552" spans="1:10" ht="15.75" thickBot="1" x14ac:dyDescent="0.3">
      <c r="A2552" s="248" t="s">
        <v>643</v>
      </c>
      <c r="B2552" s="251" t="s">
        <v>2452</v>
      </c>
      <c r="C2552" s="28"/>
      <c r="D2552" s="29" t="s">
        <v>2453</v>
      </c>
      <c r="E2552" s="30"/>
      <c r="F2552" s="45" t="s">
        <v>23</v>
      </c>
      <c r="G2552" s="31" t="str">
        <f t="shared" si="45"/>
        <v/>
      </c>
      <c r="H2552" s="32"/>
      <c r="I2552" s="33"/>
      <c r="J2552" s="34">
        <v>1390</v>
      </c>
    </row>
    <row r="2553" spans="1:10" x14ac:dyDescent="0.25">
      <c r="A2553" s="249"/>
      <c r="B2553" s="252"/>
      <c r="C2553" s="36"/>
      <c r="D2553" s="36"/>
      <c r="E2553" s="37"/>
      <c r="F2553" s="46" t="s">
        <v>23</v>
      </c>
      <c r="G2553" s="38" t="str">
        <f t="shared" si="45"/>
        <v/>
      </c>
      <c r="H2553" s="39"/>
      <c r="I2553" s="35"/>
      <c r="J2553" s="34">
        <v>1390</v>
      </c>
    </row>
    <row r="2554" spans="1:10" x14ac:dyDescent="0.25">
      <c r="A2554" s="249"/>
      <c r="B2554" s="252"/>
      <c r="C2554" s="40" t="s">
        <v>3852</v>
      </c>
      <c r="D2554" s="40" t="s">
        <v>1035</v>
      </c>
      <c r="E2554" s="41">
        <v>20</v>
      </c>
      <c r="F2554" s="35">
        <v>1.8904999999999998</v>
      </c>
      <c r="G2554" s="38">
        <f t="shared" si="45"/>
        <v>37.809999999999995</v>
      </c>
      <c r="H2554" s="43">
        <f>SUM(G2554:G2554)</f>
        <v>37.809999999999995</v>
      </c>
      <c r="I2554" s="44"/>
      <c r="J2554" s="34">
        <v>1390</v>
      </c>
    </row>
    <row r="2555" spans="1:10" ht="15.75" thickBot="1" x14ac:dyDescent="0.3">
      <c r="A2555" s="250"/>
      <c r="B2555" s="253"/>
      <c r="C2555" s="40"/>
      <c r="D2555" s="40"/>
      <c r="E2555" s="41"/>
      <c r="F2555" s="35" t="s">
        <v>23</v>
      </c>
      <c r="G2555" s="38" t="str">
        <f t="shared" si="45"/>
        <v/>
      </c>
      <c r="H2555" s="39"/>
      <c r="I2555" s="35"/>
      <c r="J2555" s="34">
        <v>1390</v>
      </c>
    </row>
    <row r="2556" spans="1:10" ht="15.75" thickBot="1" x14ac:dyDescent="0.3">
      <c r="A2556" s="248" t="s">
        <v>644</v>
      </c>
      <c r="B2556" s="251" t="s">
        <v>2454</v>
      </c>
      <c r="C2556" s="28"/>
      <c r="D2556" s="29" t="s">
        <v>2448</v>
      </c>
      <c r="E2556" s="30"/>
      <c r="F2556" s="45" t="s">
        <v>23</v>
      </c>
      <c r="G2556" s="31" t="str">
        <f t="shared" si="45"/>
        <v/>
      </c>
      <c r="H2556" s="32"/>
      <c r="I2556" s="33"/>
      <c r="J2556" s="34">
        <v>250</v>
      </c>
    </row>
    <row r="2557" spans="1:10" x14ac:dyDescent="0.25">
      <c r="A2557" s="249"/>
      <c r="B2557" s="252"/>
      <c r="C2557" s="36"/>
      <c r="D2557" s="36"/>
      <c r="E2557" s="37"/>
      <c r="F2557" s="46" t="s">
        <v>23</v>
      </c>
      <c r="G2557" s="38" t="str">
        <f t="shared" si="45"/>
        <v/>
      </c>
      <c r="H2557" s="39"/>
      <c r="I2557" s="35"/>
      <c r="J2557" s="34">
        <v>250</v>
      </c>
    </row>
    <row r="2558" spans="1:10" ht="25.5" x14ac:dyDescent="0.25">
      <c r="A2558" s="249"/>
      <c r="B2558" s="252"/>
      <c r="C2558" s="40" t="s">
        <v>4132</v>
      </c>
      <c r="D2558" s="40" t="s">
        <v>1035</v>
      </c>
      <c r="E2558" s="41">
        <v>40</v>
      </c>
      <c r="F2558" s="35">
        <v>0.65549999999999997</v>
      </c>
      <c r="G2558" s="38">
        <f t="shared" si="45"/>
        <v>26.22</v>
      </c>
      <c r="H2558" s="43">
        <f>SUM(G2558:G2558)</f>
        <v>26.22</v>
      </c>
      <c r="I2558" s="44"/>
      <c r="J2558" s="34">
        <v>250</v>
      </c>
    </row>
    <row r="2559" spans="1:10" ht="15.75" thickBot="1" x14ac:dyDescent="0.3">
      <c r="A2559" s="250"/>
      <c r="B2559" s="253"/>
      <c r="C2559" s="40"/>
      <c r="D2559" s="40"/>
      <c r="E2559" s="41"/>
      <c r="F2559" s="35" t="s">
        <v>23</v>
      </c>
      <c r="G2559" s="38" t="str">
        <f t="shared" si="45"/>
        <v/>
      </c>
      <c r="H2559" s="39"/>
      <c r="I2559" s="35"/>
      <c r="J2559" s="34">
        <v>250</v>
      </c>
    </row>
    <row r="2560" spans="1:10" ht="15.75" thickBot="1" x14ac:dyDescent="0.3">
      <c r="A2560" s="248" t="s">
        <v>645</v>
      </c>
      <c r="B2560" s="251" t="s">
        <v>2455</v>
      </c>
      <c r="C2560" s="28"/>
      <c r="D2560" s="29" t="s">
        <v>1748</v>
      </c>
      <c r="E2560" s="30"/>
      <c r="F2560" s="45" t="s">
        <v>23</v>
      </c>
      <c r="G2560" s="31" t="str">
        <f t="shared" si="45"/>
        <v/>
      </c>
      <c r="H2560" s="32"/>
      <c r="I2560" s="33"/>
      <c r="J2560" s="34">
        <v>2520</v>
      </c>
    </row>
    <row r="2561" spans="1:10" x14ac:dyDescent="0.25">
      <c r="A2561" s="249"/>
      <c r="B2561" s="252"/>
      <c r="C2561" s="36"/>
      <c r="D2561" s="36"/>
      <c r="E2561" s="37"/>
      <c r="F2561" s="46" t="s">
        <v>23</v>
      </c>
      <c r="G2561" s="38" t="str">
        <f t="shared" si="45"/>
        <v/>
      </c>
      <c r="H2561" s="39"/>
      <c r="I2561" s="35"/>
      <c r="J2561" s="34">
        <v>2520</v>
      </c>
    </row>
    <row r="2562" spans="1:10" ht="25.5" x14ac:dyDescent="0.25">
      <c r="A2562" s="249"/>
      <c r="B2562" s="252"/>
      <c r="C2562" s="40" t="s">
        <v>3763</v>
      </c>
      <c r="D2562" s="40" t="s">
        <v>3764</v>
      </c>
      <c r="E2562" s="41">
        <v>1</v>
      </c>
      <c r="F2562" s="35">
        <v>204.23099999999999</v>
      </c>
      <c r="G2562" s="38">
        <f t="shared" si="45"/>
        <v>204.23099999999999</v>
      </c>
      <c r="H2562" s="43">
        <f>SUM(G2562:G2564)</f>
        <v>246.70625524999997</v>
      </c>
      <c r="I2562" s="44"/>
      <c r="J2562" s="34">
        <v>2520</v>
      </c>
    </row>
    <row r="2563" spans="1:10" ht="51" x14ac:dyDescent="0.25">
      <c r="A2563" s="249"/>
      <c r="B2563" s="252"/>
      <c r="C2563" s="40" t="s">
        <v>4752</v>
      </c>
      <c r="D2563" s="40" t="s">
        <v>3764</v>
      </c>
      <c r="E2563" s="41">
        <f>E2562</f>
        <v>1</v>
      </c>
      <c r="F2563" s="38">
        <v>7.75243225</v>
      </c>
      <c r="G2563" s="38">
        <f t="shared" si="45"/>
        <v>7.75243225</v>
      </c>
      <c r="H2563" s="39"/>
      <c r="I2563" s="35"/>
      <c r="J2563" s="34">
        <v>2520</v>
      </c>
    </row>
    <row r="2564" spans="1:10" ht="38.25" x14ac:dyDescent="0.25">
      <c r="A2564" s="249"/>
      <c r="B2564" s="252"/>
      <c r="C2564" s="40" t="s">
        <v>4716</v>
      </c>
      <c r="D2564" s="40" t="s">
        <v>4715</v>
      </c>
      <c r="E2564" s="41">
        <f>E2562*20</f>
        <v>20</v>
      </c>
      <c r="F2564" s="35">
        <v>1.7361411499999997</v>
      </c>
      <c r="G2564" s="38">
        <f t="shared" si="45"/>
        <v>34.722822999999991</v>
      </c>
      <c r="H2564" s="39"/>
      <c r="I2564" s="35"/>
      <c r="J2564" s="34">
        <v>2520</v>
      </c>
    </row>
    <row r="2565" spans="1:10" x14ac:dyDescent="0.25">
      <c r="A2565" s="249"/>
      <c r="B2565" s="252"/>
      <c r="C2565" s="40"/>
      <c r="D2565" s="53"/>
      <c r="E2565" s="41"/>
      <c r="F2565" s="35" t="s">
        <v>23</v>
      </c>
      <c r="G2565" s="38" t="str">
        <f t="shared" si="45"/>
        <v/>
      </c>
      <c r="H2565" s="39"/>
      <c r="I2565" s="35"/>
      <c r="J2565" s="34">
        <v>2520</v>
      </c>
    </row>
    <row r="2566" spans="1:10" x14ac:dyDescent="0.25">
      <c r="A2566" s="249"/>
      <c r="B2566" s="252"/>
      <c r="C2566" s="50" t="s">
        <v>646</v>
      </c>
      <c r="D2566" s="53"/>
      <c r="E2566" s="41"/>
      <c r="F2566" s="35" t="s">
        <v>23</v>
      </c>
      <c r="G2566" s="38" t="str">
        <f t="shared" si="45"/>
        <v/>
      </c>
      <c r="H2566" s="39"/>
      <c r="I2566" s="35"/>
      <c r="J2566" s="34">
        <v>2520</v>
      </c>
    </row>
    <row r="2567" spans="1:10" ht="15.75" thickBot="1" x14ac:dyDescent="0.3">
      <c r="A2567" s="250"/>
      <c r="B2567" s="253"/>
      <c r="C2567" s="40"/>
      <c r="D2567" s="40"/>
      <c r="E2567" s="41"/>
      <c r="F2567" s="35" t="s">
        <v>23</v>
      </c>
      <c r="G2567" s="38" t="str">
        <f t="shared" si="45"/>
        <v/>
      </c>
      <c r="H2567" s="39"/>
      <c r="I2567" s="35"/>
      <c r="J2567" s="34">
        <v>2520</v>
      </c>
    </row>
    <row r="2568" spans="1:10" ht="15.75" thickBot="1" x14ac:dyDescent="0.3">
      <c r="A2568" s="248" t="s">
        <v>647</v>
      </c>
      <c r="B2568" s="251" t="s">
        <v>2456</v>
      </c>
      <c r="C2568" s="28"/>
      <c r="D2568" s="29" t="s">
        <v>1748</v>
      </c>
      <c r="E2568" s="30"/>
      <c r="F2568" s="45" t="s">
        <v>23</v>
      </c>
      <c r="G2568" s="31" t="str">
        <f t="shared" si="45"/>
        <v/>
      </c>
      <c r="H2568" s="32"/>
      <c r="I2568" s="33"/>
      <c r="J2568" s="34">
        <v>710</v>
      </c>
    </row>
    <row r="2569" spans="1:10" x14ac:dyDescent="0.25">
      <c r="A2569" s="249"/>
      <c r="B2569" s="252"/>
      <c r="C2569" s="36"/>
      <c r="D2569" s="36"/>
      <c r="E2569" s="37"/>
      <c r="F2569" s="46" t="s">
        <v>23</v>
      </c>
      <c r="G2569" s="38" t="str">
        <f t="shared" si="45"/>
        <v/>
      </c>
      <c r="H2569" s="39"/>
      <c r="I2569" s="35"/>
      <c r="J2569" s="34">
        <v>710</v>
      </c>
    </row>
    <row r="2570" spans="1:10" ht="25.5" x14ac:dyDescent="0.25">
      <c r="A2570" s="249"/>
      <c r="B2570" s="252"/>
      <c r="C2570" s="40" t="s">
        <v>3841</v>
      </c>
      <c r="D2570" s="40" t="s">
        <v>3764</v>
      </c>
      <c r="E2570" s="41">
        <v>1</v>
      </c>
      <c r="F2570" s="35">
        <v>196.38399999999999</v>
      </c>
      <c r="G2570" s="38">
        <f t="shared" si="45"/>
        <v>196.38399999999999</v>
      </c>
      <c r="H2570" s="43">
        <f>SUM(G2570:G2572)</f>
        <v>238.85925524999999</v>
      </c>
      <c r="I2570" s="44"/>
      <c r="J2570" s="34">
        <v>710</v>
      </c>
    </row>
    <row r="2571" spans="1:10" ht="51" x14ac:dyDescent="0.25">
      <c r="A2571" s="249"/>
      <c r="B2571" s="252"/>
      <c r="C2571" s="40" t="s">
        <v>4752</v>
      </c>
      <c r="D2571" s="40" t="s">
        <v>3764</v>
      </c>
      <c r="E2571" s="41">
        <f>E2570</f>
        <v>1</v>
      </c>
      <c r="F2571" s="38">
        <v>7.75243225</v>
      </c>
      <c r="G2571" s="38">
        <f t="shared" si="45"/>
        <v>7.75243225</v>
      </c>
      <c r="H2571" s="39"/>
      <c r="I2571" s="35"/>
      <c r="J2571" s="34">
        <v>710</v>
      </c>
    </row>
    <row r="2572" spans="1:10" ht="38.25" x14ac:dyDescent="0.25">
      <c r="A2572" s="249"/>
      <c r="B2572" s="252"/>
      <c r="C2572" s="40" t="s">
        <v>4716</v>
      </c>
      <c r="D2572" s="40" t="s">
        <v>4715</v>
      </c>
      <c r="E2572" s="41">
        <f>E2570*20</f>
        <v>20</v>
      </c>
      <c r="F2572" s="35">
        <v>1.7361411499999997</v>
      </c>
      <c r="G2572" s="38">
        <f t="shared" si="45"/>
        <v>34.722822999999991</v>
      </c>
      <c r="H2572" s="39"/>
      <c r="I2572" s="35"/>
      <c r="J2572" s="34">
        <v>710</v>
      </c>
    </row>
    <row r="2573" spans="1:10" x14ac:dyDescent="0.25">
      <c r="A2573" s="249"/>
      <c r="B2573" s="252"/>
      <c r="C2573" s="40"/>
      <c r="D2573" s="53"/>
      <c r="E2573" s="41"/>
      <c r="F2573" s="35" t="s">
        <v>23</v>
      </c>
      <c r="G2573" s="38" t="str">
        <f t="shared" si="45"/>
        <v/>
      </c>
      <c r="H2573" s="39"/>
      <c r="I2573" s="35"/>
      <c r="J2573" s="34">
        <v>710</v>
      </c>
    </row>
    <row r="2574" spans="1:10" x14ac:dyDescent="0.25">
      <c r="A2574" s="249"/>
      <c r="B2574" s="252"/>
      <c r="C2574" s="50" t="s">
        <v>648</v>
      </c>
      <c r="D2574" s="53"/>
      <c r="E2574" s="41"/>
      <c r="F2574" s="35" t="s">
        <v>23</v>
      </c>
      <c r="G2574" s="38" t="str">
        <f t="shared" si="45"/>
        <v/>
      </c>
      <c r="H2574" s="39"/>
      <c r="I2574" s="35"/>
      <c r="J2574" s="34">
        <v>710</v>
      </c>
    </row>
    <row r="2575" spans="1:10" ht="15.75" thickBot="1" x14ac:dyDescent="0.3">
      <c r="A2575" s="250"/>
      <c r="B2575" s="253"/>
      <c r="C2575" s="40"/>
      <c r="D2575" s="40"/>
      <c r="E2575" s="41"/>
      <c r="F2575" s="35" t="s">
        <v>23</v>
      </c>
      <c r="G2575" s="38" t="str">
        <f t="shared" si="45"/>
        <v/>
      </c>
      <c r="H2575" s="39"/>
      <c r="I2575" s="35"/>
      <c r="J2575" s="34">
        <v>710</v>
      </c>
    </row>
    <row r="2576" spans="1:10" ht="15.75" thickBot="1" x14ac:dyDescent="0.3">
      <c r="A2576" s="248" t="s">
        <v>649</v>
      </c>
      <c r="B2576" s="251" t="s">
        <v>2457</v>
      </c>
      <c r="C2576" s="28"/>
      <c r="D2576" s="29" t="s">
        <v>1748</v>
      </c>
      <c r="E2576" s="30"/>
      <c r="F2576" s="45" t="s">
        <v>23</v>
      </c>
      <c r="G2576" s="31" t="str">
        <f t="shared" si="45"/>
        <v/>
      </c>
      <c r="H2576" s="32"/>
      <c r="I2576" s="33"/>
      <c r="J2576" s="34">
        <v>110</v>
      </c>
    </row>
    <row r="2577" spans="1:10" x14ac:dyDescent="0.25">
      <c r="A2577" s="249"/>
      <c r="B2577" s="252"/>
      <c r="C2577" s="36"/>
      <c r="D2577" s="36"/>
      <c r="E2577" s="37"/>
      <c r="F2577" s="46" t="s">
        <v>23</v>
      </c>
      <c r="G2577" s="38" t="str">
        <f t="shared" si="45"/>
        <v/>
      </c>
      <c r="H2577" s="39"/>
      <c r="I2577" s="35"/>
      <c r="J2577" s="34">
        <v>110</v>
      </c>
    </row>
    <row r="2578" spans="1:10" ht="25.5" x14ac:dyDescent="0.25">
      <c r="A2578" s="249"/>
      <c r="B2578" s="252"/>
      <c r="C2578" s="40" t="s">
        <v>4016</v>
      </c>
      <c r="D2578" s="40" t="s">
        <v>3764</v>
      </c>
      <c r="E2578" s="41">
        <v>1</v>
      </c>
      <c r="F2578" s="35">
        <v>170.107</v>
      </c>
      <c r="G2578" s="38">
        <f t="shared" si="45"/>
        <v>170.107</v>
      </c>
      <c r="H2578" s="43">
        <f>SUM(G2578:G2580)</f>
        <v>212.58225525</v>
      </c>
      <c r="I2578" s="44"/>
      <c r="J2578" s="34">
        <v>110</v>
      </c>
    </row>
    <row r="2579" spans="1:10" ht="51" x14ac:dyDescent="0.25">
      <c r="A2579" s="249"/>
      <c r="B2579" s="252"/>
      <c r="C2579" s="40" t="s">
        <v>4752</v>
      </c>
      <c r="D2579" s="40" t="s">
        <v>3764</v>
      </c>
      <c r="E2579" s="41">
        <f>E2578</f>
        <v>1</v>
      </c>
      <c r="F2579" s="38">
        <v>7.75243225</v>
      </c>
      <c r="G2579" s="38">
        <f t="shared" si="45"/>
        <v>7.75243225</v>
      </c>
      <c r="H2579" s="39"/>
      <c r="I2579" s="35"/>
      <c r="J2579" s="34">
        <v>110</v>
      </c>
    </row>
    <row r="2580" spans="1:10" ht="38.25" x14ac:dyDescent="0.25">
      <c r="A2580" s="249"/>
      <c r="B2580" s="252"/>
      <c r="C2580" s="40" t="s">
        <v>4716</v>
      </c>
      <c r="D2580" s="40" t="s">
        <v>4715</v>
      </c>
      <c r="E2580" s="41">
        <f>E2578*20</f>
        <v>20</v>
      </c>
      <c r="F2580" s="35">
        <v>1.7361411499999997</v>
      </c>
      <c r="G2580" s="38">
        <f t="shared" si="45"/>
        <v>34.722822999999991</v>
      </c>
      <c r="H2580" s="39"/>
      <c r="I2580" s="35"/>
      <c r="J2580" s="34">
        <v>110</v>
      </c>
    </row>
    <row r="2581" spans="1:10" x14ac:dyDescent="0.25">
      <c r="A2581" s="249"/>
      <c r="B2581" s="252"/>
      <c r="C2581" s="40"/>
      <c r="D2581" s="53"/>
      <c r="E2581" s="41"/>
      <c r="F2581" s="35" t="s">
        <v>23</v>
      </c>
      <c r="G2581" s="38" t="str">
        <f t="shared" si="45"/>
        <v/>
      </c>
      <c r="H2581" s="39"/>
      <c r="I2581" s="35"/>
      <c r="J2581" s="34">
        <v>110</v>
      </c>
    </row>
    <row r="2582" spans="1:10" x14ac:dyDescent="0.25">
      <c r="A2582" s="249"/>
      <c r="B2582" s="252"/>
      <c r="C2582" s="50" t="s">
        <v>648</v>
      </c>
      <c r="D2582" s="53"/>
      <c r="E2582" s="41"/>
      <c r="F2582" s="35" t="s">
        <v>23</v>
      </c>
      <c r="G2582" s="38" t="str">
        <f t="shared" si="45"/>
        <v/>
      </c>
      <c r="H2582" s="39"/>
      <c r="I2582" s="35"/>
      <c r="J2582" s="34">
        <v>110</v>
      </c>
    </row>
    <row r="2583" spans="1:10" ht="15.75" thickBot="1" x14ac:dyDescent="0.3">
      <c r="A2583" s="250"/>
      <c r="B2583" s="253"/>
      <c r="C2583" s="40"/>
      <c r="D2583" s="40"/>
      <c r="E2583" s="41"/>
      <c r="F2583" s="35" t="s">
        <v>23</v>
      </c>
      <c r="G2583" s="38" t="str">
        <f t="shared" si="45"/>
        <v/>
      </c>
      <c r="H2583" s="39"/>
      <c r="I2583" s="35"/>
      <c r="J2583" s="34">
        <v>110</v>
      </c>
    </row>
    <row r="2584" spans="1:10" ht="15.75" thickBot="1" x14ac:dyDescent="0.3">
      <c r="A2584" s="248" t="s">
        <v>650</v>
      </c>
      <c r="B2584" s="251" t="s">
        <v>2458</v>
      </c>
      <c r="C2584" s="28"/>
      <c r="D2584" s="29" t="s">
        <v>28</v>
      </c>
      <c r="E2584" s="30"/>
      <c r="F2584" s="45" t="s">
        <v>23</v>
      </c>
      <c r="G2584" s="31" t="str">
        <f t="shared" si="45"/>
        <v/>
      </c>
      <c r="H2584" s="32"/>
      <c r="I2584" s="33"/>
      <c r="J2584" s="34">
        <v>50000</v>
      </c>
    </row>
    <row r="2585" spans="1:10" x14ac:dyDescent="0.25">
      <c r="A2585" s="249"/>
      <c r="B2585" s="252"/>
      <c r="C2585" s="36"/>
      <c r="D2585" s="36"/>
      <c r="E2585" s="37"/>
      <c r="F2585" s="46" t="s">
        <v>23</v>
      </c>
      <c r="G2585" s="38" t="str">
        <f t="shared" si="45"/>
        <v/>
      </c>
      <c r="H2585" s="39"/>
      <c r="I2585" s="35"/>
      <c r="J2585" s="34">
        <v>50000</v>
      </c>
    </row>
    <row r="2586" spans="1:10" ht="25.5" x14ac:dyDescent="0.25">
      <c r="A2586" s="249"/>
      <c r="B2586" s="252"/>
      <c r="C2586" s="40" t="s">
        <v>4012</v>
      </c>
      <c r="D2586" s="40" t="s">
        <v>291</v>
      </c>
      <c r="E2586" s="41">
        <v>1</v>
      </c>
      <c r="F2586" s="35">
        <v>0.75049999999999994</v>
      </c>
      <c r="G2586" s="38">
        <f t="shared" si="45"/>
        <v>0.75049999999999994</v>
      </c>
      <c r="H2586" s="43">
        <f>SUM(G2586:G2586)</f>
        <v>0.75049999999999994</v>
      </c>
      <c r="I2586" s="44"/>
      <c r="J2586" s="34">
        <v>50000</v>
      </c>
    </row>
    <row r="2587" spans="1:10" ht="15.75" thickBot="1" x14ac:dyDescent="0.3">
      <c r="A2587" s="250"/>
      <c r="B2587" s="253"/>
      <c r="C2587" s="40"/>
      <c r="D2587" s="40"/>
      <c r="E2587" s="41"/>
      <c r="F2587" s="35" t="s">
        <v>23</v>
      </c>
      <c r="G2587" s="38" t="str">
        <f t="shared" si="45"/>
        <v/>
      </c>
      <c r="H2587" s="39"/>
      <c r="I2587" s="35"/>
      <c r="J2587" s="34">
        <v>50000</v>
      </c>
    </row>
    <row r="2588" spans="1:10" ht="15.75" thickBot="1" x14ac:dyDescent="0.3">
      <c r="A2588" s="248" t="s">
        <v>651</v>
      </c>
      <c r="B2588" s="251" t="s">
        <v>2459</v>
      </c>
      <c r="C2588" s="28"/>
      <c r="D2588" s="29" t="s">
        <v>28</v>
      </c>
      <c r="E2588" s="30"/>
      <c r="F2588" s="45" t="s">
        <v>23</v>
      </c>
      <c r="G2588" s="31" t="str">
        <f t="shared" si="45"/>
        <v/>
      </c>
      <c r="H2588" s="32"/>
      <c r="I2588" s="33"/>
      <c r="J2588" s="34">
        <v>50000</v>
      </c>
    </row>
    <row r="2589" spans="1:10" x14ac:dyDescent="0.25">
      <c r="A2589" s="249"/>
      <c r="B2589" s="252"/>
      <c r="C2589" s="36"/>
      <c r="D2589" s="36"/>
      <c r="E2589" s="37"/>
      <c r="F2589" s="46" t="s">
        <v>23</v>
      </c>
      <c r="G2589" s="38" t="str">
        <f t="shared" si="45"/>
        <v/>
      </c>
      <c r="H2589" s="39"/>
      <c r="I2589" s="35"/>
      <c r="J2589" s="34">
        <v>50000</v>
      </c>
    </row>
    <row r="2590" spans="1:10" x14ac:dyDescent="0.25">
      <c r="A2590" s="249"/>
      <c r="B2590" s="252"/>
      <c r="C2590" s="40" t="s">
        <v>4015</v>
      </c>
      <c r="D2590" s="40" t="s">
        <v>291</v>
      </c>
      <c r="E2590" s="41">
        <v>1</v>
      </c>
      <c r="F2590" s="35">
        <v>0.63649999999999995</v>
      </c>
      <c r="G2590" s="38">
        <f t="shared" si="45"/>
        <v>0.63649999999999995</v>
      </c>
      <c r="H2590" s="43">
        <f>SUM(G2590:G2590)</f>
        <v>0.63649999999999995</v>
      </c>
      <c r="I2590" s="44"/>
      <c r="J2590" s="34">
        <v>50000</v>
      </c>
    </row>
    <row r="2591" spans="1:10" ht="15.75" thickBot="1" x14ac:dyDescent="0.3">
      <c r="A2591" s="250"/>
      <c r="B2591" s="253"/>
      <c r="C2591" s="40"/>
      <c r="D2591" s="40"/>
      <c r="E2591" s="41"/>
      <c r="F2591" s="35" t="s">
        <v>23</v>
      </c>
      <c r="G2591" s="38" t="str">
        <f t="shared" si="45"/>
        <v/>
      </c>
      <c r="H2591" s="39"/>
      <c r="I2591" s="35"/>
      <c r="J2591" s="34">
        <v>50000</v>
      </c>
    </row>
    <row r="2592" spans="1:10" ht="15.75" thickBot="1" x14ac:dyDescent="0.3">
      <c r="A2592" s="248" t="s">
        <v>652</v>
      </c>
      <c r="B2592" s="251" t="s">
        <v>2460</v>
      </c>
      <c r="C2592" s="28"/>
      <c r="D2592" s="29" t="s">
        <v>28</v>
      </c>
      <c r="E2592" s="30"/>
      <c r="F2592" s="45" t="s">
        <v>23</v>
      </c>
      <c r="G2592" s="31" t="str">
        <f t="shared" si="45"/>
        <v/>
      </c>
      <c r="H2592" s="32"/>
      <c r="I2592" s="33"/>
      <c r="J2592" s="34">
        <v>16290</v>
      </c>
    </row>
    <row r="2593" spans="1:10" x14ac:dyDescent="0.25">
      <c r="A2593" s="249"/>
      <c r="B2593" s="252"/>
      <c r="C2593" s="36"/>
      <c r="D2593" s="36"/>
      <c r="E2593" s="37"/>
      <c r="F2593" s="46" t="s">
        <v>23</v>
      </c>
      <c r="G2593" s="38" t="str">
        <f t="shared" si="45"/>
        <v/>
      </c>
      <c r="H2593" s="39"/>
      <c r="I2593" s="35"/>
      <c r="J2593" s="34">
        <v>16290</v>
      </c>
    </row>
    <row r="2594" spans="1:10" ht="25.5" x14ac:dyDescent="0.25">
      <c r="A2594" s="249"/>
      <c r="B2594" s="252"/>
      <c r="C2594" s="40" t="s">
        <v>4005</v>
      </c>
      <c r="D2594" s="40" t="s">
        <v>291</v>
      </c>
      <c r="E2594" s="41">
        <v>1</v>
      </c>
      <c r="F2594" s="35">
        <v>2.9164999999999996</v>
      </c>
      <c r="G2594" s="38">
        <f t="shared" si="45"/>
        <v>2.9164999999999996</v>
      </c>
      <c r="H2594" s="43">
        <f>SUM(G2594:G2594)</f>
        <v>2.9164999999999996</v>
      </c>
      <c r="I2594" s="44"/>
      <c r="J2594" s="34">
        <v>16290</v>
      </c>
    </row>
    <row r="2595" spans="1:10" ht="15.75" thickBot="1" x14ac:dyDescent="0.3">
      <c r="A2595" s="250"/>
      <c r="B2595" s="253"/>
      <c r="C2595" s="40"/>
      <c r="D2595" s="40"/>
      <c r="E2595" s="41"/>
      <c r="F2595" s="35" t="s">
        <v>23</v>
      </c>
      <c r="G2595" s="38" t="str">
        <f t="shared" si="45"/>
        <v/>
      </c>
      <c r="H2595" s="39"/>
      <c r="I2595" s="35"/>
      <c r="J2595" s="34">
        <v>16290</v>
      </c>
    </row>
    <row r="2596" spans="1:10" ht="15.75" thickBot="1" x14ac:dyDescent="0.3">
      <c r="A2596" s="248" t="s">
        <v>653</v>
      </c>
      <c r="B2596" s="251" t="s">
        <v>2461</v>
      </c>
      <c r="C2596" s="28"/>
      <c r="D2596" s="29" t="s">
        <v>28</v>
      </c>
      <c r="E2596" s="30"/>
      <c r="F2596" s="45" t="s">
        <v>23</v>
      </c>
      <c r="G2596" s="31" t="str">
        <f t="shared" si="45"/>
        <v/>
      </c>
      <c r="H2596" s="32"/>
      <c r="I2596" s="33"/>
      <c r="J2596" s="34">
        <v>1000</v>
      </c>
    </row>
    <row r="2597" spans="1:10" x14ac:dyDescent="0.25">
      <c r="A2597" s="249"/>
      <c r="B2597" s="252"/>
      <c r="C2597" s="36"/>
      <c r="D2597" s="36"/>
      <c r="E2597" s="37"/>
      <c r="F2597" s="46" t="s">
        <v>23</v>
      </c>
      <c r="G2597" s="38" t="str">
        <f t="shared" si="45"/>
        <v/>
      </c>
      <c r="H2597" s="39"/>
      <c r="I2597" s="35"/>
      <c r="J2597" s="34">
        <v>1000</v>
      </c>
    </row>
    <row r="2598" spans="1:10" ht="25.5" x14ac:dyDescent="0.25">
      <c r="A2598" s="249"/>
      <c r="B2598" s="252"/>
      <c r="C2598" s="40" t="s">
        <v>654</v>
      </c>
      <c r="D2598" s="40" t="s">
        <v>102</v>
      </c>
      <c r="E2598" s="41">
        <v>1</v>
      </c>
      <c r="F2598" s="35">
        <v>4.1514999999999995</v>
      </c>
      <c r="G2598" s="38">
        <f t="shared" si="45"/>
        <v>4.1514999999999995</v>
      </c>
      <c r="H2598" s="43">
        <f>SUM(G2598:G2598)</f>
        <v>4.1514999999999995</v>
      </c>
      <c r="I2598" s="44"/>
      <c r="J2598" s="34">
        <v>1000</v>
      </c>
    </row>
    <row r="2599" spans="1:10" ht="15.75" thickBot="1" x14ac:dyDescent="0.3">
      <c r="A2599" s="250"/>
      <c r="B2599" s="253"/>
      <c r="C2599" s="40"/>
      <c r="D2599" s="40"/>
      <c r="E2599" s="41"/>
      <c r="F2599" s="35" t="s">
        <v>23</v>
      </c>
      <c r="G2599" s="38" t="str">
        <f t="shared" si="45"/>
        <v/>
      </c>
      <c r="H2599" s="39"/>
      <c r="I2599" s="35"/>
      <c r="J2599" s="34">
        <v>1000</v>
      </c>
    </row>
    <row r="2600" spans="1:10" ht="15.75" thickBot="1" x14ac:dyDescent="0.3">
      <c r="A2600" s="248" t="s">
        <v>655</v>
      </c>
      <c r="B2600" s="251" t="s">
        <v>2462</v>
      </c>
      <c r="C2600" s="28"/>
      <c r="D2600" s="29" t="s">
        <v>121</v>
      </c>
      <c r="E2600" s="30"/>
      <c r="F2600" s="45" t="s">
        <v>23</v>
      </c>
      <c r="G2600" s="31" t="str">
        <f t="shared" si="45"/>
        <v/>
      </c>
      <c r="H2600" s="32"/>
      <c r="I2600" s="33"/>
      <c r="J2600" s="34">
        <v>500</v>
      </c>
    </row>
    <row r="2601" spans="1:10" x14ac:dyDescent="0.25">
      <c r="A2601" s="249"/>
      <c r="B2601" s="252"/>
      <c r="C2601" s="36"/>
      <c r="D2601" s="36"/>
      <c r="E2601" s="37"/>
      <c r="F2601" s="46" t="s">
        <v>23</v>
      </c>
      <c r="G2601" s="38" t="str">
        <f t="shared" si="45"/>
        <v/>
      </c>
      <c r="H2601" s="39"/>
      <c r="I2601" s="35"/>
      <c r="J2601" s="34">
        <v>500</v>
      </c>
    </row>
    <row r="2602" spans="1:10" x14ac:dyDescent="0.25">
      <c r="A2602" s="249"/>
      <c r="B2602" s="252"/>
      <c r="C2602" s="40" t="s">
        <v>4138</v>
      </c>
      <c r="D2602" s="40" t="s">
        <v>1035</v>
      </c>
      <c r="E2602" s="41">
        <v>0.154</v>
      </c>
      <c r="F2602" s="35">
        <v>9.5759999999999987</v>
      </c>
      <c r="G2602" s="38">
        <f t="shared" si="45"/>
        <v>1.4747039999999998</v>
      </c>
      <c r="H2602" s="43">
        <f>SUM(G2602:G2602)</f>
        <v>1.4747039999999998</v>
      </c>
      <c r="I2602" s="44"/>
      <c r="J2602" s="34">
        <v>500</v>
      </c>
    </row>
    <row r="2603" spans="1:10" ht="15.75" thickBot="1" x14ac:dyDescent="0.3">
      <c r="A2603" s="250"/>
      <c r="B2603" s="253"/>
      <c r="C2603" s="40"/>
      <c r="D2603" s="40"/>
      <c r="E2603" s="41"/>
      <c r="F2603" s="35" t="s">
        <v>23</v>
      </c>
      <c r="G2603" s="38" t="str">
        <f t="shared" si="45"/>
        <v/>
      </c>
      <c r="H2603" s="39"/>
      <c r="I2603" s="35"/>
      <c r="J2603" s="34">
        <v>500</v>
      </c>
    </row>
    <row r="2604" spans="1:10" ht="15.75" thickBot="1" x14ac:dyDescent="0.3">
      <c r="A2604" s="248" t="s">
        <v>656</v>
      </c>
      <c r="B2604" s="251" t="s">
        <v>2463</v>
      </c>
      <c r="C2604" s="28"/>
      <c r="D2604" s="29" t="s">
        <v>121</v>
      </c>
      <c r="E2604" s="30"/>
      <c r="F2604" s="45" t="s">
        <v>23</v>
      </c>
      <c r="G2604" s="31" t="str">
        <f t="shared" si="45"/>
        <v/>
      </c>
      <c r="H2604" s="32"/>
      <c r="I2604" s="33"/>
      <c r="J2604" s="34">
        <v>1060</v>
      </c>
    </row>
    <row r="2605" spans="1:10" x14ac:dyDescent="0.25">
      <c r="A2605" s="249"/>
      <c r="B2605" s="252"/>
      <c r="C2605" s="36"/>
      <c r="D2605" s="36"/>
      <c r="E2605" s="37"/>
      <c r="F2605" s="46" t="s">
        <v>23</v>
      </c>
      <c r="G2605" s="38" t="str">
        <f t="shared" si="45"/>
        <v/>
      </c>
      <c r="H2605" s="39"/>
      <c r="I2605" s="35"/>
      <c r="J2605" s="34">
        <v>1060</v>
      </c>
    </row>
    <row r="2606" spans="1:10" x14ac:dyDescent="0.25">
      <c r="A2606" s="249"/>
      <c r="B2606" s="252"/>
      <c r="C2606" s="40" t="s">
        <v>4152</v>
      </c>
      <c r="D2606" s="40" t="s">
        <v>1035</v>
      </c>
      <c r="E2606" s="41">
        <v>0.245</v>
      </c>
      <c r="F2606" s="35">
        <v>10.677999999999999</v>
      </c>
      <c r="G2606" s="38">
        <f t="shared" si="45"/>
        <v>2.6161099999999999</v>
      </c>
      <c r="H2606" s="43">
        <f>SUM(G2606:G2606)</f>
        <v>2.6161099999999999</v>
      </c>
      <c r="I2606" s="44"/>
      <c r="J2606" s="34">
        <v>1060</v>
      </c>
    </row>
    <row r="2607" spans="1:10" ht="15.75" thickBot="1" x14ac:dyDescent="0.3">
      <c r="A2607" s="250"/>
      <c r="B2607" s="253"/>
      <c r="C2607" s="40"/>
      <c r="D2607" s="40"/>
      <c r="E2607" s="41"/>
      <c r="F2607" s="35" t="s">
        <v>23</v>
      </c>
      <c r="G2607" s="38" t="str">
        <f t="shared" si="45"/>
        <v/>
      </c>
      <c r="H2607" s="39"/>
      <c r="I2607" s="35"/>
      <c r="J2607" s="34">
        <v>1060</v>
      </c>
    </row>
    <row r="2608" spans="1:10" ht="15.75" thickBot="1" x14ac:dyDescent="0.3">
      <c r="A2608" s="248" t="s">
        <v>657</v>
      </c>
      <c r="B2608" s="251" t="s">
        <v>2464</v>
      </c>
      <c r="C2608" s="28"/>
      <c r="D2608" s="29" t="s">
        <v>121</v>
      </c>
      <c r="E2608" s="30"/>
      <c r="F2608" s="45" t="s">
        <v>23</v>
      </c>
      <c r="G2608" s="31" t="str">
        <f t="shared" si="45"/>
        <v/>
      </c>
      <c r="H2608" s="32"/>
      <c r="I2608" s="33"/>
      <c r="J2608" s="34">
        <v>880</v>
      </c>
    </row>
    <row r="2609" spans="1:10" x14ac:dyDescent="0.25">
      <c r="A2609" s="249"/>
      <c r="B2609" s="252"/>
      <c r="C2609" s="36"/>
      <c r="D2609" s="36"/>
      <c r="E2609" s="37"/>
      <c r="F2609" s="46" t="s">
        <v>23</v>
      </c>
      <c r="G2609" s="38" t="str">
        <f t="shared" si="45"/>
        <v/>
      </c>
      <c r="H2609" s="39"/>
      <c r="I2609" s="35"/>
      <c r="J2609" s="34">
        <v>880</v>
      </c>
    </row>
    <row r="2610" spans="1:10" x14ac:dyDescent="0.25">
      <c r="A2610" s="249"/>
      <c r="B2610" s="252"/>
      <c r="C2610" s="40" t="s">
        <v>4145</v>
      </c>
      <c r="D2610" s="40" t="s">
        <v>1035</v>
      </c>
      <c r="E2610" s="41">
        <v>0.39500000000000002</v>
      </c>
      <c r="F2610" s="35">
        <v>10.734999999999999</v>
      </c>
      <c r="G2610" s="38">
        <f t="shared" ref="G2610:G2673" si="46">IF(ISNUMBER(F2610),E2610*F2610,"")</f>
        <v>4.2403250000000003</v>
      </c>
      <c r="H2610" s="43">
        <f>SUM(G2610:G2610)</f>
        <v>4.2403250000000003</v>
      </c>
      <c r="I2610" s="44"/>
      <c r="J2610" s="34">
        <v>880</v>
      </c>
    </row>
    <row r="2611" spans="1:10" ht="15.75" thickBot="1" x14ac:dyDescent="0.3">
      <c r="A2611" s="250"/>
      <c r="B2611" s="253"/>
      <c r="C2611" s="40"/>
      <c r="D2611" s="40"/>
      <c r="E2611" s="41"/>
      <c r="F2611" s="35" t="s">
        <v>23</v>
      </c>
      <c r="G2611" s="38" t="str">
        <f t="shared" si="46"/>
        <v/>
      </c>
      <c r="H2611" s="39"/>
      <c r="I2611" s="35"/>
      <c r="J2611" s="34">
        <v>880</v>
      </c>
    </row>
    <row r="2612" spans="1:10" ht="15.75" thickBot="1" x14ac:dyDescent="0.3">
      <c r="A2612" s="248" t="s">
        <v>658</v>
      </c>
      <c r="B2612" s="251" t="s">
        <v>2465</v>
      </c>
      <c r="C2612" s="28"/>
      <c r="D2612" s="29" t="s">
        <v>121</v>
      </c>
      <c r="E2612" s="30"/>
      <c r="F2612" s="45" t="s">
        <v>23</v>
      </c>
      <c r="G2612" s="31" t="str">
        <f t="shared" si="46"/>
        <v/>
      </c>
      <c r="H2612" s="32"/>
      <c r="I2612" s="33"/>
      <c r="J2612" s="34">
        <v>500</v>
      </c>
    </row>
    <row r="2613" spans="1:10" x14ac:dyDescent="0.25">
      <c r="A2613" s="249"/>
      <c r="B2613" s="252"/>
      <c r="C2613" s="36"/>
      <c r="D2613" s="36"/>
      <c r="E2613" s="37"/>
      <c r="F2613" s="46" t="s">
        <v>23</v>
      </c>
      <c r="G2613" s="38" t="str">
        <f t="shared" si="46"/>
        <v/>
      </c>
      <c r="H2613" s="39"/>
      <c r="I2613" s="35"/>
      <c r="J2613" s="34">
        <v>500</v>
      </c>
    </row>
    <row r="2614" spans="1:10" x14ac:dyDescent="0.25">
      <c r="A2614" s="249"/>
      <c r="B2614" s="252"/>
      <c r="C2614" s="40" t="s">
        <v>4150</v>
      </c>
      <c r="D2614" s="40" t="s">
        <v>1035</v>
      </c>
      <c r="E2614" s="41">
        <v>0.61699999999999999</v>
      </c>
      <c r="F2614" s="35">
        <v>10.126999999999999</v>
      </c>
      <c r="G2614" s="38">
        <f t="shared" si="46"/>
        <v>6.2483589999999989</v>
      </c>
      <c r="H2614" s="43">
        <f>SUM(G2614:G2614)</f>
        <v>6.2483589999999989</v>
      </c>
      <c r="I2614" s="44"/>
      <c r="J2614" s="34">
        <v>500</v>
      </c>
    </row>
    <row r="2615" spans="1:10" ht="15.75" thickBot="1" x14ac:dyDescent="0.3">
      <c r="A2615" s="250"/>
      <c r="B2615" s="253"/>
      <c r="C2615" s="40"/>
      <c r="D2615" s="40"/>
      <c r="E2615" s="41"/>
      <c r="F2615" s="35" t="s">
        <v>23</v>
      </c>
      <c r="G2615" s="38" t="str">
        <f t="shared" si="46"/>
        <v/>
      </c>
      <c r="H2615" s="39"/>
      <c r="I2615" s="35"/>
      <c r="J2615" s="34">
        <v>500</v>
      </c>
    </row>
    <row r="2616" spans="1:10" ht="15.75" thickBot="1" x14ac:dyDescent="0.3">
      <c r="A2616" s="248" t="s">
        <v>659</v>
      </c>
      <c r="B2616" s="251" t="s">
        <v>2466</v>
      </c>
      <c r="C2616" s="28"/>
      <c r="D2616" s="29" t="s">
        <v>121</v>
      </c>
      <c r="E2616" s="30"/>
      <c r="F2616" s="45" t="s">
        <v>23</v>
      </c>
      <c r="G2616" s="31" t="str">
        <f t="shared" si="46"/>
        <v/>
      </c>
      <c r="H2616" s="32"/>
      <c r="I2616" s="33"/>
      <c r="J2616" s="34">
        <v>2540</v>
      </c>
    </row>
    <row r="2617" spans="1:10" x14ac:dyDescent="0.25">
      <c r="A2617" s="249"/>
      <c r="B2617" s="252"/>
      <c r="C2617" s="36"/>
      <c r="D2617" s="36"/>
      <c r="E2617" s="37"/>
      <c r="F2617" s="46" t="s">
        <v>23</v>
      </c>
      <c r="G2617" s="38" t="str">
        <f t="shared" si="46"/>
        <v/>
      </c>
      <c r="H2617" s="39"/>
      <c r="I2617" s="35"/>
      <c r="J2617" s="34">
        <v>2540</v>
      </c>
    </row>
    <row r="2618" spans="1:10" x14ac:dyDescent="0.25">
      <c r="A2618" s="249"/>
      <c r="B2618" s="252"/>
      <c r="C2618" s="40" t="s">
        <v>3984</v>
      </c>
      <c r="D2618" s="40" t="s">
        <v>1035</v>
      </c>
      <c r="E2618" s="41">
        <v>0.96299999999999997</v>
      </c>
      <c r="F2618" s="35">
        <v>8.7684999999999995</v>
      </c>
      <c r="G2618" s="38">
        <f t="shared" si="46"/>
        <v>8.4440654999999989</v>
      </c>
      <c r="H2618" s="43">
        <f>SUM(G2618:G2618)</f>
        <v>8.4440654999999989</v>
      </c>
      <c r="I2618" s="44"/>
      <c r="J2618" s="34">
        <v>2540</v>
      </c>
    </row>
    <row r="2619" spans="1:10" ht="15.75" thickBot="1" x14ac:dyDescent="0.3">
      <c r="A2619" s="250"/>
      <c r="B2619" s="253"/>
      <c r="C2619" s="40"/>
      <c r="D2619" s="40"/>
      <c r="E2619" s="41"/>
      <c r="F2619" s="35" t="s">
        <v>23</v>
      </c>
      <c r="G2619" s="38" t="str">
        <f t="shared" si="46"/>
        <v/>
      </c>
      <c r="H2619" s="39"/>
      <c r="I2619" s="35"/>
      <c r="J2619" s="34">
        <v>2540</v>
      </c>
    </row>
    <row r="2620" spans="1:10" ht="15.75" thickBot="1" x14ac:dyDescent="0.3">
      <c r="A2620" s="248" t="s">
        <v>660</v>
      </c>
      <c r="B2620" s="251" t="s">
        <v>2467</v>
      </c>
      <c r="C2620" s="28"/>
      <c r="D2620" s="29" t="s">
        <v>82</v>
      </c>
      <c r="E2620" s="30"/>
      <c r="F2620" s="45" t="s">
        <v>23</v>
      </c>
      <c r="G2620" s="31" t="str">
        <f t="shared" si="46"/>
        <v/>
      </c>
      <c r="H2620" s="32"/>
      <c r="I2620" s="33"/>
      <c r="J2620" s="34">
        <v>1380</v>
      </c>
    </row>
    <row r="2621" spans="1:10" x14ac:dyDescent="0.25">
      <c r="A2621" s="249"/>
      <c r="B2621" s="252"/>
      <c r="C2621" s="36"/>
      <c r="D2621" s="36"/>
      <c r="E2621" s="37"/>
      <c r="F2621" s="46" t="s">
        <v>23</v>
      </c>
      <c r="G2621" s="38" t="str">
        <f t="shared" si="46"/>
        <v/>
      </c>
      <c r="H2621" s="39"/>
      <c r="I2621" s="35"/>
      <c r="J2621" s="34">
        <v>1380</v>
      </c>
    </row>
    <row r="2622" spans="1:10" ht="25.5" x14ac:dyDescent="0.25">
      <c r="A2622" s="249"/>
      <c r="B2622" s="252"/>
      <c r="C2622" s="40" t="s">
        <v>4033</v>
      </c>
      <c r="D2622" s="40" t="s">
        <v>1035</v>
      </c>
      <c r="E2622" s="41">
        <v>1</v>
      </c>
      <c r="F2622" s="35">
        <v>18.249500000000001</v>
      </c>
      <c r="G2622" s="38">
        <f t="shared" si="46"/>
        <v>18.249500000000001</v>
      </c>
      <c r="H2622" s="43">
        <f>SUM(G2622:G2622)</f>
        <v>18.249500000000001</v>
      </c>
      <c r="I2622" s="44"/>
      <c r="J2622" s="34">
        <v>1380</v>
      </c>
    </row>
    <row r="2623" spans="1:10" ht="15.75" thickBot="1" x14ac:dyDescent="0.3">
      <c r="A2623" s="250"/>
      <c r="B2623" s="253"/>
      <c r="C2623" s="40"/>
      <c r="D2623" s="40"/>
      <c r="E2623" s="41"/>
      <c r="F2623" s="35" t="s">
        <v>23</v>
      </c>
      <c r="G2623" s="38" t="str">
        <f t="shared" si="46"/>
        <v/>
      </c>
      <c r="H2623" s="39"/>
      <c r="I2623" s="35"/>
      <c r="J2623" s="34">
        <v>1380</v>
      </c>
    </row>
    <row r="2624" spans="1:10" ht="15.75" thickBot="1" x14ac:dyDescent="0.3">
      <c r="A2624" s="248" t="s">
        <v>661</v>
      </c>
      <c r="B2624" s="251" t="s">
        <v>2468</v>
      </c>
      <c r="C2624" s="28"/>
      <c r="D2624" s="29" t="s">
        <v>82</v>
      </c>
      <c r="E2624" s="30"/>
      <c r="F2624" s="45" t="s">
        <v>23</v>
      </c>
      <c r="G2624" s="31" t="str">
        <f t="shared" si="46"/>
        <v/>
      </c>
      <c r="H2624" s="32"/>
      <c r="I2624" s="33"/>
      <c r="J2624" s="34">
        <v>810</v>
      </c>
    </row>
    <row r="2625" spans="1:10" x14ac:dyDescent="0.25">
      <c r="A2625" s="249"/>
      <c r="B2625" s="252"/>
      <c r="C2625" s="36"/>
      <c r="D2625" s="36"/>
      <c r="E2625" s="37"/>
      <c r="F2625" s="46" t="s">
        <v>23</v>
      </c>
      <c r="G2625" s="38" t="str">
        <f t="shared" si="46"/>
        <v/>
      </c>
      <c r="H2625" s="39"/>
      <c r="I2625" s="35"/>
      <c r="J2625" s="34">
        <v>810</v>
      </c>
    </row>
    <row r="2626" spans="1:10" ht="25.5" x14ac:dyDescent="0.25">
      <c r="A2626" s="249"/>
      <c r="B2626" s="252"/>
      <c r="C2626" s="40" t="s">
        <v>4002</v>
      </c>
      <c r="D2626" s="40" t="s">
        <v>1035</v>
      </c>
      <c r="E2626" s="41">
        <v>1</v>
      </c>
      <c r="F2626" s="35">
        <v>61.113499999999995</v>
      </c>
      <c r="G2626" s="38">
        <f t="shared" si="46"/>
        <v>61.113499999999995</v>
      </c>
      <c r="H2626" s="43">
        <f>SUM(G2626:G2626)</f>
        <v>61.113499999999995</v>
      </c>
      <c r="I2626" s="44"/>
      <c r="J2626" s="34">
        <v>810</v>
      </c>
    </row>
    <row r="2627" spans="1:10" ht="15.75" thickBot="1" x14ac:dyDescent="0.3">
      <c r="A2627" s="250"/>
      <c r="B2627" s="253"/>
      <c r="C2627" s="40"/>
      <c r="D2627" s="40"/>
      <c r="E2627" s="41"/>
      <c r="F2627" s="35" t="s">
        <v>23</v>
      </c>
      <c r="G2627" s="38" t="str">
        <f t="shared" si="46"/>
        <v/>
      </c>
      <c r="H2627" s="39"/>
      <c r="I2627" s="35"/>
      <c r="J2627" s="34">
        <v>810</v>
      </c>
    </row>
    <row r="2628" spans="1:10" ht="15.75" thickBot="1" x14ac:dyDescent="0.3">
      <c r="A2628" s="248" t="s">
        <v>662</v>
      </c>
      <c r="B2628" s="251" t="s">
        <v>2469</v>
      </c>
      <c r="C2628" s="28"/>
      <c r="D2628" s="29" t="s">
        <v>28</v>
      </c>
      <c r="E2628" s="30"/>
      <c r="F2628" s="45" t="s">
        <v>23</v>
      </c>
      <c r="G2628" s="31" t="str">
        <f t="shared" si="46"/>
        <v/>
      </c>
      <c r="H2628" s="32"/>
      <c r="I2628" s="33"/>
      <c r="J2628" s="34">
        <v>7320</v>
      </c>
    </row>
    <row r="2629" spans="1:10" x14ac:dyDescent="0.25">
      <c r="A2629" s="249"/>
      <c r="B2629" s="252"/>
      <c r="C2629" s="36"/>
      <c r="D2629" s="36"/>
      <c r="E2629" s="37"/>
      <c r="F2629" s="46" t="s">
        <v>23</v>
      </c>
      <c r="G2629" s="38" t="str">
        <f t="shared" si="46"/>
        <v/>
      </c>
      <c r="H2629" s="39"/>
      <c r="I2629" s="35"/>
      <c r="J2629" s="34">
        <v>7320</v>
      </c>
    </row>
    <row r="2630" spans="1:10" ht="25.5" x14ac:dyDescent="0.25">
      <c r="A2630" s="249"/>
      <c r="B2630" s="252"/>
      <c r="C2630" s="40" t="s">
        <v>3788</v>
      </c>
      <c r="D2630" s="40" t="s">
        <v>3789</v>
      </c>
      <c r="E2630" s="41">
        <v>1</v>
      </c>
      <c r="F2630" s="35">
        <v>39.548499999999997</v>
      </c>
      <c r="G2630" s="38">
        <f t="shared" si="46"/>
        <v>39.548499999999997</v>
      </c>
      <c r="H2630" s="43">
        <f>SUM(G2630:G2630)</f>
        <v>39.548499999999997</v>
      </c>
      <c r="I2630" s="44"/>
      <c r="J2630" s="34">
        <v>7320</v>
      </c>
    </row>
    <row r="2631" spans="1:10" ht="15.75" thickBot="1" x14ac:dyDescent="0.3">
      <c r="A2631" s="250"/>
      <c r="B2631" s="253"/>
      <c r="C2631" s="40"/>
      <c r="D2631" s="40"/>
      <c r="E2631" s="41"/>
      <c r="F2631" s="35" t="s">
        <v>23</v>
      </c>
      <c r="G2631" s="38" t="str">
        <f t="shared" si="46"/>
        <v/>
      </c>
      <c r="H2631" s="39"/>
      <c r="I2631" s="35"/>
      <c r="J2631" s="34">
        <v>7320</v>
      </c>
    </row>
    <row r="2632" spans="1:10" ht="15.75" hidden="1" thickBot="1" x14ac:dyDescent="0.3">
      <c r="A2632" s="248" t="s">
        <v>663</v>
      </c>
      <c r="B2632" s="251" t="s">
        <v>2470</v>
      </c>
      <c r="C2632" s="28"/>
      <c r="D2632" s="29" t="s">
        <v>28</v>
      </c>
      <c r="E2632" s="30"/>
      <c r="F2632" s="45" t="s">
        <v>23</v>
      </c>
      <c r="G2632" s="31" t="str">
        <f t="shared" si="46"/>
        <v/>
      </c>
      <c r="H2632" s="32"/>
      <c r="I2632" s="33"/>
      <c r="J2632" s="34">
        <v>0</v>
      </c>
    </row>
    <row r="2633" spans="1:10" ht="15.75" hidden="1" thickBot="1" x14ac:dyDescent="0.3">
      <c r="A2633" s="249"/>
      <c r="B2633" s="252"/>
      <c r="C2633" s="36"/>
      <c r="D2633" s="36"/>
      <c r="E2633" s="37"/>
      <c r="F2633" s="46" t="s">
        <v>23</v>
      </c>
      <c r="G2633" s="38" t="str">
        <f t="shared" si="46"/>
        <v/>
      </c>
      <c r="H2633" s="39"/>
      <c r="I2633" s="35"/>
      <c r="J2633" s="34">
        <v>0</v>
      </c>
    </row>
    <row r="2634" spans="1:10" ht="15.75" hidden="1" thickBot="1" x14ac:dyDescent="0.3">
      <c r="A2634" s="249"/>
      <c r="B2634" s="252"/>
      <c r="C2634" s="40" t="s">
        <v>3831</v>
      </c>
      <c r="D2634" s="40" t="s">
        <v>291</v>
      </c>
      <c r="E2634" s="41">
        <v>1</v>
      </c>
      <c r="F2634" s="35">
        <v>26.125</v>
      </c>
      <c r="G2634" s="38">
        <f t="shared" si="46"/>
        <v>26.125</v>
      </c>
      <c r="H2634" s="43">
        <f>SUM(G2634:G2634)</f>
        <v>26.125</v>
      </c>
      <c r="I2634" s="44"/>
      <c r="J2634" s="34">
        <v>0</v>
      </c>
    </row>
    <row r="2635" spans="1:10" ht="15.75" hidden="1" thickBot="1" x14ac:dyDescent="0.3">
      <c r="A2635" s="250"/>
      <c r="B2635" s="253"/>
      <c r="C2635" s="40"/>
      <c r="D2635" s="40"/>
      <c r="E2635" s="41"/>
      <c r="F2635" s="35" t="s">
        <v>23</v>
      </c>
      <c r="G2635" s="38" t="str">
        <f t="shared" si="46"/>
        <v/>
      </c>
      <c r="H2635" s="39"/>
      <c r="I2635" s="35"/>
      <c r="J2635" s="34">
        <v>0</v>
      </c>
    </row>
    <row r="2636" spans="1:10" ht="15.75" thickBot="1" x14ac:dyDescent="0.3">
      <c r="A2636" s="248" t="s">
        <v>664</v>
      </c>
      <c r="B2636" s="251" t="s">
        <v>2471</v>
      </c>
      <c r="C2636" s="28"/>
      <c r="D2636" s="29" t="s">
        <v>80</v>
      </c>
      <c r="E2636" s="30"/>
      <c r="F2636" s="45" t="s">
        <v>23</v>
      </c>
      <c r="G2636" s="31" t="str">
        <f t="shared" si="46"/>
        <v/>
      </c>
      <c r="H2636" s="32"/>
      <c r="I2636" s="33"/>
      <c r="J2636" s="34">
        <v>2000</v>
      </c>
    </row>
    <row r="2637" spans="1:10" x14ac:dyDescent="0.25">
      <c r="A2637" s="249"/>
      <c r="B2637" s="252"/>
      <c r="C2637" s="36"/>
      <c r="D2637" s="36"/>
      <c r="E2637" s="37"/>
      <c r="F2637" s="46" t="s">
        <v>23</v>
      </c>
      <c r="G2637" s="38" t="str">
        <f t="shared" si="46"/>
        <v/>
      </c>
      <c r="H2637" s="39"/>
      <c r="I2637" s="35"/>
      <c r="J2637" s="34">
        <v>2000</v>
      </c>
    </row>
    <row r="2638" spans="1:10" ht="38.25" x14ac:dyDescent="0.25">
      <c r="A2638" s="249"/>
      <c r="B2638" s="252"/>
      <c r="C2638" s="40" t="s">
        <v>4107</v>
      </c>
      <c r="D2638" s="40" t="s">
        <v>80</v>
      </c>
      <c r="E2638" s="41">
        <v>1</v>
      </c>
      <c r="F2638" s="35">
        <v>8.2459999999999987</v>
      </c>
      <c r="G2638" s="38">
        <f t="shared" si="46"/>
        <v>8.2459999999999987</v>
      </c>
      <c r="H2638" s="43">
        <f>SUM(G2638:G2638)</f>
        <v>8.2459999999999987</v>
      </c>
      <c r="I2638" s="44"/>
      <c r="J2638" s="34">
        <v>2000</v>
      </c>
    </row>
    <row r="2639" spans="1:10" ht="15.75" thickBot="1" x14ac:dyDescent="0.3">
      <c r="A2639" s="250"/>
      <c r="B2639" s="253"/>
      <c r="C2639" s="40"/>
      <c r="D2639" s="40"/>
      <c r="E2639" s="41"/>
      <c r="F2639" s="35" t="s">
        <v>23</v>
      </c>
      <c r="G2639" s="38" t="str">
        <f t="shared" si="46"/>
        <v/>
      </c>
      <c r="H2639" s="39"/>
      <c r="I2639" s="35"/>
      <c r="J2639" s="34">
        <v>2000</v>
      </c>
    </row>
    <row r="2640" spans="1:10" ht="15.75" thickBot="1" x14ac:dyDescent="0.3">
      <c r="A2640" s="248" t="s">
        <v>665</v>
      </c>
      <c r="B2640" s="251" t="s">
        <v>2472</v>
      </c>
      <c r="C2640" s="28"/>
      <c r="D2640" s="29" t="s">
        <v>78</v>
      </c>
      <c r="E2640" s="30"/>
      <c r="F2640" s="45" t="s">
        <v>23</v>
      </c>
      <c r="G2640" s="31" t="str">
        <f t="shared" si="46"/>
        <v/>
      </c>
      <c r="H2640" s="32"/>
      <c r="I2640" s="33"/>
      <c r="J2640" s="34">
        <v>3750</v>
      </c>
    </row>
    <row r="2641" spans="1:10" x14ac:dyDescent="0.25">
      <c r="A2641" s="249"/>
      <c r="B2641" s="252"/>
      <c r="C2641" s="36"/>
      <c r="D2641" s="36"/>
      <c r="E2641" s="37"/>
      <c r="F2641" s="46" t="s">
        <v>23</v>
      </c>
      <c r="G2641" s="38" t="str">
        <f t="shared" si="46"/>
        <v/>
      </c>
      <c r="H2641" s="39"/>
      <c r="I2641" s="35"/>
      <c r="J2641" s="34">
        <v>3750</v>
      </c>
    </row>
    <row r="2642" spans="1:10" x14ac:dyDescent="0.25">
      <c r="A2642" s="249"/>
      <c r="B2642" s="252"/>
      <c r="C2642" s="40" t="s">
        <v>4128</v>
      </c>
      <c r="D2642" s="40" t="s">
        <v>177</v>
      </c>
      <c r="E2642" s="41">
        <v>1</v>
      </c>
      <c r="F2642" s="35">
        <v>2.0044999999999997</v>
      </c>
      <c r="G2642" s="38">
        <f t="shared" si="46"/>
        <v>2.0044999999999997</v>
      </c>
      <c r="H2642" s="43">
        <f>SUM(G2642:G2642)</f>
        <v>2.0044999999999997</v>
      </c>
      <c r="I2642" s="44"/>
      <c r="J2642" s="34">
        <v>3750</v>
      </c>
    </row>
    <row r="2643" spans="1:10" ht="15.75" thickBot="1" x14ac:dyDescent="0.3">
      <c r="A2643" s="250"/>
      <c r="B2643" s="253"/>
      <c r="C2643" s="40"/>
      <c r="D2643" s="40"/>
      <c r="E2643" s="41"/>
      <c r="F2643" s="35" t="s">
        <v>23</v>
      </c>
      <c r="G2643" s="38" t="str">
        <f t="shared" si="46"/>
        <v/>
      </c>
      <c r="H2643" s="39"/>
      <c r="I2643" s="35"/>
      <c r="J2643" s="34">
        <v>3750</v>
      </c>
    </row>
    <row r="2644" spans="1:10" ht="15.75" hidden="1" thickBot="1" x14ac:dyDescent="0.3">
      <c r="A2644" s="248" t="s">
        <v>666</v>
      </c>
      <c r="B2644" s="251" t="s">
        <v>2473</v>
      </c>
      <c r="C2644" s="28"/>
      <c r="D2644" s="29" t="s">
        <v>78</v>
      </c>
      <c r="E2644" s="30"/>
      <c r="F2644" s="45" t="s">
        <v>23</v>
      </c>
      <c r="G2644" s="31" t="str">
        <f t="shared" si="46"/>
        <v/>
      </c>
      <c r="H2644" s="32"/>
      <c r="I2644" s="33"/>
      <c r="J2644" s="34">
        <v>0</v>
      </c>
    </row>
    <row r="2645" spans="1:10" ht="15.75" hidden="1" thickBot="1" x14ac:dyDescent="0.3">
      <c r="A2645" s="249"/>
      <c r="B2645" s="252"/>
      <c r="C2645" s="36"/>
      <c r="D2645" s="36"/>
      <c r="E2645" s="37"/>
      <c r="F2645" s="46" t="s">
        <v>23</v>
      </c>
      <c r="G2645" s="38" t="str">
        <f t="shared" si="46"/>
        <v/>
      </c>
      <c r="H2645" s="39"/>
      <c r="I2645" s="35"/>
      <c r="J2645" s="34">
        <v>0</v>
      </c>
    </row>
    <row r="2646" spans="1:10" ht="15.75" hidden="1" thickBot="1" x14ac:dyDescent="0.3">
      <c r="A2646" s="249"/>
      <c r="B2646" s="252"/>
      <c r="C2646" s="40" t="s">
        <v>3966</v>
      </c>
      <c r="D2646" s="40" t="s">
        <v>177</v>
      </c>
      <c r="E2646" s="41">
        <v>1</v>
      </c>
      <c r="F2646" s="35">
        <v>1.444</v>
      </c>
      <c r="G2646" s="38">
        <f t="shared" si="46"/>
        <v>1.444</v>
      </c>
      <c r="H2646" s="43">
        <f>SUM(G2646:G2646)</f>
        <v>1.444</v>
      </c>
      <c r="I2646" s="44"/>
      <c r="J2646" s="34">
        <v>0</v>
      </c>
    </row>
    <row r="2647" spans="1:10" ht="15.75" hidden="1" thickBot="1" x14ac:dyDescent="0.3">
      <c r="A2647" s="250"/>
      <c r="B2647" s="253"/>
      <c r="C2647" s="40"/>
      <c r="D2647" s="40"/>
      <c r="E2647" s="41"/>
      <c r="F2647" s="35" t="s">
        <v>23</v>
      </c>
      <c r="G2647" s="38" t="str">
        <f t="shared" si="46"/>
        <v/>
      </c>
      <c r="H2647" s="39"/>
      <c r="I2647" s="35"/>
      <c r="J2647" s="34">
        <v>0</v>
      </c>
    </row>
    <row r="2648" spans="1:10" ht="15.75" hidden="1" thickBot="1" x14ac:dyDescent="0.3">
      <c r="A2648" s="248" t="s">
        <v>667</v>
      </c>
      <c r="B2648" s="251" t="s">
        <v>2474</v>
      </c>
      <c r="C2648" s="28"/>
      <c r="D2648" s="29" t="s">
        <v>2</v>
      </c>
      <c r="E2648" s="30"/>
      <c r="F2648" s="45" t="s">
        <v>23</v>
      </c>
      <c r="G2648" s="31" t="str">
        <f t="shared" si="46"/>
        <v/>
      </c>
      <c r="H2648" s="32"/>
      <c r="I2648" s="33"/>
      <c r="J2648" s="34">
        <v>0</v>
      </c>
    </row>
    <row r="2649" spans="1:10" ht="15.75" hidden="1" thickBot="1" x14ac:dyDescent="0.3">
      <c r="A2649" s="249"/>
      <c r="B2649" s="252"/>
      <c r="C2649" s="36"/>
      <c r="D2649" s="36"/>
      <c r="E2649" s="37"/>
      <c r="F2649" s="46" t="s">
        <v>23</v>
      </c>
      <c r="G2649" s="38" t="str">
        <f t="shared" si="46"/>
        <v/>
      </c>
      <c r="H2649" s="39"/>
      <c r="I2649" s="35"/>
      <c r="J2649" s="34">
        <v>0</v>
      </c>
    </row>
    <row r="2650" spans="1:10" ht="26.25" hidden="1" thickBot="1" x14ac:dyDescent="0.3">
      <c r="A2650" s="249"/>
      <c r="B2650" s="252"/>
      <c r="C2650" s="40" t="s">
        <v>4112</v>
      </c>
      <c r="D2650" s="40" t="s">
        <v>3752</v>
      </c>
      <c r="E2650" s="75" t="e">
        <f>IF(#REF!="Desonerado",ROUND(220/(1+110.69%),4),ROUND(220/(1+82.01%),4))</f>
        <v>#REF!</v>
      </c>
      <c r="F2650" s="35">
        <v>119.79499999999999</v>
      </c>
      <c r="G2650" s="38" t="e">
        <f t="shared" si="46"/>
        <v>#REF!</v>
      </c>
      <c r="H2650" s="43" t="e">
        <f>SUM(G2650:G2650)</f>
        <v>#REF!</v>
      </c>
      <c r="I2650" s="44"/>
      <c r="J2650" s="34">
        <v>0</v>
      </c>
    </row>
    <row r="2651" spans="1:10" ht="15.75" hidden="1" thickBot="1" x14ac:dyDescent="0.3">
      <c r="A2651" s="249"/>
      <c r="B2651" s="252"/>
      <c r="C2651" s="40"/>
      <c r="D2651" s="53"/>
      <c r="E2651" s="41"/>
      <c r="F2651" s="35" t="s">
        <v>23</v>
      </c>
      <c r="G2651" s="38" t="str">
        <f t="shared" si="46"/>
        <v/>
      </c>
      <c r="H2651" s="39"/>
      <c r="I2651" s="44"/>
      <c r="J2651" s="34">
        <v>0</v>
      </c>
    </row>
    <row r="2652" spans="1:10" ht="26.25" hidden="1" thickBot="1" x14ac:dyDescent="0.3">
      <c r="A2652" s="249"/>
      <c r="B2652" s="252"/>
      <c r="C2652" s="50" t="s">
        <v>668</v>
      </c>
      <c r="D2652" s="53"/>
      <c r="E2652" s="41"/>
      <c r="F2652" s="35" t="s">
        <v>23</v>
      </c>
      <c r="G2652" s="38" t="str">
        <f t="shared" si="46"/>
        <v/>
      </c>
      <c r="H2652" s="39"/>
      <c r="I2652" s="44"/>
      <c r="J2652" s="34">
        <v>0</v>
      </c>
    </row>
    <row r="2653" spans="1:10" ht="15.75" hidden="1" thickBot="1" x14ac:dyDescent="0.3">
      <c r="A2653" s="250"/>
      <c r="B2653" s="253"/>
      <c r="C2653" s="40"/>
      <c r="D2653" s="40"/>
      <c r="E2653" s="41"/>
      <c r="F2653" s="35" t="s">
        <v>23</v>
      </c>
      <c r="G2653" s="38" t="str">
        <f t="shared" si="46"/>
        <v/>
      </c>
      <c r="H2653" s="39"/>
      <c r="I2653" s="35"/>
      <c r="J2653" s="34">
        <v>0</v>
      </c>
    </row>
    <row r="2654" spans="1:10" ht="15.75" hidden="1" thickBot="1" x14ac:dyDescent="0.3">
      <c r="A2654" s="248" t="s">
        <v>11</v>
      </c>
      <c r="B2654" s="251" t="s">
        <v>2475</v>
      </c>
      <c r="C2654" s="28"/>
      <c r="D2654" s="29" t="s">
        <v>2</v>
      </c>
      <c r="E2654" s="30"/>
      <c r="F2654" s="45" t="s">
        <v>23</v>
      </c>
      <c r="G2654" s="31" t="str">
        <f t="shared" si="46"/>
        <v/>
      </c>
      <c r="H2654" s="32"/>
      <c r="I2654" s="33"/>
      <c r="J2654" s="34">
        <v>0</v>
      </c>
    </row>
    <row r="2655" spans="1:10" ht="15.75" hidden="1" thickBot="1" x14ac:dyDescent="0.3">
      <c r="A2655" s="262"/>
      <c r="B2655" s="252"/>
      <c r="C2655" s="36"/>
      <c r="D2655" s="36"/>
      <c r="E2655" s="37"/>
      <c r="F2655" s="46" t="s">
        <v>23</v>
      </c>
      <c r="G2655" s="38" t="str">
        <f t="shared" si="46"/>
        <v/>
      </c>
      <c r="H2655" s="39"/>
      <c r="I2655" s="35"/>
      <c r="J2655" s="34">
        <v>0</v>
      </c>
    </row>
    <row r="2656" spans="1:10" ht="15.75" hidden="1" thickBot="1" x14ac:dyDescent="0.3">
      <c r="A2656" s="262"/>
      <c r="B2656" s="252"/>
      <c r="C2656" s="40" t="s">
        <v>4126</v>
      </c>
      <c r="D2656" s="40" t="s">
        <v>3752</v>
      </c>
      <c r="E2656" s="75" t="e">
        <f>IF(#REF!="Desonerado",ROUND(220/(1+110.69%),4),ROUND(220/(1+82.01%),4))</f>
        <v>#REF!</v>
      </c>
      <c r="F2656" s="35">
        <v>31.264499999999995</v>
      </c>
      <c r="G2656" s="38" t="e">
        <f t="shared" si="46"/>
        <v>#REF!</v>
      </c>
      <c r="H2656" s="43" t="e">
        <f>SUM(G2656:G2656)</f>
        <v>#REF!</v>
      </c>
      <c r="I2656" s="44"/>
      <c r="J2656" s="34">
        <v>0</v>
      </c>
    </row>
    <row r="2657" spans="1:10" ht="15.75" hidden="1" thickBot="1" x14ac:dyDescent="0.3">
      <c r="A2657" s="262"/>
      <c r="B2657" s="252"/>
      <c r="C2657" s="40"/>
      <c r="D2657" s="53"/>
      <c r="E2657" s="41"/>
      <c r="F2657" s="35" t="s">
        <v>23</v>
      </c>
      <c r="G2657" s="38" t="str">
        <f t="shared" si="46"/>
        <v/>
      </c>
      <c r="H2657" s="43"/>
      <c r="I2657" s="44"/>
      <c r="J2657" s="34">
        <v>0</v>
      </c>
    </row>
    <row r="2658" spans="1:10" ht="26.25" hidden="1" thickBot="1" x14ac:dyDescent="0.3">
      <c r="A2658" s="262"/>
      <c r="B2658" s="252"/>
      <c r="C2658" s="50" t="s">
        <v>668</v>
      </c>
      <c r="D2658" s="53"/>
      <c r="E2658" s="41"/>
      <c r="F2658" s="35" t="s">
        <v>23</v>
      </c>
      <c r="G2658" s="38" t="str">
        <f t="shared" si="46"/>
        <v/>
      </c>
      <c r="H2658" s="43"/>
      <c r="I2658" s="44"/>
      <c r="J2658" s="34">
        <v>0</v>
      </c>
    </row>
    <row r="2659" spans="1:10" ht="15.75" hidden="1" thickBot="1" x14ac:dyDescent="0.3">
      <c r="A2659" s="263"/>
      <c r="B2659" s="253"/>
      <c r="C2659" s="40"/>
      <c r="D2659" s="40"/>
      <c r="E2659" s="41"/>
      <c r="F2659" s="35" t="s">
        <v>23</v>
      </c>
      <c r="G2659" s="38" t="str">
        <f t="shared" si="46"/>
        <v/>
      </c>
      <c r="H2659" s="39"/>
      <c r="I2659" s="35"/>
      <c r="J2659" s="34">
        <v>0</v>
      </c>
    </row>
    <row r="2660" spans="1:10" ht="15.75" hidden="1" thickBot="1" x14ac:dyDescent="0.3">
      <c r="A2660" s="248" t="s">
        <v>10</v>
      </c>
      <c r="B2660" s="251" t="s">
        <v>2476</v>
      </c>
      <c r="C2660" s="28"/>
      <c r="D2660" s="29" t="s">
        <v>2</v>
      </c>
      <c r="E2660" s="30"/>
      <c r="F2660" s="45" t="s">
        <v>23</v>
      </c>
      <c r="G2660" s="31" t="str">
        <f t="shared" si="46"/>
        <v/>
      </c>
      <c r="H2660" s="32"/>
      <c r="I2660" s="33"/>
      <c r="J2660" s="34">
        <v>0</v>
      </c>
    </row>
    <row r="2661" spans="1:10" ht="15.75" hidden="1" thickBot="1" x14ac:dyDescent="0.3">
      <c r="A2661" s="249"/>
      <c r="B2661" s="252"/>
      <c r="C2661" s="36"/>
      <c r="D2661" s="36"/>
      <c r="E2661" s="37"/>
      <c r="F2661" s="46" t="s">
        <v>23</v>
      </c>
      <c r="G2661" s="38" t="str">
        <f t="shared" si="46"/>
        <v/>
      </c>
      <c r="H2661" s="39"/>
      <c r="I2661" s="35"/>
      <c r="J2661" s="34">
        <v>0</v>
      </c>
    </row>
    <row r="2662" spans="1:10" ht="15.75" hidden="1" thickBot="1" x14ac:dyDescent="0.3">
      <c r="A2662" s="249"/>
      <c r="B2662" s="252"/>
      <c r="C2662" s="40" t="s">
        <v>3754</v>
      </c>
      <c r="D2662" s="40" t="s">
        <v>3752</v>
      </c>
      <c r="E2662" s="75" t="e">
        <f>IF(#REF!="Desonerado",ROUND(220/(1+110.69%),4),ROUND(220/(1+82.01%),4))</f>
        <v>#REF!</v>
      </c>
      <c r="F2662" s="35">
        <v>20.814499999999999</v>
      </c>
      <c r="G2662" s="38" t="e">
        <f t="shared" si="46"/>
        <v>#REF!</v>
      </c>
      <c r="H2662" s="43" t="e">
        <f>SUM(G2662:G2662)</f>
        <v>#REF!</v>
      </c>
      <c r="I2662" s="44"/>
      <c r="J2662" s="34">
        <v>0</v>
      </c>
    </row>
    <row r="2663" spans="1:10" ht="15.75" hidden="1" thickBot="1" x14ac:dyDescent="0.3">
      <c r="A2663" s="249"/>
      <c r="B2663" s="252"/>
      <c r="C2663" s="40"/>
      <c r="D2663" s="53"/>
      <c r="E2663" s="41"/>
      <c r="F2663" s="35" t="s">
        <v>23</v>
      </c>
      <c r="G2663" s="38" t="str">
        <f t="shared" si="46"/>
        <v/>
      </c>
      <c r="H2663" s="43"/>
      <c r="I2663" s="44"/>
      <c r="J2663" s="34">
        <v>0</v>
      </c>
    </row>
    <row r="2664" spans="1:10" ht="26.25" hidden="1" thickBot="1" x14ac:dyDescent="0.3">
      <c r="A2664" s="249"/>
      <c r="B2664" s="252"/>
      <c r="C2664" s="50" t="s">
        <v>668</v>
      </c>
      <c r="D2664" s="53"/>
      <c r="E2664" s="41"/>
      <c r="F2664" s="35" t="s">
        <v>23</v>
      </c>
      <c r="G2664" s="38" t="str">
        <f t="shared" si="46"/>
        <v/>
      </c>
      <c r="H2664" s="43"/>
      <c r="I2664" s="44"/>
      <c r="J2664" s="34">
        <v>0</v>
      </c>
    </row>
    <row r="2665" spans="1:10" ht="15.75" hidden="1" thickBot="1" x14ac:dyDescent="0.3">
      <c r="A2665" s="250"/>
      <c r="B2665" s="253"/>
      <c r="C2665" s="40"/>
      <c r="D2665" s="40"/>
      <c r="E2665" s="41"/>
      <c r="F2665" s="35" t="s">
        <v>23</v>
      </c>
      <c r="G2665" s="38" t="str">
        <f t="shared" si="46"/>
        <v/>
      </c>
      <c r="H2665" s="39"/>
      <c r="I2665" s="35"/>
      <c r="J2665" s="34">
        <v>0</v>
      </c>
    </row>
    <row r="2666" spans="1:10" ht="15.75" hidden="1" thickBot="1" x14ac:dyDescent="0.3">
      <c r="A2666" s="248" t="s">
        <v>669</v>
      </c>
      <c r="B2666" s="251" t="s">
        <v>2477</v>
      </c>
      <c r="C2666" s="28"/>
      <c r="D2666" s="29" t="s">
        <v>2</v>
      </c>
      <c r="E2666" s="30"/>
      <c r="F2666" s="45" t="s">
        <v>23</v>
      </c>
      <c r="G2666" s="31" t="str">
        <f t="shared" si="46"/>
        <v/>
      </c>
      <c r="H2666" s="32"/>
      <c r="I2666" s="33"/>
      <c r="J2666" s="34">
        <v>0</v>
      </c>
    </row>
    <row r="2667" spans="1:10" ht="15.75" hidden="1" thickBot="1" x14ac:dyDescent="0.3">
      <c r="A2667" s="249"/>
      <c r="B2667" s="252"/>
      <c r="C2667" s="36"/>
      <c r="D2667" s="36"/>
      <c r="E2667" s="37"/>
      <c r="F2667" s="46" t="s">
        <v>23</v>
      </c>
      <c r="G2667" s="38" t="str">
        <f t="shared" si="46"/>
        <v/>
      </c>
      <c r="H2667" s="39"/>
      <c r="I2667" s="35"/>
      <c r="J2667" s="34">
        <v>0</v>
      </c>
    </row>
    <row r="2668" spans="1:10" ht="15.75" hidden="1" thickBot="1" x14ac:dyDescent="0.3">
      <c r="A2668" s="249"/>
      <c r="B2668" s="252"/>
      <c r="C2668" s="40" t="s">
        <v>4111</v>
      </c>
      <c r="D2668" s="40" t="s">
        <v>3752</v>
      </c>
      <c r="E2668" s="75" t="e">
        <f>IF(#REF!="Desonerado",ROUND(220/(1+110.69%),4),ROUND(220/(1+82.01%),4))</f>
        <v>#REF!</v>
      </c>
      <c r="F2668" s="35">
        <v>21.983000000000001</v>
      </c>
      <c r="G2668" s="38" t="e">
        <f t="shared" si="46"/>
        <v>#REF!</v>
      </c>
      <c r="H2668" s="43" t="e">
        <f>SUM(G2668:G2668)</f>
        <v>#REF!</v>
      </c>
      <c r="I2668" s="44"/>
      <c r="J2668" s="34">
        <v>0</v>
      </c>
    </row>
    <row r="2669" spans="1:10" ht="15.75" hidden="1" thickBot="1" x14ac:dyDescent="0.3">
      <c r="A2669" s="249"/>
      <c r="B2669" s="252"/>
      <c r="C2669" s="40"/>
      <c r="D2669" s="53"/>
      <c r="E2669" s="41"/>
      <c r="F2669" s="35" t="s">
        <v>23</v>
      </c>
      <c r="G2669" s="38" t="str">
        <f t="shared" si="46"/>
        <v/>
      </c>
      <c r="H2669" s="43"/>
      <c r="I2669" s="44"/>
      <c r="J2669" s="34">
        <v>0</v>
      </c>
    </row>
    <row r="2670" spans="1:10" ht="26.25" hidden="1" thickBot="1" x14ac:dyDescent="0.3">
      <c r="A2670" s="249"/>
      <c r="B2670" s="252"/>
      <c r="C2670" s="50" t="s">
        <v>668</v>
      </c>
      <c r="D2670" s="53"/>
      <c r="E2670" s="41"/>
      <c r="F2670" s="35" t="s">
        <v>23</v>
      </c>
      <c r="G2670" s="38" t="str">
        <f t="shared" si="46"/>
        <v/>
      </c>
      <c r="H2670" s="43"/>
      <c r="I2670" s="44"/>
      <c r="J2670" s="34">
        <v>0</v>
      </c>
    </row>
    <row r="2671" spans="1:10" ht="15.75" hidden="1" thickBot="1" x14ac:dyDescent="0.3">
      <c r="A2671" s="250"/>
      <c r="B2671" s="253"/>
      <c r="C2671" s="40"/>
      <c r="D2671" s="40"/>
      <c r="E2671" s="41"/>
      <c r="F2671" s="35" t="s">
        <v>23</v>
      </c>
      <c r="G2671" s="38" t="str">
        <f t="shared" si="46"/>
        <v/>
      </c>
      <c r="H2671" s="39"/>
      <c r="I2671" s="35"/>
      <c r="J2671" s="34">
        <v>0</v>
      </c>
    </row>
    <row r="2672" spans="1:10" ht="15.75" hidden="1" thickBot="1" x14ac:dyDescent="0.3">
      <c r="A2672" s="248" t="s">
        <v>670</v>
      </c>
      <c r="B2672" s="251" t="s">
        <v>2478</v>
      </c>
      <c r="C2672" s="28"/>
      <c r="D2672" s="29" t="s">
        <v>2</v>
      </c>
      <c r="E2672" s="30"/>
      <c r="F2672" s="45" t="s">
        <v>23</v>
      </c>
      <c r="G2672" s="31" t="str">
        <f t="shared" si="46"/>
        <v/>
      </c>
      <c r="H2672" s="32"/>
      <c r="I2672" s="33"/>
      <c r="J2672" s="34">
        <v>0</v>
      </c>
    </row>
    <row r="2673" spans="1:10" ht="15.75" hidden="1" thickBot="1" x14ac:dyDescent="0.3">
      <c r="A2673" s="249"/>
      <c r="B2673" s="252"/>
      <c r="C2673" s="36"/>
      <c r="D2673" s="36"/>
      <c r="E2673" s="37"/>
      <c r="F2673" s="46" t="s">
        <v>23</v>
      </c>
      <c r="G2673" s="38" t="str">
        <f t="shared" si="46"/>
        <v/>
      </c>
      <c r="H2673" s="39"/>
      <c r="I2673" s="35"/>
      <c r="J2673" s="34">
        <v>0</v>
      </c>
    </row>
    <row r="2674" spans="1:10" ht="15.75" hidden="1" thickBot="1" x14ac:dyDescent="0.3">
      <c r="A2674" s="249"/>
      <c r="B2674" s="252"/>
      <c r="C2674" s="40" t="s">
        <v>3967</v>
      </c>
      <c r="D2674" s="40" t="s">
        <v>3752</v>
      </c>
      <c r="E2674" s="75" t="e">
        <f>IF(#REF!="Desonerado",ROUND(220/(1+110.69%),4),ROUND(220/(1+82.01%),4))</f>
        <v>#REF!</v>
      </c>
      <c r="F2674" s="35">
        <v>22.106499999999997</v>
      </c>
      <c r="G2674" s="38" t="e">
        <f t="shared" ref="G2674:G2737" si="47">IF(ISNUMBER(F2674),E2674*F2674,"")</f>
        <v>#REF!</v>
      </c>
      <c r="H2674" s="43" t="e">
        <f>SUM(G2674:G2674)</f>
        <v>#REF!</v>
      </c>
      <c r="I2674" s="44"/>
      <c r="J2674" s="34">
        <v>0</v>
      </c>
    </row>
    <row r="2675" spans="1:10" ht="15.75" hidden="1" thickBot="1" x14ac:dyDescent="0.3">
      <c r="A2675" s="249"/>
      <c r="B2675" s="252"/>
      <c r="C2675" s="40"/>
      <c r="D2675" s="53"/>
      <c r="E2675" s="41"/>
      <c r="F2675" s="35" t="s">
        <v>23</v>
      </c>
      <c r="G2675" s="38" t="str">
        <f t="shared" si="47"/>
        <v/>
      </c>
      <c r="H2675" s="43"/>
      <c r="I2675" s="44"/>
      <c r="J2675" s="34">
        <v>0</v>
      </c>
    </row>
    <row r="2676" spans="1:10" ht="26.25" hidden="1" thickBot="1" x14ac:dyDescent="0.3">
      <c r="A2676" s="249"/>
      <c r="B2676" s="252"/>
      <c r="C2676" s="50" t="s">
        <v>668</v>
      </c>
      <c r="D2676" s="53"/>
      <c r="E2676" s="41"/>
      <c r="F2676" s="35" t="s">
        <v>23</v>
      </c>
      <c r="G2676" s="38" t="str">
        <f t="shared" si="47"/>
        <v/>
      </c>
      <c r="H2676" s="43"/>
      <c r="I2676" s="44"/>
      <c r="J2676" s="34">
        <v>0</v>
      </c>
    </row>
    <row r="2677" spans="1:10" ht="15.75" hidden="1" thickBot="1" x14ac:dyDescent="0.3">
      <c r="A2677" s="250"/>
      <c r="B2677" s="253"/>
      <c r="C2677" s="40"/>
      <c r="D2677" s="40"/>
      <c r="E2677" s="41"/>
      <c r="F2677" s="35" t="s">
        <v>23</v>
      </c>
      <c r="G2677" s="38" t="str">
        <f t="shared" si="47"/>
        <v/>
      </c>
      <c r="H2677" s="39"/>
      <c r="I2677" s="35"/>
      <c r="J2677" s="34">
        <v>0</v>
      </c>
    </row>
    <row r="2678" spans="1:10" ht="15.75" hidden="1" thickBot="1" x14ac:dyDescent="0.3">
      <c r="A2678" s="248" t="s">
        <v>671</v>
      </c>
      <c r="B2678" s="251" t="s">
        <v>2479</v>
      </c>
      <c r="C2678" s="28"/>
      <c r="D2678" s="29" t="s">
        <v>2</v>
      </c>
      <c r="E2678" s="30"/>
      <c r="F2678" s="45" t="s">
        <v>23</v>
      </c>
      <c r="G2678" s="31" t="str">
        <f t="shared" si="47"/>
        <v/>
      </c>
      <c r="H2678" s="32"/>
      <c r="I2678" s="33"/>
      <c r="J2678" s="34">
        <v>0</v>
      </c>
    </row>
    <row r="2679" spans="1:10" ht="15.75" hidden="1" thickBot="1" x14ac:dyDescent="0.3">
      <c r="A2679" s="249"/>
      <c r="B2679" s="252"/>
      <c r="C2679" s="36"/>
      <c r="D2679" s="36"/>
      <c r="E2679" s="37"/>
      <c r="F2679" s="46" t="s">
        <v>23</v>
      </c>
      <c r="G2679" s="38" t="str">
        <f t="shared" si="47"/>
        <v/>
      </c>
      <c r="H2679" s="39"/>
      <c r="I2679" s="35"/>
      <c r="J2679" s="34">
        <v>0</v>
      </c>
    </row>
    <row r="2680" spans="1:10" ht="15.75" hidden="1" thickBot="1" x14ac:dyDescent="0.3">
      <c r="A2680" s="249"/>
      <c r="B2680" s="252"/>
      <c r="C2680" s="40" t="s">
        <v>3909</v>
      </c>
      <c r="D2680" s="40" t="s">
        <v>3752</v>
      </c>
      <c r="E2680" s="75" t="e">
        <f>IF(#REF!="Desonerado",ROUND(220/(1+110.69%),4),ROUND(220/(1+82.01%),4))</f>
        <v>#REF!</v>
      </c>
      <c r="F2680" s="35">
        <v>26.248499999999996</v>
      </c>
      <c r="G2680" s="38" t="e">
        <f t="shared" si="47"/>
        <v>#REF!</v>
      </c>
      <c r="H2680" s="43" t="e">
        <f>SUM(G2680:G2680)</f>
        <v>#REF!</v>
      </c>
      <c r="I2680" s="44"/>
      <c r="J2680" s="34">
        <v>0</v>
      </c>
    </row>
    <row r="2681" spans="1:10" ht="15.75" hidden="1" thickBot="1" x14ac:dyDescent="0.3">
      <c r="A2681" s="249"/>
      <c r="B2681" s="252"/>
      <c r="C2681" s="40"/>
      <c r="D2681" s="53"/>
      <c r="E2681" s="41"/>
      <c r="F2681" s="35" t="s">
        <v>23</v>
      </c>
      <c r="G2681" s="38" t="str">
        <f t="shared" si="47"/>
        <v/>
      </c>
      <c r="H2681" s="43"/>
      <c r="I2681" s="44"/>
      <c r="J2681" s="34">
        <v>0</v>
      </c>
    </row>
    <row r="2682" spans="1:10" ht="26.25" hidden="1" thickBot="1" x14ac:dyDescent="0.3">
      <c r="A2682" s="249"/>
      <c r="B2682" s="252"/>
      <c r="C2682" s="50" t="s">
        <v>668</v>
      </c>
      <c r="D2682" s="53"/>
      <c r="E2682" s="41"/>
      <c r="F2682" s="35" t="s">
        <v>23</v>
      </c>
      <c r="G2682" s="38" t="str">
        <f t="shared" si="47"/>
        <v/>
      </c>
      <c r="H2682" s="43"/>
      <c r="I2682" s="44"/>
      <c r="J2682" s="34">
        <v>0</v>
      </c>
    </row>
    <row r="2683" spans="1:10" ht="15.75" hidden="1" thickBot="1" x14ac:dyDescent="0.3">
      <c r="A2683" s="250"/>
      <c r="B2683" s="253"/>
      <c r="C2683" s="40"/>
      <c r="D2683" s="40"/>
      <c r="E2683" s="41"/>
      <c r="F2683" s="35" t="s">
        <v>23</v>
      </c>
      <c r="G2683" s="38" t="str">
        <f t="shared" si="47"/>
        <v/>
      </c>
      <c r="H2683" s="39"/>
      <c r="I2683" s="35"/>
      <c r="J2683" s="34">
        <v>0</v>
      </c>
    </row>
    <row r="2684" spans="1:10" ht="15.75" hidden="1" thickBot="1" x14ac:dyDescent="0.3">
      <c r="A2684" s="248" t="s">
        <v>672</v>
      </c>
      <c r="B2684" s="251" t="s">
        <v>2480</v>
      </c>
      <c r="C2684" s="28"/>
      <c r="D2684" s="29" t="s">
        <v>2</v>
      </c>
      <c r="E2684" s="30"/>
      <c r="F2684" s="45" t="s">
        <v>23</v>
      </c>
      <c r="G2684" s="31" t="str">
        <f t="shared" si="47"/>
        <v/>
      </c>
      <c r="H2684" s="32"/>
      <c r="I2684" s="33"/>
      <c r="J2684" s="34">
        <v>0</v>
      </c>
    </row>
    <row r="2685" spans="1:10" ht="15.75" hidden="1" thickBot="1" x14ac:dyDescent="0.3">
      <c r="A2685" s="249"/>
      <c r="B2685" s="252"/>
      <c r="C2685" s="36"/>
      <c r="D2685" s="36"/>
      <c r="E2685" s="37"/>
      <c r="F2685" s="46" t="s">
        <v>23</v>
      </c>
      <c r="G2685" s="38" t="str">
        <f t="shared" si="47"/>
        <v/>
      </c>
      <c r="H2685" s="39"/>
      <c r="I2685" s="35"/>
      <c r="J2685" s="34">
        <v>0</v>
      </c>
    </row>
    <row r="2686" spans="1:10" ht="15.75" hidden="1" thickBot="1" x14ac:dyDescent="0.3">
      <c r="A2686" s="249"/>
      <c r="B2686" s="252"/>
      <c r="C2686" s="40" t="s">
        <v>3909</v>
      </c>
      <c r="D2686" s="40" t="s">
        <v>3752</v>
      </c>
      <c r="E2686" s="75" t="e">
        <f>IF(#REF!="Desonerado",ROUND(220/(1+110.69%),4),ROUND(220/(1+82.01%),4))</f>
        <v>#REF!</v>
      </c>
      <c r="F2686" s="35">
        <v>26.248499999999996</v>
      </c>
      <c r="G2686" s="38" t="e">
        <f t="shared" si="47"/>
        <v>#REF!</v>
      </c>
      <c r="H2686" s="43" t="e">
        <f>SUM(G2686:G2686)</f>
        <v>#REF!</v>
      </c>
      <c r="I2686" s="44"/>
      <c r="J2686" s="34">
        <v>0</v>
      </c>
    </row>
    <row r="2687" spans="1:10" ht="15.75" hidden="1" thickBot="1" x14ac:dyDescent="0.3">
      <c r="A2687" s="249"/>
      <c r="B2687" s="252"/>
      <c r="C2687" s="40"/>
      <c r="D2687" s="53"/>
      <c r="E2687" s="41"/>
      <c r="F2687" s="35" t="s">
        <v>23</v>
      </c>
      <c r="G2687" s="38" t="str">
        <f t="shared" si="47"/>
        <v/>
      </c>
      <c r="H2687" s="43"/>
      <c r="I2687" s="44"/>
      <c r="J2687" s="34">
        <v>0</v>
      </c>
    </row>
    <row r="2688" spans="1:10" ht="26.25" hidden="1" thickBot="1" x14ac:dyDescent="0.3">
      <c r="A2688" s="249"/>
      <c r="B2688" s="252"/>
      <c r="C2688" s="50" t="s">
        <v>668</v>
      </c>
      <c r="D2688" s="53"/>
      <c r="E2688" s="41"/>
      <c r="F2688" s="35" t="s">
        <v>23</v>
      </c>
      <c r="G2688" s="38" t="str">
        <f t="shared" si="47"/>
        <v/>
      </c>
      <c r="H2688" s="43"/>
      <c r="I2688" s="44"/>
      <c r="J2688" s="34">
        <v>0</v>
      </c>
    </row>
    <row r="2689" spans="1:10" ht="15.75" hidden="1" thickBot="1" x14ac:dyDescent="0.3">
      <c r="A2689" s="250"/>
      <c r="B2689" s="253"/>
      <c r="C2689" s="40"/>
      <c r="D2689" s="40"/>
      <c r="E2689" s="41"/>
      <c r="F2689" s="35" t="s">
        <v>23</v>
      </c>
      <c r="G2689" s="38" t="str">
        <f t="shared" si="47"/>
        <v/>
      </c>
      <c r="H2689" s="39"/>
      <c r="I2689" s="35"/>
      <c r="J2689" s="34">
        <v>0</v>
      </c>
    </row>
    <row r="2690" spans="1:10" ht="15.75" hidden="1" thickBot="1" x14ac:dyDescent="0.3">
      <c r="A2690" s="248" t="s">
        <v>673</v>
      </c>
      <c r="B2690" s="251" t="s">
        <v>2481</v>
      </c>
      <c r="C2690" s="28"/>
      <c r="D2690" s="29" t="s">
        <v>2</v>
      </c>
      <c r="E2690" s="30"/>
      <c r="F2690" s="45" t="s">
        <v>23</v>
      </c>
      <c r="G2690" s="31" t="str">
        <f t="shared" si="47"/>
        <v/>
      </c>
      <c r="H2690" s="32"/>
      <c r="I2690" s="33"/>
      <c r="J2690" s="34">
        <v>0</v>
      </c>
    </row>
    <row r="2691" spans="1:10" ht="15.75" hidden="1" thickBot="1" x14ac:dyDescent="0.3">
      <c r="A2691" s="249"/>
      <c r="B2691" s="252"/>
      <c r="C2691" s="36"/>
      <c r="D2691" s="36"/>
      <c r="E2691" s="37"/>
      <c r="F2691" s="46" t="s">
        <v>23</v>
      </c>
      <c r="G2691" s="38" t="str">
        <f t="shared" si="47"/>
        <v/>
      </c>
      <c r="H2691" s="39"/>
      <c r="I2691" s="35"/>
      <c r="J2691" s="34">
        <v>0</v>
      </c>
    </row>
    <row r="2692" spans="1:10" ht="15.75" hidden="1" thickBot="1" x14ac:dyDescent="0.3">
      <c r="A2692" s="249"/>
      <c r="B2692" s="252"/>
      <c r="C2692" s="40" t="s">
        <v>3968</v>
      </c>
      <c r="D2692" s="40" t="s">
        <v>3752</v>
      </c>
      <c r="E2692" s="75" t="e">
        <f>IF(#REF!="Desonerado",ROUND(220/(1+110.69%),4),ROUND(220/(1+82.01%),4))</f>
        <v>#REF!</v>
      </c>
      <c r="F2692" s="35">
        <v>27.853999999999999</v>
      </c>
      <c r="G2692" s="38" t="e">
        <f t="shared" si="47"/>
        <v>#REF!</v>
      </c>
      <c r="H2692" s="43" t="e">
        <f>SUM(G2692:G2692)</f>
        <v>#REF!</v>
      </c>
      <c r="I2692" s="44"/>
      <c r="J2692" s="34">
        <v>0</v>
      </c>
    </row>
    <row r="2693" spans="1:10" ht="15.75" hidden="1" thickBot="1" x14ac:dyDescent="0.3">
      <c r="A2693" s="249"/>
      <c r="B2693" s="252"/>
      <c r="C2693" s="40"/>
      <c r="D2693" s="53"/>
      <c r="E2693" s="41"/>
      <c r="F2693" s="35" t="s">
        <v>23</v>
      </c>
      <c r="G2693" s="38" t="str">
        <f t="shared" si="47"/>
        <v/>
      </c>
      <c r="H2693" s="43"/>
      <c r="I2693" s="44"/>
      <c r="J2693" s="34">
        <v>0</v>
      </c>
    </row>
    <row r="2694" spans="1:10" ht="26.25" hidden="1" thickBot="1" x14ac:dyDescent="0.3">
      <c r="A2694" s="249"/>
      <c r="B2694" s="252"/>
      <c r="C2694" s="50" t="s">
        <v>668</v>
      </c>
      <c r="D2694" s="53"/>
      <c r="E2694" s="41"/>
      <c r="F2694" s="35" t="s">
        <v>23</v>
      </c>
      <c r="G2694" s="38" t="str">
        <f t="shared" si="47"/>
        <v/>
      </c>
      <c r="H2694" s="43"/>
      <c r="I2694" s="44"/>
      <c r="J2694" s="34">
        <v>0</v>
      </c>
    </row>
    <row r="2695" spans="1:10" ht="15.75" hidden="1" thickBot="1" x14ac:dyDescent="0.3">
      <c r="A2695" s="250"/>
      <c r="B2695" s="253"/>
      <c r="C2695" s="40"/>
      <c r="D2695" s="40"/>
      <c r="E2695" s="41"/>
      <c r="F2695" s="35" t="s">
        <v>23</v>
      </c>
      <c r="G2695" s="38" t="str">
        <f t="shared" si="47"/>
        <v/>
      </c>
      <c r="H2695" s="39"/>
      <c r="I2695" s="35"/>
      <c r="J2695" s="34">
        <v>0</v>
      </c>
    </row>
    <row r="2696" spans="1:10" ht="15.75" hidden="1" thickBot="1" x14ac:dyDescent="0.3">
      <c r="A2696" s="248" t="s">
        <v>8</v>
      </c>
      <c r="B2696" s="251" t="s">
        <v>2482</v>
      </c>
      <c r="C2696" s="28"/>
      <c r="D2696" s="29" t="s">
        <v>2</v>
      </c>
      <c r="E2696" s="30"/>
      <c r="F2696" s="45" t="s">
        <v>23</v>
      </c>
      <c r="G2696" s="31" t="str">
        <f t="shared" si="47"/>
        <v/>
      </c>
      <c r="H2696" s="32"/>
      <c r="I2696" s="33"/>
      <c r="J2696" s="34">
        <v>0</v>
      </c>
    </row>
    <row r="2697" spans="1:10" ht="15.75" hidden="1" thickBot="1" x14ac:dyDescent="0.3">
      <c r="A2697" s="249"/>
      <c r="B2697" s="252"/>
      <c r="C2697" s="36"/>
      <c r="D2697" s="36"/>
      <c r="E2697" s="37"/>
      <c r="F2697" s="46" t="s">
        <v>23</v>
      </c>
      <c r="G2697" s="38" t="str">
        <f t="shared" si="47"/>
        <v/>
      </c>
      <c r="H2697" s="39"/>
      <c r="I2697" s="35"/>
      <c r="J2697" s="34">
        <v>0</v>
      </c>
    </row>
    <row r="2698" spans="1:10" ht="15.75" hidden="1" thickBot="1" x14ac:dyDescent="0.3">
      <c r="A2698" s="249"/>
      <c r="B2698" s="252"/>
      <c r="C2698" s="40" t="s">
        <v>4106</v>
      </c>
      <c r="D2698" s="40" t="s">
        <v>3752</v>
      </c>
      <c r="E2698" s="75" t="e">
        <f>IF(#REF!="Desonerado",ROUND(220/(1+110.69%),4),ROUND(220/(1+82.01%),4))</f>
        <v>#REF!</v>
      </c>
      <c r="F2698" s="35">
        <v>46.512</v>
      </c>
      <c r="G2698" s="38" t="e">
        <f t="shared" si="47"/>
        <v>#REF!</v>
      </c>
      <c r="H2698" s="43" t="e">
        <f>SUM(G2698:G2698)</f>
        <v>#REF!</v>
      </c>
      <c r="I2698" s="44"/>
      <c r="J2698" s="34">
        <v>0</v>
      </c>
    </row>
    <row r="2699" spans="1:10" ht="15.75" hidden="1" thickBot="1" x14ac:dyDescent="0.3">
      <c r="A2699" s="249"/>
      <c r="B2699" s="252"/>
      <c r="C2699" s="40"/>
      <c r="D2699" s="53"/>
      <c r="E2699" s="41"/>
      <c r="F2699" s="35" t="s">
        <v>23</v>
      </c>
      <c r="G2699" s="38" t="str">
        <f t="shared" si="47"/>
        <v/>
      </c>
      <c r="H2699" s="43"/>
      <c r="I2699" s="44"/>
      <c r="J2699" s="34">
        <v>0</v>
      </c>
    </row>
    <row r="2700" spans="1:10" ht="26.25" hidden="1" thickBot="1" x14ac:dyDescent="0.3">
      <c r="A2700" s="249"/>
      <c r="B2700" s="252"/>
      <c r="C2700" s="50" t="s">
        <v>668</v>
      </c>
      <c r="D2700" s="53"/>
      <c r="E2700" s="41"/>
      <c r="F2700" s="35" t="s">
        <v>23</v>
      </c>
      <c r="G2700" s="38" t="str">
        <f t="shared" si="47"/>
        <v/>
      </c>
      <c r="H2700" s="43"/>
      <c r="I2700" s="44"/>
      <c r="J2700" s="34">
        <v>0</v>
      </c>
    </row>
    <row r="2701" spans="1:10" ht="15.75" hidden="1" thickBot="1" x14ac:dyDescent="0.3">
      <c r="A2701" s="250"/>
      <c r="B2701" s="253"/>
      <c r="C2701" s="40"/>
      <c r="D2701" s="40"/>
      <c r="E2701" s="41"/>
      <c r="F2701" s="35" t="s">
        <v>23</v>
      </c>
      <c r="G2701" s="38" t="str">
        <f t="shared" si="47"/>
        <v/>
      </c>
      <c r="H2701" s="39"/>
      <c r="I2701" s="35"/>
      <c r="J2701" s="34">
        <v>0</v>
      </c>
    </row>
    <row r="2702" spans="1:10" ht="15.75" hidden="1" thickBot="1" x14ac:dyDescent="0.3">
      <c r="A2702" s="248" t="s">
        <v>9</v>
      </c>
      <c r="B2702" s="251" t="s">
        <v>2483</v>
      </c>
      <c r="C2702" s="28"/>
      <c r="D2702" s="29" t="s">
        <v>2</v>
      </c>
      <c r="E2702" s="30"/>
      <c r="F2702" s="45" t="s">
        <v>23</v>
      </c>
      <c r="G2702" s="31" t="str">
        <f t="shared" si="47"/>
        <v/>
      </c>
      <c r="H2702" s="32"/>
      <c r="I2702" s="33"/>
      <c r="J2702" s="34">
        <v>0</v>
      </c>
    </row>
    <row r="2703" spans="1:10" ht="15.75" hidden="1" thickBot="1" x14ac:dyDescent="0.3">
      <c r="A2703" s="249"/>
      <c r="B2703" s="252"/>
      <c r="C2703" s="36"/>
      <c r="D2703" s="36"/>
      <c r="E2703" s="37"/>
      <c r="F2703" s="46" t="s">
        <v>23</v>
      </c>
      <c r="G2703" s="38" t="str">
        <f t="shared" si="47"/>
        <v/>
      </c>
      <c r="H2703" s="39"/>
      <c r="I2703" s="35"/>
      <c r="J2703" s="34">
        <v>0</v>
      </c>
    </row>
    <row r="2704" spans="1:10" ht="15.75" hidden="1" thickBot="1" x14ac:dyDescent="0.3">
      <c r="A2704" s="249"/>
      <c r="B2704" s="252"/>
      <c r="C2704" s="40" t="s">
        <v>3757</v>
      </c>
      <c r="D2704" s="40" t="s">
        <v>3752</v>
      </c>
      <c r="E2704" s="75" t="e">
        <f>IF(#REF!="Desonerado",ROUND(220/(1+110.69%),4),ROUND(220/(1+82.01%),4))</f>
        <v>#REF!</v>
      </c>
      <c r="F2704" s="35">
        <v>28.0535</v>
      </c>
      <c r="G2704" s="38" t="e">
        <f t="shared" si="47"/>
        <v>#REF!</v>
      </c>
      <c r="H2704" s="43" t="e">
        <f>SUM(G2704:G2704)</f>
        <v>#REF!</v>
      </c>
      <c r="I2704" s="44"/>
      <c r="J2704" s="34">
        <v>0</v>
      </c>
    </row>
    <row r="2705" spans="1:10" ht="15.75" hidden="1" thickBot="1" x14ac:dyDescent="0.3">
      <c r="A2705" s="249"/>
      <c r="B2705" s="252"/>
      <c r="C2705" s="40"/>
      <c r="D2705" s="53"/>
      <c r="E2705" s="41"/>
      <c r="F2705" s="35" t="s">
        <v>23</v>
      </c>
      <c r="G2705" s="38" t="str">
        <f t="shared" si="47"/>
        <v/>
      </c>
      <c r="H2705" s="43"/>
      <c r="I2705" s="44"/>
      <c r="J2705" s="34">
        <v>0</v>
      </c>
    </row>
    <row r="2706" spans="1:10" ht="26.25" hidden="1" thickBot="1" x14ac:dyDescent="0.3">
      <c r="A2706" s="249"/>
      <c r="B2706" s="252"/>
      <c r="C2706" s="50" t="s">
        <v>668</v>
      </c>
      <c r="D2706" s="53"/>
      <c r="E2706" s="41"/>
      <c r="F2706" s="35" t="s">
        <v>23</v>
      </c>
      <c r="G2706" s="38" t="str">
        <f t="shared" si="47"/>
        <v/>
      </c>
      <c r="H2706" s="43"/>
      <c r="I2706" s="44"/>
      <c r="J2706" s="34">
        <v>0</v>
      </c>
    </row>
    <row r="2707" spans="1:10" ht="15.75" hidden="1" thickBot="1" x14ac:dyDescent="0.3">
      <c r="A2707" s="250"/>
      <c r="B2707" s="253"/>
      <c r="C2707" s="40"/>
      <c r="D2707" s="40"/>
      <c r="E2707" s="41"/>
      <c r="F2707" s="35" t="s">
        <v>23</v>
      </c>
      <c r="G2707" s="38" t="str">
        <f t="shared" si="47"/>
        <v/>
      </c>
      <c r="H2707" s="39"/>
      <c r="I2707" s="35"/>
      <c r="J2707" s="34">
        <v>0</v>
      </c>
    </row>
    <row r="2708" spans="1:10" ht="15.75" thickBot="1" x14ac:dyDescent="0.3">
      <c r="A2708" s="256" t="s">
        <v>674</v>
      </c>
      <c r="B2708" s="251" t="s">
        <v>2484</v>
      </c>
      <c r="C2708" s="28"/>
      <c r="D2708" s="29" t="s">
        <v>28</v>
      </c>
      <c r="E2708" s="30"/>
      <c r="F2708" s="51" t="s">
        <v>23</v>
      </c>
      <c r="G2708" s="31" t="str">
        <f t="shared" si="47"/>
        <v/>
      </c>
      <c r="H2708" s="32"/>
      <c r="I2708" s="33"/>
      <c r="J2708" s="34">
        <v>5</v>
      </c>
    </row>
    <row r="2709" spans="1:10" x14ac:dyDescent="0.25">
      <c r="A2709" s="264"/>
      <c r="B2709" s="266"/>
      <c r="C2709" s="76"/>
      <c r="D2709" s="76"/>
      <c r="E2709" s="77"/>
      <c r="F2709" s="59" t="s">
        <v>23</v>
      </c>
      <c r="G2709" s="59" t="str">
        <f t="shared" si="47"/>
        <v/>
      </c>
      <c r="H2709" s="62"/>
      <c r="I2709" s="63"/>
      <c r="J2709" s="34">
        <v>5</v>
      </c>
    </row>
    <row r="2710" spans="1:10" x14ac:dyDescent="0.25">
      <c r="A2710" s="264"/>
      <c r="B2710" s="266"/>
      <c r="C2710" s="40" t="s">
        <v>4499</v>
      </c>
      <c r="D2710" s="40" t="s">
        <v>291</v>
      </c>
      <c r="E2710" s="75">
        <v>1</v>
      </c>
      <c r="F2710" s="35">
        <v>46.398000000000003</v>
      </c>
      <c r="G2710" s="59">
        <f t="shared" si="47"/>
        <v>46.398000000000003</v>
      </c>
      <c r="H2710" s="43">
        <f>SUM(G2710:G2710)</f>
        <v>46.398000000000003</v>
      </c>
      <c r="I2710" s="44"/>
      <c r="J2710" s="34">
        <v>5</v>
      </c>
    </row>
    <row r="2711" spans="1:10" ht="15.75" thickBot="1" x14ac:dyDescent="0.3">
      <c r="A2711" s="265"/>
      <c r="B2711" s="253"/>
      <c r="C2711" s="60"/>
      <c r="D2711" s="78"/>
      <c r="E2711" s="79"/>
      <c r="F2711" s="80" t="s">
        <v>23</v>
      </c>
      <c r="G2711" s="80" t="str">
        <f t="shared" si="47"/>
        <v/>
      </c>
      <c r="H2711" s="81"/>
      <c r="I2711" s="63"/>
      <c r="J2711" s="34">
        <v>5</v>
      </c>
    </row>
    <row r="2712" spans="1:10" ht="15.75" thickBot="1" x14ac:dyDescent="0.3">
      <c r="A2712" s="256" t="s">
        <v>675</v>
      </c>
      <c r="B2712" s="251" t="s">
        <v>2503</v>
      </c>
      <c r="C2712" s="28"/>
      <c r="D2712" s="29" t="s">
        <v>28</v>
      </c>
      <c r="E2712" s="30"/>
      <c r="F2712" s="51" t="s">
        <v>23</v>
      </c>
      <c r="G2712" s="31" t="str">
        <f t="shared" si="47"/>
        <v/>
      </c>
      <c r="H2712" s="32"/>
      <c r="I2712" s="33"/>
      <c r="J2712" s="34">
        <v>8</v>
      </c>
    </row>
    <row r="2713" spans="1:10" x14ac:dyDescent="0.25">
      <c r="A2713" s="264"/>
      <c r="B2713" s="266"/>
      <c r="C2713" s="76"/>
      <c r="D2713" s="76"/>
      <c r="E2713" s="77"/>
      <c r="F2713" s="59" t="s">
        <v>23</v>
      </c>
      <c r="G2713" s="59" t="str">
        <f t="shared" si="47"/>
        <v/>
      </c>
      <c r="H2713" s="62"/>
      <c r="I2713" s="63"/>
      <c r="J2713" s="34">
        <v>8</v>
      </c>
    </row>
    <row r="2714" spans="1:10" ht="25.5" x14ac:dyDescent="0.25">
      <c r="A2714" s="264"/>
      <c r="B2714" s="266"/>
      <c r="C2714" s="40" t="s">
        <v>4160</v>
      </c>
      <c r="D2714" s="40" t="s">
        <v>291</v>
      </c>
      <c r="E2714" s="75">
        <v>1</v>
      </c>
      <c r="F2714" s="35">
        <v>224.67499999999998</v>
      </c>
      <c r="G2714" s="59">
        <f t="shared" si="47"/>
        <v>224.67499999999998</v>
      </c>
      <c r="H2714" s="43">
        <f>SUM(G2714:G2714)</f>
        <v>224.67499999999998</v>
      </c>
      <c r="I2714" s="44"/>
      <c r="J2714" s="34">
        <v>8</v>
      </c>
    </row>
    <row r="2715" spans="1:10" ht="15.75" thickBot="1" x14ac:dyDescent="0.3">
      <c r="A2715" s="265"/>
      <c r="B2715" s="253"/>
      <c r="C2715" s="60"/>
      <c r="D2715" s="78"/>
      <c r="E2715" s="79"/>
      <c r="F2715" s="80" t="s">
        <v>23</v>
      </c>
      <c r="G2715" s="80" t="str">
        <f t="shared" si="47"/>
        <v/>
      </c>
      <c r="H2715" s="81"/>
      <c r="I2715" s="63"/>
      <c r="J2715" s="34">
        <v>8</v>
      </c>
    </row>
    <row r="2716" spans="1:10" ht="15.75" thickBot="1" x14ac:dyDescent="0.3">
      <c r="A2716" s="256" t="s">
        <v>676</v>
      </c>
      <c r="B2716" s="251" t="s">
        <v>2520</v>
      </c>
      <c r="C2716" s="28"/>
      <c r="D2716" s="29" t="s">
        <v>28</v>
      </c>
      <c r="E2716" s="30"/>
      <c r="F2716" s="51" t="s">
        <v>23</v>
      </c>
      <c r="G2716" s="31" t="str">
        <f t="shared" si="47"/>
        <v/>
      </c>
      <c r="H2716" s="32"/>
      <c r="I2716" s="33"/>
      <c r="J2716" s="34">
        <v>6</v>
      </c>
    </row>
    <row r="2717" spans="1:10" x14ac:dyDescent="0.25">
      <c r="A2717" s="264"/>
      <c r="B2717" s="266"/>
      <c r="C2717" s="76"/>
      <c r="D2717" s="76"/>
      <c r="E2717" s="77"/>
      <c r="F2717" s="59" t="s">
        <v>23</v>
      </c>
      <c r="G2717" s="59" t="str">
        <f t="shared" si="47"/>
        <v/>
      </c>
      <c r="H2717" s="62"/>
      <c r="I2717" s="63"/>
      <c r="J2717" s="34">
        <v>6</v>
      </c>
    </row>
    <row r="2718" spans="1:10" x14ac:dyDescent="0.25">
      <c r="A2718" s="264"/>
      <c r="B2718" s="266"/>
      <c r="C2718" s="40" t="s">
        <v>4183</v>
      </c>
      <c r="D2718" s="40" t="s">
        <v>291</v>
      </c>
      <c r="E2718" s="75">
        <v>1</v>
      </c>
      <c r="F2718" s="35">
        <v>55.660499999999999</v>
      </c>
      <c r="G2718" s="59">
        <f t="shared" si="47"/>
        <v>55.660499999999999</v>
      </c>
      <c r="H2718" s="43">
        <f>SUM(G2718:G2718)</f>
        <v>55.660499999999999</v>
      </c>
      <c r="I2718" s="44"/>
      <c r="J2718" s="34">
        <v>6</v>
      </c>
    </row>
    <row r="2719" spans="1:10" ht="15.75" thickBot="1" x14ac:dyDescent="0.3">
      <c r="A2719" s="265"/>
      <c r="B2719" s="253"/>
      <c r="C2719" s="60"/>
      <c r="D2719" s="78"/>
      <c r="E2719" s="79"/>
      <c r="F2719" s="80" t="s">
        <v>23</v>
      </c>
      <c r="G2719" s="80" t="str">
        <f t="shared" si="47"/>
        <v/>
      </c>
      <c r="H2719" s="81"/>
      <c r="I2719" s="63"/>
      <c r="J2719" s="34">
        <v>6</v>
      </c>
    </row>
    <row r="2720" spans="1:10" ht="15.75" thickBot="1" x14ac:dyDescent="0.3">
      <c r="A2720" s="256" t="s">
        <v>677</v>
      </c>
      <c r="B2720" s="251" t="s">
        <v>2535</v>
      </c>
      <c r="C2720" s="28"/>
      <c r="D2720" s="29" t="s">
        <v>28</v>
      </c>
      <c r="E2720" s="30"/>
      <c r="F2720" s="51" t="s">
        <v>23</v>
      </c>
      <c r="G2720" s="31" t="str">
        <f t="shared" si="47"/>
        <v/>
      </c>
      <c r="H2720" s="32"/>
      <c r="I2720" s="33"/>
      <c r="J2720" s="34">
        <v>18</v>
      </c>
    </row>
    <row r="2721" spans="1:10" x14ac:dyDescent="0.25">
      <c r="A2721" s="264"/>
      <c r="B2721" s="266"/>
      <c r="C2721" s="76"/>
      <c r="D2721" s="76"/>
      <c r="E2721" s="77"/>
      <c r="F2721" s="59" t="s">
        <v>23</v>
      </c>
      <c r="G2721" s="59" t="str">
        <f t="shared" si="47"/>
        <v/>
      </c>
      <c r="H2721" s="62"/>
      <c r="I2721" s="63"/>
      <c r="J2721" s="34">
        <v>18</v>
      </c>
    </row>
    <row r="2722" spans="1:10" x14ac:dyDescent="0.25">
      <c r="A2722" s="264"/>
      <c r="B2722" s="266"/>
      <c r="C2722" s="40" t="s">
        <v>4486</v>
      </c>
      <c r="D2722" s="40" t="s">
        <v>291</v>
      </c>
      <c r="E2722" s="75">
        <v>1</v>
      </c>
      <c r="F2722" s="35">
        <v>22.477</v>
      </c>
      <c r="G2722" s="59">
        <f t="shared" si="47"/>
        <v>22.477</v>
      </c>
      <c r="H2722" s="43">
        <f>SUM(G2722:G2722)</f>
        <v>22.477</v>
      </c>
      <c r="I2722" s="44"/>
      <c r="J2722" s="34">
        <v>18</v>
      </c>
    </row>
    <row r="2723" spans="1:10" ht="15.75" thickBot="1" x14ac:dyDescent="0.3">
      <c r="A2723" s="265"/>
      <c r="B2723" s="253"/>
      <c r="C2723" s="60"/>
      <c r="D2723" s="78"/>
      <c r="E2723" s="79"/>
      <c r="F2723" s="80" t="s">
        <v>23</v>
      </c>
      <c r="G2723" s="80" t="str">
        <f t="shared" si="47"/>
        <v/>
      </c>
      <c r="H2723" s="81"/>
      <c r="I2723" s="63"/>
      <c r="J2723" s="34">
        <v>18</v>
      </c>
    </row>
    <row r="2724" spans="1:10" ht="15.75" thickBot="1" x14ac:dyDescent="0.3">
      <c r="A2724" s="248" t="s">
        <v>678</v>
      </c>
      <c r="B2724" s="251" t="s">
        <v>2536</v>
      </c>
      <c r="C2724" s="28"/>
      <c r="D2724" s="29" t="s">
        <v>28</v>
      </c>
      <c r="E2724" s="30"/>
      <c r="F2724" s="51" t="s">
        <v>23</v>
      </c>
      <c r="G2724" s="31" t="str">
        <f t="shared" si="47"/>
        <v/>
      </c>
      <c r="H2724" s="32"/>
      <c r="I2724" s="33"/>
      <c r="J2724" s="34">
        <v>18</v>
      </c>
    </row>
    <row r="2725" spans="1:10" x14ac:dyDescent="0.25">
      <c r="A2725" s="249"/>
      <c r="B2725" s="252"/>
      <c r="C2725" s="76"/>
      <c r="D2725" s="76"/>
      <c r="E2725" s="77"/>
      <c r="F2725" s="59" t="s">
        <v>23</v>
      </c>
      <c r="G2725" s="59" t="str">
        <f t="shared" si="47"/>
        <v/>
      </c>
      <c r="H2725" s="62"/>
      <c r="I2725" s="35"/>
      <c r="J2725" s="34">
        <v>18</v>
      </c>
    </row>
    <row r="2726" spans="1:10" x14ac:dyDescent="0.25">
      <c r="A2726" s="249"/>
      <c r="B2726" s="252"/>
      <c r="C2726" s="40" t="s">
        <v>4184</v>
      </c>
      <c r="D2726" s="40" t="s">
        <v>291</v>
      </c>
      <c r="E2726" s="75">
        <v>1</v>
      </c>
      <c r="F2726" s="35">
        <v>35.710500000000003</v>
      </c>
      <c r="G2726" s="59">
        <f t="shared" si="47"/>
        <v>35.710500000000003</v>
      </c>
      <c r="H2726" s="43">
        <f>SUM(G2726:G2726)</f>
        <v>35.710500000000003</v>
      </c>
      <c r="I2726" s="44"/>
      <c r="J2726" s="34">
        <v>18</v>
      </c>
    </row>
    <row r="2727" spans="1:10" ht="15.75" thickBot="1" x14ac:dyDescent="0.3">
      <c r="A2727" s="250"/>
      <c r="B2727" s="253"/>
      <c r="C2727" s="40"/>
      <c r="D2727" s="40"/>
      <c r="E2727" s="41"/>
      <c r="F2727" s="35" t="s">
        <v>23</v>
      </c>
      <c r="G2727" s="38" t="str">
        <f t="shared" si="47"/>
        <v/>
      </c>
      <c r="H2727" s="39"/>
      <c r="I2727" s="35"/>
      <c r="J2727" s="34">
        <v>18</v>
      </c>
    </row>
    <row r="2728" spans="1:10" ht="15.75" thickBot="1" x14ac:dyDescent="0.3">
      <c r="A2728" s="256" t="s">
        <v>679</v>
      </c>
      <c r="B2728" s="251" t="s">
        <v>2575</v>
      </c>
      <c r="C2728" s="28"/>
      <c r="D2728" s="29" t="s">
        <v>28</v>
      </c>
      <c r="E2728" s="30"/>
      <c r="F2728" s="51" t="s">
        <v>23</v>
      </c>
      <c r="G2728" s="31" t="str">
        <f t="shared" si="47"/>
        <v/>
      </c>
      <c r="H2728" s="32"/>
      <c r="I2728" s="33"/>
      <c r="J2728" s="34">
        <v>5</v>
      </c>
    </row>
    <row r="2729" spans="1:10" x14ac:dyDescent="0.25">
      <c r="A2729" s="264"/>
      <c r="B2729" s="266"/>
      <c r="C2729" s="76"/>
      <c r="D2729" s="76"/>
      <c r="E2729" s="77"/>
      <c r="F2729" s="59" t="s">
        <v>23</v>
      </c>
      <c r="G2729" s="59" t="str">
        <f t="shared" si="47"/>
        <v/>
      </c>
      <c r="H2729" s="62"/>
      <c r="I2729" s="63"/>
      <c r="J2729" s="34">
        <v>5</v>
      </c>
    </row>
    <row r="2730" spans="1:10" x14ac:dyDescent="0.25">
      <c r="A2730" s="264"/>
      <c r="B2730" s="266"/>
      <c r="C2730" s="40" t="s">
        <v>4500</v>
      </c>
      <c r="D2730" s="40" t="s">
        <v>291</v>
      </c>
      <c r="E2730" s="75">
        <v>1</v>
      </c>
      <c r="F2730" s="35">
        <v>45.162999999999997</v>
      </c>
      <c r="G2730" s="59">
        <f t="shared" si="47"/>
        <v>45.162999999999997</v>
      </c>
      <c r="H2730" s="43">
        <f>SUM(G2730:G2730)</f>
        <v>45.162999999999997</v>
      </c>
      <c r="I2730" s="44"/>
      <c r="J2730" s="34">
        <v>5</v>
      </c>
    </row>
    <row r="2731" spans="1:10" ht="15.75" thickBot="1" x14ac:dyDescent="0.3">
      <c r="A2731" s="265"/>
      <c r="B2731" s="253"/>
      <c r="C2731" s="60"/>
      <c r="D2731" s="78"/>
      <c r="E2731" s="79"/>
      <c r="F2731" s="80" t="s">
        <v>23</v>
      </c>
      <c r="G2731" s="80" t="str">
        <f t="shared" si="47"/>
        <v/>
      </c>
      <c r="H2731" s="81"/>
      <c r="I2731" s="63"/>
      <c r="J2731" s="34">
        <v>5</v>
      </c>
    </row>
    <row r="2732" spans="1:10" ht="15.75" thickBot="1" x14ac:dyDescent="0.3">
      <c r="A2732" s="248" t="s">
        <v>680</v>
      </c>
      <c r="B2732" s="251" t="s">
        <v>2576</v>
      </c>
      <c r="C2732" s="28"/>
      <c r="D2732" s="29" t="s">
        <v>28</v>
      </c>
      <c r="E2732" s="30"/>
      <c r="F2732" s="51" t="s">
        <v>23</v>
      </c>
      <c r="G2732" s="31" t="str">
        <f t="shared" si="47"/>
        <v/>
      </c>
      <c r="H2732" s="32"/>
      <c r="I2732" s="33"/>
      <c r="J2732" s="34">
        <v>18</v>
      </c>
    </row>
    <row r="2733" spans="1:10" x14ac:dyDescent="0.25">
      <c r="A2733" s="249"/>
      <c r="B2733" s="252"/>
      <c r="C2733" s="76"/>
      <c r="D2733" s="76"/>
      <c r="E2733" s="77"/>
      <c r="F2733" s="59" t="s">
        <v>23</v>
      </c>
      <c r="G2733" s="59" t="str">
        <f t="shared" si="47"/>
        <v/>
      </c>
      <c r="H2733" s="62"/>
      <c r="I2733" s="35"/>
      <c r="J2733" s="34">
        <v>18</v>
      </c>
    </row>
    <row r="2734" spans="1:10" x14ac:dyDescent="0.25">
      <c r="A2734" s="249"/>
      <c r="B2734" s="252"/>
      <c r="C2734" s="40" t="s">
        <v>4178</v>
      </c>
      <c r="D2734" s="40" t="s">
        <v>291</v>
      </c>
      <c r="E2734" s="75">
        <v>1</v>
      </c>
      <c r="F2734" s="35">
        <v>51.499499999999998</v>
      </c>
      <c r="G2734" s="59">
        <f t="shared" si="47"/>
        <v>51.499499999999998</v>
      </c>
      <c r="H2734" s="43">
        <f>SUM(G2734:G2734)</f>
        <v>51.499499999999998</v>
      </c>
      <c r="I2734" s="44"/>
      <c r="J2734" s="34">
        <v>18</v>
      </c>
    </row>
    <row r="2735" spans="1:10" ht="15.75" thickBot="1" x14ac:dyDescent="0.3">
      <c r="A2735" s="250"/>
      <c r="B2735" s="253"/>
      <c r="C2735" s="40"/>
      <c r="D2735" s="40"/>
      <c r="E2735" s="41"/>
      <c r="F2735" s="35" t="s">
        <v>23</v>
      </c>
      <c r="G2735" s="38" t="str">
        <f t="shared" si="47"/>
        <v/>
      </c>
      <c r="H2735" s="39"/>
      <c r="I2735" s="35"/>
      <c r="J2735" s="34">
        <v>18</v>
      </c>
    </row>
    <row r="2736" spans="1:10" ht="15.75" thickBot="1" x14ac:dyDescent="0.3">
      <c r="A2736" s="248" t="s">
        <v>681</v>
      </c>
      <c r="B2736" s="251" t="s">
        <v>2579</v>
      </c>
      <c r="C2736" s="28"/>
      <c r="D2736" s="29" t="s">
        <v>28</v>
      </c>
      <c r="E2736" s="30"/>
      <c r="F2736" s="51" t="s">
        <v>23</v>
      </c>
      <c r="G2736" s="31" t="str">
        <f t="shared" si="47"/>
        <v/>
      </c>
      <c r="H2736" s="32"/>
      <c r="I2736" s="33"/>
      <c r="J2736" s="34">
        <v>5</v>
      </c>
    </row>
    <row r="2737" spans="1:10" x14ac:dyDescent="0.25">
      <c r="A2737" s="249"/>
      <c r="B2737" s="252"/>
      <c r="C2737" s="76"/>
      <c r="D2737" s="76"/>
      <c r="E2737" s="77"/>
      <c r="F2737" s="59" t="s">
        <v>23</v>
      </c>
      <c r="G2737" s="59" t="str">
        <f t="shared" si="47"/>
        <v/>
      </c>
      <c r="H2737" s="62"/>
      <c r="I2737" s="35"/>
      <c r="J2737" s="34">
        <v>5</v>
      </c>
    </row>
    <row r="2738" spans="1:10" x14ac:dyDescent="0.25">
      <c r="A2738" s="249"/>
      <c r="B2738" s="252"/>
      <c r="C2738" s="40" t="s">
        <v>4320</v>
      </c>
      <c r="D2738" s="40" t="s">
        <v>1286</v>
      </c>
      <c r="E2738" s="75">
        <v>2</v>
      </c>
      <c r="F2738" s="35">
        <v>60.429499999999997</v>
      </c>
      <c r="G2738" s="59">
        <f t="shared" ref="G2738:G2801" si="48">IF(ISNUMBER(F2738),E2738*F2738,"")</f>
        <v>120.85899999999999</v>
      </c>
      <c r="H2738" s="43">
        <f>SUM(G2738:G2738)</f>
        <v>120.85899999999999</v>
      </c>
      <c r="I2738" s="44"/>
      <c r="J2738" s="34">
        <v>5</v>
      </c>
    </row>
    <row r="2739" spans="1:10" ht="15.75" thickBot="1" x14ac:dyDescent="0.3">
      <c r="A2739" s="250"/>
      <c r="B2739" s="253"/>
      <c r="C2739" s="40"/>
      <c r="D2739" s="40"/>
      <c r="E2739" s="41"/>
      <c r="F2739" s="35" t="s">
        <v>23</v>
      </c>
      <c r="G2739" s="38" t="str">
        <f t="shared" si="48"/>
        <v/>
      </c>
      <c r="H2739" s="39"/>
      <c r="I2739" s="35"/>
      <c r="J2739" s="34">
        <v>5</v>
      </c>
    </row>
    <row r="2740" spans="1:10" ht="15.75" thickBot="1" x14ac:dyDescent="0.3">
      <c r="A2740" s="256" t="s">
        <v>682</v>
      </c>
      <c r="B2740" s="251" t="s">
        <v>2606</v>
      </c>
      <c r="C2740" s="28"/>
      <c r="D2740" s="29" t="s">
        <v>28</v>
      </c>
      <c r="E2740" s="30"/>
      <c r="F2740" s="51" t="s">
        <v>23</v>
      </c>
      <c r="G2740" s="31" t="str">
        <f t="shared" si="48"/>
        <v/>
      </c>
      <c r="H2740" s="32"/>
      <c r="I2740" s="33"/>
      <c r="J2740" s="34">
        <v>18</v>
      </c>
    </row>
    <row r="2741" spans="1:10" x14ac:dyDescent="0.25">
      <c r="A2741" s="264"/>
      <c r="B2741" s="266"/>
      <c r="C2741" s="76"/>
      <c r="D2741" s="76"/>
      <c r="E2741" s="77"/>
      <c r="F2741" s="59" t="s">
        <v>23</v>
      </c>
      <c r="G2741" s="59" t="str">
        <f t="shared" si="48"/>
        <v/>
      </c>
      <c r="H2741" s="62"/>
      <c r="I2741" s="63"/>
      <c r="J2741" s="34">
        <v>18</v>
      </c>
    </row>
    <row r="2742" spans="1:10" ht="25.5" x14ac:dyDescent="0.25">
      <c r="A2742" s="264"/>
      <c r="B2742" s="266"/>
      <c r="C2742" s="40" t="s">
        <v>4485</v>
      </c>
      <c r="D2742" s="40" t="s">
        <v>291</v>
      </c>
      <c r="E2742" s="75">
        <v>1</v>
      </c>
      <c r="F2742" s="35">
        <v>22.486499999999999</v>
      </c>
      <c r="G2742" s="59">
        <f t="shared" si="48"/>
        <v>22.486499999999999</v>
      </c>
      <c r="H2742" s="43">
        <f>SUM(G2742:G2742)</f>
        <v>22.486499999999999</v>
      </c>
      <c r="I2742" s="44"/>
      <c r="J2742" s="34">
        <v>18</v>
      </c>
    </row>
    <row r="2743" spans="1:10" ht="15.75" thickBot="1" x14ac:dyDescent="0.3">
      <c r="A2743" s="265"/>
      <c r="B2743" s="253"/>
      <c r="C2743" s="60"/>
      <c r="D2743" s="78"/>
      <c r="E2743" s="79"/>
      <c r="F2743" s="80" t="s">
        <v>23</v>
      </c>
      <c r="G2743" s="80" t="str">
        <f t="shared" si="48"/>
        <v/>
      </c>
      <c r="H2743" s="81"/>
      <c r="I2743" s="63"/>
      <c r="J2743" s="34">
        <v>18</v>
      </c>
    </row>
    <row r="2744" spans="1:10" ht="15.75" thickBot="1" x14ac:dyDescent="0.3">
      <c r="A2744" s="248" t="s">
        <v>683</v>
      </c>
      <c r="B2744" s="251" t="s">
        <v>2607</v>
      </c>
      <c r="C2744" s="28"/>
      <c r="D2744" s="29" t="s">
        <v>28</v>
      </c>
      <c r="E2744" s="30"/>
      <c r="F2744" s="51" t="s">
        <v>23</v>
      </c>
      <c r="G2744" s="31" t="str">
        <f t="shared" si="48"/>
        <v/>
      </c>
      <c r="H2744" s="32"/>
      <c r="I2744" s="33"/>
      <c r="J2744" s="34">
        <v>18</v>
      </c>
    </row>
    <row r="2745" spans="1:10" x14ac:dyDescent="0.25">
      <c r="A2745" s="249"/>
      <c r="B2745" s="252"/>
      <c r="C2745" s="76"/>
      <c r="D2745" s="76"/>
      <c r="E2745" s="77"/>
      <c r="F2745" s="59" t="s">
        <v>23</v>
      </c>
      <c r="G2745" s="59" t="str">
        <f t="shared" si="48"/>
        <v/>
      </c>
      <c r="H2745" s="62"/>
      <c r="I2745" s="35"/>
      <c r="J2745" s="34">
        <v>18</v>
      </c>
    </row>
    <row r="2746" spans="1:10" x14ac:dyDescent="0.25">
      <c r="A2746" s="249"/>
      <c r="B2746" s="252"/>
      <c r="C2746" s="40" t="s">
        <v>4487</v>
      </c>
      <c r="D2746" s="40" t="s">
        <v>291</v>
      </c>
      <c r="E2746" s="75">
        <v>1</v>
      </c>
      <c r="F2746" s="35">
        <v>19.911999999999999</v>
      </c>
      <c r="G2746" s="59">
        <f t="shared" si="48"/>
        <v>19.911999999999999</v>
      </c>
      <c r="H2746" s="43">
        <f>SUM(G2746:G2746)</f>
        <v>19.911999999999999</v>
      </c>
      <c r="I2746" s="44"/>
      <c r="J2746" s="34">
        <v>18</v>
      </c>
    </row>
    <row r="2747" spans="1:10" ht="15.75" thickBot="1" x14ac:dyDescent="0.3">
      <c r="A2747" s="250"/>
      <c r="B2747" s="253"/>
      <c r="C2747" s="40"/>
      <c r="D2747" s="40"/>
      <c r="E2747" s="41"/>
      <c r="F2747" s="35" t="s">
        <v>23</v>
      </c>
      <c r="G2747" s="38" t="str">
        <f t="shared" si="48"/>
        <v/>
      </c>
      <c r="H2747" s="39"/>
      <c r="I2747" s="35"/>
      <c r="J2747" s="34">
        <v>18</v>
      </c>
    </row>
    <row r="2748" spans="1:10" ht="15.75" thickBot="1" x14ac:dyDescent="0.3">
      <c r="A2748" s="256" t="s">
        <v>684</v>
      </c>
      <c r="B2748" s="251" t="s">
        <v>2624</v>
      </c>
      <c r="C2748" s="28"/>
      <c r="D2748" s="29" t="s">
        <v>2414</v>
      </c>
      <c r="E2748" s="30"/>
      <c r="F2748" s="51" t="s">
        <v>23</v>
      </c>
      <c r="G2748" s="31" t="str">
        <f t="shared" si="48"/>
        <v/>
      </c>
      <c r="H2748" s="32"/>
      <c r="I2748" s="33"/>
      <c r="J2748" s="34">
        <v>50</v>
      </c>
    </row>
    <row r="2749" spans="1:10" x14ac:dyDescent="0.25">
      <c r="A2749" s="264"/>
      <c r="B2749" s="266"/>
      <c r="C2749" s="76"/>
      <c r="D2749" s="76"/>
      <c r="E2749" s="77"/>
      <c r="F2749" s="59" t="s">
        <v>23</v>
      </c>
      <c r="G2749" s="59" t="str">
        <f t="shared" si="48"/>
        <v/>
      </c>
      <c r="H2749" s="62"/>
      <c r="I2749" s="63"/>
      <c r="J2749" s="34">
        <v>50</v>
      </c>
    </row>
    <row r="2750" spans="1:10" x14ac:dyDescent="0.25">
      <c r="A2750" s="264"/>
      <c r="B2750" s="266"/>
      <c r="C2750" s="40" t="s">
        <v>4158</v>
      </c>
      <c r="D2750" s="40" t="s">
        <v>4159</v>
      </c>
      <c r="E2750" s="75">
        <v>1</v>
      </c>
      <c r="F2750" s="35">
        <v>40.869</v>
      </c>
      <c r="G2750" s="59">
        <f t="shared" si="48"/>
        <v>40.869</v>
      </c>
      <c r="H2750" s="43">
        <f>SUM(G2750:G2750)</f>
        <v>40.869</v>
      </c>
      <c r="I2750" s="44"/>
      <c r="J2750" s="34">
        <v>50</v>
      </c>
    </row>
    <row r="2751" spans="1:10" ht="15.75" thickBot="1" x14ac:dyDescent="0.3">
      <c r="A2751" s="265"/>
      <c r="B2751" s="253"/>
      <c r="C2751" s="60"/>
      <c r="D2751" s="78"/>
      <c r="E2751" s="79"/>
      <c r="F2751" s="80" t="s">
        <v>23</v>
      </c>
      <c r="G2751" s="80" t="str">
        <f t="shared" si="48"/>
        <v/>
      </c>
      <c r="H2751" s="81"/>
      <c r="I2751" s="63"/>
      <c r="J2751" s="34">
        <v>50</v>
      </c>
    </row>
    <row r="2752" spans="1:10" ht="15.75" thickBot="1" x14ac:dyDescent="0.3">
      <c r="A2752" s="256" t="s">
        <v>685</v>
      </c>
      <c r="B2752" s="251" t="s">
        <v>2625</v>
      </c>
      <c r="C2752" s="28"/>
      <c r="D2752" s="29" t="s">
        <v>28</v>
      </c>
      <c r="E2752" s="30"/>
      <c r="F2752" s="51" t="s">
        <v>23</v>
      </c>
      <c r="G2752" s="31" t="str">
        <f t="shared" si="48"/>
        <v/>
      </c>
      <c r="H2752" s="32"/>
      <c r="I2752" s="33"/>
      <c r="J2752" s="34">
        <v>70</v>
      </c>
    </row>
    <row r="2753" spans="1:10" x14ac:dyDescent="0.25">
      <c r="A2753" s="264"/>
      <c r="B2753" s="266"/>
      <c r="C2753" s="76"/>
      <c r="D2753" s="76"/>
      <c r="E2753" s="77"/>
      <c r="F2753" s="59" t="s">
        <v>23</v>
      </c>
      <c r="G2753" s="59" t="str">
        <f t="shared" si="48"/>
        <v/>
      </c>
      <c r="H2753" s="62"/>
      <c r="I2753" s="63"/>
      <c r="J2753" s="34">
        <v>70</v>
      </c>
    </row>
    <row r="2754" spans="1:10" ht="25.5" x14ac:dyDescent="0.25">
      <c r="A2754" s="264"/>
      <c r="B2754" s="266"/>
      <c r="C2754" s="40" t="s">
        <v>4170</v>
      </c>
      <c r="D2754" s="40" t="s">
        <v>291</v>
      </c>
      <c r="E2754" s="75">
        <v>1</v>
      </c>
      <c r="F2754" s="35">
        <v>18.449000000000002</v>
      </c>
      <c r="G2754" s="59">
        <f t="shared" si="48"/>
        <v>18.449000000000002</v>
      </c>
      <c r="H2754" s="43">
        <f>SUM(G2754:G2754)</f>
        <v>18.449000000000002</v>
      </c>
      <c r="I2754" s="44"/>
      <c r="J2754" s="34">
        <v>70</v>
      </c>
    </row>
    <row r="2755" spans="1:10" ht="15.75" thickBot="1" x14ac:dyDescent="0.3">
      <c r="A2755" s="265"/>
      <c r="B2755" s="253"/>
      <c r="C2755" s="60"/>
      <c r="D2755" s="78"/>
      <c r="E2755" s="79"/>
      <c r="F2755" s="80" t="s">
        <v>23</v>
      </c>
      <c r="G2755" s="80" t="str">
        <f t="shared" si="48"/>
        <v/>
      </c>
      <c r="H2755" s="81"/>
      <c r="I2755" s="63"/>
      <c r="J2755" s="34">
        <v>70</v>
      </c>
    </row>
    <row r="2756" spans="1:10" ht="15.75" thickBot="1" x14ac:dyDescent="0.3">
      <c r="A2756" s="248" t="s">
        <v>686</v>
      </c>
      <c r="B2756" s="251" t="s">
        <v>2626</v>
      </c>
      <c r="C2756" s="28"/>
      <c r="D2756" s="29" t="s">
        <v>28</v>
      </c>
      <c r="E2756" s="30"/>
      <c r="F2756" s="51" t="s">
        <v>23</v>
      </c>
      <c r="G2756" s="31" t="str">
        <f t="shared" si="48"/>
        <v/>
      </c>
      <c r="H2756" s="32"/>
      <c r="I2756" s="33"/>
      <c r="J2756" s="34">
        <v>6</v>
      </c>
    </row>
    <row r="2757" spans="1:10" x14ac:dyDescent="0.25">
      <c r="A2757" s="249"/>
      <c r="B2757" s="252"/>
      <c r="C2757" s="76"/>
      <c r="D2757" s="76"/>
      <c r="E2757" s="77"/>
      <c r="F2757" s="59" t="s">
        <v>23</v>
      </c>
      <c r="G2757" s="59" t="str">
        <f t="shared" si="48"/>
        <v/>
      </c>
      <c r="H2757" s="62"/>
      <c r="I2757" s="35"/>
      <c r="J2757" s="34">
        <v>6</v>
      </c>
    </row>
    <row r="2758" spans="1:10" ht="25.5" x14ac:dyDescent="0.25">
      <c r="A2758" s="249"/>
      <c r="B2758" s="252"/>
      <c r="C2758" s="40" t="s">
        <v>4172</v>
      </c>
      <c r="D2758" s="40" t="s">
        <v>291</v>
      </c>
      <c r="E2758" s="75">
        <v>1</v>
      </c>
      <c r="F2758" s="35">
        <v>189.82899999999998</v>
      </c>
      <c r="G2758" s="59">
        <f t="shared" si="48"/>
        <v>189.82899999999998</v>
      </c>
      <c r="H2758" s="43">
        <f>SUM(G2758:G2758)</f>
        <v>189.82899999999998</v>
      </c>
      <c r="I2758" s="44"/>
      <c r="J2758" s="34">
        <v>6</v>
      </c>
    </row>
    <row r="2759" spans="1:10" ht="15.75" thickBot="1" x14ac:dyDescent="0.3">
      <c r="A2759" s="250"/>
      <c r="B2759" s="253"/>
      <c r="C2759" s="40"/>
      <c r="D2759" s="40"/>
      <c r="E2759" s="41"/>
      <c r="F2759" s="35" t="s">
        <v>23</v>
      </c>
      <c r="G2759" s="38" t="str">
        <f t="shared" si="48"/>
        <v/>
      </c>
      <c r="H2759" s="39"/>
      <c r="I2759" s="35"/>
      <c r="J2759" s="34">
        <v>6</v>
      </c>
    </row>
    <row r="2760" spans="1:10" ht="15.75" thickBot="1" x14ac:dyDescent="0.3">
      <c r="A2760" s="256" t="s">
        <v>687</v>
      </c>
      <c r="B2760" s="251" t="s">
        <v>2626</v>
      </c>
      <c r="C2760" s="28"/>
      <c r="D2760" s="29" t="s">
        <v>28</v>
      </c>
      <c r="E2760" s="30"/>
      <c r="F2760" s="51" t="s">
        <v>23</v>
      </c>
      <c r="G2760" s="31" t="str">
        <f t="shared" si="48"/>
        <v/>
      </c>
      <c r="H2760" s="32"/>
      <c r="I2760" s="33"/>
      <c r="J2760" s="34">
        <v>6</v>
      </c>
    </row>
    <row r="2761" spans="1:10" x14ac:dyDescent="0.25">
      <c r="A2761" s="264"/>
      <c r="B2761" s="266"/>
      <c r="C2761" s="76"/>
      <c r="D2761" s="76"/>
      <c r="E2761" s="77"/>
      <c r="F2761" s="59" t="s">
        <v>23</v>
      </c>
      <c r="G2761" s="59" t="str">
        <f t="shared" si="48"/>
        <v/>
      </c>
      <c r="H2761" s="62"/>
      <c r="I2761" s="63"/>
      <c r="J2761" s="34">
        <v>6</v>
      </c>
    </row>
    <row r="2762" spans="1:10" ht="25.5" x14ac:dyDescent="0.25">
      <c r="A2762" s="264"/>
      <c r="B2762" s="266"/>
      <c r="C2762" s="40" t="s">
        <v>4176</v>
      </c>
      <c r="D2762" s="40" t="s">
        <v>291</v>
      </c>
      <c r="E2762" s="75">
        <v>1</v>
      </c>
      <c r="F2762" s="35">
        <v>166.76299999999998</v>
      </c>
      <c r="G2762" s="59">
        <f t="shared" si="48"/>
        <v>166.76299999999998</v>
      </c>
      <c r="H2762" s="43">
        <f>SUM(G2762:G2762)</f>
        <v>166.76299999999998</v>
      </c>
      <c r="I2762" s="44"/>
      <c r="J2762" s="34">
        <v>6</v>
      </c>
    </row>
    <row r="2763" spans="1:10" ht="15.75" thickBot="1" x14ac:dyDescent="0.3">
      <c r="A2763" s="265"/>
      <c r="B2763" s="253"/>
      <c r="C2763" s="60"/>
      <c r="D2763" s="78"/>
      <c r="E2763" s="79"/>
      <c r="F2763" s="80" t="s">
        <v>23</v>
      </c>
      <c r="G2763" s="80" t="str">
        <f t="shared" si="48"/>
        <v/>
      </c>
      <c r="H2763" s="81"/>
      <c r="I2763" s="63"/>
      <c r="J2763" s="34">
        <v>6</v>
      </c>
    </row>
    <row r="2764" spans="1:10" ht="15.75" thickBot="1" x14ac:dyDescent="0.3">
      <c r="A2764" s="248" t="s">
        <v>688</v>
      </c>
      <c r="B2764" s="251" t="s">
        <v>2627</v>
      </c>
      <c r="C2764" s="28"/>
      <c r="D2764" s="29" t="s">
        <v>78</v>
      </c>
      <c r="E2764" s="30"/>
      <c r="F2764" s="45" t="s">
        <v>23</v>
      </c>
      <c r="G2764" s="31" t="str">
        <f t="shared" si="48"/>
        <v/>
      </c>
      <c r="H2764" s="32"/>
      <c r="I2764" s="33"/>
      <c r="J2764" s="34">
        <v>12600</v>
      </c>
    </row>
    <row r="2765" spans="1:10" x14ac:dyDescent="0.25">
      <c r="A2765" s="249"/>
      <c r="B2765" s="252"/>
      <c r="C2765" s="36"/>
      <c r="D2765" s="36"/>
      <c r="E2765" s="37"/>
      <c r="F2765" s="46" t="s">
        <v>23</v>
      </c>
      <c r="G2765" s="38" t="str">
        <f t="shared" si="48"/>
        <v/>
      </c>
      <c r="H2765" s="39"/>
      <c r="I2765" s="35"/>
      <c r="J2765" s="34">
        <v>12600</v>
      </c>
    </row>
    <row r="2766" spans="1:10" x14ac:dyDescent="0.25">
      <c r="A2766" s="249"/>
      <c r="B2766" s="252"/>
      <c r="C2766" s="40" t="s">
        <v>3767</v>
      </c>
      <c r="D2766" s="40" t="s">
        <v>3752</v>
      </c>
      <c r="E2766" s="41">
        <v>1</v>
      </c>
      <c r="F2766" s="35">
        <v>25.877999999999997</v>
      </c>
      <c r="G2766" s="38">
        <f t="shared" si="48"/>
        <v>25.877999999999997</v>
      </c>
      <c r="H2766" s="43">
        <f>SUM(G2766:G2767)</f>
        <v>33.838999999999999</v>
      </c>
      <c r="I2766" s="44"/>
      <c r="J2766" s="34">
        <v>12600</v>
      </c>
    </row>
    <row r="2767" spans="1:10" x14ac:dyDescent="0.25">
      <c r="A2767" s="249"/>
      <c r="B2767" s="252"/>
      <c r="C2767" s="40" t="s">
        <v>3803</v>
      </c>
      <c r="D2767" s="40" t="s">
        <v>1035</v>
      </c>
      <c r="E2767" s="41">
        <v>2</v>
      </c>
      <c r="F2767" s="38">
        <v>3.9805000000000001</v>
      </c>
      <c r="G2767" s="38">
        <f t="shared" si="48"/>
        <v>7.9610000000000003</v>
      </c>
      <c r="H2767" s="39"/>
      <c r="I2767" s="35"/>
      <c r="J2767" s="34">
        <v>12600</v>
      </c>
    </row>
    <row r="2768" spans="1:10" ht="15.75" thickBot="1" x14ac:dyDescent="0.3">
      <c r="A2768" s="250"/>
      <c r="B2768" s="253"/>
      <c r="C2768" s="40"/>
      <c r="D2768" s="40"/>
      <c r="E2768" s="41"/>
      <c r="F2768" s="35" t="s">
        <v>23</v>
      </c>
      <c r="G2768" s="38" t="str">
        <f t="shared" si="48"/>
        <v/>
      </c>
      <c r="H2768" s="39"/>
      <c r="I2768" s="35"/>
      <c r="J2768" s="34">
        <v>12600</v>
      </c>
    </row>
    <row r="2769" spans="1:10" ht="15.75" thickBot="1" x14ac:dyDescent="0.3">
      <c r="A2769" s="248" t="s">
        <v>689</v>
      </c>
      <c r="B2769" s="251" t="s">
        <v>2628</v>
      </c>
      <c r="C2769" s="28"/>
      <c r="D2769" s="29" t="s">
        <v>78</v>
      </c>
      <c r="E2769" s="30"/>
      <c r="F2769" s="45" t="s">
        <v>23</v>
      </c>
      <c r="G2769" s="31" t="str">
        <f t="shared" si="48"/>
        <v/>
      </c>
      <c r="H2769" s="32"/>
      <c r="I2769" s="33"/>
      <c r="J2769" s="34">
        <v>2440</v>
      </c>
    </row>
    <row r="2770" spans="1:10" x14ac:dyDescent="0.25">
      <c r="A2770" s="249"/>
      <c r="B2770" s="252"/>
      <c r="C2770" s="36"/>
      <c r="D2770" s="36"/>
      <c r="E2770" s="37"/>
      <c r="F2770" s="46" t="s">
        <v>23</v>
      </c>
      <c r="G2770" s="38" t="str">
        <f t="shared" si="48"/>
        <v/>
      </c>
      <c r="H2770" s="39"/>
      <c r="I2770" s="35"/>
      <c r="J2770" s="34">
        <v>2440</v>
      </c>
    </row>
    <row r="2771" spans="1:10" x14ac:dyDescent="0.25">
      <c r="A2771" s="249"/>
      <c r="B2771" s="252"/>
      <c r="C2771" s="40" t="s">
        <v>3820</v>
      </c>
      <c r="D2771" s="40" t="s">
        <v>177</v>
      </c>
      <c r="E2771" s="41">
        <v>1</v>
      </c>
      <c r="F2771" s="38">
        <v>158.99200000000002</v>
      </c>
      <c r="G2771" s="38">
        <f t="shared" si="48"/>
        <v>158.99200000000002</v>
      </c>
      <c r="H2771" s="43">
        <f>SUM(G2771:G2777)</f>
        <v>275.93390300000004</v>
      </c>
      <c r="I2771" s="44"/>
      <c r="J2771" s="34">
        <v>2440</v>
      </c>
    </row>
    <row r="2772" spans="1:10" ht="38.25" x14ac:dyDescent="0.25">
      <c r="A2772" s="249"/>
      <c r="B2772" s="252"/>
      <c r="C2772" s="40" t="s">
        <v>4148</v>
      </c>
      <c r="D2772" s="40" t="s">
        <v>291</v>
      </c>
      <c r="E2772" s="41">
        <v>1.913</v>
      </c>
      <c r="F2772" s="38">
        <v>0.35149999999999998</v>
      </c>
      <c r="G2772" s="38">
        <f t="shared" si="48"/>
        <v>0.67241949999999995</v>
      </c>
      <c r="H2772" s="39"/>
      <c r="I2772" s="35"/>
      <c r="J2772" s="34">
        <v>2440</v>
      </c>
    </row>
    <row r="2773" spans="1:10" x14ac:dyDescent="0.25">
      <c r="A2773" s="249"/>
      <c r="B2773" s="252"/>
      <c r="C2773" s="40" t="s">
        <v>3834</v>
      </c>
      <c r="D2773" s="40" t="s">
        <v>1035</v>
      </c>
      <c r="E2773" s="41">
        <v>0.83899999999999997</v>
      </c>
      <c r="F2773" s="38">
        <v>37.619999999999997</v>
      </c>
      <c r="G2773" s="38">
        <f t="shared" si="48"/>
        <v>31.563179999999996</v>
      </c>
      <c r="H2773" s="39"/>
      <c r="I2773" s="35"/>
      <c r="J2773" s="34">
        <v>2440</v>
      </c>
    </row>
    <row r="2774" spans="1:10" ht="25.5" x14ac:dyDescent="0.25">
      <c r="A2774" s="249"/>
      <c r="B2774" s="252"/>
      <c r="C2774" s="40" t="s">
        <v>3960</v>
      </c>
      <c r="D2774" s="40" t="s">
        <v>1286</v>
      </c>
      <c r="E2774" s="41">
        <v>2.605</v>
      </c>
      <c r="F2774" s="38">
        <v>2.2989999999999999</v>
      </c>
      <c r="G2774" s="38">
        <f t="shared" si="48"/>
        <v>5.9888949999999994</v>
      </c>
      <c r="H2774" s="39"/>
      <c r="I2774" s="35"/>
      <c r="J2774" s="34">
        <v>2440</v>
      </c>
    </row>
    <row r="2775" spans="1:10" x14ac:dyDescent="0.25">
      <c r="A2775" s="249"/>
      <c r="B2775" s="252"/>
      <c r="C2775" s="40" t="s">
        <v>3831</v>
      </c>
      <c r="D2775" s="40" t="s">
        <v>291</v>
      </c>
      <c r="E2775" s="41">
        <v>0.34599999999999997</v>
      </c>
      <c r="F2775" s="38">
        <v>26.125</v>
      </c>
      <c r="G2775" s="38">
        <f t="shared" si="48"/>
        <v>9.0392499999999991</v>
      </c>
      <c r="H2775" s="39"/>
      <c r="I2775" s="35"/>
      <c r="J2775" s="34">
        <v>2440</v>
      </c>
    </row>
    <row r="2776" spans="1:10" x14ac:dyDescent="0.25">
      <c r="A2776" s="249"/>
      <c r="B2776" s="252"/>
      <c r="C2776" s="40" t="s">
        <v>3754</v>
      </c>
      <c r="D2776" s="40" t="s">
        <v>3752</v>
      </c>
      <c r="E2776" s="41">
        <v>1.4690000000000001</v>
      </c>
      <c r="F2776" s="38">
        <v>20.814499999999999</v>
      </c>
      <c r="G2776" s="38">
        <f t="shared" si="48"/>
        <v>30.576500500000002</v>
      </c>
      <c r="H2776" s="39"/>
      <c r="I2776" s="35"/>
      <c r="J2776" s="34">
        <v>2440</v>
      </c>
    </row>
    <row r="2777" spans="1:10" x14ac:dyDescent="0.25">
      <c r="A2777" s="249"/>
      <c r="B2777" s="252"/>
      <c r="C2777" s="40" t="s">
        <v>3767</v>
      </c>
      <c r="D2777" s="40" t="s">
        <v>3752</v>
      </c>
      <c r="E2777" s="41">
        <v>1.5109999999999999</v>
      </c>
      <c r="F2777" s="38">
        <v>25.877999999999997</v>
      </c>
      <c r="G2777" s="38">
        <f t="shared" si="48"/>
        <v>39.101657999999993</v>
      </c>
      <c r="H2777" s="39"/>
      <c r="I2777" s="35"/>
      <c r="J2777" s="34">
        <v>2440</v>
      </c>
    </row>
    <row r="2778" spans="1:10" ht="15.75" thickBot="1" x14ac:dyDescent="0.3">
      <c r="A2778" s="250"/>
      <c r="B2778" s="253"/>
      <c r="C2778" s="40"/>
      <c r="D2778" s="40"/>
      <c r="E2778" s="41"/>
      <c r="F2778" s="35" t="s">
        <v>23</v>
      </c>
      <c r="G2778" s="38" t="str">
        <f t="shared" si="48"/>
        <v/>
      </c>
      <c r="H2778" s="39"/>
      <c r="I2778" s="35"/>
      <c r="J2778" s="34">
        <v>2440</v>
      </c>
    </row>
    <row r="2779" spans="1:10" ht="15.75" thickBot="1" x14ac:dyDescent="0.3">
      <c r="A2779" s="248" t="s">
        <v>690</v>
      </c>
      <c r="B2779" s="251" t="s">
        <v>2629</v>
      </c>
      <c r="C2779" s="28"/>
      <c r="D2779" s="29" t="s">
        <v>78</v>
      </c>
      <c r="E2779" s="30"/>
      <c r="F2779" s="45" t="s">
        <v>23</v>
      </c>
      <c r="G2779" s="31" t="str">
        <f t="shared" si="48"/>
        <v/>
      </c>
      <c r="H2779" s="32"/>
      <c r="I2779" s="33"/>
      <c r="J2779" s="34">
        <v>2830</v>
      </c>
    </row>
    <row r="2780" spans="1:10" x14ac:dyDescent="0.25">
      <c r="A2780" s="249"/>
      <c r="B2780" s="252"/>
      <c r="C2780" s="36"/>
      <c r="D2780" s="36"/>
      <c r="E2780" s="37"/>
      <c r="F2780" s="46" t="s">
        <v>23</v>
      </c>
      <c r="G2780" s="38" t="str">
        <f t="shared" si="48"/>
        <v/>
      </c>
      <c r="H2780" s="39"/>
      <c r="I2780" s="35"/>
      <c r="J2780" s="34">
        <v>2830</v>
      </c>
    </row>
    <row r="2781" spans="1:10" x14ac:dyDescent="0.25">
      <c r="A2781" s="249"/>
      <c r="B2781" s="252"/>
      <c r="C2781" s="40" t="s">
        <v>3767</v>
      </c>
      <c r="D2781" s="40" t="s">
        <v>3752</v>
      </c>
      <c r="E2781" s="41">
        <v>1</v>
      </c>
      <c r="F2781" s="38">
        <v>25.877999999999997</v>
      </c>
      <c r="G2781" s="38">
        <f t="shared" si="48"/>
        <v>25.877999999999997</v>
      </c>
      <c r="H2781" s="43">
        <f>SUM(G2781:G2783)</f>
        <v>106.79899999999999</v>
      </c>
      <c r="I2781" s="44"/>
      <c r="J2781" s="34">
        <v>2830</v>
      </c>
    </row>
    <row r="2782" spans="1:10" x14ac:dyDescent="0.25">
      <c r="A2782" s="249"/>
      <c r="B2782" s="252"/>
      <c r="C2782" s="40" t="s">
        <v>3803</v>
      </c>
      <c r="D2782" s="40" t="s">
        <v>1035</v>
      </c>
      <c r="E2782" s="41">
        <v>2</v>
      </c>
      <c r="F2782" s="35">
        <v>3.9805000000000001</v>
      </c>
      <c r="G2782" s="38">
        <f t="shared" si="48"/>
        <v>7.9610000000000003</v>
      </c>
      <c r="H2782" s="39"/>
      <c r="I2782" s="35"/>
      <c r="J2782" s="34">
        <v>2830</v>
      </c>
    </row>
    <row r="2783" spans="1:10" x14ac:dyDescent="0.25">
      <c r="A2783" s="249"/>
      <c r="B2783" s="252"/>
      <c r="C2783" s="40" t="s">
        <v>3848</v>
      </c>
      <c r="D2783" s="40" t="s">
        <v>177</v>
      </c>
      <c r="E2783" s="41">
        <v>1</v>
      </c>
      <c r="F2783" s="35">
        <v>72.959999999999994</v>
      </c>
      <c r="G2783" s="38">
        <f t="shared" si="48"/>
        <v>72.959999999999994</v>
      </c>
      <c r="H2783" s="39"/>
      <c r="I2783" s="35"/>
      <c r="J2783" s="34">
        <v>2830</v>
      </c>
    </row>
    <row r="2784" spans="1:10" ht="15.75" thickBot="1" x14ac:dyDescent="0.3">
      <c r="A2784" s="250"/>
      <c r="B2784" s="253"/>
      <c r="C2784" s="40"/>
      <c r="D2784" s="40"/>
      <c r="E2784" s="41"/>
      <c r="F2784" s="35" t="s">
        <v>23</v>
      </c>
      <c r="G2784" s="38" t="str">
        <f t="shared" si="48"/>
        <v/>
      </c>
      <c r="H2784" s="39"/>
      <c r="I2784" s="35"/>
      <c r="J2784" s="34">
        <v>2830</v>
      </c>
    </row>
    <row r="2785" spans="1:10" ht="15.75" thickBot="1" x14ac:dyDescent="0.3">
      <c r="A2785" s="248" t="s">
        <v>691</v>
      </c>
      <c r="B2785" s="251" t="s">
        <v>2630</v>
      </c>
      <c r="C2785" s="28"/>
      <c r="D2785" s="29" t="s">
        <v>121</v>
      </c>
      <c r="E2785" s="30"/>
      <c r="F2785" s="45" t="s">
        <v>23</v>
      </c>
      <c r="G2785" s="31" t="str">
        <f t="shared" si="48"/>
        <v/>
      </c>
      <c r="H2785" s="32"/>
      <c r="I2785" s="33"/>
      <c r="J2785" s="34">
        <v>360</v>
      </c>
    </row>
    <row r="2786" spans="1:10" x14ac:dyDescent="0.25">
      <c r="A2786" s="249"/>
      <c r="B2786" s="252"/>
      <c r="C2786" s="36"/>
      <c r="D2786" s="36"/>
      <c r="E2786" s="37"/>
      <c r="F2786" s="46" t="s">
        <v>23</v>
      </c>
      <c r="G2786" s="38" t="str">
        <f t="shared" si="48"/>
        <v/>
      </c>
      <c r="H2786" s="39"/>
      <c r="I2786" s="35"/>
      <c r="J2786" s="34">
        <v>360</v>
      </c>
    </row>
    <row r="2787" spans="1:10" x14ac:dyDescent="0.25">
      <c r="A2787" s="249"/>
      <c r="B2787" s="252"/>
      <c r="C2787" s="40" t="s">
        <v>3767</v>
      </c>
      <c r="D2787" s="40" t="s">
        <v>3752</v>
      </c>
      <c r="E2787" s="41">
        <v>0.5</v>
      </c>
      <c r="F2787" s="35">
        <v>25.877999999999997</v>
      </c>
      <c r="G2787" s="38">
        <f t="shared" si="48"/>
        <v>12.938999999999998</v>
      </c>
      <c r="H2787" s="43">
        <f>SUM(G2787:G2788)</f>
        <v>23.346249999999998</v>
      </c>
      <c r="I2787" s="44"/>
      <c r="J2787" s="34">
        <v>360</v>
      </c>
    </row>
    <row r="2788" spans="1:10" x14ac:dyDescent="0.25">
      <c r="A2788" s="249"/>
      <c r="B2788" s="252"/>
      <c r="C2788" s="40" t="s">
        <v>3754</v>
      </c>
      <c r="D2788" s="40" t="s">
        <v>3752</v>
      </c>
      <c r="E2788" s="41">
        <v>0.5</v>
      </c>
      <c r="F2788" s="35">
        <v>20.814499999999999</v>
      </c>
      <c r="G2788" s="38">
        <f t="shared" si="48"/>
        <v>10.407249999999999</v>
      </c>
      <c r="H2788" s="39"/>
      <c r="I2788" s="35"/>
      <c r="J2788" s="34">
        <v>360</v>
      </c>
    </row>
    <row r="2789" spans="1:10" ht="15.75" thickBot="1" x14ac:dyDescent="0.3">
      <c r="A2789" s="250"/>
      <c r="B2789" s="253"/>
      <c r="C2789" s="40"/>
      <c r="D2789" s="40"/>
      <c r="E2789" s="41"/>
      <c r="F2789" s="35" t="s">
        <v>23</v>
      </c>
      <c r="G2789" s="38" t="str">
        <f t="shared" si="48"/>
        <v/>
      </c>
      <c r="H2789" s="39"/>
      <c r="I2789" s="35"/>
      <c r="J2789" s="34">
        <v>360</v>
      </c>
    </row>
    <row r="2790" spans="1:10" ht="15.75" thickBot="1" x14ac:dyDescent="0.3">
      <c r="A2790" s="248" t="s">
        <v>692</v>
      </c>
      <c r="B2790" s="251" t="s">
        <v>2631</v>
      </c>
      <c r="C2790" s="28"/>
      <c r="D2790" s="29" t="s">
        <v>121</v>
      </c>
      <c r="E2790" s="30"/>
      <c r="F2790" s="45" t="s">
        <v>23</v>
      </c>
      <c r="G2790" s="31" t="str">
        <f t="shared" si="48"/>
        <v/>
      </c>
      <c r="H2790" s="32"/>
      <c r="I2790" s="33"/>
      <c r="J2790" s="34">
        <v>140</v>
      </c>
    </row>
    <row r="2791" spans="1:10" x14ac:dyDescent="0.25">
      <c r="A2791" s="249"/>
      <c r="B2791" s="252"/>
      <c r="C2791" s="36"/>
      <c r="D2791" s="36"/>
      <c r="E2791" s="37"/>
      <c r="F2791" s="46" t="s">
        <v>23</v>
      </c>
      <c r="G2791" s="38" t="str">
        <f t="shared" si="48"/>
        <v/>
      </c>
      <c r="H2791" s="39"/>
      <c r="I2791" s="35"/>
      <c r="J2791" s="34">
        <v>140</v>
      </c>
    </row>
    <row r="2792" spans="1:10" x14ac:dyDescent="0.25">
      <c r="A2792" s="249"/>
      <c r="B2792" s="252"/>
      <c r="C2792" s="40" t="s">
        <v>3767</v>
      </c>
      <c r="D2792" s="40" t="s">
        <v>3752</v>
      </c>
      <c r="E2792" s="41">
        <v>0.75</v>
      </c>
      <c r="F2792" s="35">
        <v>25.877999999999997</v>
      </c>
      <c r="G2792" s="38">
        <f t="shared" si="48"/>
        <v>19.408499999999997</v>
      </c>
      <c r="H2792" s="43">
        <f>SUM(G2792:G2793)</f>
        <v>35.019374999999997</v>
      </c>
      <c r="I2792" s="44"/>
      <c r="J2792" s="34">
        <v>140</v>
      </c>
    </row>
    <row r="2793" spans="1:10" x14ac:dyDescent="0.25">
      <c r="A2793" s="249"/>
      <c r="B2793" s="252"/>
      <c r="C2793" s="40" t="s">
        <v>3754</v>
      </c>
      <c r="D2793" s="40" t="s">
        <v>3752</v>
      </c>
      <c r="E2793" s="41">
        <v>0.75</v>
      </c>
      <c r="F2793" s="35">
        <v>20.814499999999999</v>
      </c>
      <c r="G2793" s="38">
        <f t="shared" si="48"/>
        <v>15.610875</v>
      </c>
      <c r="H2793" s="39"/>
      <c r="I2793" s="35"/>
      <c r="J2793" s="34">
        <v>140</v>
      </c>
    </row>
    <row r="2794" spans="1:10" ht="15.75" thickBot="1" x14ac:dyDescent="0.3">
      <c r="A2794" s="250"/>
      <c r="B2794" s="253"/>
      <c r="C2794" s="40"/>
      <c r="D2794" s="40"/>
      <c r="E2794" s="41"/>
      <c r="F2794" s="35" t="s">
        <v>23</v>
      </c>
      <c r="G2794" s="38" t="str">
        <f t="shared" si="48"/>
        <v/>
      </c>
      <c r="H2794" s="39"/>
      <c r="I2794" s="35"/>
      <c r="J2794" s="34">
        <v>140</v>
      </c>
    </row>
    <row r="2795" spans="1:10" ht="15.75" thickBot="1" x14ac:dyDescent="0.3">
      <c r="A2795" s="248" t="s">
        <v>693</v>
      </c>
      <c r="B2795" s="251" t="s">
        <v>2632</v>
      </c>
      <c r="C2795" s="28"/>
      <c r="D2795" s="29" t="s">
        <v>78</v>
      </c>
      <c r="E2795" s="30"/>
      <c r="F2795" s="45" t="s">
        <v>23</v>
      </c>
      <c r="G2795" s="31" t="str">
        <f t="shared" si="48"/>
        <v/>
      </c>
      <c r="H2795" s="32"/>
      <c r="I2795" s="33"/>
      <c r="J2795" s="34">
        <v>1280</v>
      </c>
    </row>
    <row r="2796" spans="1:10" x14ac:dyDescent="0.25">
      <c r="A2796" s="249"/>
      <c r="B2796" s="252"/>
      <c r="C2796" s="36"/>
      <c r="D2796" s="36"/>
      <c r="E2796" s="37"/>
      <c r="F2796" s="46" t="s">
        <v>23</v>
      </c>
      <c r="G2796" s="38" t="str">
        <f t="shared" si="48"/>
        <v/>
      </c>
      <c r="H2796" s="39"/>
      <c r="I2796" s="35"/>
      <c r="J2796" s="34">
        <v>1280</v>
      </c>
    </row>
    <row r="2797" spans="1:10" x14ac:dyDescent="0.25">
      <c r="A2797" s="249"/>
      <c r="B2797" s="252"/>
      <c r="C2797" s="40" t="s">
        <v>3835</v>
      </c>
      <c r="D2797" s="40" t="s">
        <v>177</v>
      </c>
      <c r="E2797" s="41">
        <v>1</v>
      </c>
      <c r="F2797" s="38">
        <v>206.40649999999999</v>
      </c>
      <c r="G2797" s="38">
        <f t="shared" si="48"/>
        <v>206.40649999999999</v>
      </c>
      <c r="H2797" s="43">
        <f>SUM(G2797:G2803)</f>
        <v>313.93385549999999</v>
      </c>
      <c r="I2797" s="44"/>
      <c r="J2797" s="34">
        <v>1280</v>
      </c>
    </row>
    <row r="2798" spans="1:10" ht="38.25" x14ac:dyDescent="0.25">
      <c r="A2798" s="249"/>
      <c r="B2798" s="252"/>
      <c r="C2798" s="40" t="s">
        <v>4148</v>
      </c>
      <c r="D2798" s="40" t="s">
        <v>291</v>
      </c>
      <c r="E2798" s="41">
        <v>1.7050000000000001</v>
      </c>
      <c r="F2798" s="38">
        <v>0.35149999999999998</v>
      </c>
      <c r="G2798" s="38">
        <f t="shared" si="48"/>
        <v>0.59930749999999999</v>
      </c>
      <c r="H2798" s="39"/>
      <c r="I2798" s="35"/>
      <c r="J2798" s="34">
        <v>1280</v>
      </c>
    </row>
    <row r="2799" spans="1:10" x14ac:dyDescent="0.25">
      <c r="A2799" s="249"/>
      <c r="B2799" s="252"/>
      <c r="C2799" s="40" t="s">
        <v>3834</v>
      </c>
      <c r="D2799" s="40" t="s">
        <v>1035</v>
      </c>
      <c r="E2799" s="41">
        <v>0.748</v>
      </c>
      <c r="F2799" s="38">
        <v>37.619999999999997</v>
      </c>
      <c r="G2799" s="38">
        <f t="shared" si="48"/>
        <v>28.139759999999999</v>
      </c>
      <c r="H2799" s="39"/>
      <c r="I2799" s="35"/>
      <c r="J2799" s="34">
        <v>1280</v>
      </c>
    </row>
    <row r="2800" spans="1:10" ht="25.5" x14ac:dyDescent="0.25">
      <c r="A2800" s="249"/>
      <c r="B2800" s="252"/>
      <c r="C2800" s="40" t="s">
        <v>3960</v>
      </c>
      <c r="D2800" s="40" t="s">
        <v>1286</v>
      </c>
      <c r="E2800" s="41">
        <v>2.3220000000000001</v>
      </c>
      <c r="F2800" s="38">
        <v>2.2989999999999999</v>
      </c>
      <c r="G2800" s="38">
        <f t="shared" si="48"/>
        <v>5.3382779999999999</v>
      </c>
      <c r="H2800" s="39"/>
      <c r="I2800" s="35"/>
      <c r="J2800" s="34">
        <v>1280</v>
      </c>
    </row>
    <row r="2801" spans="1:10" x14ac:dyDescent="0.25">
      <c r="A2801" s="249"/>
      <c r="B2801" s="252"/>
      <c r="C2801" s="40" t="s">
        <v>3831</v>
      </c>
      <c r="D2801" s="40" t="s">
        <v>291</v>
      </c>
      <c r="E2801" s="41">
        <v>0.309</v>
      </c>
      <c r="F2801" s="38">
        <v>26.125</v>
      </c>
      <c r="G2801" s="38">
        <f t="shared" si="48"/>
        <v>8.0726250000000004</v>
      </c>
      <c r="H2801" s="39"/>
      <c r="I2801" s="35"/>
      <c r="J2801" s="34">
        <v>1280</v>
      </c>
    </row>
    <row r="2802" spans="1:10" x14ac:dyDescent="0.25">
      <c r="A2802" s="249"/>
      <c r="B2802" s="252"/>
      <c r="C2802" s="40" t="s">
        <v>3754</v>
      </c>
      <c r="D2802" s="40" t="s">
        <v>3752</v>
      </c>
      <c r="E2802" s="41">
        <v>1.3779999999999999</v>
      </c>
      <c r="F2802" s="35">
        <v>20.814499999999999</v>
      </c>
      <c r="G2802" s="38">
        <f t="shared" ref="G2802:G2865" si="49">IF(ISNUMBER(F2802),E2802*F2802,"")</f>
        <v>28.682380999999996</v>
      </c>
      <c r="H2802" s="39"/>
      <c r="I2802" s="35"/>
      <c r="J2802" s="34">
        <v>1280</v>
      </c>
    </row>
    <row r="2803" spans="1:10" x14ac:dyDescent="0.25">
      <c r="A2803" s="249"/>
      <c r="B2803" s="252"/>
      <c r="C2803" s="40" t="s">
        <v>3767</v>
      </c>
      <c r="D2803" s="40" t="s">
        <v>3752</v>
      </c>
      <c r="E2803" s="41">
        <v>1.4179999999999999</v>
      </c>
      <c r="F2803" s="35">
        <v>25.877999999999997</v>
      </c>
      <c r="G2803" s="38">
        <f t="shared" si="49"/>
        <v>36.69500399999999</v>
      </c>
      <c r="H2803" s="39"/>
      <c r="I2803" s="35"/>
      <c r="J2803" s="34">
        <v>1280</v>
      </c>
    </row>
    <row r="2804" spans="1:10" ht="15.75" thickBot="1" x14ac:dyDescent="0.3">
      <c r="A2804" s="250"/>
      <c r="B2804" s="253"/>
      <c r="C2804" s="40"/>
      <c r="D2804" s="40"/>
      <c r="E2804" s="41"/>
      <c r="F2804" s="35" t="s">
        <v>23</v>
      </c>
      <c r="G2804" s="38" t="str">
        <f t="shared" si="49"/>
        <v/>
      </c>
      <c r="H2804" s="39"/>
      <c r="I2804" s="35"/>
      <c r="J2804" s="34">
        <v>1280</v>
      </c>
    </row>
    <row r="2805" spans="1:10" ht="15.75" thickBot="1" x14ac:dyDescent="0.3">
      <c r="A2805" s="248" t="s">
        <v>694</v>
      </c>
      <c r="B2805" s="251" t="s">
        <v>2633</v>
      </c>
      <c r="C2805" s="28"/>
      <c r="D2805" s="29" t="s">
        <v>28</v>
      </c>
      <c r="E2805" s="30"/>
      <c r="F2805" s="45" t="s">
        <v>23</v>
      </c>
      <c r="G2805" s="31" t="str">
        <f t="shared" si="49"/>
        <v/>
      </c>
      <c r="H2805" s="32"/>
      <c r="I2805" s="33"/>
      <c r="J2805" s="34">
        <v>210</v>
      </c>
    </row>
    <row r="2806" spans="1:10" x14ac:dyDescent="0.25">
      <c r="A2806" s="249"/>
      <c r="B2806" s="252"/>
      <c r="C2806" s="36"/>
      <c r="D2806" s="36"/>
      <c r="E2806" s="37"/>
      <c r="F2806" s="46" t="s">
        <v>23</v>
      </c>
      <c r="G2806" s="38" t="str">
        <f t="shared" si="49"/>
        <v/>
      </c>
      <c r="H2806" s="39"/>
      <c r="I2806" s="35"/>
      <c r="J2806" s="34">
        <v>210</v>
      </c>
    </row>
    <row r="2807" spans="1:10" x14ac:dyDescent="0.25">
      <c r="A2807" s="249"/>
      <c r="B2807" s="252"/>
      <c r="C2807" s="40" t="s">
        <v>3767</v>
      </c>
      <c r="D2807" s="40" t="s">
        <v>3752</v>
      </c>
      <c r="E2807" s="41">
        <v>0.15</v>
      </c>
      <c r="F2807" s="38">
        <v>25.877999999999997</v>
      </c>
      <c r="G2807" s="38">
        <f t="shared" si="49"/>
        <v>3.8816999999999995</v>
      </c>
      <c r="H2807" s="43">
        <f>SUM(G2807:G2808)</f>
        <v>8.3371999999999993</v>
      </c>
      <c r="I2807" s="44"/>
      <c r="J2807" s="34">
        <v>210</v>
      </c>
    </row>
    <row r="2808" spans="1:10" ht="25.5" x14ac:dyDescent="0.25">
      <c r="A2808" s="249"/>
      <c r="B2808" s="252"/>
      <c r="C2808" s="40" t="s">
        <v>695</v>
      </c>
      <c r="D2808" s="40" t="s">
        <v>28</v>
      </c>
      <c r="E2808" s="41">
        <v>1</v>
      </c>
      <c r="F2808" s="35">
        <v>4.4554999999999998</v>
      </c>
      <c r="G2808" s="38">
        <f t="shared" si="49"/>
        <v>4.4554999999999998</v>
      </c>
      <c r="H2808" s="39"/>
      <c r="I2808" s="35"/>
      <c r="J2808" s="34">
        <v>210</v>
      </c>
    </row>
    <row r="2809" spans="1:10" ht="15.75" thickBot="1" x14ac:dyDescent="0.3">
      <c r="A2809" s="250"/>
      <c r="B2809" s="253"/>
      <c r="C2809" s="40"/>
      <c r="D2809" s="40"/>
      <c r="E2809" s="41"/>
      <c r="F2809" s="35" t="s">
        <v>23</v>
      </c>
      <c r="G2809" s="38" t="str">
        <f t="shared" si="49"/>
        <v/>
      </c>
      <c r="H2809" s="39"/>
      <c r="I2809" s="35"/>
      <c r="J2809" s="34">
        <v>210</v>
      </c>
    </row>
    <row r="2810" spans="1:10" ht="15.75" thickBot="1" x14ac:dyDescent="0.3">
      <c r="A2810" s="248" t="s">
        <v>696</v>
      </c>
      <c r="B2810" s="251" t="s">
        <v>2634</v>
      </c>
      <c r="C2810" s="28"/>
      <c r="D2810" s="29" t="s">
        <v>28</v>
      </c>
      <c r="E2810" s="30"/>
      <c r="F2810" s="45" t="s">
        <v>23</v>
      </c>
      <c r="G2810" s="31" t="str">
        <f t="shared" si="49"/>
        <v/>
      </c>
      <c r="H2810" s="32"/>
      <c r="I2810" s="33"/>
      <c r="J2810" s="34">
        <v>50</v>
      </c>
    </row>
    <row r="2811" spans="1:10" x14ac:dyDescent="0.25">
      <c r="A2811" s="249"/>
      <c r="B2811" s="252"/>
      <c r="C2811" s="36"/>
      <c r="D2811" s="36"/>
      <c r="E2811" s="37"/>
      <c r="F2811" s="46" t="s">
        <v>23</v>
      </c>
      <c r="G2811" s="38" t="str">
        <f t="shared" si="49"/>
        <v/>
      </c>
      <c r="H2811" s="39"/>
      <c r="I2811" s="35"/>
      <c r="J2811" s="34">
        <v>50</v>
      </c>
    </row>
    <row r="2812" spans="1:10" x14ac:dyDescent="0.25">
      <c r="A2812" s="249"/>
      <c r="B2812" s="252"/>
      <c r="C2812" s="40" t="s">
        <v>3767</v>
      </c>
      <c r="D2812" s="40" t="s">
        <v>3752</v>
      </c>
      <c r="E2812" s="41">
        <v>0.3</v>
      </c>
      <c r="F2812" s="38">
        <v>25.877999999999997</v>
      </c>
      <c r="G2812" s="38">
        <f t="shared" si="49"/>
        <v>7.763399999999999</v>
      </c>
      <c r="H2812" s="43">
        <f>SUM(G2812:G2813)</f>
        <v>68.610900000000001</v>
      </c>
      <c r="I2812" s="44"/>
      <c r="J2812" s="34">
        <v>50</v>
      </c>
    </row>
    <row r="2813" spans="1:10" ht="25.5" x14ac:dyDescent="0.25">
      <c r="A2813" s="249"/>
      <c r="B2813" s="252"/>
      <c r="C2813" s="40" t="s">
        <v>697</v>
      </c>
      <c r="D2813" s="53" t="s">
        <v>28</v>
      </c>
      <c r="E2813" s="41">
        <v>1</v>
      </c>
      <c r="F2813" s="35">
        <v>60.847499999999997</v>
      </c>
      <c r="G2813" s="38">
        <f t="shared" si="49"/>
        <v>60.847499999999997</v>
      </c>
      <c r="H2813" s="39"/>
      <c r="I2813" s="35"/>
      <c r="J2813" s="34">
        <v>50</v>
      </c>
    </row>
    <row r="2814" spans="1:10" ht="15.75" thickBot="1" x14ac:dyDescent="0.3">
      <c r="A2814" s="250"/>
      <c r="B2814" s="253"/>
      <c r="C2814" s="40"/>
      <c r="D2814" s="40"/>
      <c r="E2814" s="41"/>
      <c r="F2814" s="35" t="s">
        <v>23</v>
      </c>
      <c r="G2814" s="38" t="str">
        <f t="shared" si="49"/>
        <v/>
      </c>
      <c r="H2814" s="39"/>
      <c r="I2814" s="35"/>
      <c r="J2814" s="34">
        <v>50</v>
      </c>
    </row>
    <row r="2815" spans="1:10" ht="15.75" thickBot="1" x14ac:dyDescent="0.3">
      <c r="A2815" s="248" t="s">
        <v>698</v>
      </c>
      <c r="B2815" s="251" t="s">
        <v>2635</v>
      </c>
      <c r="C2815" s="28"/>
      <c r="D2815" s="29" t="s">
        <v>28</v>
      </c>
      <c r="E2815" s="30"/>
      <c r="F2815" s="45" t="s">
        <v>23</v>
      </c>
      <c r="G2815" s="31" t="str">
        <f t="shared" si="49"/>
        <v/>
      </c>
      <c r="H2815" s="32"/>
      <c r="I2815" s="33"/>
      <c r="J2815" s="34">
        <v>50</v>
      </c>
    </row>
    <row r="2816" spans="1:10" x14ac:dyDescent="0.25">
      <c r="A2816" s="249"/>
      <c r="B2816" s="252"/>
      <c r="C2816" s="36"/>
      <c r="D2816" s="36"/>
      <c r="E2816" s="37"/>
      <c r="F2816" s="46" t="s">
        <v>23</v>
      </c>
      <c r="G2816" s="38" t="str">
        <f t="shared" si="49"/>
        <v/>
      </c>
      <c r="H2816" s="39"/>
      <c r="I2816" s="35"/>
      <c r="J2816" s="34">
        <v>50</v>
      </c>
    </row>
    <row r="2817" spans="1:10" x14ac:dyDescent="0.25">
      <c r="A2817" s="249"/>
      <c r="B2817" s="252"/>
      <c r="C2817" s="40" t="s">
        <v>3767</v>
      </c>
      <c r="D2817" s="40" t="s">
        <v>3752</v>
      </c>
      <c r="E2817" s="41">
        <v>0.15</v>
      </c>
      <c r="F2817" s="38">
        <v>25.877999999999997</v>
      </c>
      <c r="G2817" s="38">
        <f t="shared" si="49"/>
        <v>3.8816999999999995</v>
      </c>
      <c r="H2817" s="43">
        <f>SUM(G2817:G2818)</f>
        <v>25.940699999999996</v>
      </c>
      <c r="I2817" s="44"/>
      <c r="J2817" s="34">
        <v>50</v>
      </c>
    </row>
    <row r="2818" spans="1:10" ht="25.5" x14ac:dyDescent="0.25">
      <c r="A2818" s="249"/>
      <c r="B2818" s="252"/>
      <c r="C2818" s="40" t="s">
        <v>699</v>
      </c>
      <c r="D2818" s="40" t="s">
        <v>28</v>
      </c>
      <c r="E2818" s="41">
        <v>1</v>
      </c>
      <c r="F2818" s="35">
        <v>22.058999999999997</v>
      </c>
      <c r="G2818" s="38">
        <f t="shared" si="49"/>
        <v>22.058999999999997</v>
      </c>
      <c r="H2818" s="39"/>
      <c r="I2818" s="35"/>
      <c r="J2818" s="34">
        <v>50</v>
      </c>
    </row>
    <row r="2819" spans="1:10" ht="15.75" thickBot="1" x14ac:dyDescent="0.3">
      <c r="A2819" s="250"/>
      <c r="B2819" s="253"/>
      <c r="C2819" s="40"/>
      <c r="D2819" s="40"/>
      <c r="E2819" s="41"/>
      <c r="F2819" s="35" t="s">
        <v>23</v>
      </c>
      <c r="G2819" s="38" t="str">
        <f t="shared" si="49"/>
        <v/>
      </c>
      <c r="H2819" s="39"/>
      <c r="I2819" s="35"/>
      <c r="J2819" s="34">
        <v>50</v>
      </c>
    </row>
    <row r="2820" spans="1:10" ht="15.75" thickBot="1" x14ac:dyDescent="0.3">
      <c r="A2820" s="248" t="s">
        <v>700</v>
      </c>
      <c r="B2820" s="251" t="s">
        <v>2636</v>
      </c>
      <c r="C2820" s="28"/>
      <c r="D2820" s="29" t="s">
        <v>28</v>
      </c>
      <c r="E2820" s="30"/>
      <c r="F2820" s="45" t="s">
        <v>23</v>
      </c>
      <c r="G2820" s="31" t="str">
        <f t="shared" si="49"/>
        <v/>
      </c>
      <c r="H2820" s="32"/>
      <c r="I2820" s="33"/>
      <c r="J2820" s="34">
        <v>20</v>
      </c>
    </row>
    <row r="2821" spans="1:10" x14ac:dyDescent="0.25">
      <c r="A2821" s="249"/>
      <c r="B2821" s="252"/>
      <c r="C2821" s="36"/>
      <c r="D2821" s="36"/>
      <c r="E2821" s="37"/>
      <c r="F2821" s="46" t="s">
        <v>23</v>
      </c>
      <c r="G2821" s="38" t="str">
        <f t="shared" si="49"/>
        <v/>
      </c>
      <c r="H2821" s="39"/>
      <c r="I2821" s="35"/>
      <c r="J2821" s="34">
        <v>20</v>
      </c>
    </row>
    <row r="2822" spans="1:10" x14ac:dyDescent="0.25">
      <c r="A2822" s="249"/>
      <c r="B2822" s="252"/>
      <c r="C2822" s="40" t="s">
        <v>3767</v>
      </c>
      <c r="D2822" s="40" t="s">
        <v>3752</v>
      </c>
      <c r="E2822" s="41">
        <v>0.3</v>
      </c>
      <c r="F2822" s="38">
        <v>25.877999999999997</v>
      </c>
      <c r="G2822" s="38">
        <f t="shared" si="49"/>
        <v>7.763399999999999</v>
      </c>
      <c r="H2822" s="43">
        <f>SUM(G2822:G2823)</f>
        <v>73.379899999999992</v>
      </c>
      <c r="I2822" s="44"/>
      <c r="J2822" s="34">
        <v>20</v>
      </c>
    </row>
    <row r="2823" spans="1:10" ht="25.5" x14ac:dyDescent="0.25">
      <c r="A2823" s="249"/>
      <c r="B2823" s="252"/>
      <c r="C2823" s="40" t="s">
        <v>701</v>
      </c>
      <c r="D2823" s="40" t="s">
        <v>28</v>
      </c>
      <c r="E2823" s="41">
        <v>1</v>
      </c>
      <c r="F2823" s="35">
        <v>65.616499999999988</v>
      </c>
      <c r="G2823" s="38">
        <f t="shared" si="49"/>
        <v>65.616499999999988</v>
      </c>
      <c r="H2823" s="39"/>
      <c r="I2823" s="35"/>
      <c r="J2823" s="34">
        <v>20</v>
      </c>
    </row>
    <row r="2824" spans="1:10" x14ac:dyDescent="0.25">
      <c r="A2824" s="249"/>
      <c r="B2824" s="252"/>
      <c r="C2824" s="40"/>
      <c r="D2824" s="40"/>
      <c r="E2824" s="41"/>
      <c r="F2824" s="35" t="s">
        <v>23</v>
      </c>
      <c r="G2824" s="38" t="str">
        <f t="shared" si="49"/>
        <v/>
      </c>
      <c r="H2824" s="39"/>
      <c r="I2824" s="35"/>
      <c r="J2824" s="34">
        <v>20</v>
      </c>
    </row>
    <row r="2825" spans="1:10" ht="39" x14ac:dyDescent="0.25">
      <c r="A2825" s="249"/>
      <c r="B2825" s="252"/>
      <c r="C2825" s="82" t="s">
        <v>702</v>
      </c>
      <c r="D2825" s="40"/>
      <c r="E2825" s="41"/>
      <c r="F2825" s="35" t="s">
        <v>23</v>
      </c>
      <c r="G2825" s="38" t="str">
        <f t="shared" si="49"/>
        <v/>
      </c>
      <c r="H2825" s="39"/>
      <c r="I2825" s="35"/>
      <c r="J2825" s="34">
        <v>20</v>
      </c>
    </row>
    <row r="2826" spans="1:10" ht="15.75" thickBot="1" x14ac:dyDescent="0.3">
      <c r="A2826" s="250"/>
      <c r="B2826" s="253"/>
      <c r="C2826" s="40"/>
      <c r="D2826" s="40"/>
      <c r="E2826" s="41"/>
      <c r="F2826" s="35" t="s">
        <v>23</v>
      </c>
      <c r="G2826" s="38" t="str">
        <f t="shared" si="49"/>
        <v/>
      </c>
      <c r="H2826" s="39"/>
      <c r="I2826" s="35"/>
      <c r="J2826" s="34">
        <v>20</v>
      </c>
    </row>
    <row r="2827" spans="1:10" ht="15.75" thickBot="1" x14ac:dyDescent="0.3">
      <c r="A2827" s="248" t="s">
        <v>703</v>
      </c>
      <c r="B2827" s="251" t="s">
        <v>2637</v>
      </c>
      <c r="C2827" s="28"/>
      <c r="D2827" s="29" t="s">
        <v>28</v>
      </c>
      <c r="E2827" s="30"/>
      <c r="F2827" s="45" t="s">
        <v>23</v>
      </c>
      <c r="G2827" s="31" t="str">
        <f t="shared" si="49"/>
        <v/>
      </c>
      <c r="H2827" s="32"/>
      <c r="I2827" s="33"/>
      <c r="J2827" s="34">
        <v>90</v>
      </c>
    </row>
    <row r="2828" spans="1:10" x14ac:dyDescent="0.25">
      <c r="A2828" s="249"/>
      <c r="B2828" s="252"/>
      <c r="C2828" s="36"/>
      <c r="D2828" s="36"/>
      <c r="E2828" s="37"/>
      <c r="F2828" s="46" t="s">
        <v>23</v>
      </c>
      <c r="G2828" s="38" t="str">
        <f t="shared" si="49"/>
        <v/>
      </c>
      <c r="H2828" s="39"/>
      <c r="I2828" s="35"/>
      <c r="J2828" s="34">
        <v>90</v>
      </c>
    </row>
    <row r="2829" spans="1:10" x14ac:dyDescent="0.25">
      <c r="A2829" s="249"/>
      <c r="B2829" s="252"/>
      <c r="C2829" s="40" t="s">
        <v>3767</v>
      </c>
      <c r="D2829" s="40" t="s">
        <v>3752</v>
      </c>
      <c r="E2829" s="41">
        <v>0.15</v>
      </c>
      <c r="F2829" s="38">
        <v>25.877999999999997</v>
      </c>
      <c r="G2829" s="38">
        <f t="shared" si="49"/>
        <v>3.8816999999999995</v>
      </c>
      <c r="H2829" s="43">
        <f>SUM(G2829:G2830)</f>
        <v>9.6671999999999993</v>
      </c>
      <c r="I2829" s="44"/>
      <c r="J2829" s="34">
        <v>90</v>
      </c>
    </row>
    <row r="2830" spans="1:10" x14ac:dyDescent="0.25">
      <c r="A2830" s="249"/>
      <c r="B2830" s="252"/>
      <c r="C2830" s="40" t="s">
        <v>704</v>
      </c>
      <c r="D2830" s="40" t="s">
        <v>28</v>
      </c>
      <c r="E2830" s="41">
        <v>1</v>
      </c>
      <c r="F2830" s="35">
        <v>5.7854999999999999</v>
      </c>
      <c r="G2830" s="38">
        <f t="shared" si="49"/>
        <v>5.7854999999999999</v>
      </c>
      <c r="H2830" s="39"/>
      <c r="I2830" s="35"/>
      <c r="J2830" s="34">
        <v>90</v>
      </c>
    </row>
    <row r="2831" spans="1:10" ht="15.75" thickBot="1" x14ac:dyDescent="0.3">
      <c r="A2831" s="250"/>
      <c r="B2831" s="253"/>
      <c r="C2831" s="40"/>
      <c r="D2831" s="40"/>
      <c r="E2831" s="41"/>
      <c r="F2831" s="35" t="s">
        <v>23</v>
      </c>
      <c r="G2831" s="38" t="str">
        <f t="shared" si="49"/>
        <v/>
      </c>
      <c r="H2831" s="39"/>
      <c r="I2831" s="35"/>
      <c r="J2831" s="34">
        <v>90</v>
      </c>
    </row>
    <row r="2832" spans="1:10" ht="15.75" thickBot="1" x14ac:dyDescent="0.3">
      <c r="A2832" s="248" t="s">
        <v>705</v>
      </c>
      <c r="B2832" s="251" t="s">
        <v>2638</v>
      </c>
      <c r="C2832" s="28"/>
      <c r="D2832" s="29" t="s">
        <v>28</v>
      </c>
      <c r="E2832" s="30"/>
      <c r="F2832" s="45" t="s">
        <v>23</v>
      </c>
      <c r="G2832" s="31" t="str">
        <f t="shared" si="49"/>
        <v/>
      </c>
      <c r="H2832" s="32"/>
      <c r="I2832" s="33"/>
      <c r="J2832" s="34">
        <v>540</v>
      </c>
    </row>
    <row r="2833" spans="1:10" x14ac:dyDescent="0.25">
      <c r="A2833" s="249"/>
      <c r="B2833" s="252"/>
      <c r="C2833" s="36"/>
      <c r="D2833" s="36"/>
      <c r="E2833" s="37"/>
      <c r="F2833" s="46" t="s">
        <v>23</v>
      </c>
      <c r="G2833" s="38" t="str">
        <f t="shared" si="49"/>
        <v/>
      </c>
      <c r="H2833" s="39"/>
      <c r="I2833" s="35"/>
      <c r="J2833" s="34">
        <v>540</v>
      </c>
    </row>
    <row r="2834" spans="1:10" x14ac:dyDescent="0.25">
      <c r="A2834" s="249"/>
      <c r="B2834" s="252"/>
      <c r="C2834" s="40" t="s">
        <v>3767</v>
      </c>
      <c r="D2834" s="40" t="s">
        <v>3752</v>
      </c>
      <c r="E2834" s="41">
        <v>0.4</v>
      </c>
      <c r="F2834" s="38">
        <v>25.877999999999997</v>
      </c>
      <c r="G2834" s="38">
        <f t="shared" si="49"/>
        <v>10.351199999999999</v>
      </c>
      <c r="H2834" s="43">
        <f>SUM(G2834:G2835)</f>
        <v>89.251200000000011</v>
      </c>
      <c r="I2834" s="44"/>
      <c r="J2834" s="34">
        <v>540</v>
      </c>
    </row>
    <row r="2835" spans="1:10" ht="25.5" x14ac:dyDescent="0.25">
      <c r="A2835" s="249"/>
      <c r="B2835" s="252"/>
      <c r="C2835" s="40" t="s">
        <v>706</v>
      </c>
      <c r="D2835" s="40" t="s">
        <v>28</v>
      </c>
      <c r="E2835" s="41">
        <v>1</v>
      </c>
      <c r="F2835" s="35">
        <v>78.900000000000006</v>
      </c>
      <c r="G2835" s="38">
        <f t="shared" si="49"/>
        <v>78.900000000000006</v>
      </c>
      <c r="H2835" s="39"/>
      <c r="I2835" s="35"/>
      <c r="J2835" s="34">
        <v>540</v>
      </c>
    </row>
    <row r="2836" spans="1:10" ht="15.75" thickBot="1" x14ac:dyDescent="0.3">
      <c r="A2836" s="250"/>
      <c r="B2836" s="253"/>
      <c r="C2836" s="40"/>
      <c r="D2836" s="40"/>
      <c r="E2836" s="41"/>
      <c r="F2836" s="35" t="s">
        <v>23</v>
      </c>
      <c r="G2836" s="38" t="str">
        <f t="shared" si="49"/>
        <v/>
      </c>
      <c r="H2836" s="39"/>
      <c r="I2836" s="35"/>
      <c r="J2836" s="34">
        <v>540</v>
      </c>
    </row>
    <row r="2837" spans="1:10" ht="15.75" thickBot="1" x14ac:dyDescent="0.3">
      <c r="A2837" s="248" t="s">
        <v>707</v>
      </c>
      <c r="B2837" s="251" t="s">
        <v>2639</v>
      </c>
      <c r="C2837" s="28"/>
      <c r="D2837" s="29" t="s">
        <v>28</v>
      </c>
      <c r="E2837" s="30"/>
      <c r="F2837" s="45" t="s">
        <v>23</v>
      </c>
      <c r="G2837" s="31" t="str">
        <f t="shared" si="49"/>
        <v/>
      </c>
      <c r="H2837" s="32"/>
      <c r="I2837" s="33"/>
      <c r="J2837" s="34">
        <v>60</v>
      </c>
    </row>
    <row r="2838" spans="1:10" x14ac:dyDescent="0.25">
      <c r="A2838" s="249"/>
      <c r="B2838" s="252"/>
      <c r="C2838" s="36"/>
      <c r="D2838" s="36"/>
      <c r="E2838" s="37"/>
      <c r="F2838" s="46" t="s">
        <v>23</v>
      </c>
      <c r="G2838" s="38" t="str">
        <f t="shared" si="49"/>
        <v/>
      </c>
      <c r="H2838" s="39"/>
      <c r="I2838" s="35"/>
      <c r="J2838" s="34">
        <v>60</v>
      </c>
    </row>
    <row r="2839" spans="1:10" x14ac:dyDescent="0.25">
      <c r="A2839" s="249"/>
      <c r="B2839" s="252"/>
      <c r="C2839" s="40" t="s">
        <v>3767</v>
      </c>
      <c r="D2839" s="40" t="s">
        <v>3752</v>
      </c>
      <c r="E2839" s="41">
        <v>0.4</v>
      </c>
      <c r="F2839" s="38">
        <v>25.877999999999997</v>
      </c>
      <c r="G2839" s="38">
        <f t="shared" si="49"/>
        <v>10.351199999999999</v>
      </c>
      <c r="H2839" s="43">
        <f>SUM(G2839:G2840)</f>
        <v>99.47120000000001</v>
      </c>
      <c r="I2839" s="44"/>
      <c r="J2839" s="34">
        <v>60</v>
      </c>
    </row>
    <row r="2840" spans="1:10" ht="25.5" x14ac:dyDescent="0.25">
      <c r="A2840" s="249"/>
      <c r="B2840" s="252"/>
      <c r="C2840" s="40" t="s">
        <v>708</v>
      </c>
      <c r="D2840" s="40" t="s">
        <v>28</v>
      </c>
      <c r="E2840" s="41">
        <v>1</v>
      </c>
      <c r="F2840" s="35">
        <v>89.12</v>
      </c>
      <c r="G2840" s="38">
        <f t="shared" si="49"/>
        <v>89.12</v>
      </c>
      <c r="H2840" s="39"/>
      <c r="I2840" s="35"/>
      <c r="J2840" s="34">
        <v>60</v>
      </c>
    </row>
    <row r="2841" spans="1:10" ht="15.75" thickBot="1" x14ac:dyDescent="0.3">
      <c r="A2841" s="250"/>
      <c r="B2841" s="253"/>
      <c r="C2841" s="40"/>
      <c r="D2841" s="40"/>
      <c r="E2841" s="41"/>
      <c r="F2841" s="35" t="s">
        <v>23</v>
      </c>
      <c r="G2841" s="38" t="str">
        <f t="shared" si="49"/>
        <v/>
      </c>
      <c r="H2841" s="39"/>
      <c r="I2841" s="35"/>
      <c r="J2841" s="34">
        <v>60</v>
      </c>
    </row>
    <row r="2842" spans="1:10" ht="15.75" thickBot="1" x14ac:dyDescent="0.3">
      <c r="A2842" s="248" t="s">
        <v>709</v>
      </c>
      <c r="B2842" s="251" t="s">
        <v>2640</v>
      </c>
      <c r="C2842" s="28"/>
      <c r="D2842" s="29" t="s">
        <v>28</v>
      </c>
      <c r="E2842" s="30"/>
      <c r="F2842" s="45" t="s">
        <v>23</v>
      </c>
      <c r="G2842" s="31" t="str">
        <f t="shared" si="49"/>
        <v/>
      </c>
      <c r="H2842" s="32"/>
      <c r="I2842" s="33"/>
      <c r="J2842" s="34">
        <v>240</v>
      </c>
    </row>
    <row r="2843" spans="1:10" x14ac:dyDescent="0.25">
      <c r="A2843" s="249"/>
      <c r="B2843" s="252"/>
      <c r="C2843" s="36"/>
      <c r="D2843" s="36"/>
      <c r="E2843" s="37"/>
      <c r="F2843" s="46" t="s">
        <v>23</v>
      </c>
      <c r="G2843" s="38" t="str">
        <f t="shared" si="49"/>
        <v/>
      </c>
      <c r="H2843" s="39"/>
      <c r="I2843" s="35"/>
      <c r="J2843" s="34">
        <v>240</v>
      </c>
    </row>
    <row r="2844" spans="1:10" x14ac:dyDescent="0.25">
      <c r="A2844" s="249"/>
      <c r="B2844" s="252"/>
      <c r="C2844" s="40" t="s">
        <v>3767</v>
      </c>
      <c r="D2844" s="40" t="s">
        <v>3752</v>
      </c>
      <c r="E2844" s="41">
        <v>0.4</v>
      </c>
      <c r="F2844" s="38">
        <v>25.877999999999997</v>
      </c>
      <c r="G2844" s="38">
        <f t="shared" si="49"/>
        <v>10.351199999999999</v>
      </c>
      <c r="H2844" s="43">
        <f>SUM(G2844:G2845)</f>
        <v>72.461199999999991</v>
      </c>
      <c r="I2844" s="44"/>
      <c r="J2844" s="34">
        <v>240</v>
      </c>
    </row>
    <row r="2845" spans="1:10" ht="25.5" x14ac:dyDescent="0.25">
      <c r="A2845" s="249"/>
      <c r="B2845" s="252"/>
      <c r="C2845" s="40" t="s">
        <v>710</v>
      </c>
      <c r="D2845" s="40" t="s">
        <v>28</v>
      </c>
      <c r="E2845" s="41">
        <v>1</v>
      </c>
      <c r="F2845" s="35">
        <v>62.11</v>
      </c>
      <c r="G2845" s="38">
        <f t="shared" si="49"/>
        <v>62.11</v>
      </c>
      <c r="H2845" s="39"/>
      <c r="I2845" s="35"/>
      <c r="J2845" s="34">
        <v>240</v>
      </c>
    </row>
    <row r="2846" spans="1:10" ht="15.75" thickBot="1" x14ac:dyDescent="0.3">
      <c r="A2846" s="250"/>
      <c r="B2846" s="253"/>
      <c r="C2846" s="40"/>
      <c r="D2846" s="40"/>
      <c r="E2846" s="41"/>
      <c r="F2846" s="35" t="s">
        <v>23</v>
      </c>
      <c r="G2846" s="38" t="str">
        <f t="shared" si="49"/>
        <v/>
      </c>
      <c r="H2846" s="39"/>
      <c r="I2846" s="35"/>
      <c r="J2846" s="34">
        <v>240</v>
      </c>
    </row>
    <row r="2847" spans="1:10" ht="15.75" thickBot="1" x14ac:dyDescent="0.3">
      <c r="A2847" s="248" t="s">
        <v>711</v>
      </c>
      <c r="B2847" s="251" t="s">
        <v>2641</v>
      </c>
      <c r="C2847" s="28"/>
      <c r="D2847" s="29" t="s">
        <v>28</v>
      </c>
      <c r="E2847" s="30"/>
      <c r="F2847" s="45" t="s">
        <v>23</v>
      </c>
      <c r="G2847" s="31" t="str">
        <f t="shared" si="49"/>
        <v/>
      </c>
      <c r="H2847" s="32"/>
      <c r="I2847" s="33"/>
      <c r="J2847" s="34">
        <v>180</v>
      </c>
    </row>
    <row r="2848" spans="1:10" x14ac:dyDescent="0.25">
      <c r="A2848" s="249"/>
      <c r="B2848" s="252"/>
      <c r="C2848" s="36"/>
      <c r="D2848" s="36"/>
      <c r="E2848" s="37"/>
      <c r="F2848" s="46" t="s">
        <v>23</v>
      </c>
      <c r="G2848" s="38" t="str">
        <f t="shared" si="49"/>
        <v/>
      </c>
      <c r="H2848" s="39"/>
      <c r="I2848" s="35"/>
      <c r="J2848" s="34">
        <v>180</v>
      </c>
    </row>
    <row r="2849" spans="1:10" x14ac:dyDescent="0.25">
      <c r="A2849" s="249"/>
      <c r="B2849" s="252"/>
      <c r="C2849" s="40" t="s">
        <v>3767</v>
      </c>
      <c r="D2849" s="40" t="s">
        <v>3752</v>
      </c>
      <c r="E2849" s="41">
        <v>0.25</v>
      </c>
      <c r="F2849" s="38">
        <v>25.877999999999997</v>
      </c>
      <c r="G2849" s="38">
        <f t="shared" si="49"/>
        <v>6.4694999999999991</v>
      </c>
      <c r="H2849" s="43">
        <f>SUM(G2849:G2850)</f>
        <v>12.329499999999999</v>
      </c>
      <c r="I2849" s="44"/>
      <c r="J2849" s="34">
        <v>180</v>
      </c>
    </row>
    <row r="2850" spans="1:10" ht="38.25" x14ac:dyDescent="0.25">
      <c r="A2850" s="249"/>
      <c r="B2850" s="252"/>
      <c r="C2850" s="40" t="s">
        <v>712</v>
      </c>
      <c r="D2850" s="40" t="s">
        <v>28</v>
      </c>
      <c r="E2850" s="41">
        <v>1</v>
      </c>
      <c r="F2850" s="35">
        <v>5.86</v>
      </c>
      <c r="G2850" s="38">
        <f t="shared" si="49"/>
        <v>5.86</v>
      </c>
      <c r="H2850" s="39"/>
      <c r="I2850" s="35"/>
      <c r="J2850" s="34">
        <v>180</v>
      </c>
    </row>
    <row r="2851" spans="1:10" ht="15.75" thickBot="1" x14ac:dyDescent="0.3">
      <c r="A2851" s="250"/>
      <c r="B2851" s="253"/>
      <c r="C2851" s="40"/>
      <c r="D2851" s="40"/>
      <c r="E2851" s="41"/>
      <c r="F2851" s="35" t="s">
        <v>23</v>
      </c>
      <c r="G2851" s="38" t="str">
        <f t="shared" si="49"/>
        <v/>
      </c>
      <c r="H2851" s="39"/>
      <c r="I2851" s="35"/>
      <c r="J2851" s="34">
        <v>180</v>
      </c>
    </row>
    <row r="2852" spans="1:10" ht="15.75" thickBot="1" x14ac:dyDescent="0.3">
      <c r="A2852" s="248" t="s">
        <v>713</v>
      </c>
      <c r="B2852" s="251" t="s">
        <v>2642</v>
      </c>
      <c r="C2852" s="28"/>
      <c r="D2852" s="29" t="s">
        <v>28</v>
      </c>
      <c r="E2852" s="30"/>
      <c r="F2852" s="45" t="s">
        <v>23</v>
      </c>
      <c r="G2852" s="31" t="str">
        <f t="shared" si="49"/>
        <v/>
      </c>
      <c r="H2852" s="32"/>
      <c r="I2852" s="33"/>
      <c r="J2852" s="34">
        <v>110</v>
      </c>
    </row>
    <row r="2853" spans="1:10" x14ac:dyDescent="0.25">
      <c r="A2853" s="249"/>
      <c r="B2853" s="252"/>
      <c r="C2853" s="36"/>
      <c r="D2853" s="36"/>
      <c r="E2853" s="37"/>
      <c r="F2853" s="46" t="s">
        <v>23</v>
      </c>
      <c r="G2853" s="38" t="str">
        <f t="shared" si="49"/>
        <v/>
      </c>
      <c r="H2853" s="39"/>
      <c r="I2853" s="35"/>
      <c r="J2853" s="34">
        <v>110</v>
      </c>
    </row>
    <row r="2854" spans="1:10" x14ac:dyDescent="0.25">
      <c r="A2854" s="249"/>
      <c r="B2854" s="252"/>
      <c r="C2854" s="40" t="s">
        <v>3767</v>
      </c>
      <c r="D2854" s="40" t="s">
        <v>3752</v>
      </c>
      <c r="E2854" s="41">
        <v>0.25</v>
      </c>
      <c r="F2854" s="38">
        <v>25.877999999999997</v>
      </c>
      <c r="G2854" s="38">
        <f t="shared" si="49"/>
        <v>6.4694999999999991</v>
      </c>
      <c r="H2854" s="43">
        <f>SUM(G2854:G2855)</f>
        <v>45.089499999999994</v>
      </c>
      <c r="I2854" s="44"/>
      <c r="J2854" s="34">
        <v>110</v>
      </c>
    </row>
    <row r="2855" spans="1:10" ht="38.25" x14ac:dyDescent="0.25">
      <c r="A2855" s="249"/>
      <c r="B2855" s="252"/>
      <c r="C2855" s="40" t="s">
        <v>714</v>
      </c>
      <c r="D2855" s="40" t="s">
        <v>28</v>
      </c>
      <c r="E2855" s="41">
        <v>1</v>
      </c>
      <c r="F2855" s="35">
        <v>38.619999999999997</v>
      </c>
      <c r="G2855" s="38">
        <f t="shared" si="49"/>
        <v>38.619999999999997</v>
      </c>
      <c r="H2855" s="39"/>
      <c r="I2855" s="35"/>
      <c r="J2855" s="34">
        <v>110</v>
      </c>
    </row>
    <row r="2856" spans="1:10" ht="15.75" thickBot="1" x14ac:dyDescent="0.3">
      <c r="A2856" s="250"/>
      <c r="B2856" s="253"/>
      <c r="C2856" s="40"/>
      <c r="D2856" s="40"/>
      <c r="E2856" s="41"/>
      <c r="F2856" s="35" t="s">
        <v>23</v>
      </c>
      <c r="G2856" s="38" t="str">
        <f t="shared" si="49"/>
        <v/>
      </c>
      <c r="H2856" s="39"/>
      <c r="I2856" s="35"/>
      <c r="J2856" s="34">
        <v>110</v>
      </c>
    </row>
    <row r="2857" spans="1:10" ht="15.75" thickBot="1" x14ac:dyDescent="0.3">
      <c r="A2857" s="248" t="s">
        <v>715</v>
      </c>
      <c r="B2857" s="251" t="s">
        <v>2643</v>
      </c>
      <c r="C2857" s="28"/>
      <c r="D2857" s="29" t="s">
        <v>28</v>
      </c>
      <c r="E2857" s="30"/>
      <c r="F2857" s="45" t="s">
        <v>23</v>
      </c>
      <c r="G2857" s="31" t="str">
        <f t="shared" si="49"/>
        <v/>
      </c>
      <c r="H2857" s="32"/>
      <c r="I2857" s="33"/>
      <c r="J2857" s="34">
        <v>120</v>
      </c>
    </row>
    <row r="2858" spans="1:10" x14ac:dyDescent="0.25">
      <c r="A2858" s="249"/>
      <c r="B2858" s="252"/>
      <c r="C2858" s="36"/>
      <c r="D2858" s="36"/>
      <c r="E2858" s="37"/>
      <c r="F2858" s="46" t="s">
        <v>23</v>
      </c>
      <c r="G2858" s="38" t="str">
        <f t="shared" si="49"/>
        <v/>
      </c>
      <c r="H2858" s="39"/>
      <c r="I2858" s="35"/>
      <c r="J2858" s="34">
        <v>120</v>
      </c>
    </row>
    <row r="2859" spans="1:10" x14ac:dyDescent="0.25">
      <c r="A2859" s="249"/>
      <c r="B2859" s="252"/>
      <c r="C2859" s="40" t="s">
        <v>3767</v>
      </c>
      <c r="D2859" s="40" t="s">
        <v>3752</v>
      </c>
      <c r="E2859" s="41">
        <v>0.25</v>
      </c>
      <c r="F2859" s="38">
        <v>25.877999999999997</v>
      </c>
      <c r="G2859" s="38">
        <f t="shared" si="49"/>
        <v>6.4694999999999991</v>
      </c>
      <c r="H2859" s="43">
        <f>SUM(G2859:G2860)</f>
        <v>47.929499999999997</v>
      </c>
      <c r="I2859" s="44"/>
      <c r="J2859" s="34">
        <v>120</v>
      </c>
    </row>
    <row r="2860" spans="1:10" ht="38.25" x14ac:dyDescent="0.25">
      <c r="A2860" s="249"/>
      <c r="B2860" s="252"/>
      <c r="C2860" s="40" t="s">
        <v>716</v>
      </c>
      <c r="D2860" s="40" t="s">
        <v>28</v>
      </c>
      <c r="E2860" s="41">
        <v>1</v>
      </c>
      <c r="F2860" s="35">
        <v>41.46</v>
      </c>
      <c r="G2860" s="38">
        <f t="shared" si="49"/>
        <v>41.46</v>
      </c>
      <c r="H2860" s="39"/>
      <c r="I2860" s="35"/>
      <c r="J2860" s="34">
        <v>120</v>
      </c>
    </row>
    <row r="2861" spans="1:10" ht="15.75" thickBot="1" x14ac:dyDescent="0.3">
      <c r="A2861" s="250"/>
      <c r="B2861" s="253"/>
      <c r="C2861" s="40"/>
      <c r="D2861" s="40"/>
      <c r="E2861" s="41"/>
      <c r="F2861" s="35" t="s">
        <v>23</v>
      </c>
      <c r="G2861" s="38" t="str">
        <f t="shared" si="49"/>
        <v/>
      </c>
      <c r="H2861" s="39"/>
      <c r="I2861" s="35"/>
      <c r="J2861" s="34">
        <v>120</v>
      </c>
    </row>
    <row r="2862" spans="1:10" ht="15.75" thickBot="1" x14ac:dyDescent="0.3">
      <c r="A2862" s="248" t="s">
        <v>717</v>
      </c>
      <c r="B2862" s="251" t="s">
        <v>2644</v>
      </c>
      <c r="C2862" s="28"/>
      <c r="D2862" s="29" t="s">
        <v>28</v>
      </c>
      <c r="E2862" s="30"/>
      <c r="F2862" s="45" t="s">
        <v>23</v>
      </c>
      <c r="G2862" s="31" t="str">
        <f t="shared" si="49"/>
        <v/>
      </c>
      <c r="H2862" s="32"/>
      <c r="I2862" s="33"/>
      <c r="J2862" s="34">
        <v>240</v>
      </c>
    </row>
    <row r="2863" spans="1:10" x14ac:dyDescent="0.25">
      <c r="A2863" s="249"/>
      <c r="B2863" s="252"/>
      <c r="C2863" s="36"/>
      <c r="D2863" s="36"/>
      <c r="E2863" s="37"/>
      <c r="F2863" s="46" t="s">
        <v>23</v>
      </c>
      <c r="G2863" s="38" t="str">
        <f t="shared" si="49"/>
        <v/>
      </c>
      <c r="H2863" s="39"/>
      <c r="I2863" s="35"/>
      <c r="J2863" s="34">
        <v>240</v>
      </c>
    </row>
    <row r="2864" spans="1:10" x14ac:dyDescent="0.25">
      <c r="A2864" s="249"/>
      <c r="B2864" s="252"/>
      <c r="C2864" s="40" t="s">
        <v>3767</v>
      </c>
      <c r="D2864" s="40" t="s">
        <v>3752</v>
      </c>
      <c r="E2864" s="41">
        <v>0.25</v>
      </c>
      <c r="F2864" s="38">
        <v>25.877999999999997</v>
      </c>
      <c r="G2864" s="38">
        <f t="shared" si="49"/>
        <v>6.4694999999999991</v>
      </c>
      <c r="H2864" s="43">
        <f>SUM(G2864:G2865)</f>
        <v>28.205499999999997</v>
      </c>
      <c r="I2864" s="44"/>
      <c r="J2864" s="34">
        <v>240</v>
      </c>
    </row>
    <row r="2865" spans="1:10" ht="25.5" x14ac:dyDescent="0.25">
      <c r="A2865" s="249"/>
      <c r="B2865" s="252"/>
      <c r="C2865" s="40" t="s">
        <v>718</v>
      </c>
      <c r="D2865" s="40" t="s">
        <v>28</v>
      </c>
      <c r="E2865" s="41">
        <v>1</v>
      </c>
      <c r="F2865" s="35">
        <v>21.735999999999997</v>
      </c>
      <c r="G2865" s="38">
        <f t="shared" si="49"/>
        <v>21.735999999999997</v>
      </c>
      <c r="H2865" s="39"/>
      <c r="I2865" s="35"/>
      <c r="J2865" s="34">
        <v>240</v>
      </c>
    </row>
    <row r="2866" spans="1:10" ht="15.75" thickBot="1" x14ac:dyDescent="0.3">
      <c r="A2866" s="250"/>
      <c r="B2866" s="253"/>
      <c r="C2866" s="40"/>
      <c r="D2866" s="40"/>
      <c r="E2866" s="41"/>
      <c r="F2866" s="35" t="s">
        <v>23</v>
      </c>
      <c r="G2866" s="38" t="str">
        <f t="shared" ref="G2866:G2929" si="50">IF(ISNUMBER(F2866),E2866*F2866,"")</f>
        <v/>
      </c>
      <c r="H2866" s="39"/>
      <c r="I2866" s="35"/>
      <c r="J2866" s="34">
        <v>240</v>
      </c>
    </row>
    <row r="2867" spans="1:10" ht="15.75" thickBot="1" x14ac:dyDescent="0.3">
      <c r="A2867" s="248" t="s">
        <v>719</v>
      </c>
      <c r="B2867" s="251" t="s">
        <v>2645</v>
      </c>
      <c r="C2867" s="28"/>
      <c r="D2867" s="29" t="s">
        <v>28</v>
      </c>
      <c r="E2867" s="30"/>
      <c r="F2867" s="45" t="s">
        <v>23</v>
      </c>
      <c r="G2867" s="31" t="str">
        <f t="shared" si="50"/>
        <v/>
      </c>
      <c r="H2867" s="32"/>
      <c r="I2867" s="33"/>
      <c r="J2867" s="34">
        <v>920</v>
      </c>
    </row>
    <row r="2868" spans="1:10" x14ac:dyDescent="0.25">
      <c r="A2868" s="249"/>
      <c r="B2868" s="252"/>
      <c r="C2868" s="36"/>
      <c r="D2868" s="36"/>
      <c r="E2868" s="37"/>
      <c r="F2868" s="46" t="s">
        <v>23</v>
      </c>
      <c r="G2868" s="38" t="str">
        <f t="shared" si="50"/>
        <v/>
      </c>
      <c r="H2868" s="39"/>
      <c r="I2868" s="35"/>
      <c r="J2868" s="34">
        <v>920</v>
      </c>
    </row>
    <row r="2869" spans="1:10" x14ac:dyDescent="0.25">
      <c r="A2869" s="249"/>
      <c r="B2869" s="252"/>
      <c r="C2869" s="40" t="s">
        <v>3767</v>
      </c>
      <c r="D2869" s="40" t="s">
        <v>3752</v>
      </c>
      <c r="E2869" s="41">
        <v>1.8180000000000001</v>
      </c>
      <c r="F2869" s="38">
        <v>25.877999999999997</v>
      </c>
      <c r="G2869" s="38">
        <f t="shared" si="50"/>
        <v>47.046203999999996</v>
      </c>
      <c r="H2869" s="43">
        <f>SUM(G2869:G2872)</f>
        <v>945.82542549999994</v>
      </c>
      <c r="I2869" s="44"/>
      <c r="J2869" s="34">
        <v>920</v>
      </c>
    </row>
    <row r="2870" spans="1:10" x14ac:dyDescent="0.25">
      <c r="A2870" s="249"/>
      <c r="B2870" s="252"/>
      <c r="C2870" s="40" t="s">
        <v>3754</v>
      </c>
      <c r="D2870" s="40" t="s">
        <v>3752</v>
      </c>
      <c r="E2870" s="41">
        <v>1.7669999999999999</v>
      </c>
      <c r="F2870" s="35">
        <v>20.814499999999999</v>
      </c>
      <c r="G2870" s="38">
        <f t="shared" si="50"/>
        <v>36.779221499999998</v>
      </c>
      <c r="H2870" s="39"/>
      <c r="I2870" s="35"/>
      <c r="J2870" s="34">
        <v>920</v>
      </c>
    </row>
    <row r="2871" spans="1:10" x14ac:dyDescent="0.25">
      <c r="A2871" s="249"/>
      <c r="B2871" s="252"/>
      <c r="C2871" s="40" t="s">
        <v>221</v>
      </c>
      <c r="D2871" s="40" t="s">
        <v>28</v>
      </c>
      <c r="E2871" s="41">
        <v>1</v>
      </c>
      <c r="F2871" s="35">
        <v>93</v>
      </c>
      <c r="G2871" s="35">
        <f t="shared" si="50"/>
        <v>93</v>
      </c>
      <c r="H2871" s="39"/>
      <c r="I2871" s="35"/>
      <c r="J2871" s="34">
        <v>920</v>
      </c>
    </row>
    <row r="2872" spans="1:10" ht="38.25" x14ac:dyDescent="0.25">
      <c r="A2872" s="249"/>
      <c r="B2872" s="252"/>
      <c r="C2872" s="40" t="s">
        <v>220</v>
      </c>
      <c r="D2872" s="40" t="s">
        <v>28</v>
      </c>
      <c r="E2872" s="41">
        <v>1</v>
      </c>
      <c r="F2872" s="35">
        <v>769</v>
      </c>
      <c r="G2872" s="38">
        <f t="shared" si="50"/>
        <v>769</v>
      </c>
      <c r="H2872" s="39"/>
      <c r="I2872" s="35"/>
      <c r="J2872" s="34">
        <v>920</v>
      </c>
    </row>
    <row r="2873" spans="1:10" ht="15.75" thickBot="1" x14ac:dyDescent="0.3">
      <c r="A2873" s="250"/>
      <c r="B2873" s="253"/>
      <c r="C2873" s="40"/>
      <c r="D2873" s="40"/>
      <c r="E2873" s="41"/>
      <c r="F2873" s="35" t="s">
        <v>23</v>
      </c>
      <c r="G2873" s="38" t="str">
        <f t="shared" si="50"/>
        <v/>
      </c>
      <c r="H2873" s="39"/>
      <c r="I2873" s="35"/>
      <c r="J2873" s="34">
        <v>920</v>
      </c>
    </row>
    <row r="2874" spans="1:10" ht="15.75" thickBot="1" x14ac:dyDescent="0.3">
      <c r="A2874" s="248" t="s">
        <v>720</v>
      </c>
      <c r="B2874" s="251" t="s">
        <v>2646</v>
      </c>
      <c r="C2874" s="28"/>
      <c r="D2874" s="29" t="s">
        <v>28</v>
      </c>
      <c r="E2874" s="30"/>
      <c r="F2874" s="45" t="s">
        <v>23</v>
      </c>
      <c r="G2874" s="31" t="str">
        <f t="shared" si="50"/>
        <v/>
      </c>
      <c r="H2874" s="32"/>
      <c r="I2874" s="33"/>
      <c r="J2874" s="34">
        <v>170</v>
      </c>
    </row>
    <row r="2875" spans="1:10" x14ac:dyDescent="0.25">
      <c r="A2875" s="249"/>
      <c r="B2875" s="252"/>
      <c r="C2875" s="36"/>
      <c r="D2875" s="36"/>
      <c r="E2875" s="37"/>
      <c r="F2875" s="46" t="s">
        <v>23</v>
      </c>
      <c r="G2875" s="38" t="str">
        <f t="shared" si="50"/>
        <v/>
      </c>
      <c r="H2875" s="39"/>
      <c r="I2875" s="35"/>
      <c r="J2875" s="34">
        <v>170</v>
      </c>
    </row>
    <row r="2876" spans="1:10" x14ac:dyDescent="0.25">
      <c r="A2876" s="249"/>
      <c r="B2876" s="252"/>
      <c r="C2876" s="40" t="s">
        <v>3767</v>
      </c>
      <c r="D2876" s="40" t="s">
        <v>3752</v>
      </c>
      <c r="E2876" s="41">
        <v>0.2</v>
      </c>
      <c r="F2876" s="38">
        <v>25.877999999999997</v>
      </c>
      <c r="G2876" s="38">
        <f t="shared" si="50"/>
        <v>5.1755999999999993</v>
      </c>
      <c r="H2876" s="43">
        <f>SUM(G2876:G2877)</f>
        <v>40.785600000000002</v>
      </c>
      <c r="I2876" s="44"/>
      <c r="J2876" s="34">
        <v>170</v>
      </c>
    </row>
    <row r="2877" spans="1:10" ht="38.25" x14ac:dyDescent="0.25">
      <c r="A2877" s="249"/>
      <c r="B2877" s="252"/>
      <c r="C2877" s="40" t="s">
        <v>721</v>
      </c>
      <c r="D2877" s="40" t="s">
        <v>28</v>
      </c>
      <c r="E2877" s="41">
        <v>1</v>
      </c>
      <c r="F2877" s="35">
        <v>35.61</v>
      </c>
      <c r="G2877" s="38">
        <f t="shared" si="50"/>
        <v>35.61</v>
      </c>
      <c r="H2877" s="39"/>
      <c r="I2877" s="35"/>
      <c r="J2877" s="34">
        <v>170</v>
      </c>
    </row>
    <row r="2878" spans="1:10" ht="15.75" thickBot="1" x14ac:dyDescent="0.3">
      <c r="A2878" s="250"/>
      <c r="B2878" s="253"/>
      <c r="C2878" s="40"/>
      <c r="D2878" s="40"/>
      <c r="E2878" s="41"/>
      <c r="F2878" s="35" t="s">
        <v>23</v>
      </c>
      <c r="G2878" s="38" t="str">
        <f t="shared" si="50"/>
        <v/>
      </c>
      <c r="H2878" s="39"/>
      <c r="I2878" s="35"/>
      <c r="J2878" s="34">
        <v>170</v>
      </c>
    </row>
    <row r="2879" spans="1:10" ht="15.75" thickBot="1" x14ac:dyDescent="0.3">
      <c r="A2879" s="248" t="s">
        <v>722</v>
      </c>
      <c r="B2879" s="251" t="s">
        <v>2647</v>
      </c>
      <c r="C2879" s="28"/>
      <c r="D2879" s="29" t="s">
        <v>28</v>
      </c>
      <c r="E2879" s="30"/>
      <c r="F2879" s="45" t="s">
        <v>23</v>
      </c>
      <c r="G2879" s="31" t="str">
        <f t="shared" si="50"/>
        <v/>
      </c>
      <c r="H2879" s="32"/>
      <c r="I2879" s="33"/>
      <c r="J2879" s="34">
        <v>80</v>
      </c>
    </row>
    <row r="2880" spans="1:10" x14ac:dyDescent="0.25">
      <c r="A2880" s="249"/>
      <c r="B2880" s="252"/>
      <c r="C2880" s="36"/>
      <c r="D2880" s="36"/>
      <c r="E2880" s="37"/>
      <c r="F2880" s="46" t="s">
        <v>23</v>
      </c>
      <c r="G2880" s="38" t="str">
        <f t="shared" si="50"/>
        <v/>
      </c>
      <c r="H2880" s="39"/>
      <c r="I2880" s="35"/>
      <c r="J2880" s="34">
        <v>80</v>
      </c>
    </row>
    <row r="2881" spans="1:10" x14ac:dyDescent="0.25">
      <c r="A2881" s="249"/>
      <c r="B2881" s="252"/>
      <c r="C2881" s="40" t="s">
        <v>3767</v>
      </c>
      <c r="D2881" s="40" t="s">
        <v>3752</v>
      </c>
      <c r="E2881" s="41">
        <v>0.4</v>
      </c>
      <c r="F2881" s="38">
        <v>25.877999999999997</v>
      </c>
      <c r="G2881" s="38">
        <f t="shared" si="50"/>
        <v>10.351199999999999</v>
      </c>
      <c r="H2881" s="43">
        <f>SUM(G2881:G2882)</f>
        <v>502.6712</v>
      </c>
      <c r="I2881" s="44"/>
      <c r="J2881" s="34">
        <v>80</v>
      </c>
    </row>
    <row r="2882" spans="1:10" x14ac:dyDescent="0.25">
      <c r="A2882" s="249"/>
      <c r="B2882" s="252"/>
      <c r="C2882" s="40" t="s">
        <v>723</v>
      </c>
      <c r="D2882" s="53" t="s">
        <v>28</v>
      </c>
      <c r="E2882" s="41">
        <v>1</v>
      </c>
      <c r="F2882" s="35">
        <v>492.32</v>
      </c>
      <c r="G2882" s="38">
        <f t="shared" si="50"/>
        <v>492.32</v>
      </c>
      <c r="H2882" s="39"/>
      <c r="I2882" s="35"/>
      <c r="J2882" s="34">
        <v>80</v>
      </c>
    </row>
    <row r="2883" spans="1:10" ht="15.75" thickBot="1" x14ac:dyDescent="0.3">
      <c r="A2883" s="250"/>
      <c r="B2883" s="253"/>
      <c r="C2883" s="40"/>
      <c r="D2883" s="40"/>
      <c r="E2883" s="41"/>
      <c r="F2883" s="35" t="s">
        <v>23</v>
      </c>
      <c r="G2883" s="38" t="str">
        <f t="shared" si="50"/>
        <v/>
      </c>
      <c r="H2883" s="39"/>
      <c r="I2883" s="35"/>
      <c r="J2883" s="34">
        <v>80</v>
      </c>
    </row>
    <row r="2884" spans="1:10" ht="15.75" thickBot="1" x14ac:dyDescent="0.3">
      <c r="A2884" s="248" t="s">
        <v>724</v>
      </c>
      <c r="B2884" s="251" t="s">
        <v>2648</v>
      </c>
      <c r="C2884" s="28"/>
      <c r="D2884" s="29" t="s">
        <v>28</v>
      </c>
      <c r="E2884" s="30"/>
      <c r="F2884" s="45" t="s">
        <v>23</v>
      </c>
      <c r="G2884" s="31" t="str">
        <f t="shared" si="50"/>
        <v/>
      </c>
      <c r="H2884" s="32"/>
      <c r="I2884" s="33"/>
      <c r="J2884" s="34">
        <v>1000</v>
      </c>
    </row>
    <row r="2885" spans="1:10" x14ac:dyDescent="0.25">
      <c r="A2885" s="249"/>
      <c r="B2885" s="252"/>
      <c r="C2885" s="36"/>
      <c r="D2885" s="36"/>
      <c r="E2885" s="37"/>
      <c r="F2885" s="46" t="s">
        <v>23</v>
      </c>
      <c r="G2885" s="38" t="str">
        <f t="shared" si="50"/>
        <v/>
      </c>
      <c r="H2885" s="39"/>
      <c r="I2885" s="35"/>
      <c r="J2885" s="34">
        <v>1000</v>
      </c>
    </row>
    <row r="2886" spans="1:10" x14ac:dyDescent="0.25">
      <c r="A2886" s="249"/>
      <c r="B2886" s="252"/>
      <c r="C2886" s="40" t="s">
        <v>3767</v>
      </c>
      <c r="D2886" s="40" t="s">
        <v>3752</v>
      </c>
      <c r="E2886" s="41">
        <v>0.3</v>
      </c>
      <c r="F2886" s="38">
        <v>25.877999999999997</v>
      </c>
      <c r="G2886" s="38">
        <f t="shared" si="50"/>
        <v>7.763399999999999</v>
      </c>
      <c r="H2886" s="43">
        <f>SUM(G2886:G2887)</f>
        <v>65.285899999999998</v>
      </c>
      <c r="I2886" s="44"/>
      <c r="J2886" s="34">
        <v>1000</v>
      </c>
    </row>
    <row r="2887" spans="1:10" ht="25.5" x14ac:dyDescent="0.25">
      <c r="A2887" s="249"/>
      <c r="B2887" s="252"/>
      <c r="C2887" s="40" t="s">
        <v>725</v>
      </c>
      <c r="D2887" s="53" t="s">
        <v>28</v>
      </c>
      <c r="E2887" s="41">
        <v>1</v>
      </c>
      <c r="F2887" s="35">
        <v>57.522499999999994</v>
      </c>
      <c r="G2887" s="38">
        <f t="shared" si="50"/>
        <v>57.522499999999994</v>
      </c>
      <c r="H2887" s="39"/>
      <c r="I2887" s="35"/>
      <c r="J2887" s="34">
        <v>1000</v>
      </c>
    </row>
    <row r="2888" spans="1:10" ht="15.75" thickBot="1" x14ac:dyDescent="0.3">
      <c r="A2888" s="250"/>
      <c r="B2888" s="253"/>
      <c r="C2888" s="40"/>
      <c r="D2888" s="40"/>
      <c r="E2888" s="41"/>
      <c r="F2888" s="35" t="s">
        <v>23</v>
      </c>
      <c r="G2888" s="38" t="str">
        <f t="shared" si="50"/>
        <v/>
      </c>
      <c r="H2888" s="39"/>
      <c r="I2888" s="35"/>
      <c r="J2888" s="34">
        <v>1000</v>
      </c>
    </row>
    <row r="2889" spans="1:10" ht="15.75" thickBot="1" x14ac:dyDescent="0.3">
      <c r="A2889" s="248" t="s">
        <v>726</v>
      </c>
      <c r="B2889" s="251" t="s">
        <v>2649</v>
      </c>
      <c r="C2889" s="28"/>
      <c r="D2889" s="29" t="s">
        <v>121</v>
      </c>
      <c r="E2889" s="30"/>
      <c r="F2889" s="45" t="s">
        <v>23</v>
      </c>
      <c r="G2889" s="31" t="str">
        <f t="shared" si="50"/>
        <v/>
      </c>
      <c r="H2889" s="32"/>
      <c r="I2889" s="33"/>
      <c r="J2889" s="34">
        <v>2850</v>
      </c>
    </row>
    <row r="2890" spans="1:10" x14ac:dyDescent="0.25">
      <c r="A2890" s="249"/>
      <c r="B2890" s="252"/>
      <c r="C2890" s="36"/>
      <c r="D2890" s="36"/>
      <c r="E2890" s="37"/>
      <c r="F2890" s="46" t="s">
        <v>23</v>
      </c>
      <c r="G2890" s="38" t="str">
        <f t="shared" si="50"/>
        <v/>
      </c>
      <c r="H2890" s="39"/>
      <c r="I2890" s="35"/>
      <c r="J2890" s="34">
        <v>2850</v>
      </c>
    </row>
    <row r="2891" spans="1:10" x14ac:dyDescent="0.25">
      <c r="A2891" s="249"/>
      <c r="B2891" s="252"/>
      <c r="C2891" s="40" t="s">
        <v>3767</v>
      </c>
      <c r="D2891" s="40" t="s">
        <v>3752</v>
      </c>
      <c r="E2891" s="41">
        <v>0.2</v>
      </c>
      <c r="F2891" s="38">
        <v>25.877999999999997</v>
      </c>
      <c r="G2891" s="38">
        <f t="shared" si="50"/>
        <v>5.1755999999999993</v>
      </c>
      <c r="H2891" s="43">
        <f>SUM(G2891:G2892)</f>
        <v>12.323399999999999</v>
      </c>
      <c r="I2891" s="44"/>
      <c r="J2891" s="34">
        <v>2850</v>
      </c>
    </row>
    <row r="2892" spans="1:10" x14ac:dyDescent="0.25">
      <c r="A2892" s="249"/>
      <c r="B2892" s="252"/>
      <c r="C2892" s="40" t="s">
        <v>3834</v>
      </c>
      <c r="D2892" s="40" t="s">
        <v>1035</v>
      </c>
      <c r="E2892" s="41">
        <v>0.19</v>
      </c>
      <c r="F2892" s="35">
        <v>37.619999999999997</v>
      </c>
      <c r="G2892" s="38">
        <f t="shared" si="50"/>
        <v>7.1477999999999993</v>
      </c>
      <c r="H2892" s="39"/>
      <c r="I2892" s="35"/>
      <c r="J2892" s="34">
        <v>2850</v>
      </c>
    </row>
    <row r="2893" spans="1:10" x14ac:dyDescent="0.25">
      <c r="A2893" s="249"/>
      <c r="B2893" s="252"/>
      <c r="C2893" s="40"/>
      <c r="D2893" s="40"/>
      <c r="E2893" s="41"/>
      <c r="F2893" s="35" t="s">
        <v>23</v>
      </c>
      <c r="G2893" s="38" t="str">
        <f t="shared" si="50"/>
        <v/>
      </c>
      <c r="H2893" s="39"/>
      <c r="I2893" s="35"/>
      <c r="J2893" s="34">
        <v>2850</v>
      </c>
    </row>
    <row r="2894" spans="1:10" ht="25.5" x14ac:dyDescent="0.25">
      <c r="A2894" s="249"/>
      <c r="B2894" s="252"/>
      <c r="C2894" s="50" t="s">
        <v>727</v>
      </c>
      <c r="D2894" s="40"/>
      <c r="E2894" s="41"/>
      <c r="F2894" s="35" t="s">
        <v>23</v>
      </c>
      <c r="G2894" s="38" t="str">
        <f t="shared" si="50"/>
        <v/>
      </c>
      <c r="H2894" s="39"/>
      <c r="I2894" s="35"/>
      <c r="J2894" s="34">
        <v>2850</v>
      </c>
    </row>
    <row r="2895" spans="1:10" ht="38.25" x14ac:dyDescent="0.25">
      <c r="A2895" s="249"/>
      <c r="B2895" s="252"/>
      <c r="C2895" s="54" t="s">
        <v>728</v>
      </c>
      <c r="D2895" s="83"/>
      <c r="E2895" s="41"/>
      <c r="F2895" s="35" t="s">
        <v>23</v>
      </c>
      <c r="G2895" s="38" t="str">
        <f t="shared" si="50"/>
        <v/>
      </c>
      <c r="H2895" s="39"/>
      <c r="I2895" s="35"/>
      <c r="J2895" s="34">
        <v>2850</v>
      </c>
    </row>
    <row r="2896" spans="1:10" ht="15.75" thickBot="1" x14ac:dyDescent="0.3">
      <c r="A2896" s="250"/>
      <c r="B2896" s="253"/>
      <c r="C2896" s="40"/>
      <c r="D2896" s="40"/>
      <c r="E2896" s="41"/>
      <c r="F2896" s="35" t="s">
        <v>23</v>
      </c>
      <c r="G2896" s="38" t="str">
        <f t="shared" si="50"/>
        <v/>
      </c>
      <c r="H2896" s="39"/>
      <c r="I2896" s="35"/>
      <c r="J2896" s="34">
        <v>2850</v>
      </c>
    </row>
    <row r="2897" spans="1:10" ht="15.75" thickBot="1" x14ac:dyDescent="0.3">
      <c r="A2897" s="248" t="s">
        <v>729</v>
      </c>
      <c r="B2897" s="251" t="s">
        <v>2650</v>
      </c>
      <c r="C2897" s="28"/>
      <c r="D2897" s="29" t="s">
        <v>121</v>
      </c>
      <c r="E2897" s="30"/>
      <c r="F2897" s="45" t="s">
        <v>23</v>
      </c>
      <c r="G2897" s="31" t="str">
        <f t="shared" si="50"/>
        <v/>
      </c>
      <c r="H2897" s="32"/>
      <c r="I2897" s="33"/>
      <c r="J2897" s="34">
        <v>1600</v>
      </c>
    </row>
    <row r="2898" spans="1:10" x14ac:dyDescent="0.25">
      <c r="A2898" s="262"/>
      <c r="B2898" s="252"/>
      <c r="C2898" s="36"/>
      <c r="D2898" s="36"/>
      <c r="E2898" s="37"/>
      <c r="F2898" s="46" t="s">
        <v>23</v>
      </c>
      <c r="G2898" s="38" t="str">
        <f t="shared" si="50"/>
        <v/>
      </c>
      <c r="H2898" s="39"/>
      <c r="I2898" s="35"/>
      <c r="J2898" s="34">
        <v>1600</v>
      </c>
    </row>
    <row r="2899" spans="1:10" x14ac:dyDescent="0.25">
      <c r="A2899" s="262"/>
      <c r="B2899" s="252"/>
      <c r="C2899" s="40" t="s">
        <v>3767</v>
      </c>
      <c r="D2899" s="40" t="s">
        <v>3752</v>
      </c>
      <c r="E2899" s="41">
        <v>0.3</v>
      </c>
      <c r="F2899" s="38">
        <v>25.877999999999997</v>
      </c>
      <c r="G2899" s="38">
        <f t="shared" si="50"/>
        <v>7.763399999999999</v>
      </c>
      <c r="H2899" s="43">
        <f>SUM(G2899:G2900)</f>
        <v>36.84366</v>
      </c>
      <c r="I2899" s="44"/>
      <c r="J2899" s="34">
        <v>1600</v>
      </c>
    </row>
    <row r="2900" spans="1:10" x14ac:dyDescent="0.25">
      <c r="A2900" s="262"/>
      <c r="B2900" s="252"/>
      <c r="C2900" s="40" t="s">
        <v>3834</v>
      </c>
      <c r="D2900" s="40" t="s">
        <v>1035</v>
      </c>
      <c r="E2900" s="41">
        <v>0.77300000000000002</v>
      </c>
      <c r="F2900" s="35">
        <v>37.619999999999997</v>
      </c>
      <c r="G2900" s="38">
        <f t="shared" si="50"/>
        <v>29.080259999999999</v>
      </c>
      <c r="H2900" s="39"/>
      <c r="I2900" s="35"/>
      <c r="J2900" s="34">
        <v>1600</v>
      </c>
    </row>
    <row r="2901" spans="1:10" x14ac:dyDescent="0.25">
      <c r="A2901" s="262"/>
      <c r="B2901" s="252"/>
      <c r="C2901" s="40"/>
      <c r="D2901" s="53"/>
      <c r="E2901" s="41"/>
      <c r="F2901" s="35" t="s">
        <v>23</v>
      </c>
      <c r="G2901" s="38" t="str">
        <f t="shared" si="50"/>
        <v/>
      </c>
      <c r="H2901" s="39"/>
      <c r="I2901" s="35"/>
      <c r="J2901" s="34">
        <v>1600</v>
      </c>
    </row>
    <row r="2902" spans="1:10" ht="25.5" x14ac:dyDescent="0.25">
      <c r="A2902" s="262"/>
      <c r="B2902" s="252"/>
      <c r="C2902" s="50" t="s">
        <v>730</v>
      </c>
      <c r="D2902" s="53"/>
      <c r="E2902" s="41"/>
      <c r="F2902" s="35" t="s">
        <v>23</v>
      </c>
      <c r="G2902" s="38" t="str">
        <f t="shared" si="50"/>
        <v/>
      </c>
      <c r="H2902" s="39"/>
      <c r="I2902" s="35"/>
      <c r="J2902" s="34">
        <v>1600</v>
      </c>
    </row>
    <row r="2903" spans="1:10" ht="25.5" x14ac:dyDescent="0.25">
      <c r="A2903" s="262"/>
      <c r="B2903" s="252"/>
      <c r="C2903" s="54" t="s">
        <v>731</v>
      </c>
      <c r="D2903" s="53"/>
      <c r="E2903" s="41"/>
      <c r="F2903" s="35" t="s">
        <v>23</v>
      </c>
      <c r="G2903" s="38" t="str">
        <f t="shared" si="50"/>
        <v/>
      </c>
      <c r="H2903" s="39"/>
      <c r="I2903" s="35"/>
      <c r="J2903" s="34">
        <v>1600</v>
      </c>
    </row>
    <row r="2904" spans="1:10" ht="15.75" thickBot="1" x14ac:dyDescent="0.3">
      <c r="A2904" s="263"/>
      <c r="B2904" s="253"/>
      <c r="C2904" s="40"/>
      <c r="D2904" s="40"/>
      <c r="E2904" s="41"/>
      <c r="F2904" s="35" t="s">
        <v>23</v>
      </c>
      <c r="G2904" s="38" t="str">
        <f t="shared" si="50"/>
        <v/>
      </c>
      <c r="H2904" s="39"/>
      <c r="I2904" s="35"/>
      <c r="J2904" s="34">
        <v>1600</v>
      </c>
    </row>
    <row r="2905" spans="1:10" ht="15.75" thickBot="1" x14ac:dyDescent="0.3">
      <c r="A2905" s="248" t="s">
        <v>732</v>
      </c>
      <c r="B2905" s="251" t="s">
        <v>2651</v>
      </c>
      <c r="C2905" s="28"/>
      <c r="D2905" s="29" t="s">
        <v>121</v>
      </c>
      <c r="E2905" s="30"/>
      <c r="F2905" s="45" t="s">
        <v>23</v>
      </c>
      <c r="G2905" s="31" t="str">
        <f t="shared" si="50"/>
        <v/>
      </c>
      <c r="H2905" s="32"/>
      <c r="I2905" s="33"/>
      <c r="J2905" s="34">
        <v>1750</v>
      </c>
    </row>
    <row r="2906" spans="1:10" x14ac:dyDescent="0.25">
      <c r="A2906" s="262"/>
      <c r="B2906" s="252"/>
      <c r="C2906" s="36"/>
      <c r="D2906" s="36"/>
      <c r="E2906" s="37"/>
      <c r="F2906" s="46" t="s">
        <v>23</v>
      </c>
      <c r="G2906" s="38" t="str">
        <f t="shared" si="50"/>
        <v/>
      </c>
      <c r="H2906" s="39"/>
      <c r="I2906" s="35"/>
      <c r="J2906" s="34">
        <v>1750</v>
      </c>
    </row>
    <row r="2907" spans="1:10" x14ac:dyDescent="0.25">
      <c r="A2907" s="262"/>
      <c r="B2907" s="252"/>
      <c r="C2907" s="40" t="s">
        <v>3767</v>
      </c>
      <c r="D2907" s="40" t="s">
        <v>3752</v>
      </c>
      <c r="E2907" s="41">
        <v>0.2</v>
      </c>
      <c r="F2907" s="38">
        <v>25.877999999999997</v>
      </c>
      <c r="G2907" s="38">
        <f t="shared" si="50"/>
        <v>5.1755999999999993</v>
      </c>
      <c r="H2907" s="43">
        <f>SUM(G2907:G2908)</f>
        <v>15.74682</v>
      </c>
      <c r="I2907" s="44"/>
      <c r="J2907" s="34">
        <v>1750</v>
      </c>
    </row>
    <row r="2908" spans="1:10" x14ac:dyDescent="0.25">
      <c r="A2908" s="262"/>
      <c r="B2908" s="252"/>
      <c r="C2908" s="40" t="s">
        <v>3834</v>
      </c>
      <c r="D2908" s="40" t="s">
        <v>1035</v>
      </c>
      <c r="E2908" s="41">
        <v>0.28100000000000003</v>
      </c>
      <c r="F2908" s="35">
        <v>37.619999999999997</v>
      </c>
      <c r="G2908" s="38">
        <f t="shared" si="50"/>
        <v>10.57122</v>
      </c>
      <c r="H2908" s="39"/>
      <c r="I2908" s="35"/>
      <c r="J2908" s="34">
        <v>1750</v>
      </c>
    </row>
    <row r="2909" spans="1:10" x14ac:dyDescent="0.25">
      <c r="A2909" s="262"/>
      <c r="B2909" s="252"/>
      <c r="C2909" s="40"/>
      <c r="D2909" s="53"/>
      <c r="E2909" s="41"/>
      <c r="F2909" s="35" t="s">
        <v>23</v>
      </c>
      <c r="G2909" s="38" t="str">
        <f t="shared" si="50"/>
        <v/>
      </c>
      <c r="H2909" s="39"/>
      <c r="I2909" s="35"/>
      <c r="J2909" s="34">
        <v>1750</v>
      </c>
    </row>
    <row r="2910" spans="1:10" ht="25.5" x14ac:dyDescent="0.25">
      <c r="A2910" s="262"/>
      <c r="B2910" s="252"/>
      <c r="C2910" s="50" t="s">
        <v>733</v>
      </c>
      <c r="D2910" s="53"/>
      <c r="E2910" s="41"/>
      <c r="F2910" s="35" t="s">
        <v>23</v>
      </c>
      <c r="G2910" s="38" t="str">
        <f t="shared" si="50"/>
        <v/>
      </c>
      <c r="H2910" s="39"/>
      <c r="I2910" s="35"/>
      <c r="J2910" s="34">
        <v>1750</v>
      </c>
    </row>
    <row r="2911" spans="1:10" ht="25.5" x14ac:dyDescent="0.25">
      <c r="A2911" s="262"/>
      <c r="B2911" s="252"/>
      <c r="C2911" s="54" t="s">
        <v>731</v>
      </c>
      <c r="D2911" s="53"/>
      <c r="E2911" s="41"/>
      <c r="F2911" s="35" t="s">
        <v>23</v>
      </c>
      <c r="G2911" s="38" t="str">
        <f t="shared" si="50"/>
        <v/>
      </c>
      <c r="H2911" s="39"/>
      <c r="I2911" s="35"/>
      <c r="J2911" s="34">
        <v>1750</v>
      </c>
    </row>
    <row r="2912" spans="1:10" ht="15.75" thickBot="1" x14ac:dyDescent="0.3">
      <c r="A2912" s="263"/>
      <c r="B2912" s="253"/>
      <c r="C2912" s="40"/>
      <c r="D2912" s="40"/>
      <c r="E2912" s="41"/>
      <c r="F2912" s="35" t="s">
        <v>23</v>
      </c>
      <c r="G2912" s="38" t="str">
        <f t="shared" si="50"/>
        <v/>
      </c>
      <c r="H2912" s="39"/>
      <c r="I2912" s="35"/>
      <c r="J2912" s="34">
        <v>1750</v>
      </c>
    </row>
    <row r="2913" spans="1:10" ht="15.75" thickBot="1" x14ac:dyDescent="0.3">
      <c r="A2913" s="248" t="s">
        <v>734</v>
      </c>
      <c r="B2913" s="251" t="s">
        <v>2652</v>
      </c>
      <c r="C2913" s="28"/>
      <c r="D2913" s="29" t="s">
        <v>121</v>
      </c>
      <c r="E2913" s="30"/>
      <c r="F2913" s="45" t="s">
        <v>23</v>
      </c>
      <c r="G2913" s="31" t="str">
        <f t="shared" si="50"/>
        <v/>
      </c>
      <c r="H2913" s="32"/>
      <c r="I2913" s="33"/>
      <c r="J2913" s="34">
        <v>1500</v>
      </c>
    </row>
    <row r="2914" spans="1:10" x14ac:dyDescent="0.25">
      <c r="A2914" s="262"/>
      <c r="B2914" s="252"/>
      <c r="C2914" s="36"/>
      <c r="D2914" s="36"/>
      <c r="E2914" s="37"/>
      <c r="F2914" s="46" t="s">
        <v>23</v>
      </c>
      <c r="G2914" s="38" t="str">
        <f t="shared" si="50"/>
        <v/>
      </c>
      <c r="H2914" s="39"/>
      <c r="I2914" s="35"/>
      <c r="J2914" s="34">
        <v>1500</v>
      </c>
    </row>
    <row r="2915" spans="1:10" x14ac:dyDescent="0.25">
      <c r="A2915" s="262"/>
      <c r="B2915" s="252"/>
      <c r="C2915" s="40" t="s">
        <v>3767</v>
      </c>
      <c r="D2915" s="40" t="s">
        <v>3752</v>
      </c>
      <c r="E2915" s="41">
        <v>0.3</v>
      </c>
      <c r="F2915" s="38">
        <v>25.877999999999997</v>
      </c>
      <c r="G2915" s="38">
        <f t="shared" si="50"/>
        <v>7.763399999999999</v>
      </c>
      <c r="H2915" s="43">
        <f>SUM(G2915:G2916)</f>
        <v>24.730019999999996</v>
      </c>
      <c r="I2915" s="44"/>
      <c r="J2915" s="34">
        <v>1500</v>
      </c>
    </row>
    <row r="2916" spans="1:10" x14ac:dyDescent="0.25">
      <c r="A2916" s="262"/>
      <c r="B2916" s="252"/>
      <c r="C2916" s="40" t="s">
        <v>3834</v>
      </c>
      <c r="D2916" s="40" t="s">
        <v>1035</v>
      </c>
      <c r="E2916" s="41">
        <v>0.45100000000000001</v>
      </c>
      <c r="F2916" s="35">
        <v>37.619999999999997</v>
      </c>
      <c r="G2916" s="38">
        <f t="shared" si="50"/>
        <v>16.966619999999999</v>
      </c>
      <c r="H2916" s="39"/>
      <c r="I2916" s="35"/>
      <c r="J2916" s="34">
        <v>1500</v>
      </c>
    </row>
    <row r="2917" spans="1:10" x14ac:dyDescent="0.25">
      <c r="A2917" s="262"/>
      <c r="B2917" s="252"/>
      <c r="C2917" s="40"/>
      <c r="D2917" s="53"/>
      <c r="E2917" s="41"/>
      <c r="F2917" s="35" t="s">
        <v>23</v>
      </c>
      <c r="G2917" s="38" t="str">
        <f t="shared" si="50"/>
        <v/>
      </c>
      <c r="H2917" s="39"/>
      <c r="I2917" s="35"/>
      <c r="J2917" s="34">
        <v>1500</v>
      </c>
    </row>
    <row r="2918" spans="1:10" ht="25.5" x14ac:dyDescent="0.25">
      <c r="A2918" s="262"/>
      <c r="B2918" s="252"/>
      <c r="C2918" s="50" t="s">
        <v>733</v>
      </c>
      <c r="D2918" s="53"/>
      <c r="E2918" s="41"/>
      <c r="F2918" s="35" t="s">
        <v>23</v>
      </c>
      <c r="G2918" s="38" t="str">
        <f t="shared" si="50"/>
        <v/>
      </c>
      <c r="H2918" s="39"/>
      <c r="I2918" s="35"/>
      <c r="J2918" s="34">
        <v>1500</v>
      </c>
    </row>
    <row r="2919" spans="1:10" ht="25.5" x14ac:dyDescent="0.25">
      <c r="A2919" s="262"/>
      <c r="B2919" s="252"/>
      <c r="C2919" s="54" t="s">
        <v>731</v>
      </c>
      <c r="D2919" s="53"/>
      <c r="E2919" s="41"/>
      <c r="F2919" s="35" t="s">
        <v>23</v>
      </c>
      <c r="G2919" s="38" t="str">
        <f t="shared" si="50"/>
        <v/>
      </c>
      <c r="H2919" s="39"/>
      <c r="I2919" s="35"/>
      <c r="J2919" s="34">
        <v>1500</v>
      </c>
    </row>
    <row r="2920" spans="1:10" ht="15.75" thickBot="1" x14ac:dyDescent="0.3">
      <c r="A2920" s="263"/>
      <c r="B2920" s="253"/>
      <c r="C2920" s="40"/>
      <c r="D2920" s="40"/>
      <c r="E2920" s="41"/>
      <c r="F2920" s="35" t="s">
        <v>23</v>
      </c>
      <c r="G2920" s="38" t="str">
        <f t="shared" si="50"/>
        <v/>
      </c>
      <c r="H2920" s="39"/>
      <c r="I2920" s="35"/>
      <c r="J2920" s="34">
        <v>1500</v>
      </c>
    </row>
    <row r="2921" spans="1:10" ht="15.75" thickBot="1" x14ac:dyDescent="0.3">
      <c r="A2921" s="248" t="s">
        <v>735</v>
      </c>
      <c r="B2921" s="251" t="s">
        <v>2653</v>
      </c>
      <c r="C2921" s="28"/>
      <c r="D2921" s="29" t="s">
        <v>121</v>
      </c>
      <c r="E2921" s="30"/>
      <c r="F2921" s="45" t="s">
        <v>23</v>
      </c>
      <c r="G2921" s="31" t="str">
        <f t="shared" si="50"/>
        <v/>
      </c>
      <c r="H2921" s="32"/>
      <c r="I2921" s="33"/>
      <c r="J2921" s="34">
        <v>1400</v>
      </c>
    </row>
    <row r="2922" spans="1:10" x14ac:dyDescent="0.25">
      <c r="A2922" s="262"/>
      <c r="B2922" s="252"/>
      <c r="C2922" s="36"/>
      <c r="D2922" s="36"/>
      <c r="E2922" s="37"/>
      <c r="F2922" s="46" t="s">
        <v>23</v>
      </c>
      <c r="G2922" s="38" t="str">
        <f t="shared" si="50"/>
        <v/>
      </c>
      <c r="H2922" s="39"/>
      <c r="I2922" s="35"/>
      <c r="J2922" s="34">
        <v>1400</v>
      </c>
    </row>
    <row r="2923" spans="1:10" x14ac:dyDescent="0.25">
      <c r="A2923" s="262"/>
      <c r="B2923" s="252"/>
      <c r="C2923" s="40" t="s">
        <v>3767</v>
      </c>
      <c r="D2923" s="40" t="s">
        <v>3752</v>
      </c>
      <c r="E2923" s="41">
        <v>0.15</v>
      </c>
      <c r="F2923" s="38">
        <v>25.877999999999997</v>
      </c>
      <c r="G2923" s="38">
        <f t="shared" si="50"/>
        <v>3.8816999999999995</v>
      </c>
      <c r="H2923" s="43">
        <f>SUM(G2923:G2924)</f>
        <v>8.0198999999999998</v>
      </c>
      <c r="I2923" s="44"/>
      <c r="J2923" s="34">
        <v>1400</v>
      </c>
    </row>
    <row r="2924" spans="1:10" x14ac:dyDescent="0.25">
      <c r="A2924" s="262"/>
      <c r="B2924" s="252"/>
      <c r="C2924" s="40" t="s">
        <v>3834</v>
      </c>
      <c r="D2924" s="40" t="s">
        <v>1035</v>
      </c>
      <c r="E2924" s="41">
        <v>0.11</v>
      </c>
      <c r="F2924" s="35">
        <v>37.619999999999997</v>
      </c>
      <c r="G2924" s="38">
        <f t="shared" si="50"/>
        <v>4.1381999999999994</v>
      </c>
      <c r="H2924" s="39"/>
      <c r="I2924" s="35"/>
      <c r="J2924" s="34">
        <v>1400</v>
      </c>
    </row>
    <row r="2925" spans="1:10" x14ac:dyDescent="0.25">
      <c r="A2925" s="262"/>
      <c r="B2925" s="252"/>
      <c r="C2925" s="40"/>
      <c r="D2925" s="53"/>
      <c r="E2925" s="41"/>
      <c r="F2925" s="35" t="s">
        <v>23</v>
      </c>
      <c r="G2925" s="38" t="str">
        <f t="shared" si="50"/>
        <v/>
      </c>
      <c r="H2925" s="39"/>
      <c r="I2925" s="35"/>
      <c r="J2925" s="34">
        <v>1400</v>
      </c>
    </row>
    <row r="2926" spans="1:10" ht="25.5" x14ac:dyDescent="0.25">
      <c r="A2926" s="262"/>
      <c r="B2926" s="252"/>
      <c r="C2926" s="50" t="s">
        <v>736</v>
      </c>
      <c r="D2926" s="53"/>
      <c r="E2926" s="41"/>
      <c r="F2926" s="35" t="s">
        <v>23</v>
      </c>
      <c r="G2926" s="38" t="str">
        <f t="shared" si="50"/>
        <v/>
      </c>
      <c r="H2926" s="39"/>
      <c r="I2926" s="35"/>
      <c r="J2926" s="34">
        <v>1400</v>
      </c>
    </row>
    <row r="2927" spans="1:10" ht="25.5" x14ac:dyDescent="0.25">
      <c r="A2927" s="262"/>
      <c r="B2927" s="252"/>
      <c r="C2927" s="54" t="s">
        <v>731</v>
      </c>
      <c r="D2927" s="53"/>
      <c r="E2927" s="41"/>
      <c r="F2927" s="35" t="s">
        <v>23</v>
      </c>
      <c r="G2927" s="38" t="str">
        <f t="shared" si="50"/>
        <v/>
      </c>
      <c r="H2927" s="39"/>
      <c r="I2927" s="35"/>
      <c r="J2927" s="34">
        <v>1400</v>
      </c>
    </row>
    <row r="2928" spans="1:10" ht="15.75" thickBot="1" x14ac:dyDescent="0.3">
      <c r="A2928" s="263"/>
      <c r="B2928" s="253"/>
      <c r="C2928" s="40"/>
      <c r="D2928" s="40"/>
      <c r="E2928" s="41"/>
      <c r="F2928" s="35" t="s">
        <v>23</v>
      </c>
      <c r="G2928" s="38" t="str">
        <f t="shared" si="50"/>
        <v/>
      </c>
      <c r="H2928" s="39"/>
      <c r="I2928" s="35"/>
      <c r="J2928" s="34">
        <v>1400</v>
      </c>
    </row>
    <row r="2929" spans="1:10" ht="15.75" thickBot="1" x14ac:dyDescent="0.3">
      <c r="A2929" s="248" t="s">
        <v>737</v>
      </c>
      <c r="B2929" s="251" t="s">
        <v>2654</v>
      </c>
      <c r="C2929" s="28"/>
      <c r="D2929" s="29" t="s">
        <v>28</v>
      </c>
      <c r="E2929" s="30"/>
      <c r="F2929" s="45" t="s">
        <v>23</v>
      </c>
      <c r="G2929" s="31" t="str">
        <f t="shared" si="50"/>
        <v/>
      </c>
      <c r="H2929" s="32"/>
      <c r="I2929" s="33"/>
      <c r="J2929" s="34">
        <v>1000</v>
      </c>
    </row>
    <row r="2930" spans="1:10" x14ac:dyDescent="0.25">
      <c r="A2930" s="249"/>
      <c r="B2930" s="252"/>
      <c r="C2930" s="36"/>
      <c r="D2930" s="36"/>
      <c r="E2930" s="37"/>
      <c r="F2930" s="46" t="s">
        <v>23</v>
      </c>
      <c r="G2930" s="38" t="str">
        <f t="shared" ref="G2930:G2993" si="51">IF(ISNUMBER(F2930),E2930*F2930,"")</f>
        <v/>
      </c>
      <c r="H2930" s="39"/>
      <c r="I2930" s="35"/>
      <c r="J2930" s="34">
        <v>1000</v>
      </c>
    </row>
    <row r="2931" spans="1:10" x14ac:dyDescent="0.25">
      <c r="A2931" s="249"/>
      <c r="B2931" s="252"/>
      <c r="C2931" s="40" t="s">
        <v>3767</v>
      </c>
      <c r="D2931" s="40" t="s">
        <v>3752</v>
      </c>
      <c r="E2931" s="41">
        <v>0.3</v>
      </c>
      <c r="F2931" s="38">
        <v>25.877999999999997</v>
      </c>
      <c r="G2931" s="38">
        <f t="shared" si="51"/>
        <v>7.763399999999999</v>
      </c>
      <c r="H2931" s="43">
        <f>SUM(G2931:G2932)</f>
        <v>73.940399999999997</v>
      </c>
      <c r="I2931" s="44"/>
      <c r="J2931" s="34">
        <v>1000</v>
      </c>
    </row>
    <row r="2932" spans="1:10" ht="25.5" x14ac:dyDescent="0.25">
      <c r="A2932" s="249"/>
      <c r="B2932" s="252"/>
      <c r="C2932" s="40" t="s">
        <v>738</v>
      </c>
      <c r="D2932" s="40" t="s">
        <v>28</v>
      </c>
      <c r="E2932" s="41">
        <v>1</v>
      </c>
      <c r="F2932" s="35">
        <v>66.176999999999992</v>
      </c>
      <c r="G2932" s="38">
        <f t="shared" si="51"/>
        <v>66.176999999999992</v>
      </c>
      <c r="H2932" s="39"/>
      <c r="I2932" s="35"/>
      <c r="J2932" s="34">
        <v>1000</v>
      </c>
    </row>
    <row r="2933" spans="1:10" ht="15.75" thickBot="1" x14ac:dyDescent="0.3">
      <c r="A2933" s="250"/>
      <c r="B2933" s="253"/>
      <c r="C2933" s="40"/>
      <c r="D2933" s="40"/>
      <c r="E2933" s="41"/>
      <c r="F2933" s="35" t="s">
        <v>23</v>
      </c>
      <c r="G2933" s="38" t="str">
        <f t="shared" si="51"/>
        <v/>
      </c>
      <c r="H2933" s="39"/>
      <c r="I2933" s="35"/>
      <c r="J2933" s="34">
        <v>1000</v>
      </c>
    </row>
    <row r="2934" spans="1:10" ht="15.75" thickBot="1" x14ac:dyDescent="0.3">
      <c r="A2934" s="248" t="s">
        <v>739</v>
      </c>
      <c r="B2934" s="251" t="s">
        <v>2655</v>
      </c>
      <c r="C2934" s="28"/>
      <c r="D2934" s="29" t="s">
        <v>121</v>
      </c>
      <c r="E2934" s="30"/>
      <c r="F2934" s="45" t="s">
        <v>23</v>
      </c>
      <c r="G2934" s="31" t="str">
        <f t="shared" si="51"/>
        <v/>
      </c>
      <c r="H2934" s="32"/>
      <c r="I2934" s="33"/>
      <c r="J2934" s="34">
        <v>620</v>
      </c>
    </row>
    <row r="2935" spans="1:10" x14ac:dyDescent="0.25">
      <c r="A2935" s="249"/>
      <c r="B2935" s="252"/>
      <c r="C2935" s="36"/>
      <c r="D2935" s="36"/>
      <c r="E2935" s="37"/>
      <c r="F2935" s="46" t="s">
        <v>23</v>
      </c>
      <c r="G2935" s="38" t="str">
        <f t="shared" si="51"/>
        <v/>
      </c>
      <c r="H2935" s="39"/>
      <c r="I2935" s="35"/>
      <c r="J2935" s="34">
        <v>620</v>
      </c>
    </row>
    <row r="2936" spans="1:10" x14ac:dyDescent="0.25">
      <c r="A2936" s="249"/>
      <c r="B2936" s="252"/>
      <c r="C2936" s="40" t="s">
        <v>3767</v>
      </c>
      <c r="D2936" s="40" t="s">
        <v>3752</v>
      </c>
      <c r="E2936" s="41">
        <v>0.3</v>
      </c>
      <c r="F2936" s="38">
        <v>25.877999999999997</v>
      </c>
      <c r="G2936" s="38">
        <f t="shared" si="51"/>
        <v>7.763399999999999</v>
      </c>
      <c r="H2936" s="43">
        <f>SUM(G2936:G2937)</f>
        <v>10.673399999999999</v>
      </c>
      <c r="I2936" s="44"/>
      <c r="J2936" s="34">
        <v>620</v>
      </c>
    </row>
    <row r="2937" spans="1:10" ht="51" x14ac:dyDescent="0.25">
      <c r="A2937" s="249"/>
      <c r="B2937" s="252"/>
      <c r="C2937" s="40" t="s">
        <v>740</v>
      </c>
      <c r="D2937" s="40" t="s">
        <v>28</v>
      </c>
      <c r="E2937" s="41">
        <v>1</v>
      </c>
      <c r="F2937" s="35">
        <v>2.91</v>
      </c>
      <c r="G2937" s="38">
        <f t="shared" si="51"/>
        <v>2.91</v>
      </c>
      <c r="H2937" s="39"/>
      <c r="I2937" s="35"/>
      <c r="J2937" s="34">
        <v>620</v>
      </c>
    </row>
    <row r="2938" spans="1:10" ht="15.75" thickBot="1" x14ac:dyDescent="0.3">
      <c r="A2938" s="250"/>
      <c r="B2938" s="253"/>
      <c r="C2938" s="40"/>
      <c r="D2938" s="40"/>
      <c r="E2938" s="41"/>
      <c r="F2938" s="35" t="s">
        <v>23</v>
      </c>
      <c r="G2938" s="38" t="str">
        <f t="shared" si="51"/>
        <v/>
      </c>
      <c r="H2938" s="39"/>
      <c r="I2938" s="35"/>
      <c r="J2938" s="34">
        <v>620</v>
      </c>
    </row>
    <row r="2939" spans="1:10" ht="15.75" thickBot="1" x14ac:dyDescent="0.3">
      <c r="A2939" s="248" t="s">
        <v>741</v>
      </c>
      <c r="B2939" s="251" t="s">
        <v>2656</v>
      </c>
      <c r="C2939" s="28"/>
      <c r="D2939" s="29" t="s">
        <v>28</v>
      </c>
      <c r="E2939" s="30"/>
      <c r="F2939" s="45" t="s">
        <v>23</v>
      </c>
      <c r="G2939" s="31" t="str">
        <f t="shared" si="51"/>
        <v/>
      </c>
      <c r="H2939" s="32"/>
      <c r="I2939" s="33"/>
      <c r="J2939" s="34">
        <v>5310</v>
      </c>
    </row>
    <row r="2940" spans="1:10" x14ac:dyDescent="0.25">
      <c r="A2940" s="249"/>
      <c r="B2940" s="252"/>
      <c r="C2940" s="36"/>
      <c r="D2940" s="36"/>
      <c r="E2940" s="37"/>
      <c r="F2940" s="46" t="s">
        <v>23</v>
      </c>
      <c r="G2940" s="38" t="str">
        <f t="shared" si="51"/>
        <v/>
      </c>
      <c r="H2940" s="39"/>
      <c r="I2940" s="35"/>
      <c r="J2940" s="34">
        <v>5310</v>
      </c>
    </row>
    <row r="2941" spans="1:10" x14ac:dyDescent="0.25">
      <c r="A2941" s="249"/>
      <c r="B2941" s="252"/>
      <c r="C2941" s="40" t="s">
        <v>3767</v>
      </c>
      <c r="D2941" s="40" t="s">
        <v>3752</v>
      </c>
      <c r="E2941" s="41">
        <v>0.15</v>
      </c>
      <c r="F2941" s="38">
        <v>25.877999999999997</v>
      </c>
      <c r="G2941" s="38">
        <f t="shared" si="51"/>
        <v>3.8816999999999995</v>
      </c>
      <c r="H2941" s="43">
        <f>SUM(G2941:G2942)</f>
        <v>6.4616999999999996</v>
      </c>
      <c r="I2941" s="44"/>
      <c r="J2941" s="34">
        <v>5310</v>
      </c>
    </row>
    <row r="2942" spans="1:10" ht="25.5" x14ac:dyDescent="0.25">
      <c r="A2942" s="249"/>
      <c r="B2942" s="252"/>
      <c r="C2942" s="40" t="s">
        <v>742</v>
      </c>
      <c r="D2942" s="40" t="s">
        <v>28</v>
      </c>
      <c r="E2942" s="41">
        <v>1</v>
      </c>
      <c r="F2942" s="35">
        <v>2.58</v>
      </c>
      <c r="G2942" s="38">
        <f t="shared" si="51"/>
        <v>2.58</v>
      </c>
      <c r="H2942" s="39"/>
      <c r="I2942" s="35"/>
      <c r="J2942" s="34">
        <v>5310</v>
      </c>
    </row>
    <row r="2943" spans="1:10" ht="15.75" thickBot="1" x14ac:dyDescent="0.3">
      <c r="A2943" s="250"/>
      <c r="B2943" s="253"/>
      <c r="C2943" s="40"/>
      <c r="D2943" s="40"/>
      <c r="E2943" s="41"/>
      <c r="F2943" s="35" t="s">
        <v>23</v>
      </c>
      <c r="G2943" s="38" t="str">
        <f t="shared" si="51"/>
        <v/>
      </c>
      <c r="H2943" s="39"/>
      <c r="I2943" s="35"/>
      <c r="J2943" s="34">
        <v>5310</v>
      </c>
    </row>
    <row r="2944" spans="1:10" ht="15.75" thickBot="1" x14ac:dyDescent="0.3">
      <c r="A2944" s="248" t="s">
        <v>743</v>
      </c>
      <c r="B2944" s="251" t="s">
        <v>2657</v>
      </c>
      <c r="C2944" s="28"/>
      <c r="D2944" s="29" t="s">
        <v>28</v>
      </c>
      <c r="E2944" s="30"/>
      <c r="F2944" s="45" t="s">
        <v>23</v>
      </c>
      <c r="G2944" s="31" t="str">
        <f t="shared" si="51"/>
        <v/>
      </c>
      <c r="H2944" s="32"/>
      <c r="I2944" s="33"/>
      <c r="J2944" s="34">
        <v>350</v>
      </c>
    </row>
    <row r="2945" spans="1:10" x14ac:dyDescent="0.25">
      <c r="A2945" s="249"/>
      <c r="B2945" s="252"/>
      <c r="C2945" s="36"/>
      <c r="D2945" s="36"/>
      <c r="E2945" s="37"/>
      <c r="F2945" s="46" t="s">
        <v>23</v>
      </c>
      <c r="G2945" s="38" t="str">
        <f t="shared" si="51"/>
        <v/>
      </c>
      <c r="H2945" s="39"/>
      <c r="I2945" s="35"/>
      <c r="J2945" s="34">
        <v>350</v>
      </c>
    </row>
    <row r="2946" spans="1:10" x14ac:dyDescent="0.25">
      <c r="A2946" s="249"/>
      <c r="B2946" s="252"/>
      <c r="C2946" s="40" t="s">
        <v>3767</v>
      </c>
      <c r="D2946" s="40" t="s">
        <v>3752</v>
      </c>
      <c r="E2946" s="41">
        <v>0.15</v>
      </c>
      <c r="F2946" s="38">
        <v>25.877999999999997</v>
      </c>
      <c r="G2946" s="38">
        <f t="shared" si="51"/>
        <v>3.8816999999999995</v>
      </c>
      <c r="H2946" s="43">
        <f>SUM(G2946:G2947)</f>
        <v>13.921699999999998</v>
      </c>
      <c r="I2946" s="44"/>
      <c r="J2946" s="34">
        <v>350</v>
      </c>
    </row>
    <row r="2947" spans="1:10" ht="25.5" x14ac:dyDescent="0.25">
      <c r="A2947" s="249"/>
      <c r="B2947" s="252"/>
      <c r="C2947" s="40" t="s">
        <v>744</v>
      </c>
      <c r="D2947" s="40" t="s">
        <v>28</v>
      </c>
      <c r="E2947" s="41">
        <v>1</v>
      </c>
      <c r="F2947" s="35">
        <v>10.039999999999999</v>
      </c>
      <c r="G2947" s="38">
        <f t="shared" si="51"/>
        <v>10.039999999999999</v>
      </c>
      <c r="H2947" s="39"/>
      <c r="I2947" s="35"/>
      <c r="J2947" s="34">
        <v>350</v>
      </c>
    </row>
    <row r="2948" spans="1:10" ht="15.75" thickBot="1" x14ac:dyDescent="0.3">
      <c r="A2948" s="250"/>
      <c r="B2948" s="253"/>
      <c r="C2948" s="40"/>
      <c r="D2948" s="40"/>
      <c r="E2948" s="41"/>
      <c r="F2948" s="35" t="s">
        <v>23</v>
      </c>
      <c r="G2948" s="38" t="str">
        <f t="shared" si="51"/>
        <v/>
      </c>
      <c r="H2948" s="39"/>
      <c r="I2948" s="35"/>
      <c r="J2948" s="34">
        <v>350</v>
      </c>
    </row>
    <row r="2949" spans="1:10" ht="15.75" thickBot="1" x14ac:dyDescent="0.3">
      <c r="A2949" s="248" t="s">
        <v>745</v>
      </c>
      <c r="B2949" s="251" t="s">
        <v>2658</v>
      </c>
      <c r="C2949" s="28"/>
      <c r="D2949" s="29" t="s">
        <v>28</v>
      </c>
      <c r="E2949" s="30"/>
      <c r="F2949" s="45" t="s">
        <v>23</v>
      </c>
      <c r="G2949" s="31" t="str">
        <f t="shared" si="51"/>
        <v/>
      </c>
      <c r="H2949" s="32"/>
      <c r="I2949" s="33"/>
      <c r="J2949" s="34">
        <v>130</v>
      </c>
    </row>
    <row r="2950" spans="1:10" x14ac:dyDescent="0.25">
      <c r="A2950" s="249"/>
      <c r="B2950" s="252"/>
      <c r="C2950" s="36"/>
      <c r="D2950" s="36"/>
      <c r="E2950" s="37"/>
      <c r="F2950" s="46" t="s">
        <v>23</v>
      </c>
      <c r="G2950" s="38" t="str">
        <f t="shared" si="51"/>
        <v/>
      </c>
      <c r="H2950" s="39"/>
      <c r="I2950" s="35"/>
      <c r="J2950" s="34">
        <v>130</v>
      </c>
    </row>
    <row r="2951" spans="1:10" x14ac:dyDescent="0.25">
      <c r="A2951" s="249"/>
      <c r="B2951" s="252"/>
      <c r="C2951" s="40" t="s">
        <v>3767</v>
      </c>
      <c r="D2951" s="40" t="s">
        <v>3752</v>
      </c>
      <c r="E2951" s="41">
        <v>0.1</v>
      </c>
      <c r="F2951" s="38">
        <v>25.877999999999997</v>
      </c>
      <c r="G2951" s="38">
        <f t="shared" si="51"/>
        <v>2.5877999999999997</v>
      </c>
      <c r="H2951" s="43">
        <f>SUM(G2951:G2952)</f>
        <v>7.2617999999999991</v>
      </c>
      <c r="I2951" s="44"/>
      <c r="J2951" s="34">
        <v>130</v>
      </c>
    </row>
    <row r="2952" spans="1:10" ht="38.25" x14ac:dyDescent="0.25">
      <c r="A2952" s="249"/>
      <c r="B2952" s="252"/>
      <c r="C2952" s="40" t="s">
        <v>746</v>
      </c>
      <c r="D2952" s="40" t="s">
        <v>28</v>
      </c>
      <c r="E2952" s="41">
        <v>1</v>
      </c>
      <c r="F2952" s="35">
        <v>4.6739999999999995</v>
      </c>
      <c r="G2952" s="38">
        <f t="shared" si="51"/>
        <v>4.6739999999999995</v>
      </c>
      <c r="H2952" s="39"/>
      <c r="I2952" s="35"/>
      <c r="J2952" s="34">
        <v>130</v>
      </c>
    </row>
    <row r="2953" spans="1:10" ht="15.75" thickBot="1" x14ac:dyDescent="0.3">
      <c r="A2953" s="250"/>
      <c r="B2953" s="253"/>
      <c r="C2953" s="40"/>
      <c r="D2953" s="40"/>
      <c r="E2953" s="41"/>
      <c r="F2953" s="35" t="s">
        <v>23</v>
      </c>
      <c r="G2953" s="38" t="str">
        <f t="shared" si="51"/>
        <v/>
      </c>
      <c r="H2953" s="39"/>
      <c r="I2953" s="35"/>
      <c r="J2953" s="34">
        <v>130</v>
      </c>
    </row>
    <row r="2954" spans="1:10" ht="15.75" thickBot="1" x14ac:dyDescent="0.3">
      <c r="A2954" s="248" t="s">
        <v>747</v>
      </c>
      <c r="B2954" s="251" t="s">
        <v>2659</v>
      </c>
      <c r="C2954" s="28"/>
      <c r="D2954" s="29" t="s">
        <v>28</v>
      </c>
      <c r="E2954" s="30"/>
      <c r="F2954" s="45" t="s">
        <v>23</v>
      </c>
      <c r="G2954" s="31" t="str">
        <f t="shared" si="51"/>
        <v/>
      </c>
      <c r="H2954" s="32"/>
      <c r="I2954" s="33"/>
      <c r="J2954" s="34">
        <v>90</v>
      </c>
    </row>
    <row r="2955" spans="1:10" x14ac:dyDescent="0.25">
      <c r="A2955" s="249"/>
      <c r="B2955" s="252"/>
      <c r="C2955" s="36"/>
      <c r="D2955" s="36"/>
      <c r="E2955" s="37"/>
      <c r="F2955" s="46" t="s">
        <v>23</v>
      </c>
      <c r="G2955" s="38" t="str">
        <f t="shared" si="51"/>
        <v/>
      </c>
      <c r="H2955" s="39"/>
      <c r="I2955" s="35"/>
      <c r="J2955" s="34">
        <v>90</v>
      </c>
    </row>
    <row r="2956" spans="1:10" x14ac:dyDescent="0.25">
      <c r="A2956" s="249"/>
      <c r="B2956" s="252"/>
      <c r="C2956" s="40" t="s">
        <v>3767</v>
      </c>
      <c r="D2956" s="40" t="s">
        <v>3752</v>
      </c>
      <c r="E2956" s="41">
        <v>0.4</v>
      </c>
      <c r="F2956" s="38">
        <v>25.877999999999997</v>
      </c>
      <c r="G2956" s="38">
        <f t="shared" si="51"/>
        <v>10.351199999999999</v>
      </c>
      <c r="H2956" s="43">
        <f>SUM(G2956:G2957)</f>
        <v>92.668700000000001</v>
      </c>
      <c r="I2956" s="44"/>
      <c r="J2956" s="34">
        <v>90</v>
      </c>
    </row>
    <row r="2957" spans="1:10" ht="38.25" x14ac:dyDescent="0.25">
      <c r="A2957" s="249"/>
      <c r="B2957" s="252"/>
      <c r="C2957" s="40" t="s">
        <v>748</v>
      </c>
      <c r="D2957" s="40" t="s">
        <v>28</v>
      </c>
      <c r="E2957" s="41">
        <v>1</v>
      </c>
      <c r="F2957" s="35">
        <v>82.317499999999995</v>
      </c>
      <c r="G2957" s="38">
        <f t="shared" si="51"/>
        <v>82.317499999999995</v>
      </c>
      <c r="H2957" s="39"/>
      <c r="I2957" s="35"/>
      <c r="J2957" s="34">
        <v>90</v>
      </c>
    </row>
    <row r="2958" spans="1:10" ht="15.75" thickBot="1" x14ac:dyDescent="0.3">
      <c r="A2958" s="250"/>
      <c r="B2958" s="253"/>
      <c r="C2958" s="40"/>
      <c r="D2958" s="40"/>
      <c r="E2958" s="41"/>
      <c r="F2958" s="35" t="s">
        <v>23</v>
      </c>
      <c r="G2958" s="38" t="str">
        <f t="shared" si="51"/>
        <v/>
      </c>
      <c r="H2958" s="39"/>
      <c r="I2958" s="35"/>
      <c r="J2958" s="34">
        <v>90</v>
      </c>
    </row>
    <row r="2959" spans="1:10" ht="15.75" thickBot="1" x14ac:dyDescent="0.3">
      <c r="A2959" s="248" t="s">
        <v>749</v>
      </c>
      <c r="B2959" s="251" t="s">
        <v>2660</v>
      </c>
      <c r="C2959" s="28"/>
      <c r="D2959" s="29" t="s">
        <v>28</v>
      </c>
      <c r="E2959" s="30"/>
      <c r="F2959" s="45" t="s">
        <v>23</v>
      </c>
      <c r="G2959" s="31" t="str">
        <f t="shared" si="51"/>
        <v/>
      </c>
      <c r="H2959" s="32"/>
      <c r="I2959" s="33"/>
      <c r="J2959" s="34">
        <v>120</v>
      </c>
    </row>
    <row r="2960" spans="1:10" x14ac:dyDescent="0.25">
      <c r="A2960" s="249"/>
      <c r="B2960" s="252"/>
      <c r="C2960" s="36"/>
      <c r="D2960" s="36"/>
      <c r="E2960" s="37"/>
      <c r="F2960" s="46" t="s">
        <v>23</v>
      </c>
      <c r="G2960" s="38" t="str">
        <f t="shared" si="51"/>
        <v/>
      </c>
      <c r="H2960" s="39"/>
      <c r="I2960" s="35"/>
      <c r="J2960" s="34">
        <v>120</v>
      </c>
    </row>
    <row r="2961" spans="1:10" x14ac:dyDescent="0.25">
      <c r="A2961" s="249"/>
      <c r="B2961" s="252"/>
      <c r="C2961" s="40" t="s">
        <v>3767</v>
      </c>
      <c r="D2961" s="40" t="s">
        <v>3752</v>
      </c>
      <c r="E2961" s="41">
        <v>0.4</v>
      </c>
      <c r="F2961" s="38">
        <v>25.877999999999997</v>
      </c>
      <c r="G2961" s="38">
        <f t="shared" si="51"/>
        <v>10.351199999999999</v>
      </c>
      <c r="H2961" s="43">
        <f>SUM(G2961:G2962)</f>
        <v>85.251200000000011</v>
      </c>
      <c r="I2961" s="44"/>
      <c r="J2961" s="34">
        <v>120</v>
      </c>
    </row>
    <row r="2962" spans="1:10" ht="38.25" x14ac:dyDescent="0.25">
      <c r="A2962" s="249"/>
      <c r="B2962" s="252"/>
      <c r="C2962" s="40" t="s">
        <v>750</v>
      </c>
      <c r="D2962" s="40" t="s">
        <v>28</v>
      </c>
      <c r="E2962" s="41">
        <v>1</v>
      </c>
      <c r="F2962" s="35">
        <v>74.900000000000006</v>
      </c>
      <c r="G2962" s="38">
        <f t="shared" si="51"/>
        <v>74.900000000000006</v>
      </c>
      <c r="H2962" s="39"/>
      <c r="I2962" s="35"/>
      <c r="J2962" s="34">
        <v>120</v>
      </c>
    </row>
    <row r="2963" spans="1:10" ht="15.75" thickBot="1" x14ac:dyDescent="0.3">
      <c r="A2963" s="250"/>
      <c r="B2963" s="253"/>
      <c r="C2963" s="40"/>
      <c r="D2963" s="40"/>
      <c r="E2963" s="41"/>
      <c r="F2963" s="35" t="s">
        <v>23</v>
      </c>
      <c r="G2963" s="38" t="str">
        <f t="shared" si="51"/>
        <v/>
      </c>
      <c r="H2963" s="39"/>
      <c r="I2963" s="35"/>
      <c r="J2963" s="34">
        <v>120</v>
      </c>
    </row>
    <row r="2964" spans="1:10" ht="15.75" thickBot="1" x14ac:dyDescent="0.3">
      <c r="A2964" s="248" t="s">
        <v>751</v>
      </c>
      <c r="B2964" s="251" t="s">
        <v>2661</v>
      </c>
      <c r="C2964" s="28"/>
      <c r="D2964" s="29" t="s">
        <v>28</v>
      </c>
      <c r="E2964" s="30"/>
      <c r="F2964" s="45" t="s">
        <v>23</v>
      </c>
      <c r="G2964" s="31" t="str">
        <f t="shared" si="51"/>
        <v/>
      </c>
      <c r="H2964" s="32"/>
      <c r="I2964" s="33"/>
      <c r="J2964" s="34">
        <v>120</v>
      </c>
    </row>
    <row r="2965" spans="1:10" x14ac:dyDescent="0.25">
      <c r="A2965" s="249"/>
      <c r="B2965" s="252"/>
      <c r="C2965" s="36"/>
      <c r="D2965" s="36"/>
      <c r="E2965" s="37"/>
      <c r="F2965" s="46" t="s">
        <v>23</v>
      </c>
      <c r="G2965" s="38" t="str">
        <f t="shared" si="51"/>
        <v/>
      </c>
      <c r="H2965" s="39"/>
      <c r="I2965" s="35"/>
      <c r="J2965" s="34">
        <v>120</v>
      </c>
    </row>
    <row r="2966" spans="1:10" x14ac:dyDescent="0.25">
      <c r="A2966" s="249"/>
      <c r="B2966" s="252"/>
      <c r="C2966" s="40" t="s">
        <v>3767</v>
      </c>
      <c r="D2966" s="40" t="s">
        <v>3752</v>
      </c>
      <c r="E2966" s="41">
        <v>0.3</v>
      </c>
      <c r="F2966" s="38">
        <v>25.877999999999997</v>
      </c>
      <c r="G2966" s="38">
        <f t="shared" si="51"/>
        <v>7.763399999999999</v>
      </c>
      <c r="H2966" s="43">
        <f>SUM(G2966:G2967)</f>
        <v>47.986399999999996</v>
      </c>
      <c r="I2966" s="44"/>
      <c r="J2966" s="34">
        <v>120</v>
      </c>
    </row>
    <row r="2967" spans="1:10" ht="25.5" x14ac:dyDescent="0.25">
      <c r="A2967" s="249"/>
      <c r="B2967" s="252"/>
      <c r="C2967" s="40" t="s">
        <v>752</v>
      </c>
      <c r="D2967" s="40" t="s">
        <v>28</v>
      </c>
      <c r="E2967" s="41">
        <v>1</v>
      </c>
      <c r="F2967" s="35">
        <v>40.222999999999999</v>
      </c>
      <c r="G2967" s="38">
        <f t="shared" si="51"/>
        <v>40.222999999999999</v>
      </c>
      <c r="H2967" s="39"/>
      <c r="I2967" s="35"/>
      <c r="J2967" s="34">
        <v>120</v>
      </c>
    </row>
    <row r="2968" spans="1:10" ht="15.75" thickBot="1" x14ac:dyDescent="0.3">
      <c r="A2968" s="250"/>
      <c r="B2968" s="253"/>
      <c r="C2968" s="40"/>
      <c r="D2968" s="40"/>
      <c r="E2968" s="41"/>
      <c r="F2968" s="35" t="s">
        <v>23</v>
      </c>
      <c r="G2968" s="38" t="str">
        <f t="shared" si="51"/>
        <v/>
      </c>
      <c r="H2968" s="39"/>
      <c r="I2968" s="35"/>
      <c r="J2968" s="34">
        <v>120</v>
      </c>
    </row>
    <row r="2969" spans="1:10" ht="15.75" thickBot="1" x14ac:dyDescent="0.3">
      <c r="A2969" s="248" t="s">
        <v>753</v>
      </c>
      <c r="B2969" s="251" t="s">
        <v>2662</v>
      </c>
      <c r="C2969" s="28"/>
      <c r="D2969" s="29" t="s">
        <v>28</v>
      </c>
      <c r="E2969" s="30"/>
      <c r="F2969" s="45" t="s">
        <v>23</v>
      </c>
      <c r="G2969" s="31" t="str">
        <f t="shared" si="51"/>
        <v/>
      </c>
      <c r="H2969" s="32"/>
      <c r="I2969" s="33"/>
      <c r="J2969" s="34">
        <v>90</v>
      </c>
    </row>
    <row r="2970" spans="1:10" x14ac:dyDescent="0.25">
      <c r="A2970" s="249"/>
      <c r="B2970" s="252"/>
      <c r="C2970" s="36"/>
      <c r="D2970" s="36"/>
      <c r="E2970" s="37"/>
      <c r="F2970" s="46" t="s">
        <v>23</v>
      </c>
      <c r="G2970" s="38" t="str">
        <f t="shared" si="51"/>
        <v/>
      </c>
      <c r="H2970" s="39"/>
      <c r="I2970" s="35"/>
      <c r="J2970" s="34">
        <v>90</v>
      </c>
    </row>
    <row r="2971" spans="1:10" x14ac:dyDescent="0.25">
      <c r="A2971" s="249"/>
      <c r="B2971" s="252"/>
      <c r="C2971" s="40" t="s">
        <v>3767</v>
      </c>
      <c r="D2971" s="40" t="s">
        <v>3752</v>
      </c>
      <c r="E2971" s="41">
        <v>0.2</v>
      </c>
      <c r="F2971" s="38">
        <v>25.877999999999997</v>
      </c>
      <c r="G2971" s="38">
        <f t="shared" si="51"/>
        <v>5.1755999999999993</v>
      </c>
      <c r="H2971" s="43">
        <f>SUM(G2971:G2972)</f>
        <v>29.182099999999998</v>
      </c>
      <c r="I2971" s="44"/>
      <c r="J2971" s="34">
        <v>90</v>
      </c>
    </row>
    <row r="2972" spans="1:10" ht="25.5" x14ac:dyDescent="0.25">
      <c r="A2972" s="249"/>
      <c r="B2972" s="252"/>
      <c r="C2972" s="40" t="s">
        <v>754</v>
      </c>
      <c r="D2972" s="40" t="s">
        <v>28</v>
      </c>
      <c r="E2972" s="41">
        <v>1</v>
      </c>
      <c r="F2972" s="35">
        <v>24.006499999999999</v>
      </c>
      <c r="G2972" s="38">
        <f t="shared" si="51"/>
        <v>24.006499999999999</v>
      </c>
      <c r="H2972" s="39"/>
      <c r="I2972" s="35"/>
      <c r="J2972" s="34">
        <v>90</v>
      </c>
    </row>
    <row r="2973" spans="1:10" ht="15.75" thickBot="1" x14ac:dyDescent="0.3">
      <c r="A2973" s="250"/>
      <c r="B2973" s="253"/>
      <c r="C2973" s="40"/>
      <c r="D2973" s="40"/>
      <c r="E2973" s="41"/>
      <c r="F2973" s="35" t="s">
        <v>23</v>
      </c>
      <c r="G2973" s="38" t="str">
        <f t="shared" si="51"/>
        <v/>
      </c>
      <c r="H2973" s="39"/>
      <c r="I2973" s="35"/>
      <c r="J2973" s="34">
        <v>90</v>
      </c>
    </row>
    <row r="2974" spans="1:10" ht="15.75" thickBot="1" x14ac:dyDescent="0.3">
      <c r="A2974" s="248" t="s">
        <v>755</v>
      </c>
      <c r="B2974" s="251" t="s">
        <v>2663</v>
      </c>
      <c r="C2974" s="28"/>
      <c r="D2974" s="29" t="s">
        <v>28</v>
      </c>
      <c r="E2974" s="30"/>
      <c r="F2974" s="45" t="s">
        <v>23</v>
      </c>
      <c r="G2974" s="31" t="str">
        <f t="shared" si="51"/>
        <v/>
      </c>
      <c r="H2974" s="32"/>
      <c r="I2974" s="33"/>
      <c r="J2974" s="34">
        <v>120</v>
      </c>
    </row>
    <row r="2975" spans="1:10" x14ac:dyDescent="0.25">
      <c r="A2975" s="249"/>
      <c r="B2975" s="252"/>
      <c r="C2975" s="36"/>
      <c r="D2975" s="36"/>
      <c r="E2975" s="37"/>
      <c r="F2975" s="46" t="s">
        <v>23</v>
      </c>
      <c r="G2975" s="38" t="str">
        <f t="shared" si="51"/>
        <v/>
      </c>
      <c r="H2975" s="39"/>
      <c r="I2975" s="35"/>
      <c r="J2975" s="34">
        <v>120</v>
      </c>
    </row>
    <row r="2976" spans="1:10" x14ac:dyDescent="0.25">
      <c r="A2976" s="249"/>
      <c r="B2976" s="252"/>
      <c r="C2976" s="40" t="s">
        <v>3767</v>
      </c>
      <c r="D2976" s="40" t="s">
        <v>3752</v>
      </c>
      <c r="E2976" s="41">
        <v>0.2</v>
      </c>
      <c r="F2976" s="38">
        <v>25.877999999999997</v>
      </c>
      <c r="G2976" s="38">
        <f t="shared" si="51"/>
        <v>5.1755999999999993</v>
      </c>
      <c r="H2976" s="43">
        <f>SUM(G2976:G2977)</f>
        <v>19.2166</v>
      </c>
      <c r="I2976" s="44"/>
      <c r="J2976" s="34">
        <v>120</v>
      </c>
    </row>
    <row r="2977" spans="1:10" ht="25.5" x14ac:dyDescent="0.25">
      <c r="A2977" s="249"/>
      <c r="B2977" s="252"/>
      <c r="C2977" s="40" t="s">
        <v>756</v>
      </c>
      <c r="D2977" s="53" t="s">
        <v>28</v>
      </c>
      <c r="E2977" s="41">
        <v>1</v>
      </c>
      <c r="F2977" s="35">
        <v>14.040999999999999</v>
      </c>
      <c r="G2977" s="38">
        <f t="shared" si="51"/>
        <v>14.040999999999999</v>
      </c>
      <c r="H2977" s="39"/>
      <c r="I2977" s="35"/>
      <c r="J2977" s="34">
        <v>120</v>
      </c>
    </row>
    <row r="2978" spans="1:10" ht="15.75" thickBot="1" x14ac:dyDescent="0.3">
      <c r="A2978" s="250"/>
      <c r="B2978" s="253"/>
      <c r="C2978" s="40"/>
      <c r="D2978" s="40"/>
      <c r="E2978" s="41"/>
      <c r="F2978" s="35" t="s">
        <v>23</v>
      </c>
      <c r="G2978" s="38" t="str">
        <f t="shared" si="51"/>
        <v/>
      </c>
      <c r="H2978" s="39"/>
      <c r="I2978" s="35"/>
      <c r="J2978" s="34">
        <v>120</v>
      </c>
    </row>
    <row r="2979" spans="1:10" ht="15.75" thickBot="1" x14ac:dyDescent="0.3">
      <c r="A2979" s="248" t="s">
        <v>757</v>
      </c>
      <c r="B2979" s="251" t="s">
        <v>2664</v>
      </c>
      <c r="C2979" s="28"/>
      <c r="D2979" s="29" t="s">
        <v>78</v>
      </c>
      <c r="E2979" s="30"/>
      <c r="F2979" s="45" t="s">
        <v>23</v>
      </c>
      <c r="G2979" s="31" t="str">
        <f t="shared" si="51"/>
        <v/>
      </c>
      <c r="H2979" s="32"/>
      <c r="I2979" s="33"/>
      <c r="J2979" s="34">
        <v>690</v>
      </c>
    </row>
    <row r="2980" spans="1:10" x14ac:dyDescent="0.25">
      <c r="A2980" s="249"/>
      <c r="B2980" s="252"/>
      <c r="C2980" s="36"/>
      <c r="D2980" s="36"/>
      <c r="E2980" s="37"/>
      <c r="F2980" s="46" t="s">
        <v>23</v>
      </c>
      <c r="G2980" s="38" t="str">
        <f t="shared" si="51"/>
        <v/>
      </c>
      <c r="H2980" s="39"/>
      <c r="I2980" s="35"/>
      <c r="J2980" s="34">
        <v>690</v>
      </c>
    </row>
    <row r="2981" spans="1:10" ht="38.25" x14ac:dyDescent="0.25">
      <c r="A2981" s="249"/>
      <c r="B2981" s="252"/>
      <c r="C2981" s="40" t="s">
        <v>4148</v>
      </c>
      <c r="D2981" s="40" t="s">
        <v>291</v>
      </c>
      <c r="E2981" s="41">
        <v>2.1960000000000002</v>
      </c>
      <c r="F2981" s="38">
        <v>0.35149999999999998</v>
      </c>
      <c r="G2981" s="38">
        <f t="shared" si="51"/>
        <v>0.77189399999999997</v>
      </c>
      <c r="H2981" s="43">
        <f>SUM(G2981:G2987)</f>
        <v>468.80760549999997</v>
      </c>
      <c r="I2981" s="44"/>
      <c r="J2981" s="34">
        <v>690</v>
      </c>
    </row>
    <row r="2982" spans="1:10" ht="25.5" x14ac:dyDescent="0.25">
      <c r="A2982" s="249"/>
      <c r="B2982" s="252"/>
      <c r="C2982" s="40" t="s">
        <v>3991</v>
      </c>
      <c r="D2982" s="40" t="s">
        <v>1286</v>
      </c>
      <c r="E2982" s="41">
        <v>3.4159999999999999</v>
      </c>
      <c r="F2982" s="38">
        <v>14.25</v>
      </c>
      <c r="G2982" s="38">
        <f t="shared" si="51"/>
        <v>48.677999999999997</v>
      </c>
      <c r="H2982" s="39"/>
      <c r="I2982" s="35"/>
      <c r="J2982" s="34">
        <v>690</v>
      </c>
    </row>
    <row r="2983" spans="1:10" x14ac:dyDescent="0.25">
      <c r="A2983" s="249"/>
      <c r="B2983" s="252"/>
      <c r="C2983" s="40" t="s">
        <v>3834</v>
      </c>
      <c r="D2983" s="40" t="s">
        <v>1035</v>
      </c>
      <c r="E2983" s="41">
        <v>0.96399999999999997</v>
      </c>
      <c r="F2983" s="35">
        <v>37.619999999999997</v>
      </c>
      <c r="G2983" s="38">
        <f t="shared" si="51"/>
        <v>36.265679999999996</v>
      </c>
      <c r="H2983" s="39"/>
      <c r="I2983" s="35"/>
      <c r="J2983" s="34">
        <v>690</v>
      </c>
    </row>
    <row r="2984" spans="1:10" ht="25.5" x14ac:dyDescent="0.25">
      <c r="A2984" s="249"/>
      <c r="B2984" s="252"/>
      <c r="C2984" s="40" t="s">
        <v>3847</v>
      </c>
      <c r="D2984" s="40" t="s">
        <v>177</v>
      </c>
      <c r="E2984" s="41">
        <v>1</v>
      </c>
      <c r="F2984" s="35">
        <v>299.40199999999999</v>
      </c>
      <c r="G2984" s="38">
        <f t="shared" si="51"/>
        <v>299.40199999999999</v>
      </c>
      <c r="H2984" s="39"/>
      <c r="I2984" s="35"/>
      <c r="J2984" s="34">
        <v>690</v>
      </c>
    </row>
    <row r="2985" spans="1:10" ht="25.5" x14ac:dyDescent="0.25">
      <c r="A2985" s="249"/>
      <c r="B2985" s="252"/>
      <c r="C2985" s="40" t="s">
        <v>3960</v>
      </c>
      <c r="D2985" s="40" t="s">
        <v>1286</v>
      </c>
      <c r="E2985" s="41">
        <v>2.992</v>
      </c>
      <c r="F2985" s="35">
        <v>2.2989999999999999</v>
      </c>
      <c r="G2985" s="38">
        <f t="shared" si="51"/>
        <v>6.8786079999999998</v>
      </c>
      <c r="H2985" s="39"/>
      <c r="I2985" s="35"/>
      <c r="J2985" s="34">
        <v>690</v>
      </c>
    </row>
    <row r="2986" spans="1:10" x14ac:dyDescent="0.25">
      <c r="A2986" s="249"/>
      <c r="B2986" s="252"/>
      <c r="C2986" s="40" t="s">
        <v>3754</v>
      </c>
      <c r="D2986" s="40" t="s">
        <v>3752</v>
      </c>
      <c r="E2986" s="41">
        <v>1.619</v>
      </c>
      <c r="F2986" s="35">
        <v>20.814499999999999</v>
      </c>
      <c r="G2986" s="38">
        <f t="shared" si="51"/>
        <v>33.6986755</v>
      </c>
      <c r="H2986" s="39"/>
      <c r="I2986" s="35"/>
      <c r="J2986" s="34">
        <v>690</v>
      </c>
    </row>
    <row r="2987" spans="1:10" x14ac:dyDescent="0.25">
      <c r="A2987" s="249"/>
      <c r="B2987" s="252"/>
      <c r="C2987" s="40" t="s">
        <v>3767</v>
      </c>
      <c r="D2987" s="40" t="s">
        <v>3752</v>
      </c>
      <c r="E2987" s="41">
        <v>1.6659999999999999</v>
      </c>
      <c r="F2987" s="35">
        <v>25.877999999999997</v>
      </c>
      <c r="G2987" s="38">
        <f t="shared" si="51"/>
        <v>43.112747999999989</v>
      </c>
      <c r="H2987" s="39"/>
      <c r="I2987" s="35"/>
      <c r="J2987" s="34">
        <v>690</v>
      </c>
    </row>
    <row r="2988" spans="1:10" ht="15.75" thickBot="1" x14ac:dyDescent="0.3">
      <c r="A2988" s="250"/>
      <c r="B2988" s="253"/>
      <c r="C2988" s="40"/>
      <c r="D2988" s="40"/>
      <c r="E2988" s="41"/>
      <c r="F2988" s="35" t="s">
        <v>23</v>
      </c>
      <c r="G2988" s="38" t="str">
        <f t="shared" si="51"/>
        <v/>
      </c>
      <c r="H2988" s="39"/>
      <c r="I2988" s="35"/>
      <c r="J2988" s="34">
        <v>690</v>
      </c>
    </row>
    <row r="2989" spans="1:10" ht="15.75" thickBot="1" x14ac:dyDescent="0.3">
      <c r="A2989" s="248" t="s">
        <v>758</v>
      </c>
      <c r="B2989" s="251" t="s">
        <v>2667</v>
      </c>
      <c r="C2989" s="28"/>
      <c r="D2989" s="29" t="s">
        <v>28</v>
      </c>
      <c r="E2989" s="30"/>
      <c r="F2989" s="45" t="s">
        <v>23</v>
      </c>
      <c r="G2989" s="31" t="str">
        <f t="shared" si="51"/>
        <v/>
      </c>
      <c r="H2989" s="32"/>
      <c r="I2989" s="33"/>
      <c r="J2989" s="34">
        <v>120</v>
      </c>
    </row>
    <row r="2990" spans="1:10" x14ac:dyDescent="0.25">
      <c r="A2990" s="249"/>
      <c r="B2990" s="252"/>
      <c r="C2990" s="36"/>
      <c r="D2990" s="36"/>
      <c r="E2990" s="37"/>
      <c r="F2990" s="46" t="s">
        <v>23</v>
      </c>
      <c r="G2990" s="38" t="str">
        <f t="shared" si="51"/>
        <v/>
      </c>
      <c r="H2990" s="39"/>
      <c r="I2990" s="35"/>
      <c r="J2990" s="34">
        <v>120</v>
      </c>
    </row>
    <row r="2991" spans="1:10" x14ac:dyDescent="0.25">
      <c r="A2991" s="249"/>
      <c r="B2991" s="252"/>
      <c r="C2991" s="40" t="s">
        <v>3767</v>
      </c>
      <c r="D2991" s="40" t="s">
        <v>3752</v>
      </c>
      <c r="E2991" s="41">
        <v>0.2</v>
      </c>
      <c r="F2991" s="38">
        <v>25.877999999999997</v>
      </c>
      <c r="G2991" s="38">
        <f t="shared" si="51"/>
        <v>5.1755999999999993</v>
      </c>
      <c r="H2991" s="43">
        <f>SUM(G2991:G2992)</f>
        <v>42.625600000000006</v>
      </c>
      <c r="I2991" s="44"/>
      <c r="J2991" s="34">
        <v>120</v>
      </c>
    </row>
    <row r="2992" spans="1:10" ht="25.5" x14ac:dyDescent="0.25">
      <c r="A2992" s="249"/>
      <c r="B2992" s="252"/>
      <c r="C2992" s="40" t="s">
        <v>759</v>
      </c>
      <c r="D2992" s="40" t="s">
        <v>28</v>
      </c>
      <c r="E2992" s="41">
        <v>1</v>
      </c>
      <c r="F2992" s="35">
        <v>37.450000000000003</v>
      </c>
      <c r="G2992" s="38">
        <f t="shared" si="51"/>
        <v>37.450000000000003</v>
      </c>
      <c r="H2992" s="39"/>
      <c r="I2992" s="35"/>
      <c r="J2992" s="34">
        <v>120</v>
      </c>
    </row>
    <row r="2993" spans="1:10" ht="15.75" thickBot="1" x14ac:dyDescent="0.3">
      <c r="A2993" s="250"/>
      <c r="B2993" s="253"/>
      <c r="C2993" s="40"/>
      <c r="D2993" s="40"/>
      <c r="E2993" s="41"/>
      <c r="F2993" s="35" t="s">
        <v>23</v>
      </c>
      <c r="G2993" s="38" t="str">
        <f t="shared" si="51"/>
        <v/>
      </c>
      <c r="H2993" s="39"/>
      <c r="I2993" s="35"/>
      <c r="J2993" s="34">
        <v>120</v>
      </c>
    </row>
    <row r="2994" spans="1:10" ht="15.75" thickBot="1" x14ac:dyDescent="0.3">
      <c r="A2994" s="248" t="s">
        <v>760</v>
      </c>
      <c r="B2994" s="251" t="s">
        <v>2668</v>
      </c>
      <c r="C2994" s="28"/>
      <c r="D2994" s="29" t="s">
        <v>28</v>
      </c>
      <c r="E2994" s="30"/>
      <c r="F2994" s="45" t="s">
        <v>23</v>
      </c>
      <c r="G2994" s="31" t="str">
        <f t="shared" ref="G2994:G3057" si="52">IF(ISNUMBER(F2994),E2994*F2994,"")</f>
        <v/>
      </c>
      <c r="H2994" s="32"/>
      <c r="I2994" s="33"/>
      <c r="J2994" s="34">
        <v>20</v>
      </c>
    </row>
    <row r="2995" spans="1:10" x14ac:dyDescent="0.25">
      <c r="A2995" s="249"/>
      <c r="B2995" s="252"/>
      <c r="C2995" s="36"/>
      <c r="D2995" s="36"/>
      <c r="E2995" s="37"/>
      <c r="F2995" s="46" t="s">
        <v>23</v>
      </c>
      <c r="G2995" s="38" t="str">
        <f t="shared" si="52"/>
        <v/>
      </c>
      <c r="H2995" s="39"/>
      <c r="I2995" s="35"/>
      <c r="J2995" s="34">
        <v>20</v>
      </c>
    </row>
    <row r="2996" spans="1:10" x14ac:dyDescent="0.25">
      <c r="A2996" s="249"/>
      <c r="B2996" s="252"/>
      <c r="C2996" s="40" t="s">
        <v>3767</v>
      </c>
      <c r="D2996" s="40" t="s">
        <v>3752</v>
      </c>
      <c r="E2996" s="41">
        <v>0.2</v>
      </c>
      <c r="F2996" s="38">
        <v>25.877999999999997</v>
      </c>
      <c r="G2996" s="38">
        <f t="shared" si="52"/>
        <v>5.1755999999999993</v>
      </c>
      <c r="H2996" s="43">
        <f>SUM(G2996:G2997)</f>
        <v>34.375599999999999</v>
      </c>
      <c r="I2996" s="44"/>
      <c r="J2996" s="34">
        <v>20</v>
      </c>
    </row>
    <row r="2997" spans="1:10" ht="38.25" x14ac:dyDescent="0.25">
      <c r="A2997" s="249"/>
      <c r="B2997" s="252"/>
      <c r="C2997" s="40" t="s">
        <v>761</v>
      </c>
      <c r="D2997" s="40" t="s">
        <v>28</v>
      </c>
      <c r="E2997" s="41">
        <v>1</v>
      </c>
      <c r="F2997" s="35">
        <v>29.2</v>
      </c>
      <c r="G2997" s="38">
        <f t="shared" si="52"/>
        <v>29.2</v>
      </c>
      <c r="H2997" s="39"/>
      <c r="I2997" s="35"/>
      <c r="J2997" s="34">
        <v>20</v>
      </c>
    </row>
    <row r="2998" spans="1:10" ht="15.75" thickBot="1" x14ac:dyDescent="0.3">
      <c r="A2998" s="250"/>
      <c r="B2998" s="253"/>
      <c r="C2998" s="40"/>
      <c r="D2998" s="40"/>
      <c r="E2998" s="41"/>
      <c r="F2998" s="35" t="s">
        <v>23</v>
      </c>
      <c r="G2998" s="38" t="str">
        <f t="shared" si="52"/>
        <v/>
      </c>
      <c r="H2998" s="39"/>
      <c r="I2998" s="35"/>
      <c r="J2998" s="34">
        <v>20</v>
      </c>
    </row>
    <row r="2999" spans="1:10" ht="15.75" thickBot="1" x14ac:dyDescent="0.3">
      <c r="A2999" s="248" t="s">
        <v>762</v>
      </c>
      <c r="B2999" s="251" t="s">
        <v>2669</v>
      </c>
      <c r="C2999" s="28"/>
      <c r="D2999" s="29" t="s">
        <v>28</v>
      </c>
      <c r="E2999" s="30"/>
      <c r="F2999" s="45" t="s">
        <v>23</v>
      </c>
      <c r="G2999" s="31" t="str">
        <f t="shared" si="52"/>
        <v/>
      </c>
      <c r="H2999" s="32"/>
      <c r="I2999" s="33"/>
      <c r="J2999" s="34">
        <v>90</v>
      </c>
    </row>
    <row r="3000" spans="1:10" x14ac:dyDescent="0.25">
      <c r="A3000" s="249"/>
      <c r="B3000" s="252"/>
      <c r="C3000" s="36"/>
      <c r="D3000" s="36"/>
      <c r="E3000" s="37"/>
      <c r="F3000" s="46" t="s">
        <v>23</v>
      </c>
      <c r="G3000" s="38" t="str">
        <f t="shared" si="52"/>
        <v/>
      </c>
      <c r="H3000" s="39"/>
      <c r="I3000" s="35"/>
      <c r="J3000" s="34">
        <v>90</v>
      </c>
    </row>
    <row r="3001" spans="1:10" x14ac:dyDescent="0.25">
      <c r="A3001" s="249"/>
      <c r="B3001" s="252"/>
      <c r="C3001" s="40" t="s">
        <v>3767</v>
      </c>
      <c r="D3001" s="40" t="s">
        <v>3752</v>
      </c>
      <c r="E3001" s="41">
        <v>0.2</v>
      </c>
      <c r="F3001" s="38">
        <v>25.877999999999997</v>
      </c>
      <c r="G3001" s="38">
        <f t="shared" si="52"/>
        <v>5.1755999999999993</v>
      </c>
      <c r="H3001" s="43">
        <f>SUM(G3001:G3002)</f>
        <v>17.445599999999999</v>
      </c>
      <c r="I3001" s="44"/>
      <c r="J3001" s="34">
        <v>90</v>
      </c>
    </row>
    <row r="3002" spans="1:10" ht="25.5" x14ac:dyDescent="0.25">
      <c r="A3002" s="249"/>
      <c r="B3002" s="252"/>
      <c r="C3002" s="40" t="s">
        <v>763</v>
      </c>
      <c r="D3002" s="40" t="s">
        <v>28</v>
      </c>
      <c r="E3002" s="41">
        <v>1</v>
      </c>
      <c r="F3002" s="35">
        <v>12.27</v>
      </c>
      <c r="G3002" s="38">
        <f t="shared" si="52"/>
        <v>12.27</v>
      </c>
      <c r="H3002" s="39"/>
      <c r="I3002" s="35"/>
      <c r="J3002" s="34">
        <v>90</v>
      </c>
    </row>
    <row r="3003" spans="1:10" ht="15.75" thickBot="1" x14ac:dyDescent="0.3">
      <c r="A3003" s="250"/>
      <c r="B3003" s="253"/>
      <c r="C3003" s="40"/>
      <c r="D3003" s="40"/>
      <c r="E3003" s="41"/>
      <c r="F3003" s="35" t="s">
        <v>23</v>
      </c>
      <c r="G3003" s="38" t="str">
        <f t="shared" si="52"/>
        <v/>
      </c>
      <c r="H3003" s="39"/>
      <c r="I3003" s="35"/>
      <c r="J3003" s="34">
        <v>90</v>
      </c>
    </row>
    <row r="3004" spans="1:10" ht="15.75" thickBot="1" x14ac:dyDescent="0.3">
      <c r="A3004" s="248" t="s">
        <v>764</v>
      </c>
      <c r="B3004" s="251" t="s">
        <v>2670</v>
      </c>
      <c r="C3004" s="28"/>
      <c r="D3004" s="29" t="s">
        <v>28</v>
      </c>
      <c r="E3004" s="30"/>
      <c r="F3004" s="45" t="s">
        <v>23</v>
      </c>
      <c r="G3004" s="31" t="str">
        <f t="shared" si="52"/>
        <v/>
      </c>
      <c r="H3004" s="32"/>
      <c r="I3004" s="33"/>
      <c r="J3004" s="34">
        <v>60</v>
      </c>
    </row>
    <row r="3005" spans="1:10" x14ac:dyDescent="0.25">
      <c r="A3005" s="249"/>
      <c r="B3005" s="252"/>
      <c r="C3005" s="36"/>
      <c r="D3005" s="36"/>
      <c r="E3005" s="37"/>
      <c r="F3005" s="46" t="s">
        <v>23</v>
      </c>
      <c r="G3005" s="38" t="str">
        <f t="shared" si="52"/>
        <v/>
      </c>
      <c r="H3005" s="39"/>
      <c r="I3005" s="35"/>
      <c r="J3005" s="34">
        <v>60</v>
      </c>
    </row>
    <row r="3006" spans="1:10" x14ac:dyDescent="0.25">
      <c r="A3006" s="249"/>
      <c r="B3006" s="252"/>
      <c r="C3006" s="40" t="s">
        <v>3767</v>
      </c>
      <c r="D3006" s="40" t="s">
        <v>3752</v>
      </c>
      <c r="E3006" s="41">
        <v>1.5</v>
      </c>
      <c r="F3006" s="38">
        <v>25.877999999999997</v>
      </c>
      <c r="G3006" s="38">
        <f t="shared" si="52"/>
        <v>38.816999999999993</v>
      </c>
      <c r="H3006" s="43">
        <f>SUM(G3006:G3007)</f>
        <v>483.80700000000002</v>
      </c>
      <c r="I3006" s="44"/>
      <c r="J3006" s="34">
        <v>60</v>
      </c>
    </row>
    <row r="3007" spans="1:10" ht="51" x14ac:dyDescent="0.25">
      <c r="A3007" s="249"/>
      <c r="B3007" s="252"/>
      <c r="C3007" s="84" t="s">
        <v>765</v>
      </c>
      <c r="D3007" s="40" t="s">
        <v>28</v>
      </c>
      <c r="E3007" s="41">
        <v>1</v>
      </c>
      <c r="F3007" s="35">
        <v>444.99</v>
      </c>
      <c r="G3007" s="38">
        <f t="shared" si="52"/>
        <v>444.99</v>
      </c>
      <c r="H3007" s="39"/>
      <c r="I3007" s="35"/>
      <c r="J3007" s="34">
        <v>60</v>
      </c>
    </row>
    <row r="3008" spans="1:10" ht="15.75" thickBot="1" x14ac:dyDescent="0.3">
      <c r="A3008" s="250"/>
      <c r="B3008" s="253"/>
      <c r="C3008" s="40"/>
      <c r="D3008" s="40"/>
      <c r="E3008" s="41"/>
      <c r="F3008" s="35" t="s">
        <v>23</v>
      </c>
      <c r="G3008" s="38" t="str">
        <f t="shared" si="52"/>
        <v/>
      </c>
      <c r="H3008" s="39"/>
      <c r="I3008" s="35"/>
      <c r="J3008" s="34">
        <v>60</v>
      </c>
    </row>
    <row r="3009" spans="1:10" ht="15.75" thickBot="1" x14ac:dyDescent="0.3">
      <c r="A3009" s="248" t="s">
        <v>766</v>
      </c>
      <c r="B3009" s="251" t="s">
        <v>2671</v>
      </c>
      <c r="C3009" s="28"/>
      <c r="D3009" s="29" t="s">
        <v>28</v>
      </c>
      <c r="E3009" s="30"/>
      <c r="F3009" s="45" t="s">
        <v>23</v>
      </c>
      <c r="G3009" s="31" t="str">
        <f t="shared" si="52"/>
        <v/>
      </c>
      <c r="H3009" s="32"/>
      <c r="I3009" s="33"/>
      <c r="J3009" s="34">
        <v>20</v>
      </c>
    </row>
    <row r="3010" spans="1:10" x14ac:dyDescent="0.25">
      <c r="A3010" s="249"/>
      <c r="B3010" s="252"/>
      <c r="C3010" s="36"/>
      <c r="D3010" s="36"/>
      <c r="E3010" s="37"/>
      <c r="F3010" s="46" t="s">
        <v>23</v>
      </c>
      <c r="G3010" s="38" t="str">
        <f t="shared" si="52"/>
        <v/>
      </c>
      <c r="H3010" s="39"/>
      <c r="I3010" s="35"/>
      <c r="J3010" s="34">
        <v>20</v>
      </c>
    </row>
    <row r="3011" spans="1:10" x14ac:dyDescent="0.25">
      <c r="A3011" s="249"/>
      <c r="B3011" s="252"/>
      <c r="C3011" s="40" t="s">
        <v>3767</v>
      </c>
      <c r="D3011" s="40" t="s">
        <v>3752</v>
      </c>
      <c r="E3011" s="41">
        <v>1.5</v>
      </c>
      <c r="F3011" s="38">
        <v>25.877999999999997</v>
      </c>
      <c r="G3011" s="38">
        <f t="shared" si="52"/>
        <v>38.816999999999993</v>
      </c>
      <c r="H3011" s="43">
        <f>SUM(G3011:G3012)</f>
        <v>251.89699999999999</v>
      </c>
      <c r="I3011" s="44"/>
      <c r="J3011" s="34">
        <v>20</v>
      </c>
    </row>
    <row r="3012" spans="1:10" x14ac:dyDescent="0.25">
      <c r="A3012" s="249"/>
      <c r="B3012" s="252"/>
      <c r="C3012" s="40" t="s">
        <v>767</v>
      </c>
      <c r="D3012" s="40" t="s">
        <v>28</v>
      </c>
      <c r="E3012" s="41">
        <v>1</v>
      </c>
      <c r="F3012" s="35">
        <v>213.08</v>
      </c>
      <c r="G3012" s="38">
        <f t="shared" si="52"/>
        <v>213.08</v>
      </c>
      <c r="H3012" s="39"/>
      <c r="I3012" s="35"/>
      <c r="J3012" s="34">
        <v>20</v>
      </c>
    </row>
    <row r="3013" spans="1:10" ht="15.75" thickBot="1" x14ac:dyDescent="0.3">
      <c r="A3013" s="250"/>
      <c r="B3013" s="253"/>
      <c r="C3013" s="40"/>
      <c r="D3013" s="40"/>
      <c r="E3013" s="41"/>
      <c r="F3013" s="35" t="s">
        <v>23</v>
      </c>
      <c r="G3013" s="38" t="str">
        <f t="shared" si="52"/>
        <v/>
      </c>
      <c r="H3013" s="39"/>
      <c r="I3013" s="35"/>
      <c r="J3013" s="34">
        <v>20</v>
      </c>
    </row>
    <row r="3014" spans="1:10" ht="15.75" thickBot="1" x14ac:dyDescent="0.3">
      <c r="A3014" s="248" t="s">
        <v>768</v>
      </c>
      <c r="B3014" s="251" t="s">
        <v>2672</v>
      </c>
      <c r="C3014" s="28"/>
      <c r="D3014" s="29" t="s">
        <v>28</v>
      </c>
      <c r="E3014" s="30"/>
      <c r="F3014" s="45" t="s">
        <v>23</v>
      </c>
      <c r="G3014" s="31" t="str">
        <f t="shared" si="52"/>
        <v/>
      </c>
      <c r="H3014" s="32"/>
      <c r="I3014" s="33"/>
      <c r="J3014" s="34">
        <v>20</v>
      </c>
    </row>
    <row r="3015" spans="1:10" x14ac:dyDescent="0.25">
      <c r="A3015" s="249"/>
      <c r="B3015" s="252"/>
      <c r="C3015" s="36"/>
      <c r="D3015" s="36"/>
      <c r="E3015" s="37"/>
      <c r="F3015" s="46" t="s">
        <v>23</v>
      </c>
      <c r="G3015" s="38" t="str">
        <f t="shared" si="52"/>
        <v/>
      </c>
      <c r="H3015" s="39"/>
      <c r="I3015" s="35"/>
      <c r="J3015" s="34">
        <v>20</v>
      </c>
    </row>
    <row r="3016" spans="1:10" x14ac:dyDescent="0.25">
      <c r="A3016" s="249"/>
      <c r="B3016" s="252"/>
      <c r="C3016" s="40" t="s">
        <v>3767</v>
      </c>
      <c r="D3016" s="40" t="s">
        <v>3752</v>
      </c>
      <c r="E3016" s="41">
        <v>1</v>
      </c>
      <c r="F3016" s="38">
        <v>25.877999999999997</v>
      </c>
      <c r="G3016" s="38">
        <f t="shared" si="52"/>
        <v>25.877999999999997</v>
      </c>
      <c r="H3016" s="43">
        <f>SUM(G3016:G3017)</f>
        <v>116.148</v>
      </c>
      <c r="I3016" s="44"/>
      <c r="J3016" s="34">
        <v>20</v>
      </c>
    </row>
    <row r="3017" spans="1:10" ht="25.5" x14ac:dyDescent="0.25">
      <c r="A3017" s="249"/>
      <c r="B3017" s="252"/>
      <c r="C3017" s="40" t="s">
        <v>769</v>
      </c>
      <c r="D3017" s="40" t="s">
        <v>28</v>
      </c>
      <c r="E3017" s="41">
        <v>1</v>
      </c>
      <c r="F3017" s="35">
        <v>90.27</v>
      </c>
      <c r="G3017" s="38">
        <f t="shared" si="52"/>
        <v>90.27</v>
      </c>
      <c r="H3017" s="39"/>
      <c r="I3017" s="35"/>
      <c r="J3017" s="34">
        <v>20</v>
      </c>
    </row>
    <row r="3018" spans="1:10" ht="15.75" thickBot="1" x14ac:dyDescent="0.3">
      <c r="A3018" s="250"/>
      <c r="B3018" s="253"/>
      <c r="C3018" s="40"/>
      <c r="D3018" s="40"/>
      <c r="E3018" s="41"/>
      <c r="F3018" s="35" t="s">
        <v>23</v>
      </c>
      <c r="G3018" s="38" t="str">
        <f t="shared" si="52"/>
        <v/>
      </c>
      <c r="H3018" s="39"/>
      <c r="I3018" s="35"/>
      <c r="J3018" s="34">
        <v>20</v>
      </c>
    </row>
    <row r="3019" spans="1:10" ht="15.75" thickBot="1" x14ac:dyDescent="0.3">
      <c r="A3019" s="248" t="s">
        <v>770</v>
      </c>
      <c r="B3019" s="251" t="s">
        <v>2673</v>
      </c>
      <c r="C3019" s="28"/>
      <c r="D3019" s="29" t="s">
        <v>28</v>
      </c>
      <c r="E3019" s="30"/>
      <c r="F3019" s="45" t="s">
        <v>23</v>
      </c>
      <c r="G3019" s="31" t="str">
        <f t="shared" si="52"/>
        <v/>
      </c>
      <c r="H3019" s="32"/>
      <c r="I3019" s="33"/>
      <c r="J3019" s="34">
        <v>20</v>
      </c>
    </row>
    <row r="3020" spans="1:10" x14ac:dyDescent="0.25">
      <c r="A3020" s="249"/>
      <c r="B3020" s="252"/>
      <c r="C3020" s="36"/>
      <c r="D3020" s="36"/>
      <c r="E3020" s="37"/>
      <c r="F3020" s="46" t="s">
        <v>23</v>
      </c>
      <c r="G3020" s="38" t="str">
        <f t="shared" si="52"/>
        <v/>
      </c>
      <c r="H3020" s="39"/>
      <c r="I3020" s="35"/>
      <c r="J3020" s="34">
        <v>20</v>
      </c>
    </row>
    <row r="3021" spans="1:10" x14ac:dyDescent="0.25">
      <c r="A3021" s="249"/>
      <c r="B3021" s="252"/>
      <c r="C3021" s="40" t="s">
        <v>3767</v>
      </c>
      <c r="D3021" s="40" t="s">
        <v>3752</v>
      </c>
      <c r="E3021" s="41">
        <v>0.1</v>
      </c>
      <c r="F3021" s="38">
        <v>25.877999999999997</v>
      </c>
      <c r="G3021" s="38">
        <f t="shared" si="52"/>
        <v>2.5877999999999997</v>
      </c>
      <c r="H3021" s="43">
        <f>SUM(G3021:G3022)</f>
        <v>5.1277999999999997</v>
      </c>
      <c r="I3021" s="44"/>
      <c r="J3021" s="34">
        <v>20</v>
      </c>
    </row>
    <row r="3022" spans="1:10" ht="25.5" x14ac:dyDescent="0.25">
      <c r="A3022" s="249"/>
      <c r="B3022" s="252"/>
      <c r="C3022" s="40" t="s">
        <v>771</v>
      </c>
      <c r="D3022" s="40" t="s">
        <v>28</v>
      </c>
      <c r="E3022" s="41">
        <v>1</v>
      </c>
      <c r="F3022" s="35">
        <v>2.54</v>
      </c>
      <c r="G3022" s="38">
        <f t="shared" si="52"/>
        <v>2.54</v>
      </c>
      <c r="H3022" s="39"/>
      <c r="I3022" s="35"/>
      <c r="J3022" s="34">
        <v>20</v>
      </c>
    </row>
    <row r="3023" spans="1:10" ht="15.75" thickBot="1" x14ac:dyDescent="0.3">
      <c r="A3023" s="250"/>
      <c r="B3023" s="253"/>
      <c r="C3023" s="40"/>
      <c r="D3023" s="40"/>
      <c r="E3023" s="41"/>
      <c r="F3023" s="35" t="s">
        <v>23</v>
      </c>
      <c r="G3023" s="38" t="str">
        <f t="shared" si="52"/>
        <v/>
      </c>
      <c r="H3023" s="39"/>
      <c r="I3023" s="35"/>
      <c r="J3023" s="34">
        <v>20</v>
      </c>
    </row>
    <row r="3024" spans="1:10" ht="15.75" thickBot="1" x14ac:dyDescent="0.3">
      <c r="A3024" s="248" t="s">
        <v>772</v>
      </c>
      <c r="B3024" s="251" t="s">
        <v>2674</v>
      </c>
      <c r="C3024" s="28"/>
      <c r="D3024" s="29" t="s">
        <v>28</v>
      </c>
      <c r="E3024" s="30"/>
      <c r="F3024" s="45" t="s">
        <v>23</v>
      </c>
      <c r="G3024" s="31" t="str">
        <f t="shared" si="52"/>
        <v/>
      </c>
      <c r="H3024" s="32"/>
      <c r="I3024" s="33"/>
      <c r="J3024" s="34">
        <v>360</v>
      </c>
    </row>
    <row r="3025" spans="1:10" x14ac:dyDescent="0.25">
      <c r="A3025" s="249"/>
      <c r="B3025" s="252"/>
      <c r="C3025" s="36"/>
      <c r="D3025" s="36"/>
      <c r="E3025" s="37"/>
      <c r="F3025" s="46" t="s">
        <v>23</v>
      </c>
      <c r="G3025" s="38" t="str">
        <f t="shared" si="52"/>
        <v/>
      </c>
      <c r="H3025" s="39"/>
      <c r="I3025" s="35"/>
      <c r="J3025" s="34">
        <v>360</v>
      </c>
    </row>
    <row r="3026" spans="1:10" x14ac:dyDescent="0.25">
      <c r="A3026" s="249"/>
      <c r="B3026" s="252"/>
      <c r="C3026" s="40" t="s">
        <v>3767</v>
      </c>
      <c r="D3026" s="40" t="s">
        <v>3752</v>
      </c>
      <c r="E3026" s="41">
        <v>0.2</v>
      </c>
      <c r="F3026" s="38">
        <v>25.877999999999997</v>
      </c>
      <c r="G3026" s="38">
        <f t="shared" si="52"/>
        <v>5.1755999999999993</v>
      </c>
      <c r="H3026" s="43">
        <f>SUM(G3026:G3027)</f>
        <v>18.4756</v>
      </c>
      <c r="I3026" s="44"/>
      <c r="J3026" s="34">
        <v>360</v>
      </c>
    </row>
    <row r="3027" spans="1:10" ht="25.5" x14ac:dyDescent="0.25">
      <c r="A3027" s="249"/>
      <c r="B3027" s="252"/>
      <c r="C3027" s="40" t="s">
        <v>773</v>
      </c>
      <c r="D3027" s="40" t="s">
        <v>28</v>
      </c>
      <c r="E3027" s="41">
        <v>1</v>
      </c>
      <c r="F3027" s="35">
        <v>13.3</v>
      </c>
      <c r="G3027" s="38">
        <f t="shared" si="52"/>
        <v>13.3</v>
      </c>
      <c r="H3027" s="39"/>
      <c r="I3027" s="35"/>
      <c r="J3027" s="34">
        <v>360</v>
      </c>
    </row>
    <row r="3028" spans="1:10" ht="15.75" thickBot="1" x14ac:dyDescent="0.3">
      <c r="A3028" s="250"/>
      <c r="B3028" s="253"/>
      <c r="C3028" s="40"/>
      <c r="D3028" s="40"/>
      <c r="E3028" s="41"/>
      <c r="F3028" s="35" t="s">
        <v>23</v>
      </c>
      <c r="G3028" s="38" t="str">
        <f t="shared" si="52"/>
        <v/>
      </c>
      <c r="H3028" s="39"/>
      <c r="I3028" s="35"/>
      <c r="J3028" s="34">
        <v>360</v>
      </c>
    </row>
    <row r="3029" spans="1:10" ht="15.75" thickBot="1" x14ac:dyDescent="0.3">
      <c r="A3029" s="248" t="s">
        <v>774</v>
      </c>
      <c r="B3029" s="251" t="s">
        <v>2675</v>
      </c>
      <c r="C3029" s="28"/>
      <c r="D3029" s="29" t="s">
        <v>28</v>
      </c>
      <c r="E3029" s="30"/>
      <c r="F3029" s="45" t="s">
        <v>23</v>
      </c>
      <c r="G3029" s="31" t="str">
        <f t="shared" si="52"/>
        <v/>
      </c>
      <c r="H3029" s="32"/>
      <c r="I3029" s="33"/>
      <c r="J3029" s="34">
        <v>100</v>
      </c>
    </row>
    <row r="3030" spans="1:10" x14ac:dyDescent="0.25">
      <c r="A3030" s="249"/>
      <c r="B3030" s="252"/>
      <c r="C3030" s="36"/>
      <c r="D3030" s="36"/>
      <c r="E3030" s="37"/>
      <c r="F3030" s="46" t="s">
        <v>23</v>
      </c>
      <c r="G3030" s="38" t="str">
        <f t="shared" si="52"/>
        <v/>
      </c>
      <c r="H3030" s="39"/>
      <c r="I3030" s="35"/>
      <c r="J3030" s="34">
        <v>100</v>
      </c>
    </row>
    <row r="3031" spans="1:10" x14ac:dyDescent="0.25">
      <c r="A3031" s="249"/>
      <c r="B3031" s="252"/>
      <c r="C3031" s="40" t="s">
        <v>3767</v>
      </c>
      <c r="D3031" s="40" t="s">
        <v>3752</v>
      </c>
      <c r="E3031" s="41">
        <v>0.2</v>
      </c>
      <c r="F3031" s="38">
        <v>25.877999999999997</v>
      </c>
      <c r="G3031" s="38">
        <f t="shared" si="52"/>
        <v>5.1755999999999993</v>
      </c>
      <c r="H3031" s="43">
        <f>SUM(G3031:G3032)</f>
        <v>25.125599999999999</v>
      </c>
      <c r="I3031" s="44"/>
      <c r="J3031" s="34">
        <v>100</v>
      </c>
    </row>
    <row r="3032" spans="1:10" ht="38.25" x14ac:dyDescent="0.25">
      <c r="A3032" s="249"/>
      <c r="B3032" s="252"/>
      <c r="C3032" s="40" t="s">
        <v>775</v>
      </c>
      <c r="D3032" s="40" t="s">
        <v>28</v>
      </c>
      <c r="E3032" s="41">
        <v>1</v>
      </c>
      <c r="F3032" s="35">
        <v>19.95</v>
      </c>
      <c r="G3032" s="38">
        <f t="shared" si="52"/>
        <v>19.95</v>
      </c>
      <c r="H3032" s="39"/>
      <c r="I3032" s="35"/>
      <c r="J3032" s="34">
        <v>100</v>
      </c>
    </row>
    <row r="3033" spans="1:10" ht="15.75" thickBot="1" x14ac:dyDescent="0.3">
      <c r="A3033" s="250"/>
      <c r="B3033" s="253"/>
      <c r="C3033" s="40"/>
      <c r="D3033" s="40"/>
      <c r="E3033" s="41"/>
      <c r="F3033" s="35" t="s">
        <v>23</v>
      </c>
      <c r="G3033" s="38" t="str">
        <f t="shared" si="52"/>
        <v/>
      </c>
      <c r="H3033" s="39"/>
      <c r="I3033" s="35"/>
      <c r="J3033" s="34">
        <v>100</v>
      </c>
    </row>
    <row r="3034" spans="1:10" ht="15.75" thickBot="1" x14ac:dyDescent="0.3">
      <c r="A3034" s="248" t="s">
        <v>776</v>
      </c>
      <c r="B3034" s="251" t="s">
        <v>2676</v>
      </c>
      <c r="C3034" s="28"/>
      <c r="D3034" s="29" t="s">
        <v>121</v>
      </c>
      <c r="E3034" s="30"/>
      <c r="F3034" s="45" t="s">
        <v>23</v>
      </c>
      <c r="G3034" s="31" t="str">
        <f t="shared" si="52"/>
        <v/>
      </c>
      <c r="H3034" s="32"/>
      <c r="I3034" s="33"/>
      <c r="J3034" s="34">
        <v>180</v>
      </c>
    </row>
    <row r="3035" spans="1:10" x14ac:dyDescent="0.25">
      <c r="A3035" s="262"/>
      <c r="B3035" s="252"/>
      <c r="C3035" s="36"/>
      <c r="D3035" s="36"/>
      <c r="E3035" s="37"/>
      <c r="F3035" s="46" t="s">
        <v>23</v>
      </c>
      <c r="G3035" s="38" t="str">
        <f t="shared" si="52"/>
        <v/>
      </c>
      <c r="H3035" s="39"/>
      <c r="I3035" s="35"/>
      <c r="J3035" s="34">
        <v>180</v>
      </c>
    </row>
    <row r="3036" spans="1:10" x14ac:dyDescent="0.25">
      <c r="A3036" s="262"/>
      <c r="B3036" s="252"/>
      <c r="C3036" s="40" t="s">
        <v>3767</v>
      </c>
      <c r="D3036" s="40" t="s">
        <v>3752</v>
      </c>
      <c r="E3036" s="41">
        <v>0.25</v>
      </c>
      <c r="F3036" s="38">
        <v>25.877999999999997</v>
      </c>
      <c r="G3036" s="38">
        <f t="shared" si="52"/>
        <v>6.4694999999999991</v>
      </c>
      <c r="H3036" s="43">
        <f>SUM(G3036:G3037)</f>
        <v>38.559359999999991</v>
      </c>
      <c r="I3036" s="44"/>
      <c r="J3036" s="34">
        <v>180</v>
      </c>
    </row>
    <row r="3037" spans="1:10" x14ac:dyDescent="0.25">
      <c r="A3037" s="262"/>
      <c r="B3037" s="252"/>
      <c r="C3037" s="40" t="s">
        <v>3834</v>
      </c>
      <c r="D3037" s="40" t="s">
        <v>1035</v>
      </c>
      <c r="E3037" s="41">
        <v>0.85299999999999998</v>
      </c>
      <c r="F3037" s="35">
        <v>37.619999999999997</v>
      </c>
      <c r="G3037" s="38">
        <f t="shared" si="52"/>
        <v>32.089859999999994</v>
      </c>
      <c r="H3037" s="39"/>
      <c r="I3037" s="35"/>
      <c r="J3037" s="34">
        <v>180</v>
      </c>
    </row>
    <row r="3038" spans="1:10" x14ac:dyDescent="0.25">
      <c r="A3038" s="262"/>
      <c r="B3038" s="252"/>
      <c r="C3038" s="40"/>
      <c r="D3038" s="53"/>
      <c r="E3038" s="41"/>
      <c r="F3038" s="35" t="s">
        <v>23</v>
      </c>
      <c r="G3038" s="38" t="str">
        <f t="shared" si="52"/>
        <v/>
      </c>
      <c r="H3038" s="39"/>
      <c r="I3038" s="35"/>
      <c r="J3038" s="34">
        <v>180</v>
      </c>
    </row>
    <row r="3039" spans="1:10" ht="25.5" x14ac:dyDescent="0.25">
      <c r="A3039" s="262"/>
      <c r="B3039" s="252"/>
      <c r="C3039" s="50" t="s">
        <v>777</v>
      </c>
      <c r="D3039" s="53"/>
      <c r="E3039" s="41"/>
      <c r="F3039" s="35" t="s">
        <v>23</v>
      </c>
      <c r="G3039" s="38" t="str">
        <f t="shared" si="52"/>
        <v/>
      </c>
      <c r="H3039" s="39"/>
      <c r="I3039" s="35"/>
      <c r="J3039" s="34">
        <v>180</v>
      </c>
    </row>
    <row r="3040" spans="1:10" ht="25.5" x14ac:dyDescent="0.25">
      <c r="A3040" s="262"/>
      <c r="B3040" s="252"/>
      <c r="C3040" s="54" t="s">
        <v>731</v>
      </c>
      <c r="D3040" s="53"/>
      <c r="E3040" s="41"/>
      <c r="F3040" s="35" t="s">
        <v>23</v>
      </c>
      <c r="G3040" s="38" t="str">
        <f t="shared" si="52"/>
        <v/>
      </c>
      <c r="H3040" s="39"/>
      <c r="I3040" s="35"/>
      <c r="J3040" s="34">
        <v>180</v>
      </c>
    </row>
    <row r="3041" spans="1:10" ht="15.75" thickBot="1" x14ac:dyDescent="0.3">
      <c r="A3041" s="263"/>
      <c r="B3041" s="253"/>
      <c r="C3041" s="40"/>
      <c r="D3041" s="40"/>
      <c r="E3041" s="41"/>
      <c r="F3041" s="35" t="s">
        <v>23</v>
      </c>
      <c r="G3041" s="38" t="str">
        <f t="shared" si="52"/>
        <v/>
      </c>
      <c r="H3041" s="39"/>
      <c r="I3041" s="35"/>
      <c r="J3041" s="34">
        <v>180</v>
      </c>
    </row>
    <row r="3042" spans="1:10" ht="15.75" thickBot="1" x14ac:dyDescent="0.3">
      <c r="A3042" s="248" t="s">
        <v>778</v>
      </c>
      <c r="B3042" s="251" t="s">
        <v>2677</v>
      </c>
      <c r="C3042" s="28"/>
      <c r="D3042" s="29" t="s">
        <v>121</v>
      </c>
      <c r="E3042" s="30"/>
      <c r="F3042" s="45" t="s">
        <v>23</v>
      </c>
      <c r="G3042" s="31" t="str">
        <f t="shared" si="52"/>
        <v/>
      </c>
      <c r="H3042" s="32"/>
      <c r="I3042" s="33"/>
      <c r="J3042" s="34">
        <v>90</v>
      </c>
    </row>
    <row r="3043" spans="1:10" x14ac:dyDescent="0.25">
      <c r="A3043" s="249"/>
      <c r="B3043" s="252"/>
      <c r="C3043" s="36"/>
      <c r="D3043" s="36"/>
      <c r="E3043" s="37"/>
      <c r="F3043" s="46" t="s">
        <v>23</v>
      </c>
      <c r="G3043" s="38" t="str">
        <f t="shared" si="52"/>
        <v/>
      </c>
      <c r="H3043" s="39"/>
      <c r="I3043" s="35"/>
      <c r="J3043" s="34">
        <v>90</v>
      </c>
    </row>
    <row r="3044" spans="1:10" x14ac:dyDescent="0.25">
      <c r="A3044" s="249"/>
      <c r="B3044" s="252"/>
      <c r="C3044" s="40" t="s">
        <v>3767</v>
      </c>
      <c r="D3044" s="40" t="s">
        <v>3752</v>
      </c>
      <c r="E3044" s="41">
        <v>0.2</v>
      </c>
      <c r="F3044" s="38">
        <v>25.877999999999997</v>
      </c>
      <c r="G3044" s="38">
        <f t="shared" si="52"/>
        <v>5.1755999999999993</v>
      </c>
      <c r="H3044" s="43">
        <f>SUM(G3044:G3045)</f>
        <v>5.8717499999999996</v>
      </c>
      <c r="I3044" s="44"/>
      <c r="J3044" s="34">
        <v>90</v>
      </c>
    </row>
    <row r="3045" spans="1:10" ht="25.5" x14ac:dyDescent="0.25">
      <c r="A3045" s="249"/>
      <c r="B3045" s="252"/>
      <c r="C3045" s="40" t="s">
        <v>779</v>
      </c>
      <c r="D3045" s="40" t="s">
        <v>121</v>
      </c>
      <c r="E3045" s="41">
        <v>0.11899999999999999</v>
      </c>
      <c r="F3045" s="35">
        <v>5.85</v>
      </c>
      <c r="G3045" s="38">
        <f t="shared" si="52"/>
        <v>0.69614999999999994</v>
      </c>
      <c r="H3045" s="39"/>
      <c r="I3045" s="35"/>
      <c r="J3045" s="34">
        <v>90</v>
      </c>
    </row>
    <row r="3046" spans="1:10" ht="15.75" thickBot="1" x14ac:dyDescent="0.3">
      <c r="A3046" s="250"/>
      <c r="B3046" s="253"/>
      <c r="C3046" s="40"/>
      <c r="D3046" s="40"/>
      <c r="E3046" s="41"/>
      <c r="F3046" s="35" t="s">
        <v>23</v>
      </c>
      <c r="G3046" s="38" t="str">
        <f t="shared" si="52"/>
        <v/>
      </c>
      <c r="H3046" s="39"/>
      <c r="I3046" s="35"/>
      <c r="J3046" s="34">
        <v>90</v>
      </c>
    </row>
    <row r="3047" spans="1:10" ht="15.75" thickBot="1" x14ac:dyDescent="0.3">
      <c r="A3047" s="248" t="s">
        <v>780</v>
      </c>
      <c r="B3047" s="251" t="s">
        <v>2678</v>
      </c>
      <c r="C3047" s="28"/>
      <c r="D3047" s="29" t="s">
        <v>121</v>
      </c>
      <c r="E3047" s="30"/>
      <c r="F3047" s="45" t="s">
        <v>23</v>
      </c>
      <c r="G3047" s="31" t="str">
        <f t="shared" si="52"/>
        <v/>
      </c>
      <c r="H3047" s="32"/>
      <c r="I3047" s="33"/>
      <c r="J3047" s="34">
        <v>720</v>
      </c>
    </row>
    <row r="3048" spans="1:10" x14ac:dyDescent="0.25">
      <c r="A3048" s="262"/>
      <c r="B3048" s="252"/>
      <c r="C3048" s="36"/>
      <c r="D3048" s="36"/>
      <c r="E3048" s="37"/>
      <c r="F3048" s="46" t="s">
        <v>23</v>
      </c>
      <c r="G3048" s="38" t="str">
        <f t="shared" si="52"/>
        <v/>
      </c>
      <c r="H3048" s="39"/>
      <c r="I3048" s="35"/>
      <c r="J3048" s="34">
        <v>720</v>
      </c>
    </row>
    <row r="3049" spans="1:10" x14ac:dyDescent="0.25">
      <c r="A3049" s="262"/>
      <c r="B3049" s="252"/>
      <c r="C3049" s="40" t="s">
        <v>3767</v>
      </c>
      <c r="D3049" s="40" t="s">
        <v>3752</v>
      </c>
      <c r="E3049" s="41">
        <v>0.3</v>
      </c>
      <c r="F3049" s="38">
        <v>25.877999999999997</v>
      </c>
      <c r="G3049" s="38">
        <f t="shared" si="52"/>
        <v>7.763399999999999</v>
      </c>
      <c r="H3049" s="43">
        <f>SUM(G3049:G3050)</f>
        <v>12.240179999999999</v>
      </c>
      <c r="I3049" s="44"/>
      <c r="J3049" s="34">
        <v>720</v>
      </c>
    </row>
    <row r="3050" spans="1:10" x14ac:dyDescent="0.25">
      <c r="A3050" s="262"/>
      <c r="B3050" s="252"/>
      <c r="C3050" s="40" t="s">
        <v>3834</v>
      </c>
      <c r="D3050" s="40" t="s">
        <v>1035</v>
      </c>
      <c r="E3050" s="41">
        <v>0.11899999999999999</v>
      </c>
      <c r="F3050" s="35">
        <v>37.619999999999997</v>
      </c>
      <c r="G3050" s="38">
        <f t="shared" si="52"/>
        <v>4.4767799999999998</v>
      </c>
      <c r="H3050" s="39"/>
      <c r="I3050" s="35"/>
      <c r="J3050" s="34">
        <v>720</v>
      </c>
    </row>
    <row r="3051" spans="1:10" x14ac:dyDescent="0.25">
      <c r="A3051" s="262"/>
      <c r="B3051" s="252"/>
      <c r="C3051" s="40"/>
      <c r="D3051" s="40"/>
      <c r="E3051" s="41"/>
      <c r="F3051" s="35" t="s">
        <v>23</v>
      </c>
      <c r="G3051" s="38" t="str">
        <f t="shared" si="52"/>
        <v/>
      </c>
      <c r="H3051" s="39"/>
      <c r="I3051" s="35"/>
      <c r="J3051" s="34">
        <v>720</v>
      </c>
    </row>
    <row r="3052" spans="1:10" ht="38.25" x14ac:dyDescent="0.25">
      <c r="A3052" s="262"/>
      <c r="B3052" s="252"/>
      <c r="C3052" s="50" t="s">
        <v>781</v>
      </c>
      <c r="D3052" s="40"/>
      <c r="E3052" s="41"/>
      <c r="F3052" s="35" t="s">
        <v>23</v>
      </c>
      <c r="G3052" s="38" t="str">
        <f t="shared" si="52"/>
        <v/>
      </c>
      <c r="H3052" s="39"/>
      <c r="I3052" s="35"/>
      <c r="J3052" s="34">
        <v>720</v>
      </c>
    </row>
    <row r="3053" spans="1:10" x14ac:dyDescent="0.25">
      <c r="A3053" s="262"/>
      <c r="B3053" s="252"/>
      <c r="C3053" s="54" t="s">
        <v>782</v>
      </c>
      <c r="D3053" s="40"/>
      <c r="E3053" s="41"/>
      <c r="F3053" s="35" t="s">
        <v>23</v>
      </c>
      <c r="G3053" s="38" t="str">
        <f t="shared" si="52"/>
        <v/>
      </c>
      <c r="H3053" s="39"/>
      <c r="I3053" s="35"/>
      <c r="J3053" s="34">
        <v>720</v>
      </c>
    </row>
    <row r="3054" spans="1:10" ht="15.75" thickBot="1" x14ac:dyDescent="0.3">
      <c r="A3054" s="263"/>
      <c r="B3054" s="253"/>
      <c r="C3054" s="40"/>
      <c r="D3054" s="40"/>
      <c r="E3054" s="41"/>
      <c r="F3054" s="35" t="s">
        <v>23</v>
      </c>
      <c r="G3054" s="38" t="str">
        <f t="shared" si="52"/>
        <v/>
      </c>
      <c r="H3054" s="39"/>
      <c r="I3054" s="35"/>
      <c r="J3054" s="34">
        <v>720</v>
      </c>
    </row>
    <row r="3055" spans="1:10" ht="15.75" thickBot="1" x14ac:dyDescent="0.3">
      <c r="A3055" s="248" t="s">
        <v>783</v>
      </c>
      <c r="B3055" s="251" t="s">
        <v>2679</v>
      </c>
      <c r="C3055" s="28"/>
      <c r="D3055" s="29" t="s">
        <v>28</v>
      </c>
      <c r="E3055" s="30"/>
      <c r="F3055" s="45" t="s">
        <v>23</v>
      </c>
      <c r="G3055" s="31" t="str">
        <f t="shared" si="52"/>
        <v/>
      </c>
      <c r="H3055" s="32"/>
      <c r="I3055" s="33"/>
      <c r="J3055" s="34">
        <v>6000</v>
      </c>
    </row>
    <row r="3056" spans="1:10" x14ac:dyDescent="0.25">
      <c r="A3056" s="249"/>
      <c r="B3056" s="252"/>
      <c r="C3056" s="36"/>
      <c r="D3056" s="36"/>
      <c r="E3056" s="37"/>
      <c r="F3056" s="46" t="s">
        <v>23</v>
      </c>
      <c r="G3056" s="38" t="str">
        <f t="shared" si="52"/>
        <v/>
      </c>
      <c r="H3056" s="39"/>
      <c r="I3056" s="35"/>
      <c r="J3056" s="34">
        <v>6000</v>
      </c>
    </row>
    <row r="3057" spans="1:10" x14ac:dyDescent="0.25">
      <c r="A3057" s="249"/>
      <c r="B3057" s="252"/>
      <c r="C3057" s="40" t="s">
        <v>3767</v>
      </c>
      <c r="D3057" s="40" t="s">
        <v>3752</v>
      </c>
      <c r="E3057" s="41">
        <v>1.5</v>
      </c>
      <c r="F3057" s="38">
        <v>25.877999999999997</v>
      </c>
      <c r="G3057" s="38">
        <f t="shared" si="52"/>
        <v>38.816999999999993</v>
      </c>
      <c r="H3057" s="43">
        <f>SUM(G3057:G3057)</f>
        <v>38.816999999999993</v>
      </c>
      <c r="I3057" s="44"/>
      <c r="J3057" s="34">
        <v>6000</v>
      </c>
    </row>
    <row r="3058" spans="1:10" ht="15.75" thickBot="1" x14ac:dyDescent="0.3">
      <c r="A3058" s="250"/>
      <c r="B3058" s="253"/>
      <c r="C3058" s="40"/>
      <c r="D3058" s="40"/>
      <c r="E3058" s="41"/>
      <c r="F3058" s="35" t="s">
        <v>23</v>
      </c>
      <c r="G3058" s="38" t="str">
        <f t="shared" ref="G3058:G3121" si="53">IF(ISNUMBER(F3058),E3058*F3058,"")</f>
        <v/>
      </c>
      <c r="H3058" s="39"/>
      <c r="I3058" s="35"/>
      <c r="J3058" s="34">
        <v>6000</v>
      </c>
    </row>
    <row r="3059" spans="1:10" ht="15.75" thickBot="1" x14ac:dyDescent="0.3">
      <c r="A3059" s="248" t="s">
        <v>784</v>
      </c>
      <c r="B3059" s="251" t="s">
        <v>2680</v>
      </c>
      <c r="C3059" s="28"/>
      <c r="D3059" s="29" t="s">
        <v>78</v>
      </c>
      <c r="E3059" s="30"/>
      <c r="F3059" s="45" t="s">
        <v>23</v>
      </c>
      <c r="G3059" s="31" t="str">
        <f t="shared" si="53"/>
        <v/>
      </c>
      <c r="H3059" s="32"/>
      <c r="I3059" s="33"/>
      <c r="J3059" s="34">
        <v>480</v>
      </c>
    </row>
    <row r="3060" spans="1:10" x14ac:dyDescent="0.25">
      <c r="A3060" s="249"/>
      <c r="B3060" s="252"/>
      <c r="C3060" s="36"/>
      <c r="D3060" s="36"/>
      <c r="E3060" s="37"/>
      <c r="F3060" s="46" t="s">
        <v>23</v>
      </c>
      <c r="G3060" s="38" t="str">
        <f t="shared" si="53"/>
        <v/>
      </c>
      <c r="H3060" s="39"/>
      <c r="I3060" s="35"/>
      <c r="J3060" s="34">
        <v>480</v>
      </c>
    </row>
    <row r="3061" spans="1:10" x14ac:dyDescent="0.25">
      <c r="A3061" s="249"/>
      <c r="B3061" s="252"/>
      <c r="C3061" s="40" t="s">
        <v>3767</v>
      </c>
      <c r="D3061" s="40" t="s">
        <v>3752</v>
      </c>
      <c r="E3061" s="41">
        <v>0.47899999999999998</v>
      </c>
      <c r="F3061" s="38">
        <v>25.877999999999997</v>
      </c>
      <c r="G3061" s="38">
        <f t="shared" si="53"/>
        <v>12.395561999999998</v>
      </c>
      <c r="H3061" s="43">
        <f>SUM(G3061:G3065)</f>
        <v>451.73213299999998</v>
      </c>
      <c r="I3061" s="44"/>
      <c r="J3061" s="34">
        <v>480</v>
      </c>
    </row>
    <row r="3062" spans="1:10" x14ac:dyDescent="0.25">
      <c r="A3062" s="249"/>
      <c r="B3062" s="252"/>
      <c r="C3062" s="40" t="s">
        <v>3754</v>
      </c>
      <c r="D3062" s="40" t="s">
        <v>3752</v>
      </c>
      <c r="E3062" s="41">
        <v>0.46600000000000003</v>
      </c>
      <c r="F3062" s="38">
        <v>20.814499999999999</v>
      </c>
      <c r="G3062" s="38">
        <f t="shared" si="53"/>
        <v>9.6995570000000004</v>
      </c>
      <c r="H3062" s="39"/>
      <c r="I3062" s="35"/>
      <c r="J3062" s="34">
        <v>480</v>
      </c>
    </row>
    <row r="3063" spans="1:10" ht="25.5" x14ac:dyDescent="0.25">
      <c r="A3063" s="249"/>
      <c r="B3063" s="252"/>
      <c r="C3063" s="40" t="s">
        <v>3991</v>
      </c>
      <c r="D3063" s="40" t="s">
        <v>1286</v>
      </c>
      <c r="E3063" s="41">
        <v>4.609</v>
      </c>
      <c r="F3063" s="35">
        <v>14.25</v>
      </c>
      <c r="G3063" s="38">
        <f t="shared" si="53"/>
        <v>65.678250000000006</v>
      </c>
      <c r="H3063" s="39"/>
      <c r="I3063" s="35"/>
      <c r="J3063" s="34">
        <v>480</v>
      </c>
    </row>
    <row r="3064" spans="1:10" ht="25.5" x14ac:dyDescent="0.25">
      <c r="A3064" s="249"/>
      <c r="B3064" s="252"/>
      <c r="C3064" s="40" t="s">
        <v>3960</v>
      </c>
      <c r="D3064" s="40" t="s">
        <v>1286</v>
      </c>
      <c r="E3064" s="41">
        <v>4.0359999999999996</v>
      </c>
      <c r="F3064" s="35">
        <v>2.2989999999999999</v>
      </c>
      <c r="G3064" s="38">
        <f t="shared" si="53"/>
        <v>9.2787639999999989</v>
      </c>
      <c r="H3064" s="39"/>
      <c r="I3064" s="35"/>
      <c r="J3064" s="34">
        <v>480</v>
      </c>
    </row>
    <row r="3065" spans="1:10" x14ac:dyDescent="0.25">
      <c r="A3065" s="249"/>
      <c r="B3065" s="252"/>
      <c r="C3065" s="40" t="s">
        <v>785</v>
      </c>
      <c r="D3065" s="40" t="s">
        <v>78</v>
      </c>
      <c r="E3065" s="41">
        <v>1</v>
      </c>
      <c r="F3065" s="35">
        <v>354.68</v>
      </c>
      <c r="G3065" s="38">
        <f t="shared" si="53"/>
        <v>354.68</v>
      </c>
      <c r="H3065" s="39"/>
      <c r="I3065" s="35"/>
      <c r="J3065" s="34">
        <v>480</v>
      </c>
    </row>
    <row r="3066" spans="1:10" ht="15.75" thickBot="1" x14ac:dyDescent="0.3">
      <c r="A3066" s="250"/>
      <c r="B3066" s="253"/>
      <c r="C3066" s="40"/>
      <c r="D3066" s="40"/>
      <c r="E3066" s="41"/>
      <c r="F3066" s="35" t="s">
        <v>23</v>
      </c>
      <c r="G3066" s="38" t="str">
        <f t="shared" si="53"/>
        <v/>
      </c>
      <c r="H3066" s="39"/>
      <c r="I3066" s="35"/>
      <c r="J3066" s="34">
        <v>480</v>
      </c>
    </row>
    <row r="3067" spans="1:10" ht="15.75" thickBot="1" x14ac:dyDescent="0.3">
      <c r="A3067" s="248" t="s">
        <v>786</v>
      </c>
      <c r="B3067" s="251" t="s">
        <v>2681</v>
      </c>
      <c r="C3067" s="28"/>
      <c r="D3067" s="29" t="s">
        <v>28</v>
      </c>
      <c r="E3067" s="30"/>
      <c r="F3067" s="45" t="s">
        <v>23</v>
      </c>
      <c r="G3067" s="31" t="str">
        <f t="shared" si="53"/>
        <v/>
      </c>
      <c r="H3067" s="32"/>
      <c r="I3067" s="33"/>
      <c r="J3067" s="34">
        <v>80</v>
      </c>
    </row>
    <row r="3068" spans="1:10" x14ac:dyDescent="0.25">
      <c r="A3068" s="249"/>
      <c r="B3068" s="252"/>
      <c r="C3068" s="36"/>
      <c r="D3068" s="36"/>
      <c r="E3068" s="37"/>
      <c r="F3068" s="46" t="s">
        <v>23</v>
      </c>
      <c r="G3068" s="38" t="str">
        <f t="shared" si="53"/>
        <v/>
      </c>
      <c r="H3068" s="39"/>
      <c r="I3068" s="35"/>
      <c r="J3068" s="34">
        <v>80</v>
      </c>
    </row>
    <row r="3069" spans="1:10" x14ac:dyDescent="0.25">
      <c r="A3069" s="249"/>
      <c r="B3069" s="252"/>
      <c r="C3069" s="40" t="s">
        <v>3767</v>
      </c>
      <c r="D3069" s="40" t="s">
        <v>3752</v>
      </c>
      <c r="E3069" s="41">
        <v>0.4</v>
      </c>
      <c r="F3069" s="38">
        <v>25.877999999999997</v>
      </c>
      <c r="G3069" s="38">
        <f t="shared" si="53"/>
        <v>10.351199999999999</v>
      </c>
      <c r="H3069" s="43">
        <f>SUM(G3069:G3070)</f>
        <v>782.23119999999994</v>
      </c>
      <c r="I3069" s="44"/>
      <c r="J3069" s="34">
        <v>80</v>
      </c>
    </row>
    <row r="3070" spans="1:10" x14ac:dyDescent="0.25">
      <c r="A3070" s="249"/>
      <c r="B3070" s="252"/>
      <c r="C3070" s="40" t="s">
        <v>787</v>
      </c>
      <c r="D3070" s="53" t="s">
        <v>28</v>
      </c>
      <c r="E3070" s="41">
        <v>1</v>
      </c>
      <c r="F3070" s="35">
        <v>771.88</v>
      </c>
      <c r="G3070" s="38">
        <f t="shared" si="53"/>
        <v>771.88</v>
      </c>
      <c r="H3070" s="39"/>
      <c r="I3070" s="35"/>
      <c r="J3070" s="34">
        <v>80</v>
      </c>
    </row>
    <row r="3071" spans="1:10" ht="15.75" thickBot="1" x14ac:dyDescent="0.3">
      <c r="A3071" s="250"/>
      <c r="B3071" s="253"/>
      <c r="C3071" s="40"/>
      <c r="D3071" s="40"/>
      <c r="E3071" s="41"/>
      <c r="F3071" s="35" t="s">
        <v>23</v>
      </c>
      <c r="G3071" s="38" t="str">
        <f t="shared" si="53"/>
        <v/>
      </c>
      <c r="H3071" s="39"/>
      <c r="I3071" s="35"/>
      <c r="J3071" s="34">
        <v>80</v>
      </c>
    </row>
    <row r="3072" spans="1:10" ht="15.75" hidden="1" thickBot="1" x14ac:dyDescent="0.3">
      <c r="A3072" s="248" t="s">
        <v>788</v>
      </c>
      <c r="B3072" s="251" t="s">
        <v>2682</v>
      </c>
      <c r="C3072" s="28"/>
      <c r="D3072" s="29" t="s">
        <v>82</v>
      </c>
      <c r="E3072" s="30"/>
      <c r="F3072" s="45" t="s">
        <v>23</v>
      </c>
      <c r="G3072" s="31" t="str">
        <f t="shared" si="53"/>
        <v/>
      </c>
      <c r="H3072" s="32"/>
      <c r="I3072" s="33"/>
      <c r="J3072" s="34">
        <v>0</v>
      </c>
    </row>
    <row r="3073" spans="1:10" ht="15.75" hidden="1" thickBot="1" x14ac:dyDescent="0.3">
      <c r="A3073" s="249"/>
      <c r="B3073" s="252"/>
      <c r="C3073" s="36"/>
      <c r="D3073" s="36"/>
      <c r="E3073" s="37"/>
      <c r="F3073" s="46" t="s">
        <v>23</v>
      </c>
      <c r="G3073" s="38" t="str">
        <f t="shared" si="53"/>
        <v/>
      </c>
      <c r="H3073" s="39"/>
      <c r="I3073" s="35"/>
      <c r="J3073" s="34">
        <v>0</v>
      </c>
    </row>
    <row r="3074" spans="1:10" ht="39" hidden="1" thickBot="1" x14ac:dyDescent="0.3">
      <c r="A3074" s="249"/>
      <c r="B3074" s="252"/>
      <c r="C3074" s="40" t="s">
        <v>4149</v>
      </c>
      <c r="D3074" s="40" t="s">
        <v>291</v>
      </c>
      <c r="E3074" s="41">
        <v>0.74299999999999999</v>
      </c>
      <c r="F3074" s="35">
        <v>0.20899999999999999</v>
      </c>
      <c r="G3074" s="38">
        <f t="shared" si="53"/>
        <v>0.15528699999999998</v>
      </c>
      <c r="H3074" s="43">
        <f>SUM(G3074:G3078)</f>
        <v>14.786493500000001</v>
      </c>
      <c r="I3074" s="44"/>
      <c r="J3074" s="34">
        <v>0</v>
      </c>
    </row>
    <row r="3075" spans="1:10" ht="26.25" hidden="1" thickBot="1" x14ac:dyDescent="0.3">
      <c r="A3075" s="249"/>
      <c r="B3075" s="252"/>
      <c r="C3075" s="40" t="s">
        <v>4033</v>
      </c>
      <c r="D3075" s="40" t="s">
        <v>1035</v>
      </c>
      <c r="E3075" s="41">
        <v>2.5000000000000001E-2</v>
      </c>
      <c r="F3075" s="35">
        <v>18.249500000000001</v>
      </c>
      <c r="G3075" s="38">
        <f t="shared" si="53"/>
        <v>0.45623750000000007</v>
      </c>
      <c r="H3075" s="39"/>
      <c r="I3075" s="35"/>
      <c r="J3075" s="34">
        <v>0</v>
      </c>
    </row>
    <row r="3076" spans="1:10" ht="15.75" hidden="1" thickBot="1" x14ac:dyDescent="0.3">
      <c r="A3076" s="249"/>
      <c r="B3076" s="252"/>
      <c r="C3076" s="40" t="s">
        <v>4167</v>
      </c>
      <c r="D3076" s="40" t="s">
        <v>3752</v>
      </c>
      <c r="E3076" s="41">
        <v>9.1999999999999998E-3</v>
      </c>
      <c r="F3076" s="35">
        <v>20.785999999999998</v>
      </c>
      <c r="G3076" s="38">
        <f t="shared" si="53"/>
        <v>0.19123119999999999</v>
      </c>
      <c r="H3076" s="39"/>
      <c r="I3076" s="35"/>
      <c r="J3076" s="34">
        <v>0</v>
      </c>
    </row>
    <row r="3077" spans="1:10" ht="15.75" hidden="1" thickBot="1" x14ac:dyDescent="0.3">
      <c r="A3077" s="249"/>
      <c r="B3077" s="252"/>
      <c r="C3077" s="40" t="s">
        <v>3977</v>
      </c>
      <c r="D3077" s="40" t="s">
        <v>3752</v>
      </c>
      <c r="E3077" s="41">
        <v>5.6099999999999997E-2</v>
      </c>
      <c r="F3077" s="35">
        <v>27.853999999999999</v>
      </c>
      <c r="G3077" s="38">
        <f t="shared" si="53"/>
        <v>1.5626093999999999</v>
      </c>
      <c r="H3077" s="39"/>
      <c r="I3077" s="35"/>
      <c r="J3077" s="34">
        <v>0</v>
      </c>
    </row>
    <row r="3078" spans="1:10" ht="15.75" hidden="1" thickBot="1" x14ac:dyDescent="0.3">
      <c r="A3078" s="249"/>
      <c r="B3078" s="252"/>
      <c r="C3078" s="40" t="s">
        <v>4691</v>
      </c>
      <c r="D3078" s="40" t="s">
        <v>1035</v>
      </c>
      <c r="E3078" s="41">
        <v>1</v>
      </c>
      <c r="F3078" s="35">
        <v>12.421128400000001</v>
      </c>
      <c r="G3078" s="38">
        <f t="shared" si="53"/>
        <v>12.421128400000001</v>
      </c>
      <c r="H3078" s="39"/>
      <c r="I3078" s="35"/>
      <c r="J3078" s="34">
        <v>0</v>
      </c>
    </row>
    <row r="3079" spans="1:10" ht="15.75" hidden="1" thickBot="1" x14ac:dyDescent="0.3">
      <c r="A3079" s="250"/>
      <c r="B3079" s="253"/>
      <c r="C3079" s="40"/>
      <c r="D3079" s="40"/>
      <c r="E3079" s="41"/>
      <c r="F3079" s="35" t="s">
        <v>23</v>
      </c>
      <c r="G3079" s="38" t="str">
        <f t="shared" si="53"/>
        <v/>
      </c>
      <c r="H3079" s="39"/>
      <c r="I3079" s="35"/>
      <c r="J3079" s="34">
        <v>0</v>
      </c>
    </row>
    <row r="3080" spans="1:10" ht="15.75" thickBot="1" x14ac:dyDescent="0.3">
      <c r="A3080" s="248" t="s">
        <v>789</v>
      </c>
      <c r="B3080" s="251" t="s">
        <v>2683</v>
      </c>
      <c r="C3080" s="28"/>
      <c r="D3080" s="29" t="s">
        <v>28</v>
      </c>
      <c r="E3080" s="30"/>
      <c r="F3080" s="45" t="s">
        <v>23</v>
      </c>
      <c r="G3080" s="31" t="str">
        <f t="shared" si="53"/>
        <v/>
      </c>
      <c r="H3080" s="32"/>
      <c r="I3080" s="33"/>
      <c r="J3080" s="34">
        <v>110</v>
      </c>
    </row>
    <row r="3081" spans="1:10" x14ac:dyDescent="0.25">
      <c r="A3081" s="249"/>
      <c r="B3081" s="252"/>
      <c r="C3081" s="36"/>
      <c r="D3081" s="36"/>
      <c r="E3081" s="37"/>
      <c r="F3081" s="46" t="s">
        <v>23</v>
      </c>
      <c r="G3081" s="38" t="str">
        <f t="shared" si="53"/>
        <v/>
      </c>
      <c r="H3081" s="39"/>
      <c r="I3081" s="35"/>
      <c r="J3081" s="34">
        <v>110</v>
      </c>
    </row>
    <row r="3082" spans="1:10" x14ac:dyDescent="0.25">
      <c r="A3082" s="249"/>
      <c r="B3082" s="252"/>
      <c r="C3082" s="40" t="s">
        <v>3767</v>
      </c>
      <c r="D3082" s="40" t="s">
        <v>3752</v>
      </c>
      <c r="E3082" s="41">
        <v>0.2</v>
      </c>
      <c r="F3082" s="38">
        <v>25.877999999999997</v>
      </c>
      <c r="G3082" s="38">
        <f t="shared" si="53"/>
        <v>5.1755999999999993</v>
      </c>
      <c r="H3082" s="43">
        <f>SUM(G3082:G3083)</f>
        <v>18.335599999999999</v>
      </c>
      <c r="I3082" s="44"/>
      <c r="J3082" s="34">
        <v>110</v>
      </c>
    </row>
    <row r="3083" spans="1:10" ht="25.5" x14ac:dyDescent="0.25">
      <c r="A3083" s="249"/>
      <c r="B3083" s="252"/>
      <c r="C3083" s="40" t="s">
        <v>790</v>
      </c>
      <c r="D3083" s="40" t="s">
        <v>28</v>
      </c>
      <c r="E3083" s="41">
        <v>1</v>
      </c>
      <c r="F3083" s="35">
        <v>13.16</v>
      </c>
      <c r="G3083" s="38">
        <f t="shared" si="53"/>
        <v>13.16</v>
      </c>
      <c r="H3083" s="39"/>
      <c r="I3083" s="35"/>
      <c r="J3083" s="34">
        <v>110</v>
      </c>
    </row>
    <row r="3084" spans="1:10" ht="15.75" thickBot="1" x14ac:dyDescent="0.3">
      <c r="A3084" s="250"/>
      <c r="B3084" s="253"/>
      <c r="C3084" s="40"/>
      <c r="D3084" s="40"/>
      <c r="E3084" s="41"/>
      <c r="F3084" s="35" t="s">
        <v>23</v>
      </c>
      <c r="G3084" s="38" t="str">
        <f t="shared" si="53"/>
        <v/>
      </c>
      <c r="H3084" s="39"/>
      <c r="I3084" s="35"/>
      <c r="J3084" s="34">
        <v>110</v>
      </c>
    </row>
    <row r="3085" spans="1:10" ht="15.75" thickBot="1" x14ac:dyDescent="0.3">
      <c r="A3085" s="248" t="s">
        <v>791</v>
      </c>
      <c r="B3085" s="251" t="s">
        <v>2684</v>
      </c>
      <c r="C3085" s="28"/>
      <c r="D3085" s="29" t="s">
        <v>28</v>
      </c>
      <c r="E3085" s="30"/>
      <c r="F3085" s="45" t="s">
        <v>23</v>
      </c>
      <c r="G3085" s="31" t="str">
        <f t="shared" si="53"/>
        <v/>
      </c>
      <c r="H3085" s="32"/>
      <c r="I3085" s="33"/>
      <c r="J3085" s="34">
        <v>40</v>
      </c>
    </row>
    <row r="3086" spans="1:10" x14ac:dyDescent="0.25">
      <c r="A3086" s="249"/>
      <c r="B3086" s="252"/>
      <c r="C3086" s="36"/>
      <c r="D3086" s="36"/>
      <c r="E3086" s="37"/>
      <c r="F3086" s="46" t="s">
        <v>23</v>
      </c>
      <c r="G3086" s="38" t="str">
        <f t="shared" si="53"/>
        <v/>
      </c>
      <c r="H3086" s="39"/>
      <c r="I3086" s="35"/>
      <c r="J3086" s="34">
        <v>40</v>
      </c>
    </row>
    <row r="3087" spans="1:10" x14ac:dyDescent="0.25">
      <c r="A3087" s="249"/>
      <c r="B3087" s="252"/>
      <c r="C3087" s="40" t="s">
        <v>3767</v>
      </c>
      <c r="D3087" s="40" t="s">
        <v>3752</v>
      </c>
      <c r="E3087" s="41">
        <v>0.3</v>
      </c>
      <c r="F3087" s="38">
        <v>25.877999999999997</v>
      </c>
      <c r="G3087" s="38">
        <f t="shared" si="53"/>
        <v>7.763399999999999</v>
      </c>
      <c r="H3087" s="43">
        <f>SUM(G3087:G3088)</f>
        <v>83.793400000000005</v>
      </c>
      <c r="I3087" s="44"/>
      <c r="J3087" s="34">
        <v>40</v>
      </c>
    </row>
    <row r="3088" spans="1:10" ht="38.25" x14ac:dyDescent="0.25">
      <c r="A3088" s="249"/>
      <c r="B3088" s="252"/>
      <c r="C3088" s="40" t="s">
        <v>792</v>
      </c>
      <c r="D3088" s="40" t="s">
        <v>28</v>
      </c>
      <c r="E3088" s="41">
        <v>1</v>
      </c>
      <c r="F3088" s="35">
        <v>76.03</v>
      </c>
      <c r="G3088" s="38">
        <f t="shared" si="53"/>
        <v>76.03</v>
      </c>
      <c r="H3088" s="39"/>
      <c r="I3088" s="35"/>
      <c r="J3088" s="34">
        <v>40</v>
      </c>
    </row>
    <row r="3089" spans="1:10" ht="15.75" thickBot="1" x14ac:dyDescent="0.3">
      <c r="A3089" s="250"/>
      <c r="B3089" s="253"/>
      <c r="C3089" s="40"/>
      <c r="D3089" s="40"/>
      <c r="E3089" s="41"/>
      <c r="F3089" s="35" t="s">
        <v>23</v>
      </c>
      <c r="G3089" s="38" t="str">
        <f t="shared" si="53"/>
        <v/>
      </c>
      <c r="H3089" s="39"/>
      <c r="I3089" s="35"/>
      <c r="J3089" s="34">
        <v>40</v>
      </c>
    </row>
    <row r="3090" spans="1:10" ht="15.75" thickBot="1" x14ac:dyDescent="0.3">
      <c r="A3090" s="248" t="s">
        <v>793</v>
      </c>
      <c r="B3090" s="251" t="s">
        <v>2685</v>
      </c>
      <c r="C3090" s="28"/>
      <c r="D3090" s="29" t="s">
        <v>28</v>
      </c>
      <c r="E3090" s="30"/>
      <c r="F3090" s="45" t="s">
        <v>23</v>
      </c>
      <c r="G3090" s="31" t="str">
        <f t="shared" si="53"/>
        <v/>
      </c>
      <c r="H3090" s="32"/>
      <c r="I3090" s="33"/>
      <c r="J3090" s="34">
        <v>40</v>
      </c>
    </row>
    <row r="3091" spans="1:10" x14ac:dyDescent="0.25">
      <c r="A3091" s="249"/>
      <c r="B3091" s="252"/>
      <c r="C3091" s="36"/>
      <c r="D3091" s="36"/>
      <c r="E3091" s="37"/>
      <c r="F3091" s="46" t="s">
        <v>23</v>
      </c>
      <c r="G3091" s="38" t="str">
        <f t="shared" si="53"/>
        <v/>
      </c>
      <c r="H3091" s="39"/>
      <c r="I3091" s="35"/>
      <c r="J3091" s="34">
        <v>40</v>
      </c>
    </row>
    <row r="3092" spans="1:10" x14ac:dyDescent="0.25">
      <c r="A3092" s="249"/>
      <c r="B3092" s="252"/>
      <c r="C3092" s="40" t="s">
        <v>3767</v>
      </c>
      <c r="D3092" s="40" t="s">
        <v>3752</v>
      </c>
      <c r="E3092" s="41">
        <v>0.3</v>
      </c>
      <c r="F3092" s="38">
        <v>25.877999999999997</v>
      </c>
      <c r="G3092" s="38">
        <f t="shared" si="53"/>
        <v>7.763399999999999</v>
      </c>
      <c r="H3092" s="43">
        <f>SUM(G3092:G3093)</f>
        <v>83.793400000000005</v>
      </c>
      <c r="I3092" s="44"/>
      <c r="J3092" s="34">
        <v>40</v>
      </c>
    </row>
    <row r="3093" spans="1:10" ht="38.25" x14ac:dyDescent="0.25">
      <c r="A3093" s="249"/>
      <c r="B3093" s="252"/>
      <c r="C3093" s="40" t="s">
        <v>794</v>
      </c>
      <c r="D3093" s="40" t="s">
        <v>28</v>
      </c>
      <c r="E3093" s="41">
        <v>1</v>
      </c>
      <c r="F3093" s="35">
        <v>76.03</v>
      </c>
      <c r="G3093" s="38">
        <f t="shared" si="53"/>
        <v>76.03</v>
      </c>
      <c r="H3093" s="39"/>
      <c r="I3093" s="35"/>
      <c r="J3093" s="34">
        <v>40</v>
      </c>
    </row>
    <row r="3094" spans="1:10" ht="15.75" thickBot="1" x14ac:dyDescent="0.3">
      <c r="A3094" s="250"/>
      <c r="B3094" s="253"/>
      <c r="C3094" s="40"/>
      <c r="D3094" s="40"/>
      <c r="E3094" s="41"/>
      <c r="F3094" s="35" t="s">
        <v>23</v>
      </c>
      <c r="G3094" s="38" t="str">
        <f t="shared" si="53"/>
        <v/>
      </c>
      <c r="H3094" s="39"/>
      <c r="I3094" s="35"/>
      <c r="J3094" s="34">
        <v>40</v>
      </c>
    </row>
    <row r="3095" spans="1:10" ht="15.75" thickBot="1" x14ac:dyDescent="0.3">
      <c r="A3095" s="248" t="s">
        <v>795</v>
      </c>
      <c r="B3095" s="251" t="s">
        <v>2686</v>
      </c>
      <c r="C3095" s="28"/>
      <c r="D3095" s="29" t="s">
        <v>28</v>
      </c>
      <c r="E3095" s="30"/>
      <c r="F3095" s="45" t="s">
        <v>23</v>
      </c>
      <c r="G3095" s="31" t="str">
        <f t="shared" si="53"/>
        <v/>
      </c>
      <c r="H3095" s="32"/>
      <c r="I3095" s="33"/>
      <c r="J3095" s="34">
        <v>60</v>
      </c>
    </row>
    <row r="3096" spans="1:10" x14ac:dyDescent="0.25">
      <c r="A3096" s="249"/>
      <c r="B3096" s="252"/>
      <c r="C3096" s="36"/>
      <c r="D3096" s="36"/>
      <c r="E3096" s="37"/>
      <c r="F3096" s="46" t="s">
        <v>23</v>
      </c>
      <c r="G3096" s="38" t="str">
        <f t="shared" si="53"/>
        <v/>
      </c>
      <c r="H3096" s="39"/>
      <c r="I3096" s="35"/>
      <c r="J3096" s="34">
        <v>60</v>
      </c>
    </row>
    <row r="3097" spans="1:10" x14ac:dyDescent="0.25">
      <c r="A3097" s="249"/>
      <c r="B3097" s="252"/>
      <c r="C3097" s="40" t="s">
        <v>3767</v>
      </c>
      <c r="D3097" s="40" t="s">
        <v>3752</v>
      </c>
      <c r="E3097" s="41">
        <v>0.3</v>
      </c>
      <c r="F3097" s="38">
        <v>25.877999999999997</v>
      </c>
      <c r="G3097" s="38">
        <f t="shared" si="53"/>
        <v>7.763399999999999</v>
      </c>
      <c r="H3097" s="43">
        <f>SUM(G3097:G3098)</f>
        <v>58.373399999999997</v>
      </c>
      <c r="I3097" s="44"/>
      <c r="J3097" s="34">
        <v>60</v>
      </c>
    </row>
    <row r="3098" spans="1:10" ht="25.5" x14ac:dyDescent="0.25">
      <c r="A3098" s="249"/>
      <c r="B3098" s="252"/>
      <c r="C3098" s="40" t="s">
        <v>796</v>
      </c>
      <c r="D3098" s="40" t="s">
        <v>28</v>
      </c>
      <c r="E3098" s="41">
        <v>1</v>
      </c>
      <c r="F3098" s="35">
        <v>50.61</v>
      </c>
      <c r="G3098" s="38">
        <f t="shared" si="53"/>
        <v>50.61</v>
      </c>
      <c r="H3098" s="39"/>
      <c r="I3098" s="35"/>
      <c r="J3098" s="34">
        <v>60</v>
      </c>
    </row>
    <row r="3099" spans="1:10" ht="15.75" thickBot="1" x14ac:dyDescent="0.3">
      <c r="A3099" s="250"/>
      <c r="B3099" s="253"/>
      <c r="C3099" s="40"/>
      <c r="D3099" s="40"/>
      <c r="E3099" s="41"/>
      <c r="F3099" s="35" t="s">
        <v>23</v>
      </c>
      <c r="G3099" s="38" t="str">
        <f t="shared" si="53"/>
        <v/>
      </c>
      <c r="H3099" s="39"/>
      <c r="I3099" s="35"/>
      <c r="J3099" s="34">
        <v>60</v>
      </c>
    </row>
    <row r="3100" spans="1:10" ht="15.75" thickBot="1" x14ac:dyDescent="0.3">
      <c r="A3100" s="248" t="s">
        <v>797</v>
      </c>
      <c r="B3100" s="251" t="s">
        <v>2687</v>
      </c>
      <c r="C3100" s="28"/>
      <c r="D3100" s="29" t="s">
        <v>28</v>
      </c>
      <c r="E3100" s="30"/>
      <c r="F3100" s="45" t="s">
        <v>23</v>
      </c>
      <c r="G3100" s="31" t="str">
        <f t="shared" si="53"/>
        <v/>
      </c>
      <c r="H3100" s="32"/>
      <c r="I3100" s="33"/>
      <c r="J3100" s="34">
        <v>60</v>
      </c>
    </row>
    <row r="3101" spans="1:10" x14ac:dyDescent="0.25">
      <c r="A3101" s="249"/>
      <c r="B3101" s="252"/>
      <c r="C3101" s="36"/>
      <c r="D3101" s="36"/>
      <c r="E3101" s="37"/>
      <c r="F3101" s="46" t="s">
        <v>23</v>
      </c>
      <c r="G3101" s="38" t="str">
        <f t="shared" si="53"/>
        <v/>
      </c>
      <c r="H3101" s="39"/>
      <c r="I3101" s="35"/>
      <c r="J3101" s="34">
        <v>60</v>
      </c>
    </row>
    <row r="3102" spans="1:10" x14ac:dyDescent="0.25">
      <c r="A3102" s="249"/>
      <c r="B3102" s="252"/>
      <c r="C3102" s="40" t="s">
        <v>3767</v>
      </c>
      <c r="D3102" s="40" t="s">
        <v>3752</v>
      </c>
      <c r="E3102" s="41">
        <v>0.15</v>
      </c>
      <c r="F3102" s="38">
        <v>25.877999999999997</v>
      </c>
      <c r="G3102" s="38">
        <f t="shared" si="53"/>
        <v>3.8816999999999995</v>
      </c>
      <c r="H3102" s="43">
        <f>SUM(G3102:G3103)</f>
        <v>19.781700000000001</v>
      </c>
      <c r="I3102" s="44"/>
      <c r="J3102" s="34">
        <v>60</v>
      </c>
    </row>
    <row r="3103" spans="1:10" ht="25.5" x14ac:dyDescent="0.25">
      <c r="A3103" s="249"/>
      <c r="B3103" s="252"/>
      <c r="C3103" s="40" t="s">
        <v>798</v>
      </c>
      <c r="D3103" s="40" t="s">
        <v>28</v>
      </c>
      <c r="E3103" s="41">
        <v>1</v>
      </c>
      <c r="F3103" s="35">
        <v>15.9</v>
      </c>
      <c r="G3103" s="38">
        <f t="shared" si="53"/>
        <v>15.9</v>
      </c>
      <c r="H3103" s="39"/>
      <c r="I3103" s="35"/>
      <c r="J3103" s="34">
        <v>60</v>
      </c>
    </row>
    <row r="3104" spans="1:10" ht="15.75" thickBot="1" x14ac:dyDescent="0.3">
      <c r="A3104" s="250"/>
      <c r="B3104" s="253"/>
      <c r="C3104" s="40"/>
      <c r="D3104" s="40"/>
      <c r="E3104" s="41"/>
      <c r="F3104" s="35" t="s">
        <v>23</v>
      </c>
      <c r="G3104" s="38" t="str">
        <f t="shared" si="53"/>
        <v/>
      </c>
      <c r="H3104" s="39"/>
      <c r="I3104" s="35"/>
      <c r="J3104" s="34">
        <v>60</v>
      </c>
    </row>
    <row r="3105" spans="1:10" ht="15.75" thickBot="1" x14ac:dyDescent="0.3">
      <c r="A3105" s="248" t="s">
        <v>799</v>
      </c>
      <c r="B3105" s="251" t="s">
        <v>2688</v>
      </c>
      <c r="C3105" s="28"/>
      <c r="D3105" s="29" t="s">
        <v>28</v>
      </c>
      <c r="E3105" s="30"/>
      <c r="F3105" s="45" t="s">
        <v>23</v>
      </c>
      <c r="G3105" s="31" t="str">
        <f t="shared" si="53"/>
        <v/>
      </c>
      <c r="H3105" s="32"/>
      <c r="I3105" s="33"/>
      <c r="J3105" s="34">
        <v>60</v>
      </c>
    </row>
    <row r="3106" spans="1:10" x14ac:dyDescent="0.25">
      <c r="A3106" s="249"/>
      <c r="B3106" s="252"/>
      <c r="C3106" s="36"/>
      <c r="D3106" s="36"/>
      <c r="E3106" s="37"/>
      <c r="F3106" s="46" t="s">
        <v>23</v>
      </c>
      <c r="G3106" s="38" t="str">
        <f t="shared" si="53"/>
        <v/>
      </c>
      <c r="H3106" s="39"/>
      <c r="I3106" s="35"/>
      <c r="J3106" s="34">
        <v>60</v>
      </c>
    </row>
    <row r="3107" spans="1:10" x14ac:dyDescent="0.25">
      <c r="A3107" s="249"/>
      <c r="B3107" s="252"/>
      <c r="C3107" s="40" t="s">
        <v>3767</v>
      </c>
      <c r="D3107" s="40" t="s">
        <v>3752</v>
      </c>
      <c r="E3107" s="41">
        <v>0.15</v>
      </c>
      <c r="F3107" s="38">
        <v>25.877999999999997</v>
      </c>
      <c r="G3107" s="38">
        <f t="shared" si="53"/>
        <v>3.8816999999999995</v>
      </c>
      <c r="H3107" s="43">
        <f>SUM(G3107:G3108)</f>
        <v>21.281699999999997</v>
      </c>
      <c r="I3107" s="44"/>
      <c r="J3107" s="34">
        <v>60</v>
      </c>
    </row>
    <row r="3108" spans="1:10" ht="25.5" x14ac:dyDescent="0.25">
      <c r="A3108" s="249"/>
      <c r="B3108" s="252"/>
      <c r="C3108" s="40" t="s">
        <v>800</v>
      </c>
      <c r="D3108" s="40" t="s">
        <v>28</v>
      </c>
      <c r="E3108" s="41">
        <v>1</v>
      </c>
      <c r="F3108" s="35">
        <v>17.399999999999999</v>
      </c>
      <c r="G3108" s="38">
        <f t="shared" si="53"/>
        <v>17.399999999999999</v>
      </c>
      <c r="H3108" s="39"/>
      <c r="I3108" s="35"/>
      <c r="J3108" s="34">
        <v>60</v>
      </c>
    </row>
    <row r="3109" spans="1:10" ht="15.75" thickBot="1" x14ac:dyDescent="0.3">
      <c r="A3109" s="250"/>
      <c r="B3109" s="253"/>
      <c r="C3109" s="40"/>
      <c r="D3109" s="40"/>
      <c r="E3109" s="41"/>
      <c r="F3109" s="35" t="s">
        <v>23</v>
      </c>
      <c r="G3109" s="38" t="str">
        <f t="shared" si="53"/>
        <v/>
      </c>
      <c r="H3109" s="39"/>
      <c r="I3109" s="35"/>
      <c r="J3109" s="34">
        <v>60</v>
      </c>
    </row>
    <row r="3110" spans="1:10" ht="15.75" thickBot="1" x14ac:dyDescent="0.3">
      <c r="A3110" s="248" t="s">
        <v>801</v>
      </c>
      <c r="B3110" s="251" t="s">
        <v>2689</v>
      </c>
      <c r="C3110" s="28"/>
      <c r="D3110" s="29" t="s">
        <v>28</v>
      </c>
      <c r="E3110" s="30"/>
      <c r="F3110" s="45" t="s">
        <v>23</v>
      </c>
      <c r="G3110" s="31" t="str">
        <f t="shared" si="53"/>
        <v/>
      </c>
      <c r="H3110" s="32"/>
      <c r="I3110" s="33"/>
      <c r="J3110" s="34">
        <v>40</v>
      </c>
    </row>
    <row r="3111" spans="1:10" x14ac:dyDescent="0.25">
      <c r="A3111" s="249"/>
      <c r="B3111" s="252"/>
      <c r="C3111" s="36"/>
      <c r="D3111" s="36"/>
      <c r="E3111" s="37"/>
      <c r="F3111" s="46" t="s">
        <v>23</v>
      </c>
      <c r="G3111" s="38" t="str">
        <f t="shared" si="53"/>
        <v/>
      </c>
      <c r="H3111" s="39"/>
      <c r="I3111" s="35"/>
      <c r="J3111" s="34">
        <v>40</v>
      </c>
    </row>
    <row r="3112" spans="1:10" x14ac:dyDescent="0.25">
      <c r="A3112" s="249"/>
      <c r="B3112" s="252"/>
      <c r="C3112" s="40" t="s">
        <v>3767</v>
      </c>
      <c r="D3112" s="40" t="s">
        <v>3752</v>
      </c>
      <c r="E3112" s="41">
        <v>0.15</v>
      </c>
      <c r="F3112" s="38">
        <v>25.877999999999997</v>
      </c>
      <c r="G3112" s="38">
        <f t="shared" si="53"/>
        <v>3.8816999999999995</v>
      </c>
      <c r="H3112" s="43">
        <f>SUM(G3112:G3113)</f>
        <v>56.511700000000005</v>
      </c>
      <c r="I3112" s="44"/>
      <c r="J3112" s="34">
        <v>40</v>
      </c>
    </row>
    <row r="3113" spans="1:10" ht="25.5" x14ac:dyDescent="0.25">
      <c r="A3113" s="249"/>
      <c r="B3113" s="252"/>
      <c r="C3113" s="40" t="s">
        <v>802</v>
      </c>
      <c r="D3113" s="40" t="s">
        <v>28</v>
      </c>
      <c r="E3113" s="41">
        <v>1</v>
      </c>
      <c r="F3113" s="35">
        <v>52.63</v>
      </c>
      <c r="G3113" s="38">
        <f t="shared" si="53"/>
        <v>52.63</v>
      </c>
      <c r="H3113" s="39"/>
      <c r="I3113" s="35"/>
      <c r="J3113" s="34">
        <v>40</v>
      </c>
    </row>
    <row r="3114" spans="1:10" ht="15.75" thickBot="1" x14ac:dyDescent="0.3">
      <c r="A3114" s="250"/>
      <c r="B3114" s="253"/>
      <c r="C3114" s="40"/>
      <c r="D3114" s="40"/>
      <c r="E3114" s="41"/>
      <c r="F3114" s="35" t="s">
        <v>23</v>
      </c>
      <c r="G3114" s="38" t="str">
        <f t="shared" si="53"/>
        <v/>
      </c>
      <c r="H3114" s="39"/>
      <c r="I3114" s="35"/>
      <c r="J3114" s="34">
        <v>40</v>
      </c>
    </row>
    <row r="3115" spans="1:10" ht="15.75" thickBot="1" x14ac:dyDescent="0.3">
      <c r="A3115" s="248" t="s">
        <v>803</v>
      </c>
      <c r="B3115" s="251" t="s">
        <v>2690</v>
      </c>
      <c r="C3115" s="28"/>
      <c r="D3115" s="29" t="s">
        <v>28</v>
      </c>
      <c r="E3115" s="30"/>
      <c r="F3115" s="45" t="s">
        <v>23</v>
      </c>
      <c r="G3115" s="31" t="str">
        <f t="shared" si="53"/>
        <v/>
      </c>
      <c r="H3115" s="32"/>
      <c r="I3115" s="33"/>
      <c r="J3115" s="34">
        <v>570</v>
      </c>
    </row>
    <row r="3116" spans="1:10" x14ac:dyDescent="0.25">
      <c r="A3116" s="249"/>
      <c r="B3116" s="252"/>
      <c r="C3116" s="36"/>
      <c r="D3116" s="36"/>
      <c r="E3116" s="37"/>
      <c r="F3116" s="46" t="s">
        <v>23</v>
      </c>
      <c r="G3116" s="38" t="str">
        <f t="shared" si="53"/>
        <v/>
      </c>
      <c r="H3116" s="39"/>
      <c r="I3116" s="35"/>
      <c r="J3116" s="34">
        <v>570</v>
      </c>
    </row>
    <row r="3117" spans="1:10" x14ac:dyDescent="0.25">
      <c r="A3117" s="249"/>
      <c r="B3117" s="252"/>
      <c r="C3117" s="40" t="s">
        <v>3767</v>
      </c>
      <c r="D3117" s="40" t="s">
        <v>3752</v>
      </c>
      <c r="E3117" s="41">
        <v>0.15</v>
      </c>
      <c r="F3117" s="38">
        <v>25.877999999999997</v>
      </c>
      <c r="G3117" s="38">
        <f t="shared" si="53"/>
        <v>3.8816999999999995</v>
      </c>
      <c r="H3117" s="43">
        <f>SUM(G3117:G3118)</f>
        <v>7.0716999999999999</v>
      </c>
      <c r="I3117" s="44"/>
      <c r="J3117" s="34">
        <v>570</v>
      </c>
    </row>
    <row r="3118" spans="1:10" x14ac:dyDescent="0.25">
      <c r="A3118" s="249"/>
      <c r="B3118" s="252"/>
      <c r="C3118" s="40" t="s">
        <v>804</v>
      </c>
      <c r="D3118" s="40" t="s">
        <v>28</v>
      </c>
      <c r="E3118" s="41">
        <v>1</v>
      </c>
      <c r="F3118" s="35">
        <v>3.19</v>
      </c>
      <c r="G3118" s="38">
        <f t="shared" si="53"/>
        <v>3.19</v>
      </c>
      <c r="H3118" s="39"/>
      <c r="I3118" s="35"/>
      <c r="J3118" s="34">
        <v>570</v>
      </c>
    </row>
    <row r="3119" spans="1:10" ht="15.75" thickBot="1" x14ac:dyDescent="0.3">
      <c r="A3119" s="250"/>
      <c r="B3119" s="253"/>
      <c r="C3119" s="40"/>
      <c r="D3119" s="40"/>
      <c r="E3119" s="41"/>
      <c r="F3119" s="35" t="s">
        <v>23</v>
      </c>
      <c r="G3119" s="38" t="str">
        <f t="shared" si="53"/>
        <v/>
      </c>
      <c r="H3119" s="39"/>
      <c r="I3119" s="35"/>
      <c r="J3119" s="34">
        <v>570</v>
      </c>
    </row>
    <row r="3120" spans="1:10" ht="15.75" thickBot="1" x14ac:dyDescent="0.3">
      <c r="A3120" s="248" t="s">
        <v>805</v>
      </c>
      <c r="B3120" s="251" t="s">
        <v>2691</v>
      </c>
      <c r="C3120" s="28"/>
      <c r="D3120" s="29" t="s">
        <v>28</v>
      </c>
      <c r="E3120" s="30"/>
      <c r="F3120" s="45" t="s">
        <v>23</v>
      </c>
      <c r="G3120" s="31" t="str">
        <f t="shared" si="53"/>
        <v/>
      </c>
      <c r="H3120" s="32"/>
      <c r="I3120" s="33"/>
      <c r="J3120" s="34">
        <v>360</v>
      </c>
    </row>
    <row r="3121" spans="1:10" x14ac:dyDescent="0.25">
      <c r="A3121" s="249"/>
      <c r="B3121" s="252"/>
      <c r="C3121" s="36"/>
      <c r="D3121" s="36"/>
      <c r="E3121" s="37"/>
      <c r="F3121" s="46" t="s">
        <v>23</v>
      </c>
      <c r="G3121" s="38" t="str">
        <f t="shared" si="53"/>
        <v/>
      </c>
      <c r="H3121" s="39"/>
      <c r="I3121" s="35"/>
      <c r="J3121" s="34">
        <v>360</v>
      </c>
    </row>
    <row r="3122" spans="1:10" x14ac:dyDescent="0.25">
      <c r="A3122" s="249"/>
      <c r="B3122" s="252"/>
      <c r="C3122" s="40" t="s">
        <v>3767</v>
      </c>
      <c r="D3122" s="40" t="s">
        <v>3752</v>
      </c>
      <c r="E3122" s="41">
        <v>0.4</v>
      </c>
      <c r="F3122" s="38">
        <v>25.877999999999997</v>
      </c>
      <c r="G3122" s="38">
        <f t="shared" ref="G3122:G3169" si="54">IF(ISNUMBER(F3122),E3122*F3122,"")</f>
        <v>10.351199999999999</v>
      </c>
      <c r="H3122" s="43">
        <f>SUM(G3122:G3123)</f>
        <v>80.251200000000011</v>
      </c>
      <c r="I3122" s="44"/>
      <c r="J3122" s="34">
        <v>360</v>
      </c>
    </row>
    <row r="3123" spans="1:10" ht="38.25" x14ac:dyDescent="0.25">
      <c r="A3123" s="249"/>
      <c r="B3123" s="252"/>
      <c r="C3123" s="40" t="s">
        <v>806</v>
      </c>
      <c r="D3123" s="40" t="s">
        <v>28</v>
      </c>
      <c r="E3123" s="41">
        <v>1</v>
      </c>
      <c r="F3123" s="35">
        <v>69.900000000000006</v>
      </c>
      <c r="G3123" s="38">
        <f t="shared" si="54"/>
        <v>69.900000000000006</v>
      </c>
      <c r="H3123" s="39"/>
      <c r="I3123" s="35"/>
      <c r="J3123" s="34">
        <v>360</v>
      </c>
    </row>
    <row r="3124" spans="1:10" ht="15.75" thickBot="1" x14ac:dyDescent="0.3">
      <c r="A3124" s="250"/>
      <c r="B3124" s="253"/>
      <c r="C3124" s="40"/>
      <c r="D3124" s="40"/>
      <c r="E3124" s="41"/>
      <c r="F3124" s="35" t="s">
        <v>23</v>
      </c>
      <c r="G3124" s="38" t="str">
        <f t="shared" si="54"/>
        <v/>
      </c>
      <c r="H3124" s="39"/>
      <c r="I3124" s="35"/>
      <c r="J3124" s="34">
        <v>360</v>
      </c>
    </row>
    <row r="3125" spans="1:10" ht="15.75" thickBot="1" x14ac:dyDescent="0.3">
      <c r="A3125" s="248" t="s">
        <v>807</v>
      </c>
      <c r="B3125" s="251" t="s">
        <v>2692</v>
      </c>
      <c r="C3125" s="28"/>
      <c r="D3125" s="29" t="s">
        <v>2693</v>
      </c>
      <c r="E3125" s="30"/>
      <c r="F3125" s="45" t="s">
        <v>23</v>
      </c>
      <c r="G3125" s="31" t="str">
        <f t="shared" si="54"/>
        <v/>
      </c>
      <c r="H3125" s="32"/>
      <c r="I3125" s="33"/>
      <c r="J3125" s="34">
        <v>8200</v>
      </c>
    </row>
    <row r="3126" spans="1:10" x14ac:dyDescent="0.25">
      <c r="A3126" s="262"/>
      <c r="B3126" s="252"/>
      <c r="C3126" s="36"/>
      <c r="D3126" s="36"/>
      <c r="E3126" s="37"/>
      <c r="F3126" s="46" t="s">
        <v>23</v>
      </c>
      <c r="G3126" s="38" t="str">
        <f t="shared" si="54"/>
        <v/>
      </c>
      <c r="H3126" s="39"/>
      <c r="I3126" s="35"/>
      <c r="J3126" s="34">
        <v>8200</v>
      </c>
    </row>
    <row r="3127" spans="1:10" x14ac:dyDescent="0.25">
      <c r="A3127" s="262"/>
      <c r="B3127" s="252"/>
      <c r="C3127" s="40" t="s">
        <v>3754</v>
      </c>
      <c r="D3127" s="40" t="s">
        <v>3752</v>
      </c>
      <c r="E3127" s="41">
        <v>2.9209999999999998</v>
      </c>
      <c r="F3127" s="38">
        <v>20.814499999999999</v>
      </c>
      <c r="G3127" s="38">
        <f t="shared" si="54"/>
        <v>60.799154499999993</v>
      </c>
      <c r="H3127" s="43">
        <f>SUM(G3127:G3127)</f>
        <v>60.799154499999993</v>
      </c>
      <c r="I3127" s="44"/>
      <c r="J3127" s="34">
        <v>8200</v>
      </c>
    </row>
    <row r="3128" spans="1:10" x14ac:dyDescent="0.25">
      <c r="A3128" s="262"/>
      <c r="B3128" s="252"/>
      <c r="C3128" s="40"/>
      <c r="D3128" s="40"/>
      <c r="E3128" s="41"/>
      <c r="F3128" s="35" t="s">
        <v>23</v>
      </c>
      <c r="G3128" s="38" t="str">
        <f t="shared" si="54"/>
        <v/>
      </c>
      <c r="H3128" s="39"/>
      <c r="I3128" s="35"/>
      <c r="J3128" s="34">
        <v>8200</v>
      </c>
    </row>
    <row r="3129" spans="1:10" x14ac:dyDescent="0.25">
      <c r="A3129" s="262"/>
      <c r="B3129" s="252"/>
      <c r="C3129" s="54" t="s">
        <v>782</v>
      </c>
      <c r="D3129" s="40"/>
      <c r="E3129" s="41"/>
      <c r="F3129" s="35" t="s">
        <v>23</v>
      </c>
      <c r="G3129" s="38" t="str">
        <f t="shared" si="54"/>
        <v/>
      </c>
      <c r="H3129" s="39"/>
      <c r="I3129" s="35"/>
      <c r="J3129" s="34">
        <v>8200</v>
      </c>
    </row>
    <row r="3130" spans="1:10" ht="15.75" thickBot="1" x14ac:dyDescent="0.3">
      <c r="A3130" s="263"/>
      <c r="B3130" s="253"/>
      <c r="C3130" s="40"/>
      <c r="D3130" s="40"/>
      <c r="E3130" s="41"/>
      <c r="F3130" s="35" t="s">
        <v>23</v>
      </c>
      <c r="G3130" s="38" t="str">
        <f t="shared" si="54"/>
        <v/>
      </c>
      <c r="H3130" s="39"/>
      <c r="I3130" s="35"/>
      <c r="J3130" s="34">
        <v>8200</v>
      </c>
    </row>
    <row r="3131" spans="1:10" ht="15.75" thickBot="1" x14ac:dyDescent="0.3">
      <c r="A3131" s="248" t="s">
        <v>808</v>
      </c>
      <c r="B3131" s="251" t="s">
        <v>2694</v>
      </c>
      <c r="C3131" s="28"/>
      <c r="D3131" s="29" t="s">
        <v>78</v>
      </c>
      <c r="E3131" s="30"/>
      <c r="F3131" s="45" t="s">
        <v>23</v>
      </c>
      <c r="G3131" s="31" t="str">
        <f t="shared" si="54"/>
        <v/>
      </c>
      <c r="H3131" s="32"/>
      <c r="I3131" s="33"/>
      <c r="J3131" s="34">
        <v>30</v>
      </c>
    </row>
    <row r="3132" spans="1:10" x14ac:dyDescent="0.25">
      <c r="A3132" s="249"/>
      <c r="B3132" s="252"/>
      <c r="C3132" s="36"/>
      <c r="D3132" s="36"/>
      <c r="E3132" s="37"/>
      <c r="F3132" s="46" t="s">
        <v>23</v>
      </c>
      <c r="G3132" s="38" t="str">
        <f t="shared" si="54"/>
        <v/>
      </c>
      <c r="H3132" s="39"/>
      <c r="I3132" s="35"/>
      <c r="J3132" s="34">
        <v>30</v>
      </c>
    </row>
    <row r="3133" spans="1:10" x14ac:dyDescent="0.25">
      <c r="A3133" s="249"/>
      <c r="B3133" s="252"/>
      <c r="C3133" s="40" t="s">
        <v>3767</v>
      </c>
      <c r="D3133" s="40" t="s">
        <v>3752</v>
      </c>
      <c r="E3133" s="41">
        <v>1.5</v>
      </c>
      <c r="F3133" s="38">
        <v>25.877999999999997</v>
      </c>
      <c r="G3133" s="38">
        <f t="shared" si="54"/>
        <v>38.816999999999993</v>
      </c>
      <c r="H3133" s="43">
        <f>SUM(G3133:G3135)</f>
        <v>111.73899999999999</v>
      </c>
      <c r="I3133" s="44"/>
      <c r="J3133" s="34">
        <v>30</v>
      </c>
    </row>
    <row r="3134" spans="1:10" x14ac:dyDescent="0.25">
      <c r="A3134" s="249"/>
      <c r="B3134" s="252"/>
      <c r="C3134" s="40" t="s">
        <v>3754</v>
      </c>
      <c r="D3134" s="40" t="s">
        <v>3752</v>
      </c>
      <c r="E3134" s="41">
        <v>1</v>
      </c>
      <c r="F3134" s="38">
        <v>20.814499999999999</v>
      </c>
      <c r="G3134" s="38">
        <f t="shared" si="54"/>
        <v>20.814499999999999</v>
      </c>
      <c r="H3134" s="39"/>
      <c r="I3134" s="35"/>
      <c r="J3134" s="34">
        <v>30</v>
      </c>
    </row>
    <row r="3135" spans="1:10" x14ac:dyDescent="0.25">
      <c r="A3135" s="249"/>
      <c r="B3135" s="252"/>
      <c r="C3135" s="40" t="s">
        <v>4166</v>
      </c>
      <c r="D3135" s="40" t="s">
        <v>177</v>
      </c>
      <c r="E3135" s="41">
        <v>1</v>
      </c>
      <c r="F3135" s="35">
        <v>52.107500000000002</v>
      </c>
      <c r="G3135" s="38">
        <f t="shared" si="54"/>
        <v>52.107500000000002</v>
      </c>
      <c r="H3135" s="39"/>
      <c r="I3135" s="35"/>
      <c r="J3135" s="34">
        <v>30</v>
      </c>
    </row>
    <row r="3136" spans="1:10" ht="15.75" thickBot="1" x14ac:dyDescent="0.3">
      <c r="A3136" s="250"/>
      <c r="B3136" s="253"/>
      <c r="C3136" s="40"/>
      <c r="D3136" s="40"/>
      <c r="E3136" s="41"/>
      <c r="F3136" s="35" t="s">
        <v>23</v>
      </c>
      <c r="G3136" s="38" t="str">
        <f t="shared" si="54"/>
        <v/>
      </c>
      <c r="H3136" s="39"/>
      <c r="I3136" s="35"/>
      <c r="J3136" s="34">
        <v>30</v>
      </c>
    </row>
    <row r="3137" spans="1:10" ht="15.75" thickBot="1" x14ac:dyDescent="0.3">
      <c r="A3137" s="248" t="s">
        <v>809</v>
      </c>
      <c r="B3137" s="251" t="s">
        <v>2695</v>
      </c>
      <c r="C3137" s="28"/>
      <c r="D3137" s="29" t="s">
        <v>78</v>
      </c>
      <c r="E3137" s="30"/>
      <c r="F3137" s="45" t="s">
        <v>23</v>
      </c>
      <c r="G3137" s="31" t="str">
        <f t="shared" si="54"/>
        <v/>
      </c>
      <c r="H3137" s="32"/>
      <c r="I3137" s="33"/>
      <c r="J3137" s="34">
        <v>900</v>
      </c>
    </row>
    <row r="3138" spans="1:10" x14ac:dyDescent="0.25">
      <c r="A3138" s="249"/>
      <c r="B3138" s="252"/>
      <c r="C3138" s="36"/>
      <c r="D3138" s="36"/>
      <c r="E3138" s="37"/>
      <c r="F3138" s="46" t="s">
        <v>23</v>
      </c>
      <c r="G3138" s="38" t="str">
        <f t="shared" si="54"/>
        <v/>
      </c>
      <c r="H3138" s="39"/>
      <c r="I3138" s="35"/>
      <c r="J3138" s="34">
        <v>900</v>
      </c>
    </row>
    <row r="3139" spans="1:10" x14ac:dyDescent="0.25">
      <c r="A3139" s="249"/>
      <c r="B3139" s="252"/>
      <c r="C3139" s="40" t="s">
        <v>3767</v>
      </c>
      <c r="D3139" s="40" t="s">
        <v>3752</v>
      </c>
      <c r="E3139" s="41">
        <v>1.5</v>
      </c>
      <c r="F3139" s="38">
        <v>25.877999999999997</v>
      </c>
      <c r="G3139" s="38">
        <f t="shared" si="54"/>
        <v>38.816999999999993</v>
      </c>
      <c r="H3139" s="43">
        <f>SUM(G3139:G3141)</f>
        <v>149.64400000000001</v>
      </c>
      <c r="I3139" s="44"/>
      <c r="J3139" s="34">
        <v>900</v>
      </c>
    </row>
    <row r="3140" spans="1:10" x14ac:dyDescent="0.25">
      <c r="A3140" s="249"/>
      <c r="B3140" s="252"/>
      <c r="C3140" s="40" t="s">
        <v>3754</v>
      </c>
      <c r="D3140" s="40" t="s">
        <v>3752</v>
      </c>
      <c r="E3140" s="41">
        <v>1</v>
      </c>
      <c r="F3140" s="38">
        <v>20.814499999999999</v>
      </c>
      <c r="G3140" s="38">
        <f t="shared" si="54"/>
        <v>20.814499999999999</v>
      </c>
      <c r="H3140" s="39"/>
      <c r="I3140" s="35"/>
      <c r="J3140" s="34">
        <v>900</v>
      </c>
    </row>
    <row r="3141" spans="1:10" x14ac:dyDescent="0.25">
      <c r="A3141" s="249"/>
      <c r="B3141" s="252"/>
      <c r="C3141" s="40" t="s">
        <v>3980</v>
      </c>
      <c r="D3141" s="40" t="s">
        <v>177</v>
      </c>
      <c r="E3141" s="41">
        <v>1</v>
      </c>
      <c r="F3141" s="35">
        <v>90.012500000000003</v>
      </c>
      <c r="G3141" s="38">
        <f t="shared" si="54"/>
        <v>90.012500000000003</v>
      </c>
      <c r="H3141" s="39"/>
      <c r="I3141" s="35"/>
      <c r="J3141" s="34">
        <v>900</v>
      </c>
    </row>
    <row r="3142" spans="1:10" ht="15.75" thickBot="1" x14ac:dyDescent="0.3">
      <c r="A3142" s="250"/>
      <c r="B3142" s="253"/>
      <c r="C3142" s="40"/>
      <c r="D3142" s="40"/>
      <c r="E3142" s="41"/>
      <c r="F3142" s="35" t="s">
        <v>23</v>
      </c>
      <c r="G3142" s="38" t="str">
        <f t="shared" si="54"/>
        <v/>
      </c>
      <c r="H3142" s="39"/>
      <c r="I3142" s="35"/>
      <c r="J3142" s="34">
        <v>900</v>
      </c>
    </row>
    <row r="3143" spans="1:10" ht="15.75" thickBot="1" x14ac:dyDescent="0.3">
      <c r="A3143" s="248" t="s">
        <v>810</v>
      </c>
      <c r="B3143" s="251" t="s">
        <v>2696</v>
      </c>
      <c r="C3143" s="28"/>
      <c r="D3143" s="29" t="s">
        <v>121</v>
      </c>
      <c r="E3143" s="30"/>
      <c r="F3143" s="45" t="s">
        <v>23</v>
      </c>
      <c r="G3143" s="31" t="str">
        <f t="shared" si="54"/>
        <v/>
      </c>
      <c r="H3143" s="32"/>
      <c r="I3143" s="33"/>
      <c r="J3143" s="34">
        <v>73190</v>
      </c>
    </row>
    <row r="3144" spans="1:10" x14ac:dyDescent="0.25">
      <c r="A3144" s="249"/>
      <c r="B3144" s="252"/>
      <c r="C3144" s="36"/>
      <c r="D3144" s="36"/>
      <c r="E3144" s="37"/>
      <c r="F3144" s="46" t="s">
        <v>23</v>
      </c>
      <c r="G3144" s="38" t="str">
        <f t="shared" si="54"/>
        <v/>
      </c>
      <c r="H3144" s="39"/>
      <c r="I3144" s="35"/>
      <c r="J3144" s="34">
        <v>73190</v>
      </c>
    </row>
    <row r="3145" spans="1:10" x14ac:dyDescent="0.25">
      <c r="A3145" s="249"/>
      <c r="B3145" s="252"/>
      <c r="C3145" s="40" t="s">
        <v>3767</v>
      </c>
      <c r="D3145" s="40" t="s">
        <v>3752</v>
      </c>
      <c r="E3145" s="41">
        <v>0.5</v>
      </c>
      <c r="F3145" s="38">
        <v>25.877999999999997</v>
      </c>
      <c r="G3145" s="38">
        <f t="shared" si="54"/>
        <v>12.938999999999998</v>
      </c>
      <c r="H3145" s="43">
        <f>SUM(G3145:G3147)</f>
        <v>26.103625000000001</v>
      </c>
      <c r="I3145" s="44"/>
      <c r="J3145" s="34">
        <v>73190</v>
      </c>
    </row>
    <row r="3146" spans="1:10" x14ac:dyDescent="0.25">
      <c r="A3146" s="249"/>
      <c r="B3146" s="252"/>
      <c r="C3146" s="40" t="s">
        <v>3754</v>
      </c>
      <c r="D3146" s="40" t="s">
        <v>3752</v>
      </c>
      <c r="E3146" s="41">
        <v>0.25</v>
      </c>
      <c r="F3146" s="38">
        <v>20.814499999999999</v>
      </c>
      <c r="G3146" s="38">
        <f t="shared" si="54"/>
        <v>5.2036249999999997</v>
      </c>
      <c r="H3146" s="39"/>
      <c r="I3146" s="35"/>
      <c r="J3146" s="34">
        <v>73190</v>
      </c>
    </row>
    <row r="3147" spans="1:10" x14ac:dyDescent="0.25">
      <c r="A3147" s="249"/>
      <c r="B3147" s="252"/>
      <c r="C3147" s="40" t="s">
        <v>3803</v>
      </c>
      <c r="D3147" s="40" t="s">
        <v>1035</v>
      </c>
      <c r="E3147" s="41">
        <v>2</v>
      </c>
      <c r="F3147" s="35">
        <v>3.9805000000000001</v>
      </c>
      <c r="G3147" s="38">
        <f t="shared" si="54"/>
        <v>7.9610000000000003</v>
      </c>
      <c r="H3147" s="39"/>
      <c r="I3147" s="35"/>
      <c r="J3147" s="34">
        <v>73190</v>
      </c>
    </row>
    <row r="3148" spans="1:10" ht="15.75" thickBot="1" x14ac:dyDescent="0.3">
      <c r="A3148" s="250"/>
      <c r="B3148" s="253"/>
      <c r="C3148" s="40"/>
      <c r="D3148" s="40"/>
      <c r="E3148" s="41"/>
      <c r="F3148" s="35" t="s">
        <v>23</v>
      </c>
      <c r="G3148" s="38" t="str">
        <f t="shared" si="54"/>
        <v/>
      </c>
      <c r="H3148" s="39"/>
      <c r="I3148" s="35"/>
      <c r="J3148" s="34">
        <v>73190</v>
      </c>
    </row>
    <row r="3149" spans="1:10" ht="15.75" thickBot="1" x14ac:dyDescent="0.3">
      <c r="A3149" s="248" t="s">
        <v>811</v>
      </c>
      <c r="B3149" s="251" t="s">
        <v>2697</v>
      </c>
      <c r="C3149" s="28"/>
      <c r="D3149" s="29" t="s">
        <v>78</v>
      </c>
      <c r="E3149" s="30"/>
      <c r="F3149" s="45" t="s">
        <v>23</v>
      </c>
      <c r="G3149" s="31" t="str">
        <f t="shared" si="54"/>
        <v/>
      </c>
      <c r="H3149" s="32"/>
      <c r="I3149" s="33"/>
      <c r="J3149" s="34">
        <v>320</v>
      </c>
    </row>
    <row r="3150" spans="1:10" x14ac:dyDescent="0.25">
      <c r="A3150" s="249"/>
      <c r="B3150" s="252"/>
      <c r="C3150" s="36"/>
      <c r="D3150" s="36"/>
      <c r="E3150" s="37"/>
      <c r="F3150" s="46" t="s">
        <v>23</v>
      </c>
      <c r="G3150" s="38" t="str">
        <f t="shared" si="54"/>
        <v/>
      </c>
      <c r="H3150" s="39"/>
      <c r="I3150" s="35"/>
      <c r="J3150" s="34">
        <v>320</v>
      </c>
    </row>
    <row r="3151" spans="1:10" x14ac:dyDescent="0.25">
      <c r="A3151" s="249"/>
      <c r="B3151" s="252"/>
      <c r="C3151" s="40" t="s">
        <v>3754</v>
      </c>
      <c r="D3151" s="40" t="s">
        <v>3752</v>
      </c>
      <c r="E3151" s="41">
        <v>1</v>
      </c>
      <c r="F3151" s="38">
        <v>20.814499999999999</v>
      </c>
      <c r="G3151" s="38">
        <f t="shared" si="54"/>
        <v>20.814499999999999</v>
      </c>
      <c r="H3151" s="43">
        <f>SUM(G3151:G3152)</f>
        <v>59.631499999999988</v>
      </c>
      <c r="I3151" s="44"/>
      <c r="J3151" s="34">
        <v>320</v>
      </c>
    </row>
    <row r="3152" spans="1:10" x14ac:dyDescent="0.25">
      <c r="A3152" s="249"/>
      <c r="B3152" s="252"/>
      <c r="C3152" s="40" t="s">
        <v>3767</v>
      </c>
      <c r="D3152" s="40" t="s">
        <v>3752</v>
      </c>
      <c r="E3152" s="41">
        <v>1.5</v>
      </c>
      <c r="F3152" s="38">
        <v>25.877999999999997</v>
      </c>
      <c r="G3152" s="38">
        <f t="shared" si="54"/>
        <v>38.816999999999993</v>
      </c>
      <c r="H3152" s="39"/>
      <c r="I3152" s="35"/>
      <c r="J3152" s="34">
        <v>320</v>
      </c>
    </row>
    <row r="3153" spans="1:10" ht="15.75" thickBot="1" x14ac:dyDescent="0.3">
      <c r="A3153" s="250"/>
      <c r="B3153" s="253"/>
      <c r="C3153" s="40"/>
      <c r="D3153" s="40"/>
      <c r="E3153" s="41"/>
      <c r="F3153" s="35" t="s">
        <v>23</v>
      </c>
      <c r="G3153" s="38" t="str">
        <f t="shared" si="54"/>
        <v/>
      </c>
      <c r="H3153" s="39"/>
      <c r="I3153" s="35"/>
      <c r="J3153" s="34">
        <v>320</v>
      </c>
    </row>
    <row r="3154" spans="1:10" ht="15.75" thickBot="1" x14ac:dyDescent="0.3">
      <c r="A3154" s="248" t="s">
        <v>812</v>
      </c>
      <c r="B3154" s="251" t="s">
        <v>813</v>
      </c>
      <c r="C3154" s="28"/>
      <c r="D3154" s="29" t="s">
        <v>78</v>
      </c>
      <c r="E3154" s="30"/>
      <c r="F3154" s="45" t="s">
        <v>23</v>
      </c>
      <c r="G3154" s="31" t="str">
        <f t="shared" si="54"/>
        <v/>
      </c>
      <c r="H3154" s="32"/>
      <c r="I3154" s="33"/>
      <c r="J3154" s="34">
        <v>220</v>
      </c>
    </row>
    <row r="3155" spans="1:10" x14ac:dyDescent="0.25">
      <c r="A3155" s="249"/>
      <c r="B3155" s="252"/>
      <c r="C3155" s="36"/>
      <c r="D3155" s="36"/>
      <c r="E3155" s="37"/>
      <c r="F3155" s="46" t="s">
        <v>23</v>
      </c>
      <c r="G3155" s="38" t="str">
        <f t="shared" si="54"/>
        <v/>
      </c>
      <c r="H3155" s="39"/>
      <c r="I3155" s="35"/>
      <c r="J3155" s="34">
        <v>220</v>
      </c>
    </row>
    <row r="3156" spans="1:10" x14ac:dyDescent="0.25">
      <c r="A3156" s="249"/>
      <c r="B3156" s="252"/>
      <c r="C3156" s="40" t="s">
        <v>813</v>
      </c>
      <c r="D3156" s="53" t="s">
        <v>78</v>
      </c>
      <c r="E3156" s="41">
        <v>1</v>
      </c>
      <c r="F3156" s="38">
        <v>650</v>
      </c>
      <c r="G3156" s="38">
        <f t="shared" si="54"/>
        <v>650</v>
      </c>
      <c r="H3156" s="43">
        <f>SUM(G3156:G3158)</f>
        <v>709.63149999999996</v>
      </c>
      <c r="I3156" s="44"/>
      <c r="J3156" s="34">
        <v>220</v>
      </c>
    </row>
    <row r="3157" spans="1:10" x14ac:dyDescent="0.25">
      <c r="A3157" s="249"/>
      <c r="B3157" s="252"/>
      <c r="C3157" s="40" t="s">
        <v>3754</v>
      </c>
      <c r="D3157" s="40" t="s">
        <v>3752</v>
      </c>
      <c r="E3157" s="41">
        <v>1</v>
      </c>
      <c r="F3157" s="35">
        <v>20.814499999999999</v>
      </c>
      <c r="G3157" s="38">
        <f t="shared" si="54"/>
        <v>20.814499999999999</v>
      </c>
      <c r="H3157" s="39"/>
      <c r="I3157" s="35"/>
      <c r="J3157" s="34">
        <v>220</v>
      </c>
    </row>
    <row r="3158" spans="1:10" x14ac:dyDescent="0.25">
      <c r="A3158" s="249"/>
      <c r="B3158" s="252"/>
      <c r="C3158" s="40" t="s">
        <v>3767</v>
      </c>
      <c r="D3158" s="40" t="s">
        <v>3752</v>
      </c>
      <c r="E3158" s="41">
        <v>1.5</v>
      </c>
      <c r="F3158" s="35">
        <v>25.877999999999997</v>
      </c>
      <c r="G3158" s="38">
        <f t="shared" si="54"/>
        <v>38.816999999999993</v>
      </c>
      <c r="H3158" s="39"/>
      <c r="I3158" s="35"/>
      <c r="J3158" s="34">
        <v>220</v>
      </c>
    </row>
    <row r="3159" spans="1:10" ht="15.75" thickBot="1" x14ac:dyDescent="0.3">
      <c r="A3159" s="250"/>
      <c r="B3159" s="253"/>
      <c r="C3159" s="40"/>
      <c r="D3159" s="40"/>
      <c r="E3159" s="41"/>
      <c r="F3159" s="35" t="s">
        <v>23</v>
      </c>
      <c r="G3159" s="38" t="str">
        <f t="shared" si="54"/>
        <v/>
      </c>
      <c r="H3159" s="39"/>
      <c r="I3159" s="35"/>
      <c r="J3159" s="34">
        <v>220</v>
      </c>
    </row>
    <row r="3160" spans="1:10" ht="15.75" thickBot="1" x14ac:dyDescent="0.3">
      <c r="A3160" s="248" t="s">
        <v>814</v>
      </c>
      <c r="B3160" s="251" t="s">
        <v>2698</v>
      </c>
      <c r="C3160" s="28"/>
      <c r="D3160" s="29" t="s">
        <v>28</v>
      </c>
      <c r="E3160" s="30"/>
      <c r="F3160" s="45" t="s">
        <v>23</v>
      </c>
      <c r="G3160" s="31" t="str">
        <f t="shared" si="54"/>
        <v/>
      </c>
      <c r="H3160" s="32"/>
      <c r="I3160" s="33"/>
      <c r="J3160" s="34">
        <v>1440</v>
      </c>
    </row>
    <row r="3161" spans="1:10" x14ac:dyDescent="0.25">
      <c r="A3161" s="249"/>
      <c r="B3161" s="252"/>
      <c r="C3161" s="36"/>
      <c r="D3161" s="36"/>
      <c r="E3161" s="37"/>
      <c r="F3161" s="46" t="s">
        <v>23</v>
      </c>
      <c r="G3161" s="38" t="str">
        <f t="shared" si="54"/>
        <v/>
      </c>
      <c r="H3161" s="39"/>
      <c r="I3161" s="35"/>
      <c r="J3161" s="34">
        <v>1440</v>
      </c>
    </row>
    <row r="3162" spans="1:10" x14ac:dyDescent="0.25">
      <c r="A3162" s="249"/>
      <c r="B3162" s="252"/>
      <c r="C3162" s="40" t="s">
        <v>3767</v>
      </c>
      <c r="D3162" s="40" t="s">
        <v>3752</v>
      </c>
      <c r="E3162" s="41">
        <v>0.1</v>
      </c>
      <c r="F3162" s="38">
        <v>25.877999999999997</v>
      </c>
      <c r="G3162" s="38">
        <f t="shared" si="54"/>
        <v>2.5877999999999997</v>
      </c>
      <c r="H3162" s="43">
        <f>SUM(G3162:G3163)</f>
        <v>10.026299999999999</v>
      </c>
      <c r="I3162" s="44"/>
      <c r="J3162" s="34">
        <v>1440</v>
      </c>
    </row>
    <row r="3163" spans="1:10" ht="25.5" x14ac:dyDescent="0.25">
      <c r="A3163" s="249"/>
      <c r="B3163" s="252"/>
      <c r="C3163" s="40" t="s">
        <v>4116</v>
      </c>
      <c r="D3163" s="40" t="s">
        <v>291</v>
      </c>
      <c r="E3163" s="41">
        <v>1</v>
      </c>
      <c r="F3163" s="35">
        <v>7.4384999999999994</v>
      </c>
      <c r="G3163" s="38">
        <f t="shared" si="54"/>
        <v>7.4384999999999994</v>
      </c>
      <c r="H3163" s="39"/>
      <c r="I3163" s="35"/>
      <c r="J3163" s="34">
        <v>1440</v>
      </c>
    </row>
    <row r="3164" spans="1:10" ht="15.75" thickBot="1" x14ac:dyDescent="0.3">
      <c r="A3164" s="250"/>
      <c r="B3164" s="253"/>
      <c r="C3164" s="40"/>
      <c r="D3164" s="40"/>
      <c r="E3164" s="41"/>
      <c r="F3164" s="35" t="s">
        <v>23</v>
      </c>
      <c r="G3164" s="38" t="str">
        <f t="shared" si="54"/>
        <v/>
      </c>
      <c r="H3164" s="39"/>
      <c r="I3164" s="35"/>
      <c r="J3164" s="34">
        <v>1440</v>
      </c>
    </row>
    <row r="3165" spans="1:10" ht="15.75" hidden="1" thickBot="1" x14ac:dyDescent="0.3">
      <c r="A3165" s="248" t="s">
        <v>815</v>
      </c>
      <c r="B3165" s="251" t="s">
        <v>2699</v>
      </c>
      <c r="C3165" s="28"/>
      <c r="D3165" s="29" t="s">
        <v>1748</v>
      </c>
      <c r="E3165" s="30"/>
      <c r="F3165" s="45" t="s">
        <v>23</v>
      </c>
      <c r="G3165" s="31" t="str">
        <f t="shared" si="54"/>
        <v/>
      </c>
      <c r="H3165" s="32"/>
      <c r="I3165" s="33"/>
      <c r="J3165" s="34">
        <v>0</v>
      </c>
    </row>
    <row r="3166" spans="1:10" ht="15.75" hidden="1" thickBot="1" x14ac:dyDescent="0.3">
      <c r="A3166" s="249"/>
      <c r="B3166" s="252"/>
      <c r="C3166" s="36"/>
      <c r="D3166" s="36"/>
      <c r="E3166" s="37"/>
      <c r="F3166" s="46" t="s">
        <v>23</v>
      </c>
      <c r="G3166" s="38" t="str">
        <f t="shared" si="54"/>
        <v/>
      </c>
      <c r="H3166" s="39"/>
      <c r="I3166" s="35"/>
      <c r="J3166" s="34">
        <v>0</v>
      </c>
    </row>
    <row r="3167" spans="1:10" ht="15.75" hidden="1" thickBot="1" x14ac:dyDescent="0.3">
      <c r="A3167" s="249"/>
      <c r="B3167" s="252"/>
      <c r="C3167" s="40" t="s">
        <v>3757</v>
      </c>
      <c r="D3167" s="40" t="s">
        <v>3752</v>
      </c>
      <c r="E3167" s="41">
        <v>4.8468999999999998</v>
      </c>
      <c r="F3167" s="35">
        <v>28.0535</v>
      </c>
      <c r="G3167" s="38">
        <f t="shared" si="54"/>
        <v>135.97250914999998</v>
      </c>
      <c r="H3167" s="43">
        <f>SUM(G3167:G3169)</f>
        <v>4466.830402999999</v>
      </c>
      <c r="I3167" s="44"/>
      <c r="J3167" s="34">
        <v>0</v>
      </c>
    </row>
    <row r="3168" spans="1:10" ht="15.75" hidden="1" thickBot="1" x14ac:dyDescent="0.3">
      <c r="A3168" s="249"/>
      <c r="B3168" s="252"/>
      <c r="C3168" s="40" t="s">
        <v>3754</v>
      </c>
      <c r="D3168" s="40" t="s">
        <v>3752</v>
      </c>
      <c r="E3168" s="41">
        <v>3.2313000000000001</v>
      </c>
      <c r="F3168" s="35">
        <v>20.814499999999999</v>
      </c>
      <c r="G3168" s="38">
        <f t="shared" si="54"/>
        <v>67.257893850000002</v>
      </c>
      <c r="H3168" s="39"/>
      <c r="I3168" s="35"/>
      <c r="J3168" s="34">
        <v>0</v>
      </c>
    </row>
    <row r="3169" spans="1:10" ht="15.75" hidden="1" thickBot="1" x14ac:dyDescent="0.3">
      <c r="A3169" s="249"/>
      <c r="B3169" s="252"/>
      <c r="C3169" s="40" t="s">
        <v>3855</v>
      </c>
      <c r="D3169" s="40" t="s">
        <v>1035</v>
      </c>
      <c r="E3169" s="41">
        <v>2200</v>
      </c>
      <c r="F3169" s="35">
        <v>1.9379999999999999</v>
      </c>
      <c r="G3169" s="38">
        <f t="shared" si="54"/>
        <v>4263.5999999999995</v>
      </c>
      <c r="H3169" s="39"/>
      <c r="I3169" s="35"/>
      <c r="J3169" s="34">
        <v>0</v>
      </c>
    </row>
    <row r="3170" spans="1:10" ht="15.75" hidden="1" thickBot="1" x14ac:dyDescent="0.3">
      <c r="A3170" s="249"/>
      <c r="B3170" s="252"/>
      <c r="C3170" s="40"/>
      <c r="D3170" s="53"/>
      <c r="E3170" s="41"/>
      <c r="F3170" s="35" t="s">
        <v>23</v>
      </c>
      <c r="G3170" s="38"/>
      <c r="H3170" s="39"/>
      <c r="I3170" s="35"/>
      <c r="J3170" s="34">
        <v>0</v>
      </c>
    </row>
    <row r="3171" spans="1:10" ht="26.25" hidden="1" thickBot="1" x14ac:dyDescent="0.3">
      <c r="A3171" s="249"/>
      <c r="B3171" s="252"/>
      <c r="C3171" s="50" t="s">
        <v>816</v>
      </c>
      <c r="D3171" s="53"/>
      <c r="E3171" s="41"/>
      <c r="F3171" s="35" t="s">
        <v>23</v>
      </c>
      <c r="G3171" s="38"/>
      <c r="H3171" s="39"/>
      <c r="I3171" s="35"/>
      <c r="J3171" s="34">
        <v>0</v>
      </c>
    </row>
    <row r="3172" spans="1:10" ht="30.75" hidden="1" thickBot="1" x14ac:dyDescent="0.3">
      <c r="A3172" s="249"/>
      <c r="B3172" s="252"/>
      <c r="C3172" s="85" t="s">
        <v>817</v>
      </c>
      <c r="D3172" s="53"/>
      <c r="E3172" s="41"/>
      <c r="F3172" s="35" t="s">
        <v>23</v>
      </c>
      <c r="G3172" s="38"/>
      <c r="H3172" s="39"/>
      <c r="I3172" s="35"/>
      <c r="J3172" s="34">
        <v>0</v>
      </c>
    </row>
    <row r="3173" spans="1:10" ht="15.75" hidden="1" thickBot="1" x14ac:dyDescent="0.3">
      <c r="A3173" s="250"/>
      <c r="B3173" s="253"/>
      <c r="C3173" s="40"/>
      <c r="D3173" s="40"/>
      <c r="E3173" s="41"/>
      <c r="F3173" s="35" t="s">
        <v>23</v>
      </c>
      <c r="G3173" s="38" t="str">
        <f t="shared" ref="G3173:G3236" si="55">IF(ISNUMBER(F3173),E3173*F3173,"")</f>
        <v/>
      </c>
      <c r="H3173" s="39"/>
      <c r="I3173" s="35"/>
      <c r="J3173" s="34">
        <v>0</v>
      </c>
    </row>
    <row r="3174" spans="1:10" ht="15.75" hidden="1" thickBot="1" x14ac:dyDescent="0.3">
      <c r="A3174" s="248" t="s">
        <v>818</v>
      </c>
      <c r="B3174" s="251" t="s">
        <v>2700</v>
      </c>
      <c r="C3174" s="28"/>
      <c r="D3174" s="29" t="s">
        <v>82</v>
      </c>
      <c r="E3174" s="30"/>
      <c r="F3174" s="45" t="s">
        <v>23</v>
      </c>
      <c r="G3174" s="31" t="str">
        <f t="shared" si="55"/>
        <v/>
      </c>
      <c r="H3174" s="32"/>
      <c r="I3174" s="33"/>
      <c r="J3174" s="34">
        <v>0</v>
      </c>
    </row>
    <row r="3175" spans="1:10" ht="15.75" hidden="1" thickBot="1" x14ac:dyDescent="0.3">
      <c r="A3175" s="249"/>
      <c r="B3175" s="252"/>
      <c r="C3175" s="36"/>
      <c r="D3175" s="36"/>
      <c r="E3175" s="37"/>
      <c r="F3175" s="46" t="s">
        <v>23</v>
      </c>
      <c r="G3175" s="38" t="str">
        <f t="shared" si="55"/>
        <v/>
      </c>
      <c r="H3175" s="39"/>
      <c r="I3175" s="35"/>
      <c r="J3175" s="34">
        <v>0</v>
      </c>
    </row>
    <row r="3176" spans="1:10" ht="39" hidden="1" thickBot="1" x14ac:dyDescent="0.3">
      <c r="A3176" s="249"/>
      <c r="B3176" s="252"/>
      <c r="C3176" s="40" t="s">
        <v>4149</v>
      </c>
      <c r="D3176" s="40" t="s">
        <v>291</v>
      </c>
      <c r="E3176" s="41">
        <v>0.36699999999999999</v>
      </c>
      <c r="F3176" s="35">
        <v>0.20899999999999999</v>
      </c>
      <c r="G3176" s="38">
        <f t="shared" si="55"/>
        <v>7.6702999999999993E-2</v>
      </c>
      <c r="H3176" s="43">
        <f>SUM(G3176:G3180)</f>
        <v>11.219452500000003</v>
      </c>
      <c r="I3176" s="44"/>
      <c r="J3176" s="34">
        <v>0</v>
      </c>
    </row>
    <row r="3177" spans="1:10" ht="26.25" hidden="1" thickBot="1" x14ac:dyDescent="0.3">
      <c r="A3177" s="249"/>
      <c r="B3177" s="252"/>
      <c r="C3177" s="40" t="s">
        <v>4033</v>
      </c>
      <c r="D3177" s="40" t="s">
        <v>1035</v>
      </c>
      <c r="E3177" s="41">
        <v>2.5000000000000001E-2</v>
      </c>
      <c r="F3177" s="35">
        <v>18.249500000000001</v>
      </c>
      <c r="G3177" s="38">
        <f t="shared" si="55"/>
        <v>0.45623750000000007</v>
      </c>
      <c r="H3177" s="39"/>
      <c r="I3177" s="35"/>
      <c r="J3177" s="34">
        <v>0</v>
      </c>
    </row>
    <row r="3178" spans="1:10" ht="15.75" hidden="1" thickBot="1" x14ac:dyDescent="0.3">
      <c r="A3178" s="249"/>
      <c r="B3178" s="252"/>
      <c r="C3178" s="40" t="s">
        <v>4167</v>
      </c>
      <c r="D3178" s="40" t="s">
        <v>3752</v>
      </c>
      <c r="E3178" s="41">
        <v>4.1999999999999997E-3</v>
      </c>
      <c r="F3178" s="35">
        <v>20.785999999999998</v>
      </c>
      <c r="G3178" s="38">
        <f t="shared" si="55"/>
        <v>8.7301199999999982E-2</v>
      </c>
      <c r="H3178" s="39"/>
      <c r="I3178" s="35"/>
      <c r="J3178" s="34">
        <v>0</v>
      </c>
    </row>
    <row r="3179" spans="1:10" ht="15.75" hidden="1" thickBot="1" x14ac:dyDescent="0.3">
      <c r="A3179" s="249"/>
      <c r="B3179" s="252"/>
      <c r="C3179" s="40" t="s">
        <v>3977</v>
      </c>
      <c r="D3179" s="40" t="s">
        <v>3752</v>
      </c>
      <c r="E3179" s="41">
        <v>2.5700000000000001E-2</v>
      </c>
      <c r="F3179" s="35">
        <v>27.853999999999999</v>
      </c>
      <c r="G3179" s="38">
        <f t="shared" si="55"/>
        <v>0.71584780000000003</v>
      </c>
      <c r="H3179" s="39"/>
      <c r="I3179" s="35"/>
      <c r="J3179" s="34">
        <v>0</v>
      </c>
    </row>
    <row r="3180" spans="1:10" ht="15.75" hidden="1" thickBot="1" x14ac:dyDescent="0.3">
      <c r="A3180" s="249"/>
      <c r="B3180" s="252"/>
      <c r="C3180" s="40" t="s">
        <v>4692</v>
      </c>
      <c r="D3180" s="40" t="s">
        <v>1035</v>
      </c>
      <c r="E3180" s="41">
        <v>1</v>
      </c>
      <c r="F3180" s="35">
        <v>9.8833630000000028</v>
      </c>
      <c r="G3180" s="38">
        <f t="shared" si="55"/>
        <v>9.8833630000000028</v>
      </c>
      <c r="H3180" s="39"/>
      <c r="I3180" s="35"/>
      <c r="J3180" s="34">
        <v>0</v>
      </c>
    </row>
    <row r="3181" spans="1:10" ht="15.75" hidden="1" thickBot="1" x14ac:dyDescent="0.3">
      <c r="A3181" s="250"/>
      <c r="B3181" s="253"/>
      <c r="C3181" s="40"/>
      <c r="D3181" s="40"/>
      <c r="E3181" s="41"/>
      <c r="F3181" s="35" t="s">
        <v>23</v>
      </c>
      <c r="G3181" s="38" t="str">
        <f t="shared" si="55"/>
        <v/>
      </c>
      <c r="H3181" s="39"/>
      <c r="I3181" s="35"/>
      <c r="J3181" s="34">
        <v>0</v>
      </c>
    </row>
    <row r="3182" spans="1:10" ht="15.75" hidden="1" thickBot="1" x14ac:dyDescent="0.3">
      <c r="A3182" s="248" t="s">
        <v>819</v>
      </c>
      <c r="B3182" s="251" t="s">
        <v>2701</v>
      </c>
      <c r="C3182" s="28"/>
      <c r="D3182" s="29" t="s">
        <v>82</v>
      </c>
      <c r="E3182" s="30"/>
      <c r="F3182" s="45" t="s">
        <v>23</v>
      </c>
      <c r="G3182" s="31" t="str">
        <f t="shared" si="55"/>
        <v/>
      </c>
      <c r="H3182" s="32"/>
      <c r="I3182" s="33"/>
      <c r="J3182" s="34">
        <v>0</v>
      </c>
    </row>
    <row r="3183" spans="1:10" ht="15.75" hidden="1" thickBot="1" x14ac:dyDescent="0.3">
      <c r="A3183" s="249"/>
      <c r="B3183" s="252"/>
      <c r="C3183" s="36"/>
      <c r="D3183" s="36"/>
      <c r="E3183" s="37"/>
      <c r="F3183" s="46" t="s">
        <v>23</v>
      </c>
      <c r="G3183" s="38" t="str">
        <f t="shared" si="55"/>
        <v/>
      </c>
      <c r="H3183" s="39"/>
      <c r="I3183" s="35"/>
      <c r="J3183" s="34">
        <v>0</v>
      </c>
    </row>
    <row r="3184" spans="1:10" ht="39" hidden="1" thickBot="1" x14ac:dyDescent="0.3">
      <c r="A3184" s="249"/>
      <c r="B3184" s="252"/>
      <c r="C3184" s="40" t="s">
        <v>4149</v>
      </c>
      <c r="D3184" s="40" t="s">
        <v>291</v>
      </c>
      <c r="E3184" s="41">
        <v>0.21199999999999999</v>
      </c>
      <c r="F3184" s="35">
        <v>0.20899999999999999</v>
      </c>
      <c r="G3184" s="38">
        <f t="shared" si="55"/>
        <v>4.4308E-2</v>
      </c>
      <c r="H3184" s="43">
        <f>SUM(G3184:G3188)</f>
        <v>10.910098300000001</v>
      </c>
      <c r="I3184" s="44"/>
      <c r="J3184" s="34">
        <v>0</v>
      </c>
    </row>
    <row r="3185" spans="1:10" ht="26.25" hidden="1" thickBot="1" x14ac:dyDescent="0.3">
      <c r="A3185" s="249"/>
      <c r="B3185" s="252"/>
      <c r="C3185" s="40" t="s">
        <v>4033</v>
      </c>
      <c r="D3185" s="40" t="s">
        <v>1035</v>
      </c>
      <c r="E3185" s="41">
        <v>2.5000000000000001E-2</v>
      </c>
      <c r="F3185" s="35">
        <v>18.249500000000001</v>
      </c>
      <c r="G3185" s="38">
        <f t="shared" si="55"/>
        <v>0.45623750000000007</v>
      </c>
      <c r="H3185" s="39"/>
      <c r="I3185" s="35"/>
      <c r="J3185" s="34">
        <v>0</v>
      </c>
    </row>
    <row r="3186" spans="1:10" ht="15.75" hidden="1" thickBot="1" x14ac:dyDescent="0.3">
      <c r="A3186" s="249"/>
      <c r="B3186" s="252"/>
      <c r="C3186" s="40" t="s">
        <v>4167</v>
      </c>
      <c r="D3186" s="40" t="s">
        <v>3752</v>
      </c>
      <c r="E3186" s="41">
        <v>3.2000000000000002E-3</v>
      </c>
      <c r="F3186" s="35">
        <v>20.785999999999998</v>
      </c>
      <c r="G3186" s="38">
        <f t="shared" si="55"/>
        <v>6.6515199999999997E-2</v>
      </c>
      <c r="H3186" s="39"/>
      <c r="I3186" s="35"/>
      <c r="J3186" s="34">
        <v>0</v>
      </c>
    </row>
    <row r="3187" spans="1:10" ht="15.75" hidden="1" thickBot="1" x14ac:dyDescent="0.3">
      <c r="A3187" s="249"/>
      <c r="B3187" s="252"/>
      <c r="C3187" s="40" t="s">
        <v>3977</v>
      </c>
      <c r="D3187" s="40" t="s">
        <v>3752</v>
      </c>
      <c r="E3187" s="41">
        <v>1.9400000000000001E-2</v>
      </c>
      <c r="F3187" s="35">
        <v>27.853999999999999</v>
      </c>
      <c r="G3187" s="38">
        <f t="shared" si="55"/>
        <v>0.54036759999999995</v>
      </c>
      <c r="H3187" s="39"/>
      <c r="I3187" s="35"/>
      <c r="J3187" s="34">
        <v>0</v>
      </c>
    </row>
    <row r="3188" spans="1:10" ht="15.75" hidden="1" thickBot="1" x14ac:dyDescent="0.3">
      <c r="A3188" s="249"/>
      <c r="B3188" s="252"/>
      <c r="C3188" s="40" t="s">
        <v>4693</v>
      </c>
      <c r="D3188" s="40" t="s">
        <v>1035</v>
      </c>
      <c r="E3188" s="41">
        <v>1</v>
      </c>
      <c r="F3188" s="35">
        <v>9.8026700000000009</v>
      </c>
      <c r="G3188" s="38">
        <f t="shared" si="55"/>
        <v>9.8026700000000009</v>
      </c>
      <c r="H3188" s="39"/>
      <c r="I3188" s="35"/>
      <c r="J3188" s="34">
        <v>0</v>
      </c>
    </row>
    <row r="3189" spans="1:10" ht="15.75" hidden="1" thickBot="1" x14ac:dyDescent="0.3">
      <c r="A3189" s="250"/>
      <c r="B3189" s="253"/>
      <c r="C3189" s="40"/>
      <c r="D3189" s="40"/>
      <c r="E3189" s="41"/>
      <c r="F3189" s="35" t="s">
        <v>23</v>
      </c>
      <c r="G3189" s="38" t="str">
        <f t="shared" si="55"/>
        <v/>
      </c>
      <c r="H3189" s="39"/>
      <c r="I3189" s="35"/>
      <c r="J3189" s="34">
        <v>0</v>
      </c>
    </row>
    <row r="3190" spans="1:10" ht="15.75" hidden="1" thickBot="1" x14ac:dyDescent="0.3">
      <c r="A3190" s="248" t="s">
        <v>820</v>
      </c>
      <c r="B3190" s="251" t="s">
        <v>2702</v>
      </c>
      <c r="C3190" s="28"/>
      <c r="D3190" s="29" t="s">
        <v>28</v>
      </c>
      <c r="E3190" s="30"/>
      <c r="F3190" s="45" t="s">
        <v>23</v>
      </c>
      <c r="G3190" s="31" t="str">
        <f t="shared" si="55"/>
        <v/>
      </c>
      <c r="H3190" s="32"/>
      <c r="I3190" s="33"/>
      <c r="J3190" s="34">
        <v>0</v>
      </c>
    </row>
    <row r="3191" spans="1:10" ht="15.75" hidden="1" thickBot="1" x14ac:dyDescent="0.3">
      <c r="A3191" s="249"/>
      <c r="B3191" s="252"/>
      <c r="C3191" s="86"/>
      <c r="D3191" s="36"/>
      <c r="E3191" s="37"/>
      <c r="F3191" s="46" t="s">
        <v>23</v>
      </c>
      <c r="G3191" s="38" t="str">
        <f t="shared" si="55"/>
        <v/>
      </c>
      <c r="H3191" s="39"/>
      <c r="I3191" s="35"/>
      <c r="J3191" s="34">
        <v>0</v>
      </c>
    </row>
    <row r="3192" spans="1:10" ht="15.75" hidden="1" thickBot="1" x14ac:dyDescent="0.3">
      <c r="A3192" s="249"/>
      <c r="B3192" s="252"/>
      <c r="C3192" s="40" t="s">
        <v>3754</v>
      </c>
      <c r="D3192" s="40" t="s">
        <v>3752</v>
      </c>
      <c r="E3192" s="41">
        <v>0.55000000000000004</v>
      </c>
      <c r="F3192" s="35">
        <v>20.814499999999999</v>
      </c>
      <c r="G3192" s="38">
        <f t="shared" si="55"/>
        <v>11.447975</v>
      </c>
      <c r="H3192" s="43">
        <f>SUM(G3192:G3193)</f>
        <v>39.913775000000001</v>
      </c>
      <c r="I3192" s="44"/>
      <c r="J3192" s="34">
        <v>0</v>
      </c>
    </row>
    <row r="3193" spans="1:10" ht="15.75" hidden="1" thickBot="1" x14ac:dyDescent="0.3">
      <c r="A3193" s="249"/>
      <c r="B3193" s="252"/>
      <c r="C3193" s="40" t="s">
        <v>3767</v>
      </c>
      <c r="D3193" s="40" t="s">
        <v>3752</v>
      </c>
      <c r="E3193" s="41">
        <f>0.55*2</f>
        <v>1.1000000000000001</v>
      </c>
      <c r="F3193" s="35">
        <v>25.877999999999997</v>
      </c>
      <c r="G3193" s="38">
        <f t="shared" si="55"/>
        <v>28.465799999999998</v>
      </c>
      <c r="H3193" s="39"/>
      <c r="I3193" s="35"/>
      <c r="J3193" s="34">
        <v>0</v>
      </c>
    </row>
    <row r="3194" spans="1:10" ht="15.75" hidden="1" thickBot="1" x14ac:dyDescent="0.3">
      <c r="A3194" s="250"/>
      <c r="B3194" s="253"/>
      <c r="C3194" s="40"/>
      <c r="D3194" s="40"/>
      <c r="E3194" s="41"/>
      <c r="F3194" s="35" t="s">
        <v>23</v>
      </c>
      <c r="G3194" s="38" t="str">
        <f t="shared" si="55"/>
        <v/>
      </c>
      <c r="H3194" s="39"/>
      <c r="I3194" s="35"/>
      <c r="J3194" s="34">
        <v>0</v>
      </c>
    </row>
    <row r="3195" spans="1:10" ht="15.75" hidden="1" thickBot="1" x14ac:dyDescent="0.3">
      <c r="A3195" s="248" t="s">
        <v>821</v>
      </c>
      <c r="B3195" s="251" t="s">
        <v>2703</v>
      </c>
      <c r="C3195" s="28"/>
      <c r="D3195" s="29" t="s">
        <v>1748</v>
      </c>
      <c r="E3195" s="30"/>
      <c r="F3195" s="45" t="s">
        <v>23</v>
      </c>
      <c r="G3195" s="31" t="str">
        <f t="shared" si="55"/>
        <v/>
      </c>
      <c r="H3195" s="32"/>
      <c r="I3195" s="33"/>
      <c r="J3195" s="34">
        <v>0</v>
      </c>
    </row>
    <row r="3196" spans="1:10" ht="15.75" hidden="1" thickBot="1" x14ac:dyDescent="0.3">
      <c r="A3196" s="249"/>
      <c r="B3196" s="252"/>
      <c r="C3196" s="36"/>
      <c r="D3196" s="36"/>
      <c r="E3196" s="37"/>
      <c r="F3196" s="46" t="s">
        <v>23</v>
      </c>
      <c r="G3196" s="38" t="str">
        <f t="shared" si="55"/>
        <v/>
      </c>
      <c r="H3196" s="39"/>
      <c r="I3196" s="35"/>
      <c r="J3196" s="34">
        <v>0</v>
      </c>
    </row>
    <row r="3197" spans="1:10" ht="15.75" hidden="1" thickBot="1" x14ac:dyDescent="0.3">
      <c r="A3197" s="249"/>
      <c r="B3197" s="252"/>
      <c r="C3197" s="40" t="s">
        <v>3754</v>
      </c>
      <c r="D3197" s="40" t="s">
        <v>3752</v>
      </c>
      <c r="E3197" s="41">
        <v>3.956</v>
      </c>
      <c r="F3197" s="35">
        <v>20.814499999999999</v>
      </c>
      <c r="G3197" s="38">
        <f t="shared" si="55"/>
        <v>82.342162000000002</v>
      </c>
      <c r="H3197" s="43">
        <f>SUM(G3197:G3197)</f>
        <v>82.342162000000002</v>
      </c>
      <c r="I3197" s="44"/>
      <c r="J3197" s="34">
        <v>0</v>
      </c>
    </row>
    <row r="3198" spans="1:10" ht="15.75" hidden="1" thickBot="1" x14ac:dyDescent="0.3">
      <c r="A3198" s="250"/>
      <c r="B3198" s="253"/>
      <c r="C3198" s="40"/>
      <c r="D3198" s="40"/>
      <c r="E3198" s="41"/>
      <c r="F3198" s="35" t="s">
        <v>23</v>
      </c>
      <c r="G3198" s="38" t="str">
        <f t="shared" si="55"/>
        <v/>
      </c>
      <c r="H3198" s="39"/>
      <c r="I3198" s="35"/>
      <c r="J3198" s="34">
        <v>0</v>
      </c>
    </row>
    <row r="3199" spans="1:10" ht="15.75" hidden="1" thickBot="1" x14ac:dyDescent="0.3">
      <c r="A3199" s="248" t="s">
        <v>822</v>
      </c>
      <c r="B3199" s="251" t="s">
        <v>2704</v>
      </c>
      <c r="C3199" s="28"/>
      <c r="D3199" s="29" t="s">
        <v>1748</v>
      </c>
      <c r="E3199" s="30"/>
      <c r="F3199" s="45" t="s">
        <v>23</v>
      </c>
      <c r="G3199" s="31" t="str">
        <f t="shared" si="55"/>
        <v/>
      </c>
      <c r="H3199" s="32"/>
      <c r="I3199" s="33"/>
      <c r="J3199" s="34">
        <v>0</v>
      </c>
    </row>
    <row r="3200" spans="1:10" ht="15.75" hidden="1" thickBot="1" x14ac:dyDescent="0.3">
      <c r="A3200" s="249"/>
      <c r="B3200" s="252"/>
      <c r="C3200" s="36"/>
      <c r="D3200" s="36"/>
      <c r="E3200" s="37"/>
      <c r="F3200" s="46" t="s">
        <v>23</v>
      </c>
      <c r="G3200" s="38" t="str">
        <f t="shared" si="55"/>
        <v/>
      </c>
      <c r="H3200" s="39"/>
      <c r="I3200" s="35"/>
      <c r="J3200" s="34">
        <v>0</v>
      </c>
    </row>
    <row r="3201" spans="1:10" ht="15.75" hidden="1" thickBot="1" x14ac:dyDescent="0.3">
      <c r="A3201" s="249"/>
      <c r="B3201" s="252"/>
      <c r="C3201" s="40" t="s">
        <v>3754</v>
      </c>
      <c r="D3201" s="40" t="s">
        <v>3752</v>
      </c>
      <c r="E3201" s="41">
        <v>0.65</v>
      </c>
      <c r="F3201" s="35">
        <v>20.814499999999999</v>
      </c>
      <c r="G3201" s="38">
        <f t="shared" si="55"/>
        <v>13.529425</v>
      </c>
      <c r="H3201" s="43">
        <f>SUM(G3201:G3204)</f>
        <v>29.275760500000001</v>
      </c>
      <c r="I3201" s="44"/>
      <c r="J3201" s="34">
        <v>0</v>
      </c>
    </row>
    <row r="3202" spans="1:10" ht="26.25" hidden="1" thickBot="1" x14ac:dyDescent="0.3">
      <c r="A3202" s="249"/>
      <c r="B3202" s="252"/>
      <c r="C3202" s="40" t="s">
        <v>4018</v>
      </c>
      <c r="D3202" s="40" t="s">
        <v>1041</v>
      </c>
      <c r="E3202" s="41">
        <v>0.27400000000000002</v>
      </c>
      <c r="F3202" s="35">
        <v>29.012999999999998</v>
      </c>
      <c r="G3202" s="38">
        <f t="shared" si="55"/>
        <v>7.9495620000000002</v>
      </c>
      <c r="H3202" s="39"/>
      <c r="I3202" s="35"/>
      <c r="J3202" s="34">
        <v>0</v>
      </c>
    </row>
    <row r="3203" spans="1:10" ht="26.25" hidden="1" thickBot="1" x14ac:dyDescent="0.3">
      <c r="A3203" s="249"/>
      <c r="B3203" s="252"/>
      <c r="C3203" s="40" t="s">
        <v>4019</v>
      </c>
      <c r="D3203" s="40" t="s">
        <v>1052</v>
      </c>
      <c r="E3203" s="41">
        <v>0.254</v>
      </c>
      <c r="F3203" s="35">
        <v>22.685999999999996</v>
      </c>
      <c r="G3203" s="38">
        <f t="shared" si="55"/>
        <v>5.762243999999999</v>
      </c>
      <c r="H3203" s="39"/>
      <c r="I3203" s="35"/>
      <c r="J3203" s="34">
        <v>0</v>
      </c>
    </row>
    <row r="3204" spans="1:10" ht="26.25" hidden="1" thickBot="1" x14ac:dyDescent="0.3">
      <c r="A3204" s="249"/>
      <c r="B3204" s="252"/>
      <c r="C3204" s="40" t="s">
        <v>4721</v>
      </c>
      <c r="D3204" s="40" t="s">
        <v>3764</v>
      </c>
      <c r="E3204" s="41">
        <v>1</v>
      </c>
      <c r="F3204" s="35">
        <v>2.0345295000000001</v>
      </c>
      <c r="G3204" s="38">
        <f t="shared" si="55"/>
        <v>2.0345295000000001</v>
      </c>
      <c r="H3204" s="39"/>
      <c r="I3204" s="35"/>
      <c r="J3204" s="34">
        <v>0</v>
      </c>
    </row>
    <row r="3205" spans="1:10" ht="15.75" hidden="1" thickBot="1" x14ac:dyDescent="0.3">
      <c r="A3205" s="250"/>
      <c r="B3205" s="253"/>
      <c r="C3205" s="40"/>
      <c r="D3205" s="40"/>
      <c r="E3205" s="41"/>
      <c r="F3205" s="35" t="s">
        <v>23</v>
      </c>
      <c r="G3205" s="38" t="str">
        <f t="shared" si="55"/>
        <v/>
      </c>
      <c r="H3205" s="39"/>
      <c r="I3205" s="35"/>
      <c r="J3205" s="34">
        <v>0</v>
      </c>
    </row>
    <row r="3206" spans="1:10" ht="15.75" hidden="1" thickBot="1" x14ac:dyDescent="0.3">
      <c r="A3206" s="248" t="s">
        <v>823</v>
      </c>
      <c r="B3206" s="251" t="s">
        <v>2705</v>
      </c>
      <c r="C3206" s="28"/>
      <c r="D3206" s="29" t="s">
        <v>1748</v>
      </c>
      <c r="E3206" s="30"/>
      <c r="F3206" s="45" t="s">
        <v>23</v>
      </c>
      <c r="G3206" s="31" t="str">
        <f t="shared" si="55"/>
        <v/>
      </c>
      <c r="H3206" s="32"/>
      <c r="I3206" s="33"/>
      <c r="J3206" s="34">
        <v>0</v>
      </c>
    </row>
    <row r="3207" spans="1:10" ht="15.75" hidden="1" thickBot="1" x14ac:dyDescent="0.3">
      <c r="A3207" s="249"/>
      <c r="B3207" s="252"/>
      <c r="C3207" s="36"/>
      <c r="D3207" s="36"/>
      <c r="E3207" s="37"/>
      <c r="F3207" s="46" t="s">
        <v>23</v>
      </c>
      <c r="G3207" s="38" t="str">
        <f t="shared" si="55"/>
        <v/>
      </c>
      <c r="H3207" s="39"/>
      <c r="I3207" s="35"/>
      <c r="J3207" s="34">
        <v>0</v>
      </c>
    </row>
    <row r="3208" spans="1:10" ht="51.75" hidden="1" thickBot="1" x14ac:dyDescent="0.3">
      <c r="A3208" s="249"/>
      <c r="B3208" s="252"/>
      <c r="C3208" s="40" t="s">
        <v>4020</v>
      </c>
      <c r="D3208" s="40" t="s">
        <v>1041</v>
      </c>
      <c r="E3208" s="41">
        <v>6.0000000000000001E-3</v>
      </c>
      <c r="F3208" s="35">
        <v>276.74450000000002</v>
      </c>
      <c r="G3208" s="38">
        <f t="shared" si="55"/>
        <v>1.6604670000000001</v>
      </c>
      <c r="H3208" s="43">
        <f>SUM(G3208:G3215)</f>
        <v>210.5997370625</v>
      </c>
      <c r="I3208" s="44"/>
      <c r="J3208" s="34">
        <v>0</v>
      </c>
    </row>
    <row r="3209" spans="1:10" ht="51.75" hidden="1" thickBot="1" x14ac:dyDescent="0.3">
      <c r="A3209" s="249"/>
      <c r="B3209" s="252"/>
      <c r="C3209" s="40" t="s">
        <v>4021</v>
      </c>
      <c r="D3209" s="40" t="s">
        <v>1052</v>
      </c>
      <c r="E3209" s="41">
        <v>3.0000000000000001E-3</v>
      </c>
      <c r="F3209" s="35">
        <v>62.243999999999993</v>
      </c>
      <c r="G3209" s="38">
        <f t="shared" si="55"/>
        <v>0.18673199999999998</v>
      </c>
      <c r="H3209" s="39"/>
      <c r="I3209" s="35"/>
      <c r="J3209" s="34">
        <v>0</v>
      </c>
    </row>
    <row r="3210" spans="1:10" ht="26.25" hidden="1" thickBot="1" x14ac:dyDescent="0.3">
      <c r="A3210" s="249"/>
      <c r="B3210" s="252"/>
      <c r="C3210" s="40" t="s">
        <v>4022</v>
      </c>
      <c r="D3210" s="40" t="s">
        <v>3764</v>
      </c>
      <c r="E3210" s="41">
        <v>1.25</v>
      </c>
      <c r="F3210" s="35">
        <v>85.385999999999996</v>
      </c>
      <c r="G3210" s="38">
        <f t="shared" si="55"/>
        <v>106.73249999999999</v>
      </c>
      <c r="H3210" s="39"/>
      <c r="I3210" s="35"/>
      <c r="J3210" s="34">
        <v>0</v>
      </c>
    </row>
    <row r="3211" spans="1:10" ht="15.75" hidden="1" thickBot="1" x14ac:dyDescent="0.3">
      <c r="A3211" s="249"/>
      <c r="B3211" s="252"/>
      <c r="C3211" s="40" t="s">
        <v>3754</v>
      </c>
      <c r="D3211" s="40" t="s">
        <v>3752</v>
      </c>
      <c r="E3211" s="41">
        <v>0.65900000000000003</v>
      </c>
      <c r="F3211" s="35">
        <v>20.814499999999999</v>
      </c>
      <c r="G3211" s="38">
        <f t="shared" si="55"/>
        <v>13.7167555</v>
      </c>
      <c r="H3211" s="39"/>
      <c r="I3211" s="35"/>
      <c r="J3211" s="34">
        <v>0</v>
      </c>
    </row>
    <row r="3212" spans="1:10" ht="26.25" hidden="1" thickBot="1" x14ac:dyDescent="0.3">
      <c r="A3212" s="249"/>
      <c r="B3212" s="252"/>
      <c r="C3212" s="40" t="s">
        <v>4018</v>
      </c>
      <c r="D3212" s="40" t="s">
        <v>1041</v>
      </c>
      <c r="E3212" s="41">
        <v>0.27400000000000002</v>
      </c>
      <c r="F3212" s="35">
        <v>29.012999999999998</v>
      </c>
      <c r="G3212" s="38">
        <f t="shared" si="55"/>
        <v>7.9495620000000002</v>
      </c>
      <c r="H3212" s="39"/>
      <c r="I3212" s="35"/>
      <c r="J3212" s="34">
        <v>0</v>
      </c>
    </row>
    <row r="3213" spans="1:10" ht="26.25" hidden="1" thickBot="1" x14ac:dyDescent="0.3">
      <c r="A3213" s="249"/>
      <c r="B3213" s="252"/>
      <c r="C3213" s="40" t="s">
        <v>4019</v>
      </c>
      <c r="D3213" s="40" t="s">
        <v>1052</v>
      </c>
      <c r="E3213" s="41">
        <v>0.254</v>
      </c>
      <c r="F3213" s="35">
        <v>22.685999999999996</v>
      </c>
      <c r="G3213" s="38">
        <f t="shared" si="55"/>
        <v>5.762243999999999</v>
      </c>
      <c r="H3213" s="39"/>
      <c r="I3213" s="35"/>
      <c r="J3213" s="34">
        <v>0</v>
      </c>
    </row>
    <row r="3214" spans="1:10" ht="51.75" hidden="1" thickBot="1" x14ac:dyDescent="0.3">
      <c r="A3214" s="249"/>
      <c r="B3214" s="252"/>
      <c r="C3214" s="40" t="s">
        <v>4752</v>
      </c>
      <c r="D3214" s="40" t="s">
        <v>3764</v>
      </c>
      <c r="E3214" s="41">
        <f>E3210*1</f>
        <v>1.25</v>
      </c>
      <c r="F3214" s="38">
        <v>7.75243225</v>
      </c>
      <c r="G3214" s="38">
        <f t="shared" si="55"/>
        <v>9.6905403124999996</v>
      </c>
      <c r="H3214" s="39"/>
      <c r="I3214" s="35"/>
      <c r="J3214" s="34">
        <v>0</v>
      </c>
    </row>
    <row r="3215" spans="1:10" ht="39" hidden="1" thickBot="1" x14ac:dyDescent="0.3">
      <c r="A3215" s="249"/>
      <c r="B3215" s="252"/>
      <c r="C3215" s="40" t="s">
        <v>4749</v>
      </c>
      <c r="D3215" s="40" t="s">
        <v>4744</v>
      </c>
      <c r="E3215" s="41">
        <f>E3210*20</f>
        <v>25</v>
      </c>
      <c r="F3215" s="38">
        <v>2.5960374499999999</v>
      </c>
      <c r="G3215" s="38">
        <f t="shared" si="55"/>
        <v>64.900936250000001</v>
      </c>
      <c r="H3215" s="39"/>
      <c r="I3215" s="35"/>
      <c r="J3215" s="34">
        <v>0</v>
      </c>
    </row>
    <row r="3216" spans="1:10" ht="15.75" hidden="1" thickBot="1" x14ac:dyDescent="0.3">
      <c r="A3216" s="249"/>
      <c r="B3216" s="252"/>
      <c r="C3216" s="52"/>
      <c r="D3216" s="53"/>
      <c r="E3216" s="41"/>
      <c r="F3216" s="38" t="s">
        <v>23</v>
      </c>
      <c r="G3216" s="38" t="str">
        <f t="shared" si="55"/>
        <v/>
      </c>
      <c r="H3216" s="39"/>
      <c r="I3216" s="35"/>
      <c r="J3216" s="34">
        <v>0</v>
      </c>
    </row>
    <row r="3217" spans="1:10" ht="26.25" hidden="1" thickBot="1" x14ac:dyDescent="0.3">
      <c r="A3217" s="249"/>
      <c r="B3217" s="252"/>
      <c r="C3217" s="50" t="s">
        <v>824</v>
      </c>
      <c r="D3217" s="53"/>
      <c r="E3217" s="41"/>
      <c r="F3217" s="38" t="s">
        <v>23</v>
      </c>
      <c r="G3217" s="38" t="str">
        <f t="shared" si="55"/>
        <v/>
      </c>
      <c r="H3217" s="39"/>
      <c r="I3217" s="35"/>
      <c r="J3217" s="34">
        <v>0</v>
      </c>
    </row>
    <row r="3218" spans="1:10" ht="15.75" hidden="1" thickBot="1" x14ac:dyDescent="0.3">
      <c r="A3218" s="250"/>
      <c r="B3218" s="253"/>
      <c r="C3218" s="40"/>
      <c r="D3218" s="40"/>
      <c r="E3218" s="41"/>
      <c r="F3218" s="35" t="s">
        <v>23</v>
      </c>
      <c r="G3218" s="35" t="str">
        <f t="shared" si="55"/>
        <v/>
      </c>
      <c r="H3218" s="39"/>
      <c r="I3218" s="35"/>
      <c r="J3218" s="34">
        <v>0</v>
      </c>
    </row>
    <row r="3219" spans="1:10" ht="15.75" hidden="1" thickBot="1" x14ac:dyDescent="0.3">
      <c r="A3219" s="248" t="s">
        <v>825</v>
      </c>
      <c r="B3219" s="251" t="s">
        <v>2706</v>
      </c>
      <c r="C3219" s="28"/>
      <c r="D3219" s="29" t="s">
        <v>121</v>
      </c>
      <c r="E3219" s="30"/>
      <c r="F3219" s="45" t="s">
        <v>23</v>
      </c>
      <c r="G3219" s="31" t="str">
        <f t="shared" si="55"/>
        <v/>
      </c>
      <c r="H3219" s="32"/>
      <c r="I3219" s="33"/>
      <c r="J3219" s="34">
        <v>0</v>
      </c>
    </row>
    <row r="3220" spans="1:10" ht="15.75" hidden="1" thickBot="1" x14ac:dyDescent="0.3">
      <c r="A3220" s="249"/>
      <c r="B3220" s="252"/>
      <c r="C3220" s="36"/>
      <c r="D3220" s="36"/>
      <c r="E3220" s="37"/>
      <c r="F3220" s="46" t="s">
        <v>23</v>
      </c>
      <c r="G3220" s="38" t="str">
        <f t="shared" si="55"/>
        <v/>
      </c>
      <c r="H3220" s="39"/>
      <c r="I3220" s="35"/>
      <c r="J3220" s="34">
        <v>0</v>
      </c>
    </row>
    <row r="3221" spans="1:10" ht="26.25" hidden="1" thickBot="1" x14ac:dyDescent="0.3">
      <c r="A3221" s="249"/>
      <c r="B3221" s="252"/>
      <c r="C3221" s="40" t="s">
        <v>4023</v>
      </c>
      <c r="D3221" s="40" t="s">
        <v>1286</v>
      </c>
      <c r="E3221" s="41">
        <v>1.0225</v>
      </c>
      <c r="F3221" s="35">
        <v>57.047499999999992</v>
      </c>
      <c r="G3221" s="38">
        <f t="shared" si="55"/>
        <v>58.331068749999993</v>
      </c>
      <c r="H3221" s="43">
        <f>SUM(G3221:G3223)</f>
        <v>65.993150299999996</v>
      </c>
      <c r="I3221" s="44"/>
      <c r="J3221" s="34">
        <v>0</v>
      </c>
    </row>
    <row r="3222" spans="1:10" ht="26.25" hidden="1" thickBot="1" x14ac:dyDescent="0.3">
      <c r="A3222" s="249"/>
      <c r="B3222" s="252"/>
      <c r="C3222" s="40" t="s">
        <v>4119</v>
      </c>
      <c r="D3222" s="40" t="s">
        <v>3752</v>
      </c>
      <c r="E3222" s="41">
        <v>0.15670000000000001</v>
      </c>
      <c r="F3222" s="35">
        <v>21.555499999999999</v>
      </c>
      <c r="G3222" s="38">
        <f t="shared" si="55"/>
        <v>3.3777468499999999</v>
      </c>
      <c r="H3222" s="39"/>
      <c r="I3222" s="35"/>
      <c r="J3222" s="34">
        <v>0</v>
      </c>
    </row>
    <row r="3223" spans="1:10" ht="26.25" hidden="1" thickBot="1" x14ac:dyDescent="0.3">
      <c r="A3223" s="249"/>
      <c r="B3223" s="252"/>
      <c r="C3223" s="40" t="s">
        <v>4110</v>
      </c>
      <c r="D3223" s="40" t="s">
        <v>3752</v>
      </c>
      <c r="E3223" s="41">
        <v>0.15670000000000001</v>
      </c>
      <c r="F3223" s="35">
        <v>27.341000000000001</v>
      </c>
      <c r="G3223" s="38">
        <f t="shared" si="55"/>
        <v>4.2843347000000005</v>
      </c>
      <c r="H3223" s="39"/>
      <c r="I3223" s="35"/>
      <c r="J3223" s="34">
        <v>0</v>
      </c>
    </row>
    <row r="3224" spans="1:10" ht="15.75" hidden="1" thickBot="1" x14ac:dyDescent="0.3">
      <c r="A3224" s="250"/>
      <c r="B3224" s="253"/>
      <c r="C3224" s="40"/>
      <c r="D3224" s="40"/>
      <c r="E3224" s="41"/>
      <c r="F3224" s="35" t="s">
        <v>23</v>
      </c>
      <c r="G3224" s="38" t="str">
        <f t="shared" si="55"/>
        <v/>
      </c>
      <c r="H3224" s="39"/>
      <c r="I3224" s="35"/>
      <c r="J3224" s="34">
        <v>0</v>
      </c>
    </row>
    <row r="3225" spans="1:10" ht="15.75" hidden="1" thickBot="1" x14ac:dyDescent="0.3">
      <c r="A3225" s="248" t="s">
        <v>826</v>
      </c>
      <c r="B3225" s="251" t="s">
        <v>2707</v>
      </c>
      <c r="C3225" s="28"/>
      <c r="D3225" s="29" t="s">
        <v>121</v>
      </c>
      <c r="E3225" s="30"/>
      <c r="F3225" s="45" t="s">
        <v>23</v>
      </c>
      <c r="G3225" s="31" t="str">
        <f t="shared" si="55"/>
        <v/>
      </c>
      <c r="H3225" s="32"/>
      <c r="I3225" s="33"/>
      <c r="J3225" s="34">
        <v>0</v>
      </c>
    </row>
    <row r="3226" spans="1:10" ht="15.75" hidden="1" thickBot="1" x14ac:dyDescent="0.3">
      <c r="A3226" s="249"/>
      <c r="B3226" s="252"/>
      <c r="C3226" s="36"/>
      <c r="D3226" s="36"/>
      <c r="E3226" s="37"/>
      <c r="F3226" s="46" t="s">
        <v>23</v>
      </c>
      <c r="G3226" s="38" t="str">
        <f t="shared" si="55"/>
        <v/>
      </c>
      <c r="H3226" s="39"/>
      <c r="I3226" s="35"/>
      <c r="J3226" s="34">
        <v>0</v>
      </c>
    </row>
    <row r="3227" spans="1:10" ht="26.25" hidden="1" thickBot="1" x14ac:dyDescent="0.3">
      <c r="A3227" s="249"/>
      <c r="B3227" s="252"/>
      <c r="C3227" s="40" t="s">
        <v>4024</v>
      </c>
      <c r="D3227" s="40" t="s">
        <v>1286</v>
      </c>
      <c r="E3227" s="41">
        <v>1.0225</v>
      </c>
      <c r="F3227" s="35">
        <v>72.399499999999989</v>
      </c>
      <c r="G3227" s="38">
        <f t="shared" si="55"/>
        <v>74.02848874999998</v>
      </c>
      <c r="H3227" s="43">
        <f>SUM(G3227:G3229)</f>
        <v>82.565817649999985</v>
      </c>
      <c r="I3227" s="44"/>
      <c r="J3227" s="34">
        <v>0</v>
      </c>
    </row>
    <row r="3228" spans="1:10" ht="26.25" hidden="1" thickBot="1" x14ac:dyDescent="0.3">
      <c r="A3228" s="249"/>
      <c r="B3228" s="252"/>
      <c r="C3228" s="40" t="s">
        <v>4119</v>
      </c>
      <c r="D3228" s="40" t="s">
        <v>3752</v>
      </c>
      <c r="E3228" s="41">
        <v>0.17460000000000001</v>
      </c>
      <c r="F3228" s="35">
        <v>21.555499999999999</v>
      </c>
      <c r="G3228" s="38">
        <f t="shared" si="55"/>
        <v>3.7635902999999997</v>
      </c>
      <c r="H3228" s="39"/>
      <c r="I3228" s="35"/>
      <c r="J3228" s="34">
        <v>0</v>
      </c>
    </row>
    <row r="3229" spans="1:10" ht="26.25" hidden="1" thickBot="1" x14ac:dyDescent="0.3">
      <c r="A3229" s="249"/>
      <c r="B3229" s="252"/>
      <c r="C3229" s="40" t="s">
        <v>4110</v>
      </c>
      <c r="D3229" s="40" t="s">
        <v>3752</v>
      </c>
      <c r="E3229" s="41">
        <v>0.17460000000000001</v>
      </c>
      <c r="F3229" s="35">
        <v>27.341000000000001</v>
      </c>
      <c r="G3229" s="38">
        <f t="shared" si="55"/>
        <v>4.7737386000000006</v>
      </c>
      <c r="H3229" s="39"/>
      <c r="I3229" s="35"/>
      <c r="J3229" s="34">
        <v>0</v>
      </c>
    </row>
    <row r="3230" spans="1:10" ht="15.75" hidden="1" thickBot="1" x14ac:dyDescent="0.3">
      <c r="A3230" s="250"/>
      <c r="B3230" s="253"/>
      <c r="C3230" s="40"/>
      <c r="D3230" s="40"/>
      <c r="E3230" s="41"/>
      <c r="F3230" s="35" t="s">
        <v>23</v>
      </c>
      <c r="G3230" s="38" t="str">
        <f t="shared" si="55"/>
        <v/>
      </c>
      <c r="H3230" s="39"/>
      <c r="I3230" s="35"/>
      <c r="J3230" s="34">
        <v>0</v>
      </c>
    </row>
    <row r="3231" spans="1:10" ht="15.75" hidden="1" thickBot="1" x14ac:dyDescent="0.3">
      <c r="A3231" s="248" t="s">
        <v>827</v>
      </c>
      <c r="B3231" s="251" t="s">
        <v>2708</v>
      </c>
      <c r="C3231" s="28"/>
      <c r="D3231" s="29" t="s">
        <v>121</v>
      </c>
      <c r="E3231" s="30"/>
      <c r="F3231" s="45" t="s">
        <v>23</v>
      </c>
      <c r="G3231" s="31" t="str">
        <f t="shared" si="55"/>
        <v/>
      </c>
      <c r="H3231" s="32"/>
      <c r="I3231" s="33"/>
      <c r="J3231" s="34">
        <v>0</v>
      </c>
    </row>
    <row r="3232" spans="1:10" ht="15.75" hidden="1" thickBot="1" x14ac:dyDescent="0.3">
      <c r="A3232" s="249"/>
      <c r="B3232" s="252"/>
      <c r="C3232" s="36"/>
      <c r="D3232" s="36"/>
      <c r="E3232" s="37"/>
      <c r="F3232" s="46" t="s">
        <v>23</v>
      </c>
      <c r="G3232" s="38" t="str">
        <f t="shared" si="55"/>
        <v/>
      </c>
      <c r="H3232" s="39"/>
      <c r="I3232" s="35"/>
      <c r="J3232" s="34">
        <v>0</v>
      </c>
    </row>
    <row r="3233" spans="1:10" ht="26.25" hidden="1" thickBot="1" x14ac:dyDescent="0.3">
      <c r="A3233" s="249"/>
      <c r="B3233" s="252"/>
      <c r="C3233" s="40" t="s">
        <v>4025</v>
      </c>
      <c r="D3233" s="40" t="s">
        <v>1286</v>
      </c>
      <c r="E3233" s="41">
        <v>1.0225</v>
      </c>
      <c r="F3233" s="35">
        <v>141.98699999999999</v>
      </c>
      <c r="G3233" s="38">
        <f t="shared" si="55"/>
        <v>145.18170749999999</v>
      </c>
      <c r="H3233" s="43">
        <f>SUM(G3233:G3235)</f>
        <v>149.40636509999999</v>
      </c>
      <c r="I3233" s="44"/>
      <c r="J3233" s="34">
        <v>0</v>
      </c>
    </row>
    <row r="3234" spans="1:10" ht="26.25" hidden="1" thickBot="1" x14ac:dyDescent="0.3">
      <c r="A3234" s="249"/>
      <c r="B3234" s="252"/>
      <c r="C3234" s="40" t="s">
        <v>4119</v>
      </c>
      <c r="D3234" s="40" t="s">
        <v>3752</v>
      </c>
      <c r="E3234" s="41">
        <v>8.6400000000000005E-2</v>
      </c>
      <c r="F3234" s="35">
        <v>21.555499999999999</v>
      </c>
      <c r="G3234" s="38">
        <f t="shared" si="55"/>
        <v>1.8623951999999999</v>
      </c>
      <c r="H3234" s="39"/>
      <c r="I3234" s="35"/>
      <c r="J3234" s="34">
        <v>0</v>
      </c>
    </row>
    <row r="3235" spans="1:10" ht="26.25" hidden="1" thickBot="1" x14ac:dyDescent="0.3">
      <c r="A3235" s="249"/>
      <c r="B3235" s="252"/>
      <c r="C3235" s="40" t="s">
        <v>4110</v>
      </c>
      <c r="D3235" s="40" t="s">
        <v>3752</v>
      </c>
      <c r="E3235" s="41">
        <v>8.6400000000000005E-2</v>
      </c>
      <c r="F3235" s="35">
        <v>27.341000000000001</v>
      </c>
      <c r="G3235" s="38">
        <f t="shared" si="55"/>
        <v>2.3622624000000001</v>
      </c>
      <c r="H3235" s="39"/>
      <c r="I3235" s="35"/>
      <c r="J3235" s="34">
        <v>0</v>
      </c>
    </row>
    <row r="3236" spans="1:10" ht="15.75" hidden="1" thickBot="1" x14ac:dyDescent="0.3">
      <c r="A3236" s="250"/>
      <c r="B3236" s="253"/>
      <c r="C3236" s="40"/>
      <c r="D3236" s="40"/>
      <c r="E3236" s="41"/>
      <c r="F3236" s="35" t="s">
        <v>23</v>
      </c>
      <c r="G3236" s="38" t="str">
        <f t="shared" si="55"/>
        <v/>
      </c>
      <c r="H3236" s="39"/>
      <c r="I3236" s="35"/>
      <c r="J3236" s="34">
        <v>0</v>
      </c>
    </row>
    <row r="3237" spans="1:10" ht="15.75" hidden="1" thickBot="1" x14ac:dyDescent="0.3">
      <c r="A3237" s="248" t="s">
        <v>828</v>
      </c>
      <c r="B3237" s="251" t="s">
        <v>2709</v>
      </c>
      <c r="C3237" s="28"/>
      <c r="D3237" s="29" t="s">
        <v>28</v>
      </c>
      <c r="E3237" s="30"/>
      <c r="F3237" s="45" t="s">
        <v>23</v>
      </c>
      <c r="G3237" s="31" t="str">
        <f t="shared" ref="G3237:G3300" si="56">IF(ISNUMBER(F3237),E3237*F3237,"")</f>
        <v/>
      </c>
      <c r="H3237" s="32"/>
      <c r="I3237" s="33"/>
      <c r="J3237" s="34">
        <v>0</v>
      </c>
    </row>
    <row r="3238" spans="1:10" ht="15.75" hidden="1" thickBot="1" x14ac:dyDescent="0.3">
      <c r="A3238" s="249"/>
      <c r="B3238" s="252"/>
      <c r="C3238" s="36"/>
      <c r="D3238" s="36"/>
      <c r="E3238" s="37"/>
      <c r="F3238" s="46" t="s">
        <v>23</v>
      </c>
      <c r="G3238" s="38" t="str">
        <f t="shared" si="56"/>
        <v/>
      </c>
      <c r="H3238" s="39"/>
      <c r="I3238" s="35"/>
      <c r="J3238" s="34">
        <v>0</v>
      </c>
    </row>
    <row r="3239" spans="1:10" ht="39" hidden="1" thickBot="1" x14ac:dyDescent="0.3">
      <c r="A3239" s="249"/>
      <c r="B3239" s="252"/>
      <c r="C3239" s="40" t="s">
        <v>3874</v>
      </c>
      <c r="D3239" s="40" t="s">
        <v>291</v>
      </c>
      <c r="E3239" s="41">
        <v>2</v>
      </c>
      <c r="F3239" s="35">
        <v>22.799999999999997</v>
      </c>
      <c r="G3239" s="38">
        <f t="shared" si="56"/>
        <v>45.599999999999994</v>
      </c>
      <c r="H3239" s="43">
        <f>SUM(G3239:G3245)</f>
        <v>768.7841873499998</v>
      </c>
      <c r="I3239" s="44"/>
      <c r="J3239" s="34">
        <v>0</v>
      </c>
    </row>
    <row r="3240" spans="1:10" ht="26.25" hidden="1" thickBot="1" x14ac:dyDescent="0.3">
      <c r="A3240" s="249"/>
      <c r="B3240" s="252"/>
      <c r="C3240" s="40" t="s">
        <v>3858</v>
      </c>
      <c r="D3240" s="40" t="s">
        <v>291</v>
      </c>
      <c r="E3240" s="41">
        <v>1</v>
      </c>
      <c r="F3240" s="35">
        <v>16.102499999999999</v>
      </c>
      <c r="G3240" s="38">
        <f t="shared" si="56"/>
        <v>16.102499999999999</v>
      </c>
      <c r="H3240" s="39"/>
      <c r="I3240" s="35"/>
      <c r="J3240" s="34">
        <v>0</v>
      </c>
    </row>
    <row r="3241" spans="1:10" ht="26.25" hidden="1" thickBot="1" x14ac:dyDescent="0.3">
      <c r="A3241" s="249"/>
      <c r="B3241" s="252"/>
      <c r="C3241" s="40" t="s">
        <v>4026</v>
      </c>
      <c r="D3241" s="40" t="s">
        <v>291</v>
      </c>
      <c r="E3241" s="41">
        <v>1</v>
      </c>
      <c r="F3241" s="35">
        <v>657.21949999999993</v>
      </c>
      <c r="G3241" s="38">
        <f t="shared" si="56"/>
        <v>657.21949999999993</v>
      </c>
      <c r="H3241" s="39"/>
      <c r="I3241" s="35"/>
      <c r="J3241" s="34">
        <v>0</v>
      </c>
    </row>
    <row r="3242" spans="1:10" ht="15.75" hidden="1" thickBot="1" x14ac:dyDescent="0.3">
      <c r="A3242" s="249"/>
      <c r="B3242" s="252"/>
      <c r="C3242" s="40" t="s">
        <v>4161</v>
      </c>
      <c r="D3242" s="40" t="s">
        <v>1035</v>
      </c>
      <c r="E3242" s="41">
        <v>8.8099999999999998E-2</v>
      </c>
      <c r="F3242" s="35">
        <v>76.36099999999999</v>
      </c>
      <c r="G3242" s="38">
        <f t="shared" si="56"/>
        <v>6.7274040999999993</v>
      </c>
      <c r="H3242" s="39"/>
      <c r="I3242" s="35"/>
      <c r="J3242" s="34">
        <v>0</v>
      </c>
    </row>
    <row r="3243" spans="1:10" ht="26.25" hidden="1" thickBot="1" x14ac:dyDescent="0.3">
      <c r="A3243" s="249"/>
      <c r="B3243" s="252"/>
      <c r="C3243" s="40" t="s">
        <v>4110</v>
      </c>
      <c r="D3243" s="40" t="s">
        <v>3752</v>
      </c>
      <c r="E3243" s="41">
        <v>1.1539999999999999</v>
      </c>
      <c r="F3243" s="35">
        <v>27.341000000000001</v>
      </c>
      <c r="G3243" s="38">
        <f t="shared" si="56"/>
        <v>31.551513999999997</v>
      </c>
      <c r="H3243" s="39"/>
      <c r="I3243" s="35"/>
      <c r="J3243" s="34">
        <v>0</v>
      </c>
    </row>
    <row r="3244" spans="1:10" ht="15.75" hidden="1" thickBot="1" x14ac:dyDescent="0.3">
      <c r="A3244" s="249"/>
      <c r="B3244" s="252"/>
      <c r="C3244" s="40" t="s">
        <v>3754</v>
      </c>
      <c r="D3244" s="40" t="s">
        <v>3752</v>
      </c>
      <c r="E3244" s="41">
        <v>0.55649999999999999</v>
      </c>
      <c r="F3244" s="35">
        <v>20.814499999999999</v>
      </c>
      <c r="G3244" s="38">
        <f t="shared" si="56"/>
        <v>11.583269249999999</v>
      </c>
      <c r="H3244" s="39"/>
      <c r="I3244" s="35"/>
      <c r="J3244" s="34">
        <v>0</v>
      </c>
    </row>
    <row r="3245" spans="1:10" ht="26.25" hidden="1" thickBot="1" x14ac:dyDescent="0.3">
      <c r="A3245" s="249"/>
      <c r="B3245" s="252"/>
      <c r="C3245" s="40" t="s">
        <v>224</v>
      </c>
      <c r="D3245" s="40" t="s">
        <v>28</v>
      </c>
      <c r="E3245" s="41">
        <v>1</v>
      </c>
      <c r="F3245" s="38" t="s">
        <v>23</v>
      </c>
      <c r="G3245" s="38" t="str">
        <f t="shared" si="56"/>
        <v/>
      </c>
      <c r="H3245" s="39"/>
      <c r="I3245" s="35"/>
      <c r="J3245" s="34">
        <v>0</v>
      </c>
    </row>
    <row r="3246" spans="1:10" ht="15.75" hidden="1" thickBot="1" x14ac:dyDescent="0.3">
      <c r="A3246" s="250"/>
      <c r="B3246" s="253"/>
      <c r="C3246" s="40"/>
      <c r="D3246" s="40"/>
      <c r="E3246" s="41"/>
      <c r="F3246" s="35" t="s">
        <v>23</v>
      </c>
      <c r="G3246" s="38" t="str">
        <f t="shared" si="56"/>
        <v/>
      </c>
      <c r="H3246" s="39"/>
      <c r="I3246" s="35"/>
      <c r="J3246" s="34">
        <v>0</v>
      </c>
    </row>
    <row r="3247" spans="1:10" ht="15.75" hidden="1" thickBot="1" x14ac:dyDescent="0.3">
      <c r="A3247" s="248" t="s">
        <v>829</v>
      </c>
      <c r="B3247" s="251" t="s">
        <v>2710</v>
      </c>
      <c r="C3247" s="28"/>
      <c r="D3247" s="29" t="s">
        <v>28</v>
      </c>
      <c r="E3247" s="30"/>
      <c r="F3247" s="45" t="s">
        <v>23</v>
      </c>
      <c r="G3247" s="31" t="str">
        <f t="shared" si="56"/>
        <v/>
      </c>
      <c r="H3247" s="32"/>
      <c r="I3247" s="33"/>
      <c r="J3247" s="34">
        <v>0</v>
      </c>
    </row>
    <row r="3248" spans="1:10" ht="15.75" hidden="1" thickBot="1" x14ac:dyDescent="0.3">
      <c r="A3248" s="249"/>
      <c r="B3248" s="252"/>
      <c r="C3248" s="36"/>
      <c r="D3248" s="36"/>
      <c r="E3248" s="37"/>
      <c r="F3248" s="46" t="s">
        <v>23</v>
      </c>
      <c r="G3248" s="38" t="str">
        <f t="shared" si="56"/>
        <v/>
      </c>
      <c r="H3248" s="39"/>
      <c r="I3248" s="35"/>
      <c r="J3248" s="34">
        <v>0</v>
      </c>
    </row>
    <row r="3249" spans="1:10" ht="26.25" hidden="1" thickBot="1" x14ac:dyDescent="0.3">
      <c r="A3249" s="249"/>
      <c r="B3249" s="252"/>
      <c r="C3249" s="40" t="s">
        <v>830</v>
      </c>
      <c r="D3249" s="53" t="s">
        <v>102</v>
      </c>
      <c r="E3249" s="41">
        <v>1</v>
      </c>
      <c r="F3249" s="35" t="s">
        <v>23</v>
      </c>
      <c r="G3249" s="38" t="str">
        <f t="shared" si="56"/>
        <v/>
      </c>
      <c r="H3249" s="43">
        <f>SUM(G3249:G3250)</f>
        <v>2.0814499999999998</v>
      </c>
      <c r="I3249" s="44"/>
      <c r="J3249" s="34">
        <v>0</v>
      </c>
    </row>
    <row r="3250" spans="1:10" ht="15.75" hidden="1" thickBot="1" x14ac:dyDescent="0.3">
      <c r="A3250" s="249"/>
      <c r="B3250" s="252"/>
      <c r="C3250" s="40" t="s">
        <v>3754</v>
      </c>
      <c r="D3250" s="40" t="s">
        <v>3752</v>
      </c>
      <c r="E3250" s="41">
        <v>0.1</v>
      </c>
      <c r="F3250" s="35">
        <v>20.814499999999999</v>
      </c>
      <c r="G3250" s="38">
        <f t="shared" si="56"/>
        <v>2.0814499999999998</v>
      </c>
      <c r="H3250" s="39"/>
      <c r="I3250" s="35"/>
      <c r="J3250" s="34">
        <v>0</v>
      </c>
    </row>
    <row r="3251" spans="1:10" ht="15.75" hidden="1" thickBot="1" x14ac:dyDescent="0.3">
      <c r="A3251" s="250"/>
      <c r="B3251" s="253"/>
      <c r="C3251" s="40"/>
      <c r="D3251" s="40"/>
      <c r="E3251" s="41"/>
      <c r="F3251" s="35" t="s">
        <v>23</v>
      </c>
      <c r="G3251" s="38" t="str">
        <f t="shared" si="56"/>
        <v/>
      </c>
      <c r="H3251" s="39"/>
      <c r="I3251" s="35"/>
      <c r="J3251" s="34">
        <v>0</v>
      </c>
    </row>
    <row r="3252" spans="1:10" ht="15.75" hidden="1" thickBot="1" x14ac:dyDescent="0.3">
      <c r="A3252" s="248" t="s">
        <v>831</v>
      </c>
      <c r="B3252" s="251" t="s">
        <v>2711</v>
      </c>
      <c r="C3252" s="28"/>
      <c r="D3252" s="29" t="s">
        <v>28</v>
      </c>
      <c r="E3252" s="30"/>
      <c r="F3252" s="45" t="s">
        <v>23</v>
      </c>
      <c r="G3252" s="31" t="str">
        <f t="shared" si="56"/>
        <v/>
      </c>
      <c r="H3252" s="32"/>
      <c r="I3252" s="33"/>
      <c r="J3252" s="34">
        <v>0</v>
      </c>
    </row>
    <row r="3253" spans="1:10" ht="15.75" hidden="1" thickBot="1" x14ac:dyDescent="0.3">
      <c r="A3253" s="249"/>
      <c r="B3253" s="252"/>
      <c r="C3253" s="36"/>
      <c r="D3253" s="36"/>
      <c r="E3253" s="37"/>
      <c r="F3253" s="46" t="s">
        <v>23</v>
      </c>
      <c r="G3253" s="38" t="str">
        <f t="shared" si="56"/>
        <v/>
      </c>
      <c r="H3253" s="39"/>
      <c r="I3253" s="35"/>
      <c r="J3253" s="34">
        <v>0</v>
      </c>
    </row>
    <row r="3254" spans="1:10" ht="26.25" hidden="1" thickBot="1" x14ac:dyDescent="0.3">
      <c r="A3254" s="249"/>
      <c r="B3254" s="252"/>
      <c r="C3254" s="40" t="s">
        <v>832</v>
      </c>
      <c r="D3254" s="53" t="s">
        <v>102</v>
      </c>
      <c r="E3254" s="41">
        <v>1</v>
      </c>
      <c r="F3254" s="35" t="s">
        <v>23</v>
      </c>
      <c r="G3254" s="38" t="str">
        <f t="shared" si="56"/>
        <v/>
      </c>
      <c r="H3254" s="43">
        <f>SUM(G3254:G3257)</f>
        <v>13.140752449999999</v>
      </c>
      <c r="I3254" s="44"/>
      <c r="J3254" s="34">
        <v>0</v>
      </c>
    </row>
    <row r="3255" spans="1:10" ht="15.75" hidden="1" thickBot="1" x14ac:dyDescent="0.3">
      <c r="A3255" s="249"/>
      <c r="B3255" s="252"/>
      <c r="C3255" s="40" t="s">
        <v>3867</v>
      </c>
      <c r="D3255" s="40" t="s">
        <v>291</v>
      </c>
      <c r="E3255" s="41">
        <v>1.9199999999999998E-2</v>
      </c>
      <c r="F3255" s="35">
        <v>13.87</v>
      </c>
      <c r="G3255" s="38">
        <f t="shared" si="56"/>
        <v>0.26630399999999999</v>
      </c>
      <c r="H3255" s="39"/>
      <c r="I3255" s="35"/>
      <c r="J3255" s="34">
        <v>0</v>
      </c>
    </row>
    <row r="3256" spans="1:10" ht="26.25" hidden="1" thickBot="1" x14ac:dyDescent="0.3">
      <c r="A3256" s="249"/>
      <c r="B3256" s="252"/>
      <c r="C3256" s="40" t="s">
        <v>4110</v>
      </c>
      <c r="D3256" s="40" t="s">
        <v>3752</v>
      </c>
      <c r="E3256" s="41">
        <v>0.26329999999999998</v>
      </c>
      <c r="F3256" s="35">
        <v>27.341000000000001</v>
      </c>
      <c r="G3256" s="38">
        <f t="shared" si="56"/>
        <v>7.1988852999999997</v>
      </c>
      <c r="H3256" s="39"/>
      <c r="I3256" s="35"/>
      <c r="J3256" s="34">
        <v>0</v>
      </c>
    </row>
    <row r="3257" spans="1:10" ht="26.25" hidden="1" thickBot="1" x14ac:dyDescent="0.3">
      <c r="A3257" s="249"/>
      <c r="B3257" s="252"/>
      <c r="C3257" s="40" t="s">
        <v>4119</v>
      </c>
      <c r="D3257" s="40" t="s">
        <v>3752</v>
      </c>
      <c r="E3257" s="41">
        <v>0.26329999999999998</v>
      </c>
      <c r="F3257" s="35">
        <v>21.555499999999999</v>
      </c>
      <c r="G3257" s="38">
        <f t="shared" si="56"/>
        <v>5.6755631499999994</v>
      </c>
      <c r="H3257" s="39"/>
      <c r="I3257" s="35"/>
      <c r="J3257" s="34">
        <v>0</v>
      </c>
    </row>
    <row r="3258" spans="1:10" ht="15.75" hidden="1" thickBot="1" x14ac:dyDescent="0.3">
      <c r="A3258" s="250"/>
      <c r="B3258" s="253"/>
      <c r="C3258" s="40"/>
      <c r="D3258" s="40"/>
      <c r="E3258" s="41"/>
      <c r="F3258" s="35" t="s">
        <v>23</v>
      </c>
      <c r="G3258" s="38" t="str">
        <f t="shared" si="56"/>
        <v/>
      </c>
      <c r="H3258" s="39"/>
      <c r="I3258" s="35"/>
      <c r="J3258" s="34">
        <v>0</v>
      </c>
    </row>
    <row r="3259" spans="1:10" ht="15.75" hidden="1" thickBot="1" x14ac:dyDescent="0.3">
      <c r="A3259" s="248" t="s">
        <v>833</v>
      </c>
      <c r="B3259" s="251" t="s">
        <v>2712</v>
      </c>
      <c r="C3259" s="28"/>
      <c r="D3259" s="29" t="s">
        <v>121</v>
      </c>
      <c r="E3259" s="30"/>
      <c r="F3259" s="45" t="s">
        <v>23</v>
      </c>
      <c r="G3259" s="31" t="str">
        <f t="shared" si="56"/>
        <v/>
      </c>
      <c r="H3259" s="32"/>
      <c r="I3259" s="33"/>
      <c r="J3259" s="34">
        <v>0</v>
      </c>
    </row>
    <row r="3260" spans="1:10" ht="15.75" hidden="1" thickBot="1" x14ac:dyDescent="0.3">
      <c r="A3260" s="249"/>
      <c r="B3260" s="252"/>
      <c r="C3260" s="36"/>
      <c r="D3260" s="36"/>
      <c r="E3260" s="37"/>
      <c r="F3260" s="46" t="s">
        <v>23</v>
      </c>
      <c r="G3260" s="38" t="str">
        <f t="shared" si="56"/>
        <v/>
      </c>
      <c r="H3260" s="39"/>
      <c r="I3260" s="35"/>
      <c r="J3260" s="34">
        <v>0</v>
      </c>
    </row>
    <row r="3261" spans="1:10" ht="15.75" hidden="1" thickBot="1" x14ac:dyDescent="0.3">
      <c r="A3261" s="249"/>
      <c r="B3261" s="252"/>
      <c r="C3261" s="40" t="s">
        <v>834</v>
      </c>
      <c r="D3261" s="40" t="s">
        <v>121</v>
      </c>
      <c r="E3261" s="41">
        <v>1.0149999999999999</v>
      </c>
      <c r="F3261" s="35">
        <v>0</v>
      </c>
      <c r="G3261" s="38">
        <f t="shared" si="56"/>
        <v>0</v>
      </c>
      <c r="H3261" s="43">
        <f>SUM(G3261:G3264)</f>
        <v>3.0959284</v>
      </c>
      <c r="I3261" s="44"/>
      <c r="J3261" s="34">
        <v>0</v>
      </c>
    </row>
    <row r="3262" spans="1:10" ht="26.25" hidden="1" thickBot="1" x14ac:dyDescent="0.3">
      <c r="A3262" s="249"/>
      <c r="B3262" s="252"/>
      <c r="C3262" s="40" t="s">
        <v>3907</v>
      </c>
      <c r="D3262" s="40" t="s">
        <v>291</v>
      </c>
      <c r="E3262" s="41">
        <v>8.9999999999999993E-3</v>
      </c>
      <c r="F3262" s="35">
        <v>3.9139999999999997</v>
      </c>
      <c r="G3262" s="38">
        <f t="shared" si="56"/>
        <v>3.5225999999999993E-2</v>
      </c>
      <c r="H3262" s="39"/>
      <c r="I3262" s="35"/>
      <c r="J3262" s="34">
        <v>0</v>
      </c>
    </row>
    <row r="3263" spans="1:10" ht="15.75" hidden="1" thickBot="1" x14ac:dyDescent="0.3">
      <c r="A3263" s="249"/>
      <c r="B3263" s="252"/>
      <c r="C3263" s="40" t="s">
        <v>3770</v>
      </c>
      <c r="D3263" s="40" t="s">
        <v>3752</v>
      </c>
      <c r="E3263" s="41">
        <v>6.08E-2</v>
      </c>
      <c r="F3263" s="35">
        <v>21.954499999999999</v>
      </c>
      <c r="G3263" s="38">
        <f t="shared" si="56"/>
        <v>1.3348336000000001</v>
      </c>
      <c r="H3263" s="39"/>
      <c r="I3263" s="35"/>
      <c r="J3263" s="34">
        <v>0</v>
      </c>
    </row>
    <row r="3264" spans="1:10" ht="15.75" hidden="1" thickBot="1" x14ac:dyDescent="0.3">
      <c r="A3264" s="249"/>
      <c r="B3264" s="252"/>
      <c r="C3264" s="40" t="s">
        <v>3760</v>
      </c>
      <c r="D3264" s="40" t="s">
        <v>3752</v>
      </c>
      <c r="E3264" s="41">
        <v>6.08E-2</v>
      </c>
      <c r="F3264" s="35">
        <v>28.385999999999999</v>
      </c>
      <c r="G3264" s="38">
        <f t="shared" si="56"/>
        <v>1.7258688</v>
      </c>
      <c r="H3264" s="39"/>
      <c r="I3264" s="35"/>
      <c r="J3264" s="34">
        <v>0</v>
      </c>
    </row>
    <row r="3265" spans="1:10" ht="15.75" hidden="1" thickBot="1" x14ac:dyDescent="0.3">
      <c r="A3265" s="250"/>
      <c r="B3265" s="253"/>
      <c r="C3265" s="40"/>
      <c r="D3265" s="40"/>
      <c r="E3265" s="41"/>
      <c r="F3265" s="35" t="s">
        <v>23</v>
      </c>
      <c r="G3265" s="38" t="str">
        <f t="shared" si="56"/>
        <v/>
      </c>
      <c r="H3265" s="39"/>
      <c r="I3265" s="35"/>
      <c r="J3265" s="34">
        <v>0</v>
      </c>
    </row>
    <row r="3266" spans="1:10" ht="15.75" hidden="1" thickBot="1" x14ac:dyDescent="0.3">
      <c r="A3266" s="248" t="s">
        <v>835</v>
      </c>
      <c r="B3266" s="251" t="s">
        <v>2713</v>
      </c>
      <c r="C3266" s="28"/>
      <c r="D3266" s="29" t="s">
        <v>121</v>
      </c>
      <c r="E3266" s="30"/>
      <c r="F3266" s="45" t="s">
        <v>23</v>
      </c>
      <c r="G3266" s="31" t="str">
        <f t="shared" si="56"/>
        <v/>
      </c>
      <c r="H3266" s="32"/>
      <c r="I3266" s="33"/>
      <c r="J3266" s="34">
        <v>0</v>
      </c>
    </row>
    <row r="3267" spans="1:10" ht="15.75" hidden="1" thickBot="1" x14ac:dyDescent="0.3">
      <c r="A3267" s="249"/>
      <c r="B3267" s="252"/>
      <c r="C3267" s="36"/>
      <c r="D3267" s="36"/>
      <c r="E3267" s="37"/>
      <c r="F3267" s="46" t="s">
        <v>23</v>
      </c>
      <c r="G3267" s="38" t="str">
        <f t="shared" si="56"/>
        <v/>
      </c>
      <c r="H3267" s="39"/>
      <c r="I3267" s="35"/>
      <c r="J3267" s="34">
        <v>0</v>
      </c>
    </row>
    <row r="3268" spans="1:10" ht="15.75" hidden="1" thickBot="1" x14ac:dyDescent="0.3">
      <c r="A3268" s="249"/>
      <c r="B3268" s="252"/>
      <c r="C3268" s="40" t="s">
        <v>836</v>
      </c>
      <c r="D3268" s="40" t="s">
        <v>121</v>
      </c>
      <c r="E3268" s="41">
        <v>1.0149999999999999</v>
      </c>
      <c r="F3268" s="35">
        <v>0</v>
      </c>
      <c r="G3268" s="38">
        <f t="shared" si="56"/>
        <v>0</v>
      </c>
      <c r="H3268" s="43">
        <f>SUM(G3268:G3271)</f>
        <v>3.5439588500000001</v>
      </c>
      <c r="I3268" s="44"/>
      <c r="J3268" s="34">
        <v>0</v>
      </c>
    </row>
    <row r="3269" spans="1:10" ht="26.25" hidden="1" thickBot="1" x14ac:dyDescent="0.3">
      <c r="A3269" s="249"/>
      <c r="B3269" s="252"/>
      <c r="C3269" s="40" t="s">
        <v>3907</v>
      </c>
      <c r="D3269" s="40" t="s">
        <v>291</v>
      </c>
      <c r="E3269" s="41">
        <v>8.9999999999999993E-3</v>
      </c>
      <c r="F3269" s="35">
        <v>3.9139999999999997</v>
      </c>
      <c r="G3269" s="38">
        <f t="shared" si="56"/>
        <v>3.5225999999999993E-2</v>
      </c>
      <c r="H3269" s="39"/>
      <c r="I3269" s="35"/>
      <c r="J3269" s="34">
        <v>0</v>
      </c>
    </row>
    <row r="3270" spans="1:10" ht="15.75" hidden="1" thickBot="1" x14ac:dyDescent="0.3">
      <c r="A3270" s="249"/>
      <c r="B3270" s="252"/>
      <c r="C3270" s="40" t="s">
        <v>3770</v>
      </c>
      <c r="D3270" s="40" t="s">
        <v>3752</v>
      </c>
      <c r="E3270" s="41">
        <v>6.9699999999999998E-2</v>
      </c>
      <c r="F3270" s="35">
        <v>21.954499999999999</v>
      </c>
      <c r="G3270" s="38">
        <f t="shared" si="56"/>
        <v>1.53022865</v>
      </c>
      <c r="H3270" s="39"/>
      <c r="I3270" s="35"/>
      <c r="J3270" s="34">
        <v>0</v>
      </c>
    </row>
    <row r="3271" spans="1:10" ht="15.75" hidden="1" thickBot="1" x14ac:dyDescent="0.3">
      <c r="A3271" s="249"/>
      <c r="B3271" s="252"/>
      <c r="C3271" s="40" t="s">
        <v>3760</v>
      </c>
      <c r="D3271" s="40" t="s">
        <v>3752</v>
      </c>
      <c r="E3271" s="41">
        <v>6.9699999999999998E-2</v>
      </c>
      <c r="F3271" s="35">
        <v>28.385999999999999</v>
      </c>
      <c r="G3271" s="38">
        <f t="shared" si="56"/>
        <v>1.9785041999999999</v>
      </c>
      <c r="H3271" s="39"/>
      <c r="I3271" s="35"/>
      <c r="J3271" s="34">
        <v>0</v>
      </c>
    </row>
    <row r="3272" spans="1:10" ht="15.75" hidden="1" thickBot="1" x14ac:dyDescent="0.3">
      <c r="A3272" s="250"/>
      <c r="B3272" s="253"/>
      <c r="C3272" s="40"/>
      <c r="D3272" s="40"/>
      <c r="E3272" s="41"/>
      <c r="F3272" s="35" t="s">
        <v>23</v>
      </c>
      <c r="G3272" s="38" t="str">
        <f t="shared" si="56"/>
        <v/>
      </c>
      <c r="H3272" s="39"/>
      <c r="I3272" s="35"/>
      <c r="J3272" s="34">
        <v>0</v>
      </c>
    </row>
    <row r="3273" spans="1:10" ht="15.75" hidden="1" thickBot="1" x14ac:dyDescent="0.3">
      <c r="A3273" s="248" t="s">
        <v>837</v>
      </c>
      <c r="B3273" s="251" t="s">
        <v>2714</v>
      </c>
      <c r="C3273" s="28"/>
      <c r="D3273" s="29" t="s">
        <v>121</v>
      </c>
      <c r="E3273" s="30"/>
      <c r="F3273" s="45" t="s">
        <v>23</v>
      </c>
      <c r="G3273" s="31" t="str">
        <f t="shared" si="56"/>
        <v/>
      </c>
      <c r="H3273" s="32"/>
      <c r="I3273" s="33"/>
      <c r="J3273" s="34">
        <v>0</v>
      </c>
    </row>
    <row r="3274" spans="1:10" ht="15.75" hidden="1" thickBot="1" x14ac:dyDescent="0.3">
      <c r="A3274" s="249"/>
      <c r="B3274" s="252"/>
      <c r="C3274" s="36"/>
      <c r="D3274" s="36"/>
      <c r="E3274" s="37"/>
      <c r="F3274" s="46" t="s">
        <v>23</v>
      </c>
      <c r="G3274" s="38" t="str">
        <f t="shared" si="56"/>
        <v/>
      </c>
      <c r="H3274" s="39"/>
      <c r="I3274" s="35"/>
      <c r="J3274" s="34">
        <v>0</v>
      </c>
    </row>
    <row r="3275" spans="1:10" ht="15.75" hidden="1" thickBot="1" x14ac:dyDescent="0.3">
      <c r="A3275" s="249"/>
      <c r="B3275" s="252"/>
      <c r="C3275" s="40" t="s">
        <v>838</v>
      </c>
      <c r="D3275" s="40" t="s">
        <v>121</v>
      </c>
      <c r="E3275" s="41">
        <v>1.0149999999999999</v>
      </c>
      <c r="F3275" s="35">
        <v>0</v>
      </c>
      <c r="G3275" s="38">
        <f t="shared" si="56"/>
        <v>0</v>
      </c>
      <c r="H3275" s="43">
        <f>SUM(G3275:G3278)</f>
        <v>4.2134874999999994</v>
      </c>
      <c r="I3275" s="44"/>
      <c r="J3275" s="34">
        <v>0</v>
      </c>
    </row>
    <row r="3276" spans="1:10" ht="26.25" hidden="1" thickBot="1" x14ac:dyDescent="0.3">
      <c r="A3276" s="249"/>
      <c r="B3276" s="252"/>
      <c r="C3276" s="40" t="s">
        <v>3907</v>
      </c>
      <c r="D3276" s="40" t="s">
        <v>291</v>
      </c>
      <c r="E3276" s="41">
        <v>8.9999999999999993E-3</v>
      </c>
      <c r="F3276" s="35">
        <v>3.9139999999999997</v>
      </c>
      <c r="G3276" s="38">
        <f t="shared" si="56"/>
        <v>3.5225999999999993E-2</v>
      </c>
      <c r="H3276" s="39"/>
      <c r="I3276" s="35"/>
      <c r="J3276" s="34">
        <v>0</v>
      </c>
    </row>
    <row r="3277" spans="1:10" ht="15.75" hidden="1" thickBot="1" x14ac:dyDescent="0.3">
      <c r="A3277" s="249"/>
      <c r="B3277" s="252"/>
      <c r="C3277" s="40" t="s">
        <v>3770</v>
      </c>
      <c r="D3277" s="40" t="s">
        <v>3752</v>
      </c>
      <c r="E3277" s="41">
        <v>8.3000000000000004E-2</v>
      </c>
      <c r="F3277" s="35">
        <v>21.954499999999999</v>
      </c>
      <c r="G3277" s="38">
        <f t="shared" si="56"/>
        <v>1.8222235</v>
      </c>
      <c r="H3277" s="39"/>
      <c r="I3277" s="35"/>
      <c r="J3277" s="34">
        <v>0</v>
      </c>
    </row>
    <row r="3278" spans="1:10" ht="15.75" hidden="1" thickBot="1" x14ac:dyDescent="0.3">
      <c r="A3278" s="249"/>
      <c r="B3278" s="252"/>
      <c r="C3278" s="40" t="s">
        <v>3760</v>
      </c>
      <c r="D3278" s="40" t="s">
        <v>3752</v>
      </c>
      <c r="E3278" s="41">
        <v>8.3000000000000004E-2</v>
      </c>
      <c r="F3278" s="35">
        <v>28.385999999999999</v>
      </c>
      <c r="G3278" s="38">
        <f t="shared" si="56"/>
        <v>2.3560379999999999</v>
      </c>
      <c r="H3278" s="39"/>
      <c r="I3278" s="35"/>
      <c r="J3278" s="34">
        <v>0</v>
      </c>
    </row>
    <row r="3279" spans="1:10" ht="15.75" hidden="1" thickBot="1" x14ac:dyDescent="0.3">
      <c r="A3279" s="250"/>
      <c r="B3279" s="253"/>
      <c r="C3279" s="40"/>
      <c r="D3279" s="40"/>
      <c r="E3279" s="41"/>
      <c r="F3279" s="35" t="s">
        <v>23</v>
      </c>
      <c r="G3279" s="38" t="str">
        <f t="shared" si="56"/>
        <v/>
      </c>
      <c r="H3279" s="39"/>
      <c r="I3279" s="35"/>
      <c r="J3279" s="34">
        <v>0</v>
      </c>
    </row>
    <row r="3280" spans="1:10" ht="15.75" hidden="1" thickBot="1" x14ac:dyDescent="0.3">
      <c r="A3280" s="248" t="s">
        <v>839</v>
      </c>
      <c r="B3280" s="251" t="s">
        <v>2715</v>
      </c>
      <c r="C3280" s="28"/>
      <c r="D3280" s="29" t="s">
        <v>121</v>
      </c>
      <c r="E3280" s="30"/>
      <c r="F3280" s="45" t="s">
        <v>23</v>
      </c>
      <c r="G3280" s="31" t="str">
        <f t="shared" si="56"/>
        <v/>
      </c>
      <c r="H3280" s="32"/>
      <c r="I3280" s="33"/>
      <c r="J3280" s="34">
        <v>0</v>
      </c>
    </row>
    <row r="3281" spans="1:10" ht="15.75" hidden="1" thickBot="1" x14ac:dyDescent="0.3">
      <c r="A3281" s="249"/>
      <c r="B3281" s="252"/>
      <c r="C3281" s="36"/>
      <c r="D3281" s="36"/>
      <c r="E3281" s="37"/>
      <c r="F3281" s="46" t="s">
        <v>23</v>
      </c>
      <c r="G3281" s="38" t="str">
        <f t="shared" si="56"/>
        <v/>
      </c>
      <c r="H3281" s="39"/>
      <c r="I3281" s="35"/>
      <c r="J3281" s="34">
        <v>0</v>
      </c>
    </row>
    <row r="3282" spans="1:10" ht="15.75" hidden="1" thickBot="1" x14ac:dyDescent="0.3">
      <c r="A3282" s="249"/>
      <c r="B3282" s="252"/>
      <c r="C3282" s="40" t="s">
        <v>840</v>
      </c>
      <c r="D3282" s="40" t="s">
        <v>121</v>
      </c>
      <c r="E3282" s="41">
        <v>1.0149999999999999</v>
      </c>
      <c r="F3282" s="35">
        <v>0</v>
      </c>
      <c r="G3282" s="38">
        <f t="shared" si="56"/>
        <v>0</v>
      </c>
      <c r="H3282" s="43">
        <f>SUM(G3282:G3285)</f>
        <v>5.1045143499999996</v>
      </c>
      <c r="I3282" s="44"/>
      <c r="J3282" s="34">
        <v>0</v>
      </c>
    </row>
    <row r="3283" spans="1:10" ht="26.25" hidden="1" thickBot="1" x14ac:dyDescent="0.3">
      <c r="A3283" s="249"/>
      <c r="B3283" s="252"/>
      <c r="C3283" s="40" t="s">
        <v>3907</v>
      </c>
      <c r="D3283" s="40" t="s">
        <v>291</v>
      </c>
      <c r="E3283" s="41">
        <v>8.9999999999999993E-3</v>
      </c>
      <c r="F3283" s="35">
        <v>3.9139999999999997</v>
      </c>
      <c r="G3283" s="38">
        <f t="shared" si="56"/>
        <v>3.5225999999999993E-2</v>
      </c>
      <c r="H3283" s="39"/>
      <c r="I3283" s="35"/>
      <c r="J3283" s="34">
        <v>0</v>
      </c>
    </row>
    <row r="3284" spans="1:10" ht="15.75" hidden="1" thickBot="1" x14ac:dyDescent="0.3">
      <c r="A3284" s="249"/>
      <c r="B3284" s="252"/>
      <c r="C3284" s="40" t="s">
        <v>3770</v>
      </c>
      <c r="D3284" s="40" t="s">
        <v>3752</v>
      </c>
      <c r="E3284" s="41">
        <v>0.1007</v>
      </c>
      <c r="F3284" s="35">
        <v>21.954499999999999</v>
      </c>
      <c r="G3284" s="38">
        <f t="shared" si="56"/>
        <v>2.2108181499999997</v>
      </c>
      <c r="H3284" s="39"/>
      <c r="I3284" s="35"/>
      <c r="J3284" s="34">
        <v>0</v>
      </c>
    </row>
    <row r="3285" spans="1:10" ht="15.75" hidden="1" thickBot="1" x14ac:dyDescent="0.3">
      <c r="A3285" s="249"/>
      <c r="B3285" s="252"/>
      <c r="C3285" s="40" t="s">
        <v>3760</v>
      </c>
      <c r="D3285" s="40" t="s">
        <v>3752</v>
      </c>
      <c r="E3285" s="41">
        <v>0.1007</v>
      </c>
      <c r="F3285" s="35">
        <v>28.385999999999999</v>
      </c>
      <c r="G3285" s="38">
        <f t="shared" si="56"/>
        <v>2.8584701999999997</v>
      </c>
      <c r="H3285" s="39"/>
      <c r="I3285" s="35"/>
      <c r="J3285" s="34">
        <v>0</v>
      </c>
    </row>
    <row r="3286" spans="1:10" ht="15.75" hidden="1" thickBot="1" x14ac:dyDescent="0.3">
      <c r="A3286" s="250"/>
      <c r="B3286" s="253"/>
      <c r="C3286" s="40"/>
      <c r="D3286" s="40"/>
      <c r="E3286" s="41"/>
      <c r="F3286" s="35" t="s">
        <v>23</v>
      </c>
      <c r="G3286" s="38" t="str">
        <f t="shared" si="56"/>
        <v/>
      </c>
      <c r="H3286" s="39"/>
      <c r="I3286" s="35"/>
      <c r="J3286" s="34">
        <v>0</v>
      </c>
    </row>
    <row r="3287" spans="1:10" ht="15.75" hidden="1" thickBot="1" x14ac:dyDescent="0.3">
      <c r="A3287" s="248" t="s">
        <v>841</v>
      </c>
      <c r="B3287" s="251" t="s">
        <v>2716</v>
      </c>
      <c r="C3287" s="28"/>
      <c r="D3287" s="29" t="s">
        <v>121</v>
      </c>
      <c r="E3287" s="30"/>
      <c r="F3287" s="45" t="s">
        <v>23</v>
      </c>
      <c r="G3287" s="31" t="str">
        <f t="shared" si="56"/>
        <v/>
      </c>
      <c r="H3287" s="32"/>
      <c r="I3287" s="33"/>
      <c r="J3287" s="34">
        <v>0</v>
      </c>
    </row>
    <row r="3288" spans="1:10" ht="15.75" hidden="1" thickBot="1" x14ac:dyDescent="0.3">
      <c r="A3288" s="249"/>
      <c r="B3288" s="252"/>
      <c r="C3288" s="36"/>
      <c r="D3288" s="36"/>
      <c r="E3288" s="37"/>
      <c r="F3288" s="46" t="s">
        <v>23</v>
      </c>
      <c r="G3288" s="38" t="str">
        <f t="shared" si="56"/>
        <v/>
      </c>
      <c r="H3288" s="39"/>
      <c r="I3288" s="35"/>
      <c r="J3288" s="34">
        <v>0</v>
      </c>
    </row>
    <row r="3289" spans="1:10" ht="15.75" hidden="1" thickBot="1" x14ac:dyDescent="0.3">
      <c r="A3289" s="249"/>
      <c r="B3289" s="252"/>
      <c r="C3289" s="40" t="s">
        <v>842</v>
      </c>
      <c r="D3289" s="40" t="s">
        <v>121</v>
      </c>
      <c r="E3289" s="41">
        <v>1.0149999999999999</v>
      </c>
      <c r="F3289" s="35">
        <v>0</v>
      </c>
      <c r="G3289" s="38">
        <f t="shared" si="56"/>
        <v>0</v>
      </c>
      <c r="H3289" s="43">
        <f>SUM(G3289:G3292)</f>
        <v>6.2170394000000009</v>
      </c>
      <c r="I3289" s="44"/>
      <c r="J3289" s="34">
        <v>0</v>
      </c>
    </row>
    <row r="3290" spans="1:10" ht="26.25" hidden="1" thickBot="1" x14ac:dyDescent="0.3">
      <c r="A3290" s="249"/>
      <c r="B3290" s="252"/>
      <c r="C3290" s="40" t="s">
        <v>3907</v>
      </c>
      <c r="D3290" s="40" t="s">
        <v>291</v>
      </c>
      <c r="E3290" s="41">
        <v>8.9999999999999993E-3</v>
      </c>
      <c r="F3290" s="35">
        <v>3.9139999999999997</v>
      </c>
      <c r="G3290" s="38">
        <f t="shared" si="56"/>
        <v>3.5225999999999993E-2</v>
      </c>
      <c r="H3290" s="39"/>
      <c r="I3290" s="35"/>
      <c r="J3290" s="34">
        <v>0</v>
      </c>
    </row>
    <row r="3291" spans="1:10" ht="15.75" hidden="1" thickBot="1" x14ac:dyDescent="0.3">
      <c r="A3291" s="249"/>
      <c r="B3291" s="252"/>
      <c r="C3291" s="40" t="s">
        <v>3770</v>
      </c>
      <c r="D3291" s="40" t="s">
        <v>3752</v>
      </c>
      <c r="E3291" s="41">
        <v>0.12280000000000001</v>
      </c>
      <c r="F3291" s="35">
        <v>21.954499999999999</v>
      </c>
      <c r="G3291" s="38">
        <f t="shared" si="56"/>
        <v>2.6960126</v>
      </c>
      <c r="H3291" s="39"/>
      <c r="I3291" s="35"/>
      <c r="J3291" s="34">
        <v>0</v>
      </c>
    </row>
    <row r="3292" spans="1:10" ht="15.75" hidden="1" thickBot="1" x14ac:dyDescent="0.3">
      <c r="A3292" s="249"/>
      <c r="B3292" s="252"/>
      <c r="C3292" s="40" t="s">
        <v>3760</v>
      </c>
      <c r="D3292" s="40" t="s">
        <v>3752</v>
      </c>
      <c r="E3292" s="41">
        <v>0.12280000000000001</v>
      </c>
      <c r="F3292" s="35">
        <v>28.385999999999999</v>
      </c>
      <c r="G3292" s="38">
        <f t="shared" si="56"/>
        <v>3.4858008000000003</v>
      </c>
      <c r="H3292" s="39"/>
      <c r="I3292" s="35"/>
      <c r="J3292" s="34">
        <v>0</v>
      </c>
    </row>
    <row r="3293" spans="1:10" ht="15.75" hidden="1" thickBot="1" x14ac:dyDescent="0.3">
      <c r="A3293" s="250"/>
      <c r="B3293" s="253"/>
      <c r="C3293" s="40"/>
      <c r="D3293" s="40"/>
      <c r="E3293" s="41"/>
      <c r="F3293" s="35" t="s">
        <v>23</v>
      </c>
      <c r="G3293" s="38" t="str">
        <f t="shared" si="56"/>
        <v/>
      </c>
      <c r="H3293" s="39"/>
      <c r="I3293" s="35"/>
      <c r="J3293" s="34">
        <v>0</v>
      </c>
    </row>
    <row r="3294" spans="1:10" ht="15.75" hidden="1" thickBot="1" x14ac:dyDescent="0.3">
      <c r="A3294" s="248" t="s">
        <v>843</v>
      </c>
      <c r="B3294" s="251" t="s">
        <v>2717</v>
      </c>
      <c r="C3294" s="28"/>
      <c r="D3294" s="29" t="s">
        <v>121</v>
      </c>
      <c r="E3294" s="30"/>
      <c r="F3294" s="45" t="s">
        <v>23</v>
      </c>
      <c r="G3294" s="31" t="str">
        <f t="shared" si="56"/>
        <v/>
      </c>
      <c r="H3294" s="32"/>
      <c r="I3294" s="33"/>
      <c r="J3294" s="34">
        <v>0</v>
      </c>
    </row>
    <row r="3295" spans="1:10" ht="15.75" hidden="1" thickBot="1" x14ac:dyDescent="0.3">
      <c r="A3295" s="249"/>
      <c r="B3295" s="252"/>
      <c r="C3295" s="36"/>
      <c r="D3295" s="36"/>
      <c r="E3295" s="37"/>
      <c r="F3295" s="46" t="s">
        <v>23</v>
      </c>
      <c r="G3295" s="38" t="str">
        <f t="shared" si="56"/>
        <v/>
      </c>
      <c r="H3295" s="39"/>
      <c r="I3295" s="35"/>
      <c r="J3295" s="34">
        <v>0</v>
      </c>
    </row>
    <row r="3296" spans="1:10" ht="15.75" hidden="1" thickBot="1" x14ac:dyDescent="0.3">
      <c r="A3296" s="249"/>
      <c r="B3296" s="252"/>
      <c r="C3296" s="40" t="s">
        <v>844</v>
      </c>
      <c r="D3296" s="40" t="s">
        <v>121</v>
      </c>
      <c r="E3296" s="41">
        <v>1.0149999999999999</v>
      </c>
      <c r="F3296" s="35">
        <v>0</v>
      </c>
      <c r="G3296" s="38">
        <f t="shared" si="56"/>
        <v>0</v>
      </c>
      <c r="H3296" s="43">
        <f>SUM(G3296:G3299)</f>
        <v>7.3345985000000002</v>
      </c>
      <c r="I3296" s="44"/>
      <c r="J3296" s="34">
        <v>0</v>
      </c>
    </row>
    <row r="3297" spans="1:10" ht="26.25" hidden="1" thickBot="1" x14ac:dyDescent="0.3">
      <c r="A3297" s="249"/>
      <c r="B3297" s="252"/>
      <c r="C3297" s="40" t="s">
        <v>3907</v>
      </c>
      <c r="D3297" s="40" t="s">
        <v>291</v>
      </c>
      <c r="E3297" s="41">
        <v>8.9999999999999993E-3</v>
      </c>
      <c r="F3297" s="35">
        <v>3.9139999999999997</v>
      </c>
      <c r="G3297" s="38">
        <f t="shared" si="56"/>
        <v>3.5225999999999993E-2</v>
      </c>
      <c r="H3297" s="39"/>
      <c r="I3297" s="35"/>
      <c r="J3297" s="34">
        <v>0</v>
      </c>
    </row>
    <row r="3298" spans="1:10" ht="15.75" hidden="1" thickBot="1" x14ac:dyDescent="0.3">
      <c r="A3298" s="249"/>
      <c r="B3298" s="252"/>
      <c r="C3298" s="40" t="s">
        <v>3770</v>
      </c>
      <c r="D3298" s="40" t="s">
        <v>3752</v>
      </c>
      <c r="E3298" s="41">
        <v>0.14499999999999999</v>
      </c>
      <c r="F3298" s="35">
        <v>21.954499999999999</v>
      </c>
      <c r="G3298" s="38">
        <f t="shared" si="56"/>
        <v>3.1834024999999997</v>
      </c>
      <c r="H3298" s="39"/>
      <c r="I3298" s="35"/>
      <c r="J3298" s="34">
        <v>0</v>
      </c>
    </row>
    <row r="3299" spans="1:10" ht="15.75" hidden="1" thickBot="1" x14ac:dyDescent="0.3">
      <c r="A3299" s="249"/>
      <c r="B3299" s="252"/>
      <c r="C3299" s="40" t="s">
        <v>3760</v>
      </c>
      <c r="D3299" s="40" t="s">
        <v>3752</v>
      </c>
      <c r="E3299" s="41">
        <v>0.14499999999999999</v>
      </c>
      <c r="F3299" s="35">
        <v>28.385999999999999</v>
      </c>
      <c r="G3299" s="38">
        <f t="shared" si="56"/>
        <v>4.1159699999999999</v>
      </c>
      <c r="H3299" s="39"/>
      <c r="I3299" s="35"/>
      <c r="J3299" s="34">
        <v>0</v>
      </c>
    </row>
    <row r="3300" spans="1:10" ht="15.75" hidden="1" thickBot="1" x14ac:dyDescent="0.3">
      <c r="A3300" s="250"/>
      <c r="B3300" s="253"/>
      <c r="C3300" s="40"/>
      <c r="D3300" s="40"/>
      <c r="E3300" s="41"/>
      <c r="F3300" s="35" t="s">
        <v>23</v>
      </c>
      <c r="G3300" s="38" t="str">
        <f t="shared" si="56"/>
        <v/>
      </c>
      <c r="H3300" s="39"/>
      <c r="I3300" s="35"/>
      <c r="J3300" s="34">
        <v>0</v>
      </c>
    </row>
    <row r="3301" spans="1:10" ht="15.75" hidden="1" thickBot="1" x14ac:dyDescent="0.3">
      <c r="A3301" s="248" t="s">
        <v>845</v>
      </c>
      <c r="B3301" s="251" t="s">
        <v>2718</v>
      </c>
      <c r="C3301" s="28"/>
      <c r="D3301" s="29" t="s">
        <v>121</v>
      </c>
      <c r="E3301" s="30"/>
      <c r="F3301" s="45" t="s">
        <v>23</v>
      </c>
      <c r="G3301" s="31" t="str">
        <f t="shared" ref="G3301:G3364" si="57">IF(ISNUMBER(F3301),E3301*F3301,"")</f>
        <v/>
      </c>
      <c r="H3301" s="32"/>
      <c r="I3301" s="33"/>
      <c r="J3301" s="34">
        <v>0</v>
      </c>
    </row>
    <row r="3302" spans="1:10" ht="15.75" hidden="1" thickBot="1" x14ac:dyDescent="0.3">
      <c r="A3302" s="249"/>
      <c r="B3302" s="252"/>
      <c r="C3302" s="36"/>
      <c r="D3302" s="36"/>
      <c r="E3302" s="37"/>
      <c r="F3302" s="46" t="s">
        <v>23</v>
      </c>
      <c r="G3302" s="38" t="str">
        <f t="shared" si="57"/>
        <v/>
      </c>
      <c r="H3302" s="39"/>
      <c r="I3302" s="35"/>
      <c r="J3302" s="34">
        <v>0</v>
      </c>
    </row>
    <row r="3303" spans="1:10" ht="15.75" hidden="1" thickBot="1" x14ac:dyDescent="0.3">
      <c r="A3303" s="249"/>
      <c r="B3303" s="252"/>
      <c r="C3303" s="40" t="s">
        <v>846</v>
      </c>
      <c r="D3303" s="40" t="s">
        <v>121</v>
      </c>
      <c r="E3303" s="41">
        <v>1.0149999999999999</v>
      </c>
      <c r="F3303" s="35">
        <v>0</v>
      </c>
      <c r="G3303" s="38">
        <f t="shared" si="57"/>
        <v>0</v>
      </c>
      <c r="H3303" s="43">
        <f>SUM(G3303:G3306)</f>
        <v>8.6686217500000016</v>
      </c>
      <c r="I3303" s="44"/>
      <c r="J3303" s="34">
        <v>0</v>
      </c>
    </row>
    <row r="3304" spans="1:10" ht="26.25" hidden="1" thickBot="1" x14ac:dyDescent="0.3">
      <c r="A3304" s="249"/>
      <c r="B3304" s="252"/>
      <c r="C3304" s="40" t="s">
        <v>3907</v>
      </c>
      <c r="D3304" s="40" t="s">
        <v>291</v>
      </c>
      <c r="E3304" s="41">
        <v>8.9999999999999993E-3</v>
      </c>
      <c r="F3304" s="35">
        <v>3.9139999999999997</v>
      </c>
      <c r="G3304" s="38">
        <f t="shared" si="57"/>
        <v>3.5225999999999993E-2</v>
      </c>
      <c r="H3304" s="39"/>
      <c r="I3304" s="35"/>
      <c r="J3304" s="34">
        <v>0</v>
      </c>
    </row>
    <row r="3305" spans="1:10" ht="15.75" hidden="1" thickBot="1" x14ac:dyDescent="0.3">
      <c r="A3305" s="249"/>
      <c r="B3305" s="252"/>
      <c r="C3305" s="40" t="s">
        <v>3770</v>
      </c>
      <c r="D3305" s="40" t="s">
        <v>3752</v>
      </c>
      <c r="E3305" s="41">
        <v>0.17150000000000001</v>
      </c>
      <c r="F3305" s="35">
        <v>21.954499999999999</v>
      </c>
      <c r="G3305" s="38">
        <f t="shared" si="57"/>
        <v>3.7651967500000003</v>
      </c>
      <c r="H3305" s="39"/>
      <c r="I3305" s="35"/>
      <c r="J3305" s="34">
        <v>0</v>
      </c>
    </row>
    <row r="3306" spans="1:10" ht="15.75" hidden="1" thickBot="1" x14ac:dyDescent="0.3">
      <c r="A3306" s="249"/>
      <c r="B3306" s="252"/>
      <c r="C3306" s="40" t="s">
        <v>3760</v>
      </c>
      <c r="D3306" s="40" t="s">
        <v>3752</v>
      </c>
      <c r="E3306" s="41">
        <v>0.17150000000000001</v>
      </c>
      <c r="F3306" s="35">
        <v>28.385999999999999</v>
      </c>
      <c r="G3306" s="38">
        <f t="shared" si="57"/>
        <v>4.8681990000000006</v>
      </c>
      <c r="H3306" s="39"/>
      <c r="I3306" s="35"/>
      <c r="J3306" s="34">
        <v>0</v>
      </c>
    </row>
    <row r="3307" spans="1:10" ht="15.75" hidden="1" thickBot="1" x14ac:dyDescent="0.3">
      <c r="A3307" s="250"/>
      <c r="B3307" s="253"/>
      <c r="C3307" s="40"/>
      <c r="D3307" s="40"/>
      <c r="E3307" s="41"/>
      <c r="F3307" s="35" t="s">
        <v>23</v>
      </c>
      <c r="G3307" s="38" t="str">
        <f t="shared" si="57"/>
        <v/>
      </c>
      <c r="H3307" s="39"/>
      <c r="I3307" s="35"/>
      <c r="J3307" s="34">
        <v>0</v>
      </c>
    </row>
    <row r="3308" spans="1:10" ht="15.75" hidden="1" thickBot="1" x14ac:dyDescent="0.3">
      <c r="A3308" s="248" t="s">
        <v>847</v>
      </c>
      <c r="B3308" s="251" t="s">
        <v>2719</v>
      </c>
      <c r="C3308" s="28"/>
      <c r="D3308" s="29" t="s">
        <v>121</v>
      </c>
      <c r="E3308" s="30"/>
      <c r="F3308" s="45" t="s">
        <v>23</v>
      </c>
      <c r="G3308" s="31" t="str">
        <f t="shared" si="57"/>
        <v/>
      </c>
      <c r="H3308" s="32"/>
      <c r="I3308" s="33"/>
      <c r="J3308" s="34">
        <v>0</v>
      </c>
    </row>
    <row r="3309" spans="1:10" ht="15.75" hidden="1" thickBot="1" x14ac:dyDescent="0.3">
      <c r="A3309" s="249"/>
      <c r="B3309" s="252"/>
      <c r="C3309" s="36"/>
      <c r="D3309" s="36"/>
      <c r="E3309" s="37"/>
      <c r="F3309" s="46" t="s">
        <v>23</v>
      </c>
      <c r="G3309" s="38" t="str">
        <f t="shared" si="57"/>
        <v/>
      </c>
      <c r="H3309" s="39"/>
      <c r="I3309" s="35"/>
      <c r="J3309" s="34">
        <v>0</v>
      </c>
    </row>
    <row r="3310" spans="1:10" ht="15.75" hidden="1" thickBot="1" x14ac:dyDescent="0.3">
      <c r="A3310" s="249"/>
      <c r="B3310" s="252"/>
      <c r="C3310" s="40" t="s">
        <v>848</v>
      </c>
      <c r="D3310" s="40" t="s">
        <v>121</v>
      </c>
      <c r="E3310" s="41">
        <v>1.0149999999999999</v>
      </c>
      <c r="F3310" s="35">
        <v>0</v>
      </c>
      <c r="G3310" s="38">
        <f t="shared" si="57"/>
        <v>0</v>
      </c>
      <c r="H3310" s="43">
        <f>SUM(G3310:G3313)</f>
        <v>10.229177249999999</v>
      </c>
      <c r="I3310" s="44"/>
      <c r="J3310" s="34">
        <v>0</v>
      </c>
    </row>
    <row r="3311" spans="1:10" ht="26.25" hidden="1" thickBot="1" x14ac:dyDescent="0.3">
      <c r="A3311" s="249"/>
      <c r="B3311" s="252"/>
      <c r="C3311" s="40" t="s">
        <v>3907</v>
      </c>
      <c r="D3311" s="40" t="s">
        <v>291</v>
      </c>
      <c r="E3311" s="41">
        <v>8.9999999999999993E-3</v>
      </c>
      <c r="F3311" s="35">
        <v>3.9139999999999997</v>
      </c>
      <c r="G3311" s="38">
        <f t="shared" si="57"/>
        <v>3.5225999999999993E-2</v>
      </c>
      <c r="H3311" s="39"/>
      <c r="I3311" s="35"/>
      <c r="J3311" s="34">
        <v>0</v>
      </c>
    </row>
    <row r="3312" spans="1:10" ht="15.75" hidden="1" thickBot="1" x14ac:dyDescent="0.3">
      <c r="A3312" s="249"/>
      <c r="B3312" s="252"/>
      <c r="C3312" s="40" t="s">
        <v>3770</v>
      </c>
      <c r="D3312" s="40" t="s">
        <v>3752</v>
      </c>
      <c r="E3312" s="41">
        <v>0.20250000000000001</v>
      </c>
      <c r="F3312" s="35">
        <v>21.954499999999999</v>
      </c>
      <c r="G3312" s="38">
        <f t="shared" si="57"/>
        <v>4.4457862500000003</v>
      </c>
      <c r="H3312" s="39"/>
      <c r="I3312" s="35"/>
      <c r="J3312" s="34">
        <v>0</v>
      </c>
    </row>
    <row r="3313" spans="1:10" ht="15.75" hidden="1" thickBot="1" x14ac:dyDescent="0.3">
      <c r="A3313" s="249"/>
      <c r="B3313" s="252"/>
      <c r="C3313" s="40" t="s">
        <v>3760</v>
      </c>
      <c r="D3313" s="40" t="s">
        <v>3752</v>
      </c>
      <c r="E3313" s="41">
        <v>0.20250000000000001</v>
      </c>
      <c r="F3313" s="35">
        <v>28.385999999999999</v>
      </c>
      <c r="G3313" s="38">
        <f t="shared" si="57"/>
        <v>5.7481650000000002</v>
      </c>
      <c r="H3313" s="39"/>
      <c r="I3313" s="35"/>
      <c r="J3313" s="34">
        <v>0</v>
      </c>
    </row>
    <row r="3314" spans="1:10" ht="15.75" hidden="1" thickBot="1" x14ac:dyDescent="0.3">
      <c r="A3314" s="250"/>
      <c r="B3314" s="253"/>
      <c r="C3314" s="40"/>
      <c r="D3314" s="40"/>
      <c r="E3314" s="41"/>
      <c r="F3314" s="35" t="s">
        <v>23</v>
      </c>
      <c r="G3314" s="38" t="str">
        <f t="shared" si="57"/>
        <v/>
      </c>
      <c r="H3314" s="39"/>
      <c r="I3314" s="35"/>
      <c r="J3314" s="34">
        <v>0</v>
      </c>
    </row>
    <row r="3315" spans="1:10" ht="15.75" hidden="1" thickBot="1" x14ac:dyDescent="0.3">
      <c r="A3315" s="248" t="s">
        <v>849</v>
      </c>
      <c r="B3315" s="251" t="s">
        <v>2720</v>
      </c>
      <c r="C3315" s="28"/>
      <c r="D3315" s="29" t="s">
        <v>121</v>
      </c>
      <c r="E3315" s="30"/>
      <c r="F3315" s="45" t="s">
        <v>23</v>
      </c>
      <c r="G3315" s="31" t="str">
        <f t="shared" si="57"/>
        <v/>
      </c>
      <c r="H3315" s="32"/>
      <c r="I3315" s="33"/>
      <c r="J3315" s="34">
        <v>0</v>
      </c>
    </row>
    <row r="3316" spans="1:10" ht="15.75" hidden="1" thickBot="1" x14ac:dyDescent="0.3">
      <c r="A3316" s="249"/>
      <c r="B3316" s="252"/>
      <c r="C3316" s="36"/>
      <c r="D3316" s="36"/>
      <c r="E3316" s="37"/>
      <c r="F3316" s="46" t="s">
        <v>23</v>
      </c>
      <c r="G3316" s="38" t="str">
        <f t="shared" si="57"/>
        <v/>
      </c>
      <c r="H3316" s="39"/>
      <c r="I3316" s="35"/>
      <c r="J3316" s="34">
        <v>0</v>
      </c>
    </row>
    <row r="3317" spans="1:10" ht="15.75" hidden="1" thickBot="1" x14ac:dyDescent="0.3">
      <c r="A3317" s="249"/>
      <c r="B3317" s="252"/>
      <c r="C3317" s="40" t="s">
        <v>850</v>
      </c>
      <c r="D3317" s="40" t="s">
        <v>121</v>
      </c>
      <c r="E3317" s="41">
        <v>1.0149999999999999</v>
      </c>
      <c r="F3317" s="35">
        <v>0</v>
      </c>
      <c r="G3317" s="38">
        <f t="shared" si="57"/>
        <v>0</v>
      </c>
      <c r="H3317" s="43">
        <f>SUM(G3317:G3320)</f>
        <v>12.680759599999998</v>
      </c>
      <c r="I3317" s="44"/>
      <c r="J3317" s="34">
        <v>0</v>
      </c>
    </row>
    <row r="3318" spans="1:10" ht="26.25" hidden="1" thickBot="1" x14ac:dyDescent="0.3">
      <c r="A3318" s="249"/>
      <c r="B3318" s="252"/>
      <c r="C3318" s="40" t="s">
        <v>3907</v>
      </c>
      <c r="D3318" s="40" t="s">
        <v>291</v>
      </c>
      <c r="E3318" s="41">
        <v>8.9999999999999993E-3</v>
      </c>
      <c r="F3318" s="35">
        <v>3.9139999999999997</v>
      </c>
      <c r="G3318" s="38">
        <f t="shared" si="57"/>
        <v>3.5225999999999993E-2</v>
      </c>
      <c r="H3318" s="39"/>
      <c r="I3318" s="35"/>
      <c r="J3318" s="34">
        <v>0</v>
      </c>
    </row>
    <row r="3319" spans="1:10" ht="15.75" hidden="1" thickBot="1" x14ac:dyDescent="0.3">
      <c r="A3319" s="249"/>
      <c r="B3319" s="252"/>
      <c r="C3319" s="40" t="s">
        <v>3770</v>
      </c>
      <c r="D3319" s="40" t="s">
        <v>3752</v>
      </c>
      <c r="E3319" s="41">
        <v>0.25119999999999998</v>
      </c>
      <c r="F3319" s="35">
        <v>21.954499999999999</v>
      </c>
      <c r="G3319" s="38">
        <f t="shared" si="57"/>
        <v>5.5149703999999993</v>
      </c>
      <c r="H3319" s="39"/>
      <c r="I3319" s="35"/>
      <c r="J3319" s="34">
        <v>0</v>
      </c>
    </row>
    <row r="3320" spans="1:10" ht="15.75" hidden="1" thickBot="1" x14ac:dyDescent="0.3">
      <c r="A3320" s="249"/>
      <c r="B3320" s="252"/>
      <c r="C3320" s="40" t="s">
        <v>3760</v>
      </c>
      <c r="D3320" s="40" t="s">
        <v>3752</v>
      </c>
      <c r="E3320" s="41">
        <v>0.25119999999999998</v>
      </c>
      <c r="F3320" s="35">
        <v>28.385999999999999</v>
      </c>
      <c r="G3320" s="38">
        <f t="shared" si="57"/>
        <v>7.1305631999999992</v>
      </c>
      <c r="H3320" s="39"/>
      <c r="I3320" s="35"/>
      <c r="J3320" s="34">
        <v>0</v>
      </c>
    </row>
    <row r="3321" spans="1:10" ht="15.75" hidden="1" thickBot="1" x14ac:dyDescent="0.3">
      <c r="A3321" s="250"/>
      <c r="B3321" s="253"/>
      <c r="C3321" s="40"/>
      <c r="D3321" s="40"/>
      <c r="E3321" s="41"/>
      <c r="F3321" s="35" t="s">
        <v>23</v>
      </c>
      <c r="G3321" s="38" t="str">
        <f t="shared" si="57"/>
        <v/>
      </c>
      <c r="H3321" s="39"/>
      <c r="I3321" s="35"/>
      <c r="J3321" s="34">
        <v>0</v>
      </c>
    </row>
    <row r="3322" spans="1:10" ht="15.75" thickBot="1" x14ac:dyDescent="0.3">
      <c r="A3322" s="248" t="s">
        <v>851</v>
      </c>
      <c r="B3322" s="251" t="s">
        <v>2721</v>
      </c>
      <c r="C3322" s="28"/>
      <c r="D3322" s="29" t="s">
        <v>78</v>
      </c>
      <c r="E3322" s="30"/>
      <c r="F3322" s="45" t="s">
        <v>23</v>
      </c>
      <c r="G3322" s="31" t="str">
        <f t="shared" si="57"/>
        <v/>
      </c>
      <c r="H3322" s="32"/>
      <c r="I3322" s="33"/>
      <c r="J3322" s="34">
        <v>5000</v>
      </c>
    </row>
    <row r="3323" spans="1:10" x14ac:dyDescent="0.25">
      <c r="A3323" s="249"/>
      <c r="B3323" s="252"/>
      <c r="C3323" s="36"/>
      <c r="D3323" s="36"/>
      <c r="E3323" s="37"/>
      <c r="F3323" s="46" t="s">
        <v>23</v>
      </c>
      <c r="G3323" s="38" t="str">
        <f t="shared" si="57"/>
        <v/>
      </c>
      <c r="H3323" s="39"/>
      <c r="I3323" s="35"/>
      <c r="J3323" s="34">
        <v>5000</v>
      </c>
    </row>
    <row r="3324" spans="1:10" ht="25.5" x14ac:dyDescent="0.25">
      <c r="A3324" s="249"/>
      <c r="B3324" s="252"/>
      <c r="C3324" s="40" t="s">
        <v>3800</v>
      </c>
      <c r="D3324" s="40" t="s">
        <v>3752</v>
      </c>
      <c r="E3324" s="41">
        <v>0.29509999999999997</v>
      </c>
      <c r="F3324" s="35">
        <v>21.365499999999997</v>
      </c>
      <c r="G3324" s="38">
        <f t="shared" si="57"/>
        <v>6.304959049999999</v>
      </c>
      <c r="H3324" s="43">
        <f>SUM(G3324:G3326)</f>
        <v>9.6635539372076984</v>
      </c>
      <c r="I3324" s="44"/>
      <c r="J3324" s="34">
        <v>5000</v>
      </c>
    </row>
    <row r="3325" spans="1:10" x14ac:dyDescent="0.25">
      <c r="A3325" s="249"/>
      <c r="B3325" s="252"/>
      <c r="C3325" s="40" t="s">
        <v>3754</v>
      </c>
      <c r="D3325" s="40" t="s">
        <v>3752</v>
      </c>
      <c r="E3325" s="41">
        <v>5.8999999999999997E-2</v>
      </c>
      <c r="F3325" s="35">
        <v>20.814499999999999</v>
      </c>
      <c r="G3325" s="38">
        <f t="shared" si="57"/>
        <v>1.2280555</v>
      </c>
      <c r="H3325" s="39"/>
      <c r="I3325" s="35"/>
      <c r="J3325" s="34">
        <v>5000</v>
      </c>
    </row>
    <row r="3326" spans="1:10" ht="51" x14ac:dyDescent="0.25">
      <c r="A3326" s="249"/>
      <c r="B3326" s="252"/>
      <c r="C3326" s="40" t="s">
        <v>4746</v>
      </c>
      <c r="D3326" s="40" t="s">
        <v>4745</v>
      </c>
      <c r="E3326" s="41">
        <v>0.16730700000000001</v>
      </c>
      <c r="F3326" s="35">
        <v>12.734311099999999</v>
      </c>
      <c r="G3326" s="38">
        <f t="shared" si="57"/>
        <v>2.1305393872076999</v>
      </c>
      <c r="H3326" s="39"/>
      <c r="I3326" s="35"/>
      <c r="J3326" s="34">
        <v>5000</v>
      </c>
    </row>
    <row r="3327" spans="1:10" ht="15.75" thickBot="1" x14ac:dyDescent="0.3">
      <c r="A3327" s="250"/>
      <c r="B3327" s="253"/>
      <c r="C3327" s="40"/>
      <c r="D3327" s="40"/>
      <c r="E3327" s="41"/>
      <c r="F3327" s="35" t="s">
        <v>23</v>
      </c>
      <c r="G3327" s="38" t="str">
        <f t="shared" si="57"/>
        <v/>
      </c>
      <c r="H3327" s="39"/>
      <c r="I3327" s="35"/>
      <c r="J3327" s="34">
        <v>5000</v>
      </c>
    </row>
    <row r="3328" spans="1:10" ht="15.75" thickBot="1" x14ac:dyDescent="0.3">
      <c r="A3328" s="248" t="s">
        <v>852</v>
      </c>
      <c r="B3328" s="251" t="s">
        <v>2722</v>
      </c>
      <c r="C3328" s="28"/>
      <c r="D3328" s="29" t="s">
        <v>121</v>
      </c>
      <c r="E3328" s="30"/>
      <c r="F3328" s="45" t="s">
        <v>23</v>
      </c>
      <c r="G3328" s="31" t="str">
        <f t="shared" si="57"/>
        <v/>
      </c>
      <c r="H3328" s="32"/>
      <c r="I3328" s="33"/>
      <c r="J3328" s="34">
        <v>2000</v>
      </c>
    </row>
    <row r="3329" spans="1:10" x14ac:dyDescent="0.25">
      <c r="A3329" s="249"/>
      <c r="B3329" s="252"/>
      <c r="C3329" s="36"/>
      <c r="D3329" s="36"/>
      <c r="E3329" s="37"/>
      <c r="F3329" s="46" t="s">
        <v>23</v>
      </c>
      <c r="G3329" s="38" t="str">
        <f t="shared" si="57"/>
        <v/>
      </c>
      <c r="H3329" s="39"/>
      <c r="I3329" s="35"/>
      <c r="J3329" s="34">
        <v>2000</v>
      </c>
    </row>
    <row r="3330" spans="1:10" ht="25.5" x14ac:dyDescent="0.25">
      <c r="A3330" s="249"/>
      <c r="B3330" s="252"/>
      <c r="C3330" s="40" t="s">
        <v>3800</v>
      </c>
      <c r="D3330" s="40" t="s">
        <v>3752</v>
      </c>
      <c r="E3330" s="41">
        <v>0.5</v>
      </c>
      <c r="F3330" s="35">
        <v>21.365499999999997</v>
      </c>
      <c r="G3330" s="38">
        <f t="shared" si="57"/>
        <v>10.682749999999999</v>
      </c>
      <c r="H3330" s="43">
        <f>SUM(G3330:G3332)</f>
        <v>17.8833930622</v>
      </c>
      <c r="I3330" s="44"/>
      <c r="J3330" s="34">
        <v>2000</v>
      </c>
    </row>
    <row r="3331" spans="1:10" x14ac:dyDescent="0.25">
      <c r="A3331" s="249"/>
      <c r="B3331" s="252"/>
      <c r="C3331" s="40" t="s">
        <v>3754</v>
      </c>
      <c r="D3331" s="40" t="s">
        <v>3752</v>
      </c>
      <c r="E3331" s="41">
        <v>0.1</v>
      </c>
      <c r="F3331" s="35">
        <v>20.814499999999999</v>
      </c>
      <c r="G3331" s="38">
        <f t="shared" si="57"/>
        <v>2.0814499999999998</v>
      </c>
      <c r="H3331" s="43"/>
      <c r="I3331" s="44"/>
      <c r="J3331" s="34">
        <v>2000</v>
      </c>
    </row>
    <row r="3332" spans="1:10" ht="51" x14ac:dyDescent="0.25">
      <c r="A3332" s="249"/>
      <c r="B3332" s="252"/>
      <c r="C3332" s="40" t="s">
        <v>4746</v>
      </c>
      <c r="D3332" s="40" t="s">
        <v>4745</v>
      </c>
      <c r="E3332" s="41">
        <v>0.40200000000000002</v>
      </c>
      <c r="F3332" s="35">
        <v>12.734311099999999</v>
      </c>
      <c r="G3332" s="38">
        <f t="shared" si="57"/>
        <v>5.1191930621999999</v>
      </c>
      <c r="H3332" s="39"/>
      <c r="I3332" s="35"/>
      <c r="J3332" s="34">
        <v>2000</v>
      </c>
    </row>
    <row r="3333" spans="1:10" ht="15.75" thickBot="1" x14ac:dyDescent="0.3">
      <c r="A3333" s="250"/>
      <c r="B3333" s="253"/>
      <c r="C3333" s="40"/>
      <c r="D3333" s="40"/>
      <c r="E3333" s="41"/>
      <c r="F3333" s="35" t="s">
        <v>23</v>
      </c>
      <c r="G3333" s="38" t="str">
        <f t="shared" si="57"/>
        <v/>
      </c>
      <c r="H3333" s="39"/>
      <c r="I3333" s="35"/>
      <c r="J3333" s="34">
        <v>2000</v>
      </c>
    </row>
    <row r="3334" spans="1:10" ht="15.75" hidden="1" thickBot="1" x14ac:dyDescent="0.3">
      <c r="A3334" s="248" t="s">
        <v>853</v>
      </c>
      <c r="B3334" s="251" t="s">
        <v>2723</v>
      </c>
      <c r="C3334" s="28"/>
      <c r="D3334" s="29" t="s">
        <v>2082</v>
      </c>
      <c r="E3334" s="30"/>
      <c r="F3334" s="45" t="s">
        <v>23</v>
      </c>
      <c r="G3334" s="31" t="str">
        <f t="shared" si="57"/>
        <v/>
      </c>
      <c r="H3334" s="32"/>
      <c r="I3334" s="33"/>
      <c r="J3334" s="34">
        <v>0</v>
      </c>
    </row>
    <row r="3335" spans="1:10" ht="15.75" hidden="1" thickBot="1" x14ac:dyDescent="0.3">
      <c r="A3335" s="249"/>
      <c r="B3335" s="252"/>
      <c r="C3335" s="36"/>
      <c r="D3335" s="36"/>
      <c r="E3335" s="37"/>
      <c r="F3335" s="46" t="s">
        <v>23</v>
      </c>
      <c r="G3335" s="38" t="str">
        <f t="shared" si="57"/>
        <v/>
      </c>
      <c r="H3335" s="39"/>
      <c r="I3335" s="35"/>
      <c r="J3335" s="34">
        <v>0</v>
      </c>
    </row>
    <row r="3336" spans="1:10" ht="26.25" hidden="1" thickBot="1" x14ac:dyDescent="0.3">
      <c r="A3336" s="249"/>
      <c r="B3336" s="252"/>
      <c r="C3336" s="40" t="s">
        <v>4027</v>
      </c>
      <c r="D3336" s="40" t="s">
        <v>291</v>
      </c>
      <c r="E3336" s="41">
        <v>0.89449999999999996</v>
      </c>
      <c r="F3336" s="35">
        <v>0.19</v>
      </c>
      <c r="G3336" s="38">
        <f t="shared" si="57"/>
        <v>0.16995499999999999</v>
      </c>
      <c r="H3336" s="43">
        <f>SUM(G3336:G3339)</f>
        <v>4.7708363499999997</v>
      </c>
      <c r="I3336" s="44"/>
      <c r="J3336" s="34">
        <v>0</v>
      </c>
    </row>
    <row r="3337" spans="1:10" ht="26.25" hidden="1" thickBot="1" x14ac:dyDescent="0.3">
      <c r="A3337" s="249"/>
      <c r="B3337" s="252"/>
      <c r="C3337" s="40" t="s">
        <v>4028</v>
      </c>
      <c r="D3337" s="40" t="s">
        <v>177</v>
      </c>
      <c r="E3337" s="41">
        <f>ROUND(1.177*(1/3),4)</f>
        <v>0.39229999999999998</v>
      </c>
      <c r="F3337" s="35">
        <v>2.6315</v>
      </c>
      <c r="G3337" s="38">
        <f t="shared" si="57"/>
        <v>1.03233745</v>
      </c>
      <c r="H3337" s="39"/>
      <c r="I3337" s="35"/>
      <c r="J3337" s="34">
        <v>0</v>
      </c>
    </row>
    <row r="3338" spans="1:10" ht="15.75" hidden="1" thickBot="1" x14ac:dyDescent="0.3">
      <c r="A3338" s="249"/>
      <c r="B3338" s="252"/>
      <c r="C3338" s="40" t="s">
        <v>4111</v>
      </c>
      <c r="D3338" s="40" t="s">
        <v>3752</v>
      </c>
      <c r="E3338" s="41">
        <v>6.9900000000000004E-2</v>
      </c>
      <c r="F3338" s="35">
        <v>21.983000000000001</v>
      </c>
      <c r="G3338" s="38">
        <f t="shared" si="57"/>
        <v>1.5366117000000001</v>
      </c>
      <c r="H3338" s="39"/>
      <c r="I3338" s="35"/>
      <c r="J3338" s="34">
        <v>0</v>
      </c>
    </row>
    <row r="3339" spans="1:10" ht="15.75" hidden="1" thickBot="1" x14ac:dyDescent="0.3">
      <c r="A3339" s="249"/>
      <c r="B3339" s="252"/>
      <c r="C3339" s="40" t="s">
        <v>3823</v>
      </c>
      <c r="D3339" s="40" t="s">
        <v>3752</v>
      </c>
      <c r="E3339" s="41">
        <v>7.3400000000000007E-2</v>
      </c>
      <c r="F3339" s="35">
        <v>27.683</v>
      </c>
      <c r="G3339" s="38">
        <f t="shared" si="57"/>
        <v>2.0319322</v>
      </c>
      <c r="H3339" s="39"/>
      <c r="I3339" s="35"/>
      <c r="J3339" s="34">
        <v>0</v>
      </c>
    </row>
    <row r="3340" spans="1:10" ht="15.75" hidden="1" thickBot="1" x14ac:dyDescent="0.3">
      <c r="A3340" s="249"/>
      <c r="B3340" s="252"/>
      <c r="C3340" s="40"/>
      <c r="D3340" s="53"/>
      <c r="E3340" s="41"/>
      <c r="F3340" s="35" t="s">
        <v>23</v>
      </c>
      <c r="G3340" s="38" t="str">
        <f t="shared" si="57"/>
        <v/>
      </c>
      <c r="H3340" s="39"/>
      <c r="I3340" s="35"/>
      <c r="J3340" s="34">
        <v>0</v>
      </c>
    </row>
    <row r="3341" spans="1:10" ht="26.25" hidden="1" thickBot="1" x14ac:dyDescent="0.3">
      <c r="A3341" s="249"/>
      <c r="B3341" s="252"/>
      <c r="C3341" s="54" t="s">
        <v>854</v>
      </c>
      <c r="D3341" s="53"/>
      <c r="E3341" s="41"/>
      <c r="F3341" s="35" t="s">
        <v>23</v>
      </c>
      <c r="G3341" s="38" t="str">
        <f t="shared" si="57"/>
        <v/>
      </c>
      <c r="H3341" s="39"/>
      <c r="I3341" s="35"/>
      <c r="J3341" s="34">
        <v>0</v>
      </c>
    </row>
    <row r="3342" spans="1:10" ht="15.75" hidden="1" thickBot="1" x14ac:dyDescent="0.3">
      <c r="A3342" s="250"/>
      <c r="B3342" s="253"/>
      <c r="C3342" s="60"/>
      <c r="D3342" s="60"/>
      <c r="E3342" s="79"/>
      <c r="F3342" s="87" t="s">
        <v>23</v>
      </c>
      <c r="G3342" s="88" t="str">
        <f t="shared" si="57"/>
        <v/>
      </c>
      <c r="H3342" s="89"/>
      <c r="I3342" s="35"/>
      <c r="J3342" s="34">
        <v>0</v>
      </c>
    </row>
    <row r="3343" spans="1:10" ht="15.75" hidden="1" thickBot="1" x14ac:dyDescent="0.3">
      <c r="A3343" s="248" t="s">
        <v>855</v>
      </c>
      <c r="B3343" s="251" t="s">
        <v>2726</v>
      </c>
      <c r="C3343" s="28"/>
      <c r="D3343" s="29" t="s">
        <v>28</v>
      </c>
      <c r="E3343" s="30"/>
      <c r="F3343" s="45" t="s">
        <v>23</v>
      </c>
      <c r="G3343" s="31" t="str">
        <f t="shared" si="57"/>
        <v/>
      </c>
      <c r="H3343" s="32"/>
      <c r="I3343" s="33"/>
      <c r="J3343" s="34">
        <v>0</v>
      </c>
    </row>
    <row r="3344" spans="1:10" ht="15.75" hidden="1" thickBot="1" x14ac:dyDescent="0.3">
      <c r="A3344" s="249"/>
      <c r="B3344" s="252"/>
      <c r="C3344" s="36"/>
      <c r="D3344" s="36"/>
      <c r="E3344" s="37"/>
      <c r="F3344" s="46" t="s">
        <v>23</v>
      </c>
      <c r="G3344" s="38" t="str">
        <f t="shared" si="57"/>
        <v/>
      </c>
      <c r="H3344" s="39"/>
      <c r="I3344" s="35"/>
      <c r="J3344" s="34">
        <v>0</v>
      </c>
    </row>
    <row r="3345" spans="1:10" ht="15.75" hidden="1" thickBot="1" x14ac:dyDescent="0.3">
      <c r="A3345" s="249"/>
      <c r="B3345" s="252"/>
      <c r="C3345" s="40" t="s">
        <v>3968</v>
      </c>
      <c r="D3345" s="40" t="s">
        <v>3752</v>
      </c>
      <c r="E3345" s="41">
        <v>2.5</v>
      </c>
      <c r="F3345" s="35">
        <v>27.853999999999999</v>
      </c>
      <c r="G3345" s="38">
        <f t="shared" si="57"/>
        <v>69.634999999999991</v>
      </c>
      <c r="H3345" s="43">
        <f>SUM(G3345:G3346)</f>
        <v>180.16749999999996</v>
      </c>
      <c r="I3345" s="44"/>
      <c r="J3345" s="34">
        <v>0</v>
      </c>
    </row>
    <row r="3346" spans="1:10" ht="15.75" hidden="1" thickBot="1" x14ac:dyDescent="0.3">
      <c r="A3346" s="249"/>
      <c r="B3346" s="252"/>
      <c r="C3346" s="40" t="s">
        <v>3967</v>
      </c>
      <c r="D3346" s="40" t="s">
        <v>3752</v>
      </c>
      <c r="E3346" s="41">
        <v>5</v>
      </c>
      <c r="F3346" s="35">
        <v>22.106499999999997</v>
      </c>
      <c r="G3346" s="38">
        <f t="shared" si="57"/>
        <v>110.53249999999998</v>
      </c>
      <c r="H3346" s="39"/>
      <c r="I3346" s="35"/>
      <c r="J3346" s="34">
        <v>0</v>
      </c>
    </row>
    <row r="3347" spans="1:10" ht="15.75" hidden="1" thickBot="1" x14ac:dyDescent="0.3">
      <c r="A3347" s="250"/>
      <c r="B3347" s="253"/>
      <c r="C3347" s="40"/>
      <c r="D3347" s="40"/>
      <c r="E3347" s="41"/>
      <c r="F3347" s="35" t="s">
        <v>23</v>
      </c>
      <c r="G3347" s="38" t="str">
        <f t="shared" si="57"/>
        <v/>
      </c>
      <c r="H3347" s="39"/>
      <c r="I3347" s="35"/>
      <c r="J3347" s="34">
        <v>0</v>
      </c>
    </row>
    <row r="3348" spans="1:10" ht="15.75" hidden="1" thickBot="1" x14ac:dyDescent="0.3">
      <c r="A3348" s="248" t="s">
        <v>856</v>
      </c>
      <c r="B3348" s="251" t="s">
        <v>2727</v>
      </c>
      <c r="C3348" s="28"/>
      <c r="D3348" s="29" t="s">
        <v>28</v>
      </c>
      <c r="E3348" s="30"/>
      <c r="F3348" s="45" t="s">
        <v>23</v>
      </c>
      <c r="G3348" s="31" t="str">
        <f t="shared" si="57"/>
        <v/>
      </c>
      <c r="H3348" s="32"/>
      <c r="I3348" s="33"/>
      <c r="J3348" s="34">
        <v>0</v>
      </c>
    </row>
    <row r="3349" spans="1:10" ht="15.75" hidden="1" thickBot="1" x14ac:dyDescent="0.3">
      <c r="A3349" s="249"/>
      <c r="B3349" s="252"/>
      <c r="C3349" s="36"/>
      <c r="D3349" s="36"/>
      <c r="E3349" s="37"/>
      <c r="F3349" s="46" t="s">
        <v>23</v>
      </c>
      <c r="G3349" s="38" t="str">
        <f t="shared" si="57"/>
        <v/>
      </c>
      <c r="H3349" s="39"/>
      <c r="I3349" s="35"/>
      <c r="J3349" s="34">
        <v>0</v>
      </c>
    </row>
    <row r="3350" spans="1:10" ht="26.25" hidden="1" thickBot="1" x14ac:dyDescent="0.3">
      <c r="A3350" s="249"/>
      <c r="B3350" s="252"/>
      <c r="C3350" s="40" t="s">
        <v>857</v>
      </c>
      <c r="D3350" s="53" t="s">
        <v>102</v>
      </c>
      <c r="E3350" s="41">
        <v>1</v>
      </c>
      <c r="F3350" s="35" t="s">
        <v>23</v>
      </c>
      <c r="G3350" s="38" t="str">
        <f t="shared" si="57"/>
        <v/>
      </c>
      <c r="H3350" s="43">
        <f>SUM(G3350:G3353)</f>
        <v>7.4442142499999999</v>
      </c>
      <c r="I3350" s="44"/>
      <c r="J3350" s="34">
        <v>0</v>
      </c>
    </row>
    <row r="3351" spans="1:10" ht="15.75" hidden="1" thickBot="1" x14ac:dyDescent="0.3">
      <c r="A3351" s="249"/>
      <c r="B3351" s="252"/>
      <c r="C3351" s="40" t="s">
        <v>3867</v>
      </c>
      <c r="D3351" s="40" t="s">
        <v>291</v>
      </c>
      <c r="E3351" s="41">
        <v>1.32E-2</v>
      </c>
      <c r="F3351" s="35">
        <v>13.87</v>
      </c>
      <c r="G3351" s="38">
        <f t="shared" si="57"/>
        <v>0.183084</v>
      </c>
      <c r="H3351" s="39"/>
      <c r="I3351" s="35"/>
      <c r="J3351" s="34">
        <v>0</v>
      </c>
    </row>
    <row r="3352" spans="1:10" ht="26.25" hidden="1" thickBot="1" x14ac:dyDescent="0.3">
      <c r="A3352" s="249"/>
      <c r="B3352" s="252"/>
      <c r="C3352" s="40" t="s">
        <v>4110</v>
      </c>
      <c r="D3352" s="40" t="s">
        <v>3752</v>
      </c>
      <c r="E3352" s="41">
        <v>0.14849999999999999</v>
      </c>
      <c r="F3352" s="35">
        <v>27.341000000000001</v>
      </c>
      <c r="G3352" s="38">
        <f t="shared" si="57"/>
        <v>4.0601384999999999</v>
      </c>
      <c r="H3352" s="39"/>
      <c r="I3352" s="35"/>
      <c r="J3352" s="34">
        <v>0</v>
      </c>
    </row>
    <row r="3353" spans="1:10" ht="26.25" hidden="1" thickBot="1" x14ac:dyDescent="0.3">
      <c r="A3353" s="249"/>
      <c r="B3353" s="252"/>
      <c r="C3353" s="40" t="s">
        <v>4119</v>
      </c>
      <c r="D3353" s="40" t="s">
        <v>3752</v>
      </c>
      <c r="E3353" s="41">
        <v>0.14849999999999999</v>
      </c>
      <c r="F3353" s="35">
        <v>21.555499999999999</v>
      </c>
      <c r="G3353" s="38">
        <f t="shared" si="57"/>
        <v>3.2009917499999996</v>
      </c>
      <c r="H3353" s="39"/>
      <c r="I3353" s="35"/>
      <c r="J3353" s="34">
        <v>0</v>
      </c>
    </row>
    <row r="3354" spans="1:10" ht="15.75" hidden="1" thickBot="1" x14ac:dyDescent="0.3">
      <c r="A3354" s="250"/>
      <c r="B3354" s="253"/>
      <c r="C3354" s="40"/>
      <c r="D3354" s="40"/>
      <c r="E3354" s="41"/>
      <c r="F3354" s="35" t="s">
        <v>23</v>
      </c>
      <c r="G3354" s="38" t="str">
        <f t="shared" si="57"/>
        <v/>
      </c>
      <c r="H3354" s="39"/>
      <c r="I3354" s="35"/>
      <c r="J3354" s="34">
        <v>0</v>
      </c>
    </row>
    <row r="3355" spans="1:10" ht="15.75" hidden="1" thickBot="1" x14ac:dyDescent="0.3">
      <c r="A3355" s="248" t="s">
        <v>858</v>
      </c>
      <c r="B3355" s="251" t="s">
        <v>2728</v>
      </c>
      <c r="C3355" s="28"/>
      <c r="D3355" s="29" t="s">
        <v>28</v>
      </c>
      <c r="E3355" s="30"/>
      <c r="F3355" s="45" t="s">
        <v>23</v>
      </c>
      <c r="G3355" s="31" t="str">
        <f t="shared" si="57"/>
        <v/>
      </c>
      <c r="H3355" s="32"/>
      <c r="I3355" s="33"/>
      <c r="J3355" s="34">
        <v>0</v>
      </c>
    </row>
    <row r="3356" spans="1:10" ht="15.75" hidden="1" thickBot="1" x14ac:dyDescent="0.3">
      <c r="A3356" s="249"/>
      <c r="B3356" s="252"/>
      <c r="C3356" s="36"/>
      <c r="D3356" s="36"/>
      <c r="E3356" s="37"/>
      <c r="F3356" s="46" t="s">
        <v>23</v>
      </c>
      <c r="G3356" s="38" t="str">
        <f t="shared" si="57"/>
        <v/>
      </c>
      <c r="H3356" s="39"/>
      <c r="I3356" s="35"/>
      <c r="J3356" s="34">
        <v>0</v>
      </c>
    </row>
    <row r="3357" spans="1:10" ht="15.75" hidden="1" thickBot="1" x14ac:dyDescent="0.3">
      <c r="A3357" s="249"/>
      <c r="B3357" s="252"/>
      <c r="C3357" s="40" t="s">
        <v>3867</v>
      </c>
      <c r="D3357" s="40" t="s">
        <v>291</v>
      </c>
      <c r="E3357" s="41">
        <v>1.06E-2</v>
      </c>
      <c r="F3357" s="35">
        <v>13.87</v>
      </c>
      <c r="G3357" s="38">
        <f t="shared" si="57"/>
        <v>0.14702199999999999</v>
      </c>
      <c r="H3357" s="43">
        <f>SUM(G3357:G3360)</f>
        <v>5.5354162999999996</v>
      </c>
      <c r="I3357" s="44"/>
      <c r="J3357" s="34">
        <v>0</v>
      </c>
    </row>
    <row r="3358" spans="1:10" ht="26.25" hidden="1" thickBot="1" x14ac:dyDescent="0.3">
      <c r="A3358" s="249"/>
      <c r="B3358" s="252"/>
      <c r="C3358" s="40" t="s">
        <v>859</v>
      </c>
      <c r="D3358" s="53" t="s">
        <v>102</v>
      </c>
      <c r="E3358" s="41">
        <v>1</v>
      </c>
      <c r="F3358" s="35" t="s">
        <v>23</v>
      </c>
      <c r="G3358" s="38" t="str">
        <f t="shared" si="57"/>
        <v/>
      </c>
      <c r="H3358" s="39"/>
      <c r="I3358" s="35"/>
      <c r="J3358" s="34">
        <v>0</v>
      </c>
    </row>
    <row r="3359" spans="1:10" ht="26.25" hidden="1" thickBot="1" x14ac:dyDescent="0.3">
      <c r="A3359" s="249"/>
      <c r="B3359" s="252"/>
      <c r="C3359" s="40" t="s">
        <v>4119</v>
      </c>
      <c r="D3359" s="40" t="s">
        <v>3752</v>
      </c>
      <c r="E3359" s="41">
        <v>0.11020000000000001</v>
      </c>
      <c r="F3359" s="35">
        <v>21.555499999999999</v>
      </c>
      <c r="G3359" s="38">
        <f t="shared" si="57"/>
        <v>2.3754160999999998</v>
      </c>
      <c r="H3359" s="39"/>
      <c r="I3359" s="35"/>
      <c r="J3359" s="34">
        <v>0</v>
      </c>
    </row>
    <row r="3360" spans="1:10" ht="26.25" hidden="1" thickBot="1" x14ac:dyDescent="0.3">
      <c r="A3360" s="249"/>
      <c r="B3360" s="252"/>
      <c r="C3360" s="40" t="s">
        <v>4110</v>
      </c>
      <c r="D3360" s="40" t="s">
        <v>3752</v>
      </c>
      <c r="E3360" s="41">
        <v>0.11020000000000001</v>
      </c>
      <c r="F3360" s="35">
        <v>27.341000000000001</v>
      </c>
      <c r="G3360" s="38">
        <f t="shared" si="57"/>
        <v>3.0129782000000005</v>
      </c>
      <c r="H3360" s="39"/>
      <c r="I3360" s="35"/>
      <c r="J3360" s="34">
        <v>0</v>
      </c>
    </row>
    <row r="3361" spans="1:10" ht="15.75" hidden="1" thickBot="1" x14ac:dyDescent="0.3">
      <c r="A3361" s="250"/>
      <c r="B3361" s="253"/>
      <c r="C3361" s="40"/>
      <c r="D3361" s="40"/>
      <c r="E3361" s="41"/>
      <c r="F3361" s="35" t="s">
        <v>23</v>
      </c>
      <c r="G3361" s="38" t="str">
        <f t="shared" si="57"/>
        <v/>
      </c>
      <c r="H3361" s="39"/>
      <c r="I3361" s="35"/>
      <c r="J3361" s="34">
        <v>0</v>
      </c>
    </row>
    <row r="3362" spans="1:10" ht="15.75" hidden="1" thickBot="1" x14ac:dyDescent="0.3">
      <c r="A3362" s="248" t="s">
        <v>860</v>
      </c>
      <c r="B3362" s="251" t="s">
        <v>2729</v>
      </c>
      <c r="C3362" s="28"/>
      <c r="D3362" s="29" t="s">
        <v>28</v>
      </c>
      <c r="E3362" s="30"/>
      <c r="F3362" s="45" t="s">
        <v>23</v>
      </c>
      <c r="G3362" s="31" t="str">
        <f t="shared" si="57"/>
        <v/>
      </c>
      <c r="H3362" s="32"/>
      <c r="I3362" s="33"/>
      <c r="J3362" s="34">
        <v>0</v>
      </c>
    </row>
    <row r="3363" spans="1:10" ht="15.75" hidden="1" thickBot="1" x14ac:dyDescent="0.3">
      <c r="A3363" s="249"/>
      <c r="B3363" s="252"/>
      <c r="C3363" s="36"/>
      <c r="D3363" s="36"/>
      <c r="E3363" s="37"/>
      <c r="F3363" s="46" t="s">
        <v>23</v>
      </c>
      <c r="G3363" s="38" t="str">
        <f t="shared" si="57"/>
        <v/>
      </c>
      <c r="H3363" s="39"/>
      <c r="I3363" s="35"/>
      <c r="J3363" s="34">
        <v>0</v>
      </c>
    </row>
    <row r="3364" spans="1:10" ht="26.25" hidden="1" thickBot="1" x14ac:dyDescent="0.3">
      <c r="A3364" s="249"/>
      <c r="B3364" s="252"/>
      <c r="C3364" s="40" t="s">
        <v>4029</v>
      </c>
      <c r="D3364" s="40" t="s">
        <v>291</v>
      </c>
      <c r="E3364" s="41">
        <v>1</v>
      </c>
      <c r="F3364" s="35">
        <v>235.68549999999999</v>
      </c>
      <c r="G3364" s="38">
        <f t="shared" si="57"/>
        <v>235.68549999999999</v>
      </c>
      <c r="H3364" s="43">
        <f>SUM(G3364:G3367)</f>
        <v>283.38987665732498</v>
      </c>
      <c r="I3364" s="44"/>
      <c r="J3364" s="34">
        <v>0</v>
      </c>
    </row>
    <row r="3365" spans="1:10" ht="26.25" hidden="1" thickBot="1" x14ac:dyDescent="0.3">
      <c r="A3365" s="249"/>
      <c r="B3365" s="252"/>
      <c r="C3365" s="40" t="s">
        <v>4739</v>
      </c>
      <c r="D3365" s="40" t="s">
        <v>3764</v>
      </c>
      <c r="E3365" s="41">
        <v>4.4000000000000003E-3</v>
      </c>
      <c r="F3365" s="35">
        <v>659.4423539375</v>
      </c>
      <c r="G3365" s="38">
        <f t="shared" ref="G3365:G3428" si="58">IF(ISNUMBER(F3365),E3365*F3365,"")</f>
        <v>2.901546357325</v>
      </c>
      <c r="H3365" s="39"/>
      <c r="I3365" s="35"/>
      <c r="J3365" s="34">
        <v>0</v>
      </c>
    </row>
    <row r="3366" spans="1:10" ht="15.75" hidden="1" thickBot="1" x14ac:dyDescent="0.3">
      <c r="A3366" s="249"/>
      <c r="B3366" s="252"/>
      <c r="C3366" s="40" t="s">
        <v>3757</v>
      </c>
      <c r="D3366" s="40" t="s">
        <v>3752</v>
      </c>
      <c r="E3366" s="41">
        <v>1.0088999999999999</v>
      </c>
      <c r="F3366" s="35">
        <v>28.0535</v>
      </c>
      <c r="G3366" s="38">
        <f t="shared" si="58"/>
        <v>28.303176149999999</v>
      </c>
      <c r="H3366" s="39"/>
      <c r="I3366" s="35"/>
      <c r="J3366" s="34">
        <v>0</v>
      </c>
    </row>
    <row r="3367" spans="1:10" ht="15.75" hidden="1" thickBot="1" x14ac:dyDescent="0.3">
      <c r="A3367" s="249"/>
      <c r="B3367" s="252"/>
      <c r="C3367" s="40" t="s">
        <v>3754</v>
      </c>
      <c r="D3367" s="40" t="s">
        <v>3752</v>
      </c>
      <c r="E3367" s="41">
        <v>0.79269999999999996</v>
      </c>
      <c r="F3367" s="35">
        <v>20.814499999999999</v>
      </c>
      <c r="G3367" s="38">
        <f t="shared" si="58"/>
        <v>16.499654149999998</v>
      </c>
      <c r="H3367" s="39"/>
      <c r="I3367" s="35"/>
      <c r="J3367" s="34">
        <v>0</v>
      </c>
    </row>
    <row r="3368" spans="1:10" ht="15.75" hidden="1" thickBot="1" x14ac:dyDescent="0.3">
      <c r="A3368" s="250"/>
      <c r="B3368" s="253"/>
      <c r="C3368" s="60"/>
      <c r="D3368" s="60"/>
      <c r="E3368" s="79"/>
      <c r="F3368" s="87" t="s">
        <v>23</v>
      </c>
      <c r="G3368" s="88" t="str">
        <f t="shared" si="58"/>
        <v/>
      </c>
      <c r="H3368" s="89"/>
      <c r="I3368" s="35"/>
      <c r="J3368" s="34">
        <v>0</v>
      </c>
    </row>
    <row r="3369" spans="1:10" ht="15.75" hidden="1" thickBot="1" x14ac:dyDescent="0.3">
      <c r="A3369" s="262" t="s">
        <v>861</v>
      </c>
      <c r="B3369" s="252" t="s">
        <v>2730</v>
      </c>
      <c r="C3369" s="28"/>
      <c r="D3369" s="29" t="s">
        <v>2032</v>
      </c>
      <c r="E3369" s="30"/>
      <c r="F3369" s="31" t="s">
        <v>23</v>
      </c>
      <c r="G3369" s="31" t="str">
        <f t="shared" si="58"/>
        <v/>
      </c>
      <c r="H3369" s="32"/>
      <c r="I3369" s="33"/>
      <c r="J3369" s="34">
        <v>0</v>
      </c>
    </row>
    <row r="3370" spans="1:10" ht="15.75" hidden="1" thickBot="1" x14ac:dyDescent="0.3">
      <c r="A3370" s="249"/>
      <c r="B3370" s="252"/>
      <c r="C3370" s="36"/>
      <c r="D3370" s="36"/>
      <c r="E3370" s="37"/>
      <c r="F3370" s="35" t="s">
        <v>23</v>
      </c>
      <c r="G3370" s="38" t="str">
        <f t="shared" si="58"/>
        <v/>
      </c>
      <c r="H3370" s="39"/>
      <c r="I3370" s="35"/>
      <c r="J3370" s="34">
        <v>0</v>
      </c>
    </row>
    <row r="3371" spans="1:10" ht="15.75" hidden="1" thickBot="1" x14ac:dyDescent="0.3">
      <c r="A3371" s="249"/>
      <c r="B3371" s="252"/>
      <c r="C3371" s="40" t="s">
        <v>4030</v>
      </c>
      <c r="D3371" s="40" t="s">
        <v>3752</v>
      </c>
      <c r="E3371" s="41">
        <v>1</v>
      </c>
      <c r="F3371" s="35">
        <v>109.62049999999999</v>
      </c>
      <c r="G3371" s="38">
        <f t="shared" si="58"/>
        <v>109.62049999999999</v>
      </c>
      <c r="H3371" s="43">
        <f>SUM(G3371:G3371)</f>
        <v>109.62049999999999</v>
      </c>
      <c r="I3371" s="44"/>
      <c r="J3371" s="34">
        <v>0</v>
      </c>
    </row>
    <row r="3372" spans="1:10" ht="15.75" hidden="1" thickBot="1" x14ac:dyDescent="0.3">
      <c r="A3372" s="250"/>
      <c r="B3372" s="253"/>
      <c r="C3372" s="40"/>
      <c r="D3372" s="40"/>
      <c r="E3372" s="41"/>
      <c r="F3372" s="35" t="s">
        <v>23</v>
      </c>
      <c r="G3372" s="38" t="str">
        <f t="shared" si="58"/>
        <v/>
      </c>
      <c r="H3372" s="39"/>
      <c r="I3372" s="35"/>
      <c r="J3372" s="34">
        <v>0</v>
      </c>
    </row>
    <row r="3373" spans="1:10" ht="15.75" thickBot="1" x14ac:dyDescent="0.3">
      <c r="A3373" s="248" t="s">
        <v>862</v>
      </c>
      <c r="B3373" s="251" t="s">
        <v>2731</v>
      </c>
      <c r="C3373" s="28"/>
      <c r="D3373" s="29" t="s">
        <v>3714</v>
      </c>
      <c r="E3373" s="30"/>
      <c r="F3373" s="45" t="s">
        <v>23</v>
      </c>
      <c r="G3373" s="31" t="str">
        <f t="shared" si="58"/>
        <v/>
      </c>
      <c r="H3373" s="32"/>
      <c r="I3373" s="33"/>
      <c r="J3373" s="34">
        <v>10</v>
      </c>
    </row>
    <row r="3374" spans="1:10" x14ac:dyDescent="0.25">
      <c r="A3374" s="262"/>
      <c r="B3374" s="252"/>
      <c r="C3374" s="36"/>
      <c r="D3374" s="36"/>
      <c r="E3374" s="37"/>
      <c r="F3374" s="46" t="s">
        <v>23</v>
      </c>
      <c r="G3374" s="38" t="str">
        <f t="shared" si="58"/>
        <v/>
      </c>
      <c r="H3374" s="39"/>
      <c r="I3374" s="35"/>
      <c r="J3374" s="34">
        <v>10</v>
      </c>
    </row>
    <row r="3375" spans="1:10" ht="38.25" x14ac:dyDescent="0.25">
      <c r="A3375" s="262"/>
      <c r="B3375" s="252"/>
      <c r="C3375" s="40" t="s">
        <v>4136</v>
      </c>
      <c r="D3375" s="40" t="s">
        <v>3778</v>
      </c>
      <c r="E3375" s="41">
        <v>1</v>
      </c>
      <c r="F3375" s="35">
        <v>581.4855</v>
      </c>
      <c r="G3375" s="38">
        <f t="shared" si="58"/>
        <v>581.4855</v>
      </c>
      <c r="H3375" s="43">
        <f>SUM(G3375:G3375)</f>
        <v>581.4855</v>
      </c>
      <c r="I3375" s="44"/>
      <c r="J3375" s="34">
        <v>10</v>
      </c>
    </row>
    <row r="3376" spans="1:10" ht="15.75" thickBot="1" x14ac:dyDescent="0.3">
      <c r="A3376" s="263"/>
      <c r="B3376" s="253"/>
      <c r="C3376" s="40"/>
      <c r="D3376" s="40"/>
      <c r="E3376" s="41"/>
      <c r="F3376" s="35" t="s">
        <v>23</v>
      </c>
      <c r="G3376" s="38" t="str">
        <f t="shared" si="58"/>
        <v/>
      </c>
      <c r="H3376" s="39"/>
      <c r="I3376" s="35"/>
      <c r="J3376" s="34">
        <v>10</v>
      </c>
    </row>
    <row r="3377" spans="1:10" ht="15.75" hidden="1" thickBot="1" x14ac:dyDescent="0.3">
      <c r="A3377" s="248" t="s">
        <v>863</v>
      </c>
      <c r="B3377" s="251" t="s">
        <v>2735</v>
      </c>
      <c r="C3377" s="28"/>
      <c r="D3377" s="29" t="s">
        <v>78</v>
      </c>
      <c r="E3377" s="30"/>
      <c r="F3377" s="45" t="s">
        <v>23</v>
      </c>
      <c r="G3377" s="31" t="str">
        <f t="shared" si="58"/>
        <v/>
      </c>
      <c r="H3377" s="32"/>
      <c r="I3377" s="33"/>
      <c r="J3377" s="34">
        <v>0</v>
      </c>
    </row>
    <row r="3378" spans="1:10" ht="15.75" hidden="1" thickBot="1" x14ac:dyDescent="0.3">
      <c r="A3378" s="249"/>
      <c r="B3378" s="252"/>
      <c r="C3378" s="36"/>
      <c r="D3378" s="36"/>
      <c r="E3378" s="37"/>
      <c r="F3378" s="46" t="s">
        <v>23</v>
      </c>
      <c r="G3378" s="38" t="str">
        <f t="shared" si="58"/>
        <v/>
      </c>
      <c r="H3378" s="39"/>
      <c r="I3378" s="35"/>
      <c r="J3378" s="34">
        <v>0</v>
      </c>
    </row>
    <row r="3379" spans="1:10" ht="15.75" hidden="1" thickBot="1" x14ac:dyDescent="0.3">
      <c r="A3379" s="249"/>
      <c r="B3379" s="252"/>
      <c r="C3379" s="40" t="s">
        <v>3754</v>
      </c>
      <c r="D3379" s="40" t="s">
        <v>3752</v>
      </c>
      <c r="E3379" s="41">
        <v>8.8999999999999996E-2</v>
      </c>
      <c r="F3379" s="35">
        <v>20.814499999999999</v>
      </c>
      <c r="G3379" s="38">
        <f t="shared" si="58"/>
        <v>1.8524904999999998</v>
      </c>
      <c r="H3379" s="43">
        <f>SUM(G3379:G3380)</f>
        <v>1.8752904999999997</v>
      </c>
      <c r="I3379" s="44"/>
      <c r="J3379" s="34">
        <v>0</v>
      </c>
    </row>
    <row r="3380" spans="1:10" ht="39" hidden="1" thickBot="1" x14ac:dyDescent="0.3">
      <c r="A3380" s="249"/>
      <c r="B3380" s="252"/>
      <c r="C3380" s="40" t="s">
        <v>4032</v>
      </c>
      <c r="D3380" s="40" t="s">
        <v>1041</v>
      </c>
      <c r="E3380" s="41">
        <v>1.4999999999999999E-2</v>
      </c>
      <c r="F3380" s="35">
        <v>1.52</v>
      </c>
      <c r="G3380" s="38">
        <f t="shared" si="58"/>
        <v>2.2800000000000001E-2</v>
      </c>
      <c r="H3380" s="39"/>
      <c r="I3380" s="35"/>
      <c r="J3380" s="34">
        <v>0</v>
      </c>
    </row>
    <row r="3381" spans="1:10" ht="15.75" hidden="1" thickBot="1" x14ac:dyDescent="0.3">
      <c r="A3381" s="250"/>
      <c r="B3381" s="253"/>
      <c r="C3381" s="40"/>
      <c r="D3381" s="40"/>
      <c r="E3381" s="41"/>
      <c r="F3381" s="35" t="s">
        <v>23</v>
      </c>
      <c r="G3381" s="38" t="str">
        <f t="shared" si="58"/>
        <v/>
      </c>
      <c r="H3381" s="39"/>
      <c r="I3381" s="35"/>
      <c r="J3381" s="34">
        <v>0</v>
      </c>
    </row>
    <row r="3382" spans="1:10" ht="15.75" hidden="1" thickBot="1" x14ac:dyDescent="0.3">
      <c r="A3382" s="248" t="s">
        <v>864</v>
      </c>
      <c r="B3382" s="251" t="s">
        <v>2736</v>
      </c>
      <c r="C3382" s="28"/>
      <c r="D3382" s="29" t="s">
        <v>78</v>
      </c>
      <c r="E3382" s="30"/>
      <c r="F3382" s="51" t="s">
        <v>23</v>
      </c>
      <c r="G3382" s="31" t="str">
        <f t="shared" si="58"/>
        <v/>
      </c>
      <c r="H3382" s="32"/>
      <c r="I3382" s="33"/>
      <c r="J3382" s="34">
        <v>0</v>
      </c>
    </row>
    <row r="3383" spans="1:10" ht="15.75" hidden="1" thickBot="1" x14ac:dyDescent="0.3">
      <c r="A3383" s="249"/>
      <c r="B3383" s="252"/>
      <c r="C3383" s="36"/>
      <c r="D3383" s="36"/>
      <c r="E3383" s="37"/>
      <c r="F3383" s="59" t="s">
        <v>23</v>
      </c>
      <c r="G3383" s="59" t="str">
        <f t="shared" si="58"/>
        <v/>
      </c>
      <c r="H3383" s="62"/>
      <c r="I3383" s="63"/>
      <c r="J3383" s="34">
        <v>0</v>
      </c>
    </row>
    <row r="3384" spans="1:10" ht="15.75" hidden="1" thickBot="1" x14ac:dyDescent="0.3">
      <c r="A3384" s="249"/>
      <c r="B3384" s="252"/>
      <c r="C3384" s="40" t="s">
        <v>3826</v>
      </c>
      <c r="D3384" s="40" t="s">
        <v>3752</v>
      </c>
      <c r="E3384" s="41">
        <v>0.25</v>
      </c>
      <c r="F3384" s="59">
        <v>27.920500000000001</v>
      </c>
      <c r="G3384" s="59">
        <f t="shared" si="58"/>
        <v>6.9801250000000001</v>
      </c>
      <c r="H3384" s="43">
        <f>SUM(G3384:G3385)</f>
        <v>6.9801250000000001</v>
      </c>
      <c r="I3384" s="44"/>
      <c r="J3384" s="34">
        <v>0</v>
      </c>
    </row>
    <row r="3385" spans="1:10" ht="15.75" hidden="1" thickBot="1" x14ac:dyDescent="0.3">
      <c r="A3385" s="250"/>
      <c r="B3385" s="253"/>
      <c r="C3385" s="40"/>
      <c r="D3385" s="40"/>
      <c r="E3385" s="41"/>
      <c r="F3385" s="59" t="s">
        <v>23</v>
      </c>
      <c r="G3385" s="59" t="str">
        <f t="shared" si="58"/>
        <v/>
      </c>
      <c r="H3385" s="62"/>
      <c r="I3385" s="63"/>
      <c r="J3385" s="34">
        <v>0</v>
      </c>
    </row>
    <row r="3386" spans="1:10" ht="15.75" hidden="1" thickBot="1" x14ac:dyDescent="0.3">
      <c r="A3386" s="248" t="s">
        <v>865</v>
      </c>
      <c r="B3386" s="251" t="s">
        <v>2737</v>
      </c>
      <c r="C3386" s="28"/>
      <c r="D3386" s="29" t="s">
        <v>78</v>
      </c>
      <c r="E3386" s="30"/>
      <c r="F3386" s="51" t="s">
        <v>23</v>
      </c>
      <c r="G3386" s="31" t="str">
        <f t="shared" si="58"/>
        <v/>
      </c>
      <c r="H3386" s="32"/>
      <c r="I3386" s="33"/>
      <c r="J3386" s="34">
        <v>0</v>
      </c>
    </row>
    <row r="3387" spans="1:10" ht="15.75" hidden="1" thickBot="1" x14ac:dyDescent="0.3">
      <c r="A3387" s="249"/>
      <c r="B3387" s="252"/>
      <c r="C3387" s="36"/>
      <c r="D3387" s="36"/>
      <c r="E3387" s="37"/>
      <c r="F3387" s="59" t="s">
        <v>23</v>
      </c>
      <c r="G3387" s="59" t="str">
        <f t="shared" si="58"/>
        <v/>
      </c>
      <c r="H3387" s="62"/>
      <c r="I3387" s="63"/>
      <c r="J3387" s="34">
        <v>0</v>
      </c>
    </row>
    <row r="3388" spans="1:10" ht="15.75" hidden="1" thickBot="1" x14ac:dyDescent="0.3">
      <c r="A3388" s="249"/>
      <c r="B3388" s="252"/>
      <c r="C3388" s="40" t="s">
        <v>3754</v>
      </c>
      <c r="D3388" s="40" t="s">
        <v>3752</v>
      </c>
      <c r="E3388" s="41">
        <v>1.25</v>
      </c>
      <c r="F3388" s="59">
        <v>20.814499999999999</v>
      </c>
      <c r="G3388" s="59">
        <f t="shared" si="58"/>
        <v>26.018124999999998</v>
      </c>
      <c r="H3388" s="43">
        <f>SUM(G3388:G3388)</f>
        <v>26.018124999999998</v>
      </c>
      <c r="I3388" s="44"/>
      <c r="J3388" s="34">
        <v>0</v>
      </c>
    </row>
    <row r="3389" spans="1:10" ht="15.75" hidden="1" thickBot="1" x14ac:dyDescent="0.3">
      <c r="A3389" s="250"/>
      <c r="B3389" s="253"/>
      <c r="C3389" s="40"/>
      <c r="D3389" s="40"/>
      <c r="E3389" s="41"/>
      <c r="F3389" s="59" t="s">
        <v>23</v>
      </c>
      <c r="G3389" s="59" t="str">
        <f t="shared" si="58"/>
        <v/>
      </c>
      <c r="H3389" s="62"/>
      <c r="I3389" s="63"/>
      <c r="J3389" s="34">
        <v>0</v>
      </c>
    </row>
    <row r="3390" spans="1:10" ht="15.75" thickBot="1" x14ac:dyDescent="0.3">
      <c r="A3390" s="248" t="s">
        <v>866</v>
      </c>
      <c r="B3390" s="251" t="s">
        <v>2738</v>
      </c>
      <c r="C3390" s="28"/>
      <c r="D3390" s="29" t="s">
        <v>78</v>
      </c>
      <c r="E3390" s="30"/>
      <c r="F3390" s="51" t="s">
        <v>23</v>
      </c>
      <c r="G3390" s="31" t="str">
        <f t="shared" si="58"/>
        <v/>
      </c>
      <c r="H3390" s="32"/>
      <c r="I3390" s="33"/>
      <c r="J3390" s="34">
        <v>7000</v>
      </c>
    </row>
    <row r="3391" spans="1:10" x14ac:dyDescent="0.25">
      <c r="A3391" s="249"/>
      <c r="B3391" s="252"/>
      <c r="C3391" s="36"/>
      <c r="D3391" s="36"/>
      <c r="E3391" s="37"/>
      <c r="F3391" s="59" t="s">
        <v>23</v>
      </c>
      <c r="G3391" s="59" t="str">
        <f t="shared" si="58"/>
        <v/>
      </c>
      <c r="H3391" s="62"/>
      <c r="I3391" s="63"/>
      <c r="J3391" s="34">
        <v>7000</v>
      </c>
    </row>
    <row r="3392" spans="1:10" ht="38.25" x14ac:dyDescent="0.25">
      <c r="A3392" s="249"/>
      <c r="B3392" s="252"/>
      <c r="C3392" s="40" t="s">
        <v>3802</v>
      </c>
      <c r="D3392" s="40" t="s">
        <v>1035</v>
      </c>
      <c r="E3392" s="41">
        <v>1.5</v>
      </c>
      <c r="F3392" s="59">
        <v>19.588999999999999</v>
      </c>
      <c r="G3392" s="59">
        <f t="shared" si="58"/>
        <v>29.383499999999998</v>
      </c>
      <c r="H3392" s="43">
        <f>SUM(G3392:G3395)</f>
        <v>52.381194999999998</v>
      </c>
      <c r="I3392" s="44"/>
      <c r="J3392" s="34">
        <v>7000</v>
      </c>
    </row>
    <row r="3393" spans="1:10" x14ac:dyDescent="0.25">
      <c r="A3393" s="249"/>
      <c r="B3393" s="252"/>
      <c r="C3393" s="40" t="s">
        <v>3850</v>
      </c>
      <c r="D3393" s="40" t="s">
        <v>177</v>
      </c>
      <c r="E3393" s="41">
        <v>1.351</v>
      </c>
      <c r="F3393" s="59">
        <v>6.8780000000000001</v>
      </c>
      <c r="G3393" s="59">
        <f t="shared" si="58"/>
        <v>9.2921779999999998</v>
      </c>
      <c r="H3393" s="62"/>
      <c r="I3393" s="44"/>
      <c r="J3393" s="34">
        <v>7000</v>
      </c>
    </row>
    <row r="3394" spans="1:10" x14ac:dyDescent="0.25">
      <c r="A3394" s="249"/>
      <c r="B3394" s="252"/>
      <c r="C3394" s="40" t="s">
        <v>3787</v>
      </c>
      <c r="D3394" s="40" t="s">
        <v>3752</v>
      </c>
      <c r="E3394" s="41">
        <v>8.5000000000000006E-2</v>
      </c>
      <c r="F3394" s="59">
        <v>21.963999999999999</v>
      </c>
      <c r="G3394" s="59">
        <f t="shared" si="58"/>
        <v>1.86694</v>
      </c>
      <c r="H3394" s="62"/>
      <c r="I3394" s="63"/>
      <c r="J3394" s="34">
        <v>7000</v>
      </c>
    </row>
    <row r="3395" spans="1:10" x14ac:dyDescent="0.25">
      <c r="A3395" s="249"/>
      <c r="B3395" s="252"/>
      <c r="C3395" s="40" t="s">
        <v>3758</v>
      </c>
      <c r="D3395" s="40" t="s">
        <v>3752</v>
      </c>
      <c r="E3395" s="41">
        <v>0.42199999999999999</v>
      </c>
      <c r="F3395" s="59">
        <v>28.0535</v>
      </c>
      <c r="G3395" s="59">
        <f t="shared" si="58"/>
        <v>11.838576999999999</v>
      </c>
      <c r="H3395" s="62"/>
      <c r="I3395" s="63"/>
      <c r="J3395" s="34">
        <v>7000</v>
      </c>
    </row>
    <row r="3396" spans="1:10" ht="15.75" thickBot="1" x14ac:dyDescent="0.3">
      <c r="A3396" s="250"/>
      <c r="B3396" s="253"/>
      <c r="C3396" s="40"/>
      <c r="D3396" s="40"/>
      <c r="E3396" s="41"/>
      <c r="F3396" s="59" t="s">
        <v>23</v>
      </c>
      <c r="G3396" s="59" t="str">
        <f t="shared" si="58"/>
        <v/>
      </c>
      <c r="H3396" s="62"/>
      <c r="I3396" s="63"/>
      <c r="J3396" s="34">
        <v>7000</v>
      </c>
    </row>
    <row r="3397" spans="1:10" ht="15.75" thickBot="1" x14ac:dyDescent="0.3">
      <c r="A3397" s="248" t="s">
        <v>867</v>
      </c>
      <c r="B3397" s="251" t="s">
        <v>2739</v>
      </c>
      <c r="C3397" s="28"/>
      <c r="D3397" s="29" t="s">
        <v>78</v>
      </c>
      <c r="E3397" s="30"/>
      <c r="F3397" s="51" t="s">
        <v>23</v>
      </c>
      <c r="G3397" s="31" t="str">
        <f t="shared" si="58"/>
        <v/>
      </c>
      <c r="H3397" s="32"/>
      <c r="I3397" s="33"/>
      <c r="J3397" s="34">
        <v>37040</v>
      </c>
    </row>
    <row r="3398" spans="1:10" x14ac:dyDescent="0.25">
      <c r="A3398" s="249"/>
      <c r="B3398" s="252"/>
      <c r="C3398" s="36"/>
      <c r="D3398" s="36"/>
      <c r="E3398" s="37"/>
      <c r="F3398" s="59" t="s">
        <v>23</v>
      </c>
      <c r="G3398" s="59" t="str">
        <f t="shared" si="58"/>
        <v/>
      </c>
      <c r="H3398" s="62"/>
      <c r="I3398" s="63"/>
      <c r="J3398" s="34">
        <v>37040</v>
      </c>
    </row>
    <row r="3399" spans="1:10" x14ac:dyDescent="0.25">
      <c r="A3399" s="249"/>
      <c r="B3399" s="252"/>
      <c r="C3399" s="40" t="s">
        <v>3849</v>
      </c>
      <c r="D3399" s="40" t="s">
        <v>177</v>
      </c>
      <c r="E3399" s="41">
        <v>1.04</v>
      </c>
      <c r="F3399" s="59">
        <v>2.0329999999999999</v>
      </c>
      <c r="G3399" s="59">
        <f t="shared" si="58"/>
        <v>2.1143200000000002</v>
      </c>
      <c r="H3399" s="43">
        <f>SUM(G3399:G3402)</f>
        <v>55.770807854687511</v>
      </c>
      <c r="I3399" s="44"/>
      <c r="J3399" s="34">
        <v>37040</v>
      </c>
    </row>
    <row r="3400" spans="1:10" ht="25.5" x14ac:dyDescent="0.25">
      <c r="A3400" s="249"/>
      <c r="B3400" s="252"/>
      <c r="C3400" s="40" t="s">
        <v>4734</v>
      </c>
      <c r="D3400" s="40" t="s">
        <v>3764</v>
      </c>
      <c r="E3400" s="41">
        <v>3.5000000000000003E-2</v>
      </c>
      <c r="F3400" s="59">
        <v>925.74008156250011</v>
      </c>
      <c r="G3400" s="59">
        <f t="shared" si="58"/>
        <v>32.400902854687509</v>
      </c>
      <c r="H3400" s="62"/>
      <c r="I3400" s="63"/>
      <c r="J3400" s="34">
        <v>37040</v>
      </c>
    </row>
    <row r="3401" spans="1:10" x14ac:dyDescent="0.25">
      <c r="A3401" s="249"/>
      <c r="B3401" s="252"/>
      <c r="C3401" s="40" t="s">
        <v>3757</v>
      </c>
      <c r="D3401" s="40" t="s">
        <v>3752</v>
      </c>
      <c r="E3401" s="41">
        <v>0.65900000000000003</v>
      </c>
      <c r="F3401" s="59">
        <v>28.0535</v>
      </c>
      <c r="G3401" s="59">
        <f t="shared" si="58"/>
        <v>18.487256500000001</v>
      </c>
      <c r="H3401" s="62"/>
      <c r="I3401" s="63"/>
      <c r="J3401" s="34">
        <v>37040</v>
      </c>
    </row>
    <row r="3402" spans="1:10" x14ac:dyDescent="0.25">
      <c r="A3402" s="249"/>
      <c r="B3402" s="252"/>
      <c r="C3402" s="40" t="s">
        <v>3754</v>
      </c>
      <c r="D3402" s="40" t="s">
        <v>3752</v>
      </c>
      <c r="E3402" s="41">
        <v>0.13300000000000001</v>
      </c>
      <c r="F3402" s="59">
        <v>20.814499999999999</v>
      </c>
      <c r="G3402" s="59">
        <f t="shared" si="58"/>
        <v>2.7683285</v>
      </c>
      <c r="H3402" s="62"/>
      <c r="I3402" s="63"/>
      <c r="J3402" s="34">
        <v>37040</v>
      </c>
    </row>
    <row r="3403" spans="1:10" ht="15.75" thickBot="1" x14ac:dyDescent="0.3">
      <c r="A3403" s="250"/>
      <c r="B3403" s="253"/>
      <c r="C3403" s="40"/>
      <c r="D3403" s="40"/>
      <c r="E3403" s="41"/>
      <c r="F3403" s="59" t="s">
        <v>23</v>
      </c>
      <c r="G3403" s="59" t="str">
        <f t="shared" si="58"/>
        <v/>
      </c>
      <c r="H3403" s="62"/>
      <c r="I3403" s="63"/>
      <c r="J3403" s="34">
        <v>37040</v>
      </c>
    </row>
    <row r="3404" spans="1:10" ht="15.75" hidden="1" thickBot="1" x14ac:dyDescent="0.3">
      <c r="A3404" s="248" t="s">
        <v>868</v>
      </c>
      <c r="B3404" s="251" t="s">
        <v>2740</v>
      </c>
      <c r="C3404" s="28"/>
      <c r="D3404" s="29" t="s">
        <v>78</v>
      </c>
      <c r="E3404" s="30"/>
      <c r="F3404" s="51" t="s">
        <v>23</v>
      </c>
      <c r="G3404" s="31" t="str">
        <f t="shared" si="58"/>
        <v/>
      </c>
      <c r="H3404" s="32"/>
      <c r="I3404" s="33"/>
      <c r="J3404" s="34">
        <v>0</v>
      </c>
    </row>
    <row r="3405" spans="1:10" ht="15.75" hidden="1" thickBot="1" x14ac:dyDescent="0.3">
      <c r="A3405" s="249"/>
      <c r="B3405" s="252"/>
      <c r="C3405" s="36"/>
      <c r="D3405" s="36"/>
      <c r="E3405" s="37"/>
      <c r="F3405" s="59" t="s">
        <v>23</v>
      </c>
      <c r="G3405" s="59" t="str">
        <f t="shared" si="58"/>
        <v/>
      </c>
      <c r="H3405" s="62"/>
      <c r="I3405" s="63"/>
      <c r="J3405" s="34">
        <v>0</v>
      </c>
    </row>
    <row r="3406" spans="1:10" ht="26.25" hidden="1" thickBot="1" x14ac:dyDescent="0.3">
      <c r="A3406" s="249"/>
      <c r="B3406" s="252"/>
      <c r="C3406" s="40" t="s">
        <v>3793</v>
      </c>
      <c r="D3406" s="40" t="s">
        <v>177</v>
      </c>
      <c r="E3406" s="41">
        <v>1.05</v>
      </c>
      <c r="F3406" s="59">
        <v>14.126499999999998</v>
      </c>
      <c r="G3406" s="59">
        <f t="shared" si="58"/>
        <v>14.832825</v>
      </c>
      <c r="H3406" s="43">
        <f>SUM(G3406:G3409)</f>
        <v>70.015972354687506</v>
      </c>
      <c r="I3406" s="44"/>
      <c r="J3406" s="34">
        <v>0</v>
      </c>
    </row>
    <row r="3407" spans="1:10" ht="26.25" hidden="1" thickBot="1" x14ac:dyDescent="0.3">
      <c r="A3407" s="249"/>
      <c r="B3407" s="252"/>
      <c r="C3407" s="40" t="s">
        <v>4734</v>
      </c>
      <c r="D3407" s="40" t="s">
        <v>3764</v>
      </c>
      <c r="E3407" s="41">
        <v>3.5000000000000003E-2</v>
      </c>
      <c r="F3407" s="59">
        <v>925.74008156250011</v>
      </c>
      <c r="G3407" s="59">
        <f t="shared" si="58"/>
        <v>32.400902854687509</v>
      </c>
      <c r="H3407" s="62"/>
      <c r="I3407" s="63"/>
      <c r="J3407" s="34">
        <v>0</v>
      </c>
    </row>
    <row r="3408" spans="1:10" ht="15.75" hidden="1" thickBot="1" x14ac:dyDescent="0.3">
      <c r="A3408" s="249"/>
      <c r="B3408" s="252"/>
      <c r="C3408" s="40" t="s">
        <v>3757</v>
      </c>
      <c r="D3408" s="40" t="s">
        <v>3752</v>
      </c>
      <c r="E3408" s="41">
        <v>0.70599999999999996</v>
      </c>
      <c r="F3408" s="59">
        <v>28.0535</v>
      </c>
      <c r="G3408" s="59">
        <f t="shared" si="58"/>
        <v>19.805771</v>
      </c>
      <c r="H3408" s="62"/>
      <c r="I3408" s="63"/>
      <c r="J3408" s="34">
        <v>0</v>
      </c>
    </row>
    <row r="3409" spans="1:10" ht="15.75" hidden="1" thickBot="1" x14ac:dyDescent="0.3">
      <c r="A3409" s="249"/>
      <c r="B3409" s="252"/>
      <c r="C3409" s="40" t="s">
        <v>3754</v>
      </c>
      <c r="D3409" s="40" t="s">
        <v>3752</v>
      </c>
      <c r="E3409" s="41">
        <v>0.14299999999999999</v>
      </c>
      <c r="F3409" s="59">
        <v>20.814499999999999</v>
      </c>
      <c r="G3409" s="59">
        <f t="shared" si="58"/>
        <v>2.9764734999999996</v>
      </c>
      <c r="H3409" s="62"/>
      <c r="I3409" s="63"/>
      <c r="J3409" s="34">
        <v>0</v>
      </c>
    </row>
    <row r="3410" spans="1:10" ht="15.75" hidden="1" thickBot="1" x14ac:dyDescent="0.3">
      <c r="A3410" s="250"/>
      <c r="B3410" s="253"/>
      <c r="C3410" s="40"/>
      <c r="D3410" s="40"/>
      <c r="E3410" s="41"/>
      <c r="F3410" s="59" t="s">
        <v>23</v>
      </c>
      <c r="G3410" s="59" t="str">
        <f t="shared" si="58"/>
        <v/>
      </c>
      <c r="H3410" s="62"/>
      <c r="I3410" s="63"/>
      <c r="J3410" s="34">
        <v>0</v>
      </c>
    </row>
    <row r="3411" spans="1:10" ht="15.75" hidden="1" thickBot="1" x14ac:dyDescent="0.3">
      <c r="A3411" s="248" t="s">
        <v>869</v>
      </c>
      <c r="B3411" s="251" t="s">
        <v>2741</v>
      </c>
      <c r="C3411" s="28"/>
      <c r="D3411" s="29" t="s">
        <v>78</v>
      </c>
      <c r="E3411" s="30"/>
      <c r="F3411" s="51" t="s">
        <v>23</v>
      </c>
      <c r="G3411" s="31" t="str">
        <f t="shared" si="58"/>
        <v/>
      </c>
      <c r="H3411" s="32"/>
      <c r="I3411" s="33"/>
      <c r="J3411" s="34">
        <v>0</v>
      </c>
    </row>
    <row r="3412" spans="1:10" ht="15.75" hidden="1" thickBot="1" x14ac:dyDescent="0.3">
      <c r="A3412" s="249"/>
      <c r="B3412" s="252"/>
      <c r="C3412" s="36"/>
      <c r="D3412" s="36"/>
      <c r="E3412" s="37"/>
      <c r="F3412" s="59" t="s">
        <v>23</v>
      </c>
      <c r="G3412" s="59" t="str">
        <f t="shared" si="58"/>
        <v/>
      </c>
      <c r="H3412" s="62"/>
      <c r="I3412" s="63"/>
      <c r="J3412" s="34">
        <v>0</v>
      </c>
    </row>
    <row r="3413" spans="1:10" ht="15.75" hidden="1" thickBot="1" x14ac:dyDescent="0.3">
      <c r="A3413" s="249"/>
      <c r="B3413" s="252"/>
      <c r="C3413" s="40" t="s">
        <v>3826</v>
      </c>
      <c r="D3413" s="40" t="s">
        <v>3752</v>
      </c>
      <c r="E3413" s="41">
        <v>0.4</v>
      </c>
      <c r="F3413" s="59">
        <v>27.920500000000001</v>
      </c>
      <c r="G3413" s="59">
        <f t="shared" si="58"/>
        <v>11.168200000000001</v>
      </c>
      <c r="H3413" s="43">
        <f>SUM(G3413:G3414)</f>
        <v>19.494</v>
      </c>
      <c r="I3413" s="44"/>
      <c r="J3413" s="34">
        <v>0</v>
      </c>
    </row>
    <row r="3414" spans="1:10" ht="15.75" hidden="1" thickBot="1" x14ac:dyDescent="0.3">
      <c r="A3414" s="249"/>
      <c r="B3414" s="252"/>
      <c r="C3414" s="40" t="s">
        <v>3754</v>
      </c>
      <c r="D3414" s="40" t="s">
        <v>3752</v>
      </c>
      <c r="E3414" s="41">
        <v>0.4</v>
      </c>
      <c r="F3414" s="59">
        <v>20.814499999999999</v>
      </c>
      <c r="G3414" s="59">
        <f t="shared" si="58"/>
        <v>8.3257999999999992</v>
      </c>
      <c r="H3414" s="62"/>
      <c r="I3414" s="63"/>
      <c r="J3414" s="34">
        <v>0</v>
      </c>
    </row>
    <row r="3415" spans="1:10" ht="15.75" hidden="1" thickBot="1" x14ac:dyDescent="0.3">
      <c r="A3415" s="250"/>
      <c r="B3415" s="253"/>
      <c r="C3415" s="40"/>
      <c r="D3415" s="40"/>
      <c r="E3415" s="41"/>
      <c r="F3415" s="59" t="s">
        <v>23</v>
      </c>
      <c r="G3415" s="59" t="str">
        <f t="shared" si="58"/>
        <v/>
      </c>
      <c r="H3415" s="62"/>
      <c r="I3415" s="63"/>
      <c r="J3415" s="34">
        <v>0</v>
      </c>
    </row>
    <row r="3416" spans="1:10" ht="15.75" hidden="1" thickBot="1" x14ac:dyDescent="0.3">
      <c r="A3416" s="248" t="s">
        <v>870</v>
      </c>
      <c r="B3416" s="251" t="s">
        <v>2742</v>
      </c>
      <c r="C3416" s="28"/>
      <c r="D3416" s="29" t="s">
        <v>78</v>
      </c>
      <c r="E3416" s="30"/>
      <c r="F3416" s="51" t="s">
        <v>23</v>
      </c>
      <c r="G3416" s="31" t="str">
        <f t="shared" si="58"/>
        <v/>
      </c>
      <c r="H3416" s="32"/>
      <c r="I3416" s="33"/>
      <c r="J3416" s="34">
        <v>0</v>
      </c>
    </row>
    <row r="3417" spans="1:10" ht="15.75" hidden="1" thickBot="1" x14ac:dyDescent="0.3">
      <c r="A3417" s="249"/>
      <c r="B3417" s="252"/>
      <c r="C3417" s="36"/>
      <c r="D3417" s="36"/>
      <c r="E3417" s="37"/>
      <c r="F3417" s="59" t="s">
        <v>23</v>
      </c>
      <c r="G3417" s="59" t="str">
        <f t="shared" si="58"/>
        <v/>
      </c>
      <c r="H3417" s="62"/>
      <c r="I3417" s="63"/>
      <c r="J3417" s="34">
        <v>0</v>
      </c>
    </row>
    <row r="3418" spans="1:10" ht="15.75" hidden="1" thickBot="1" x14ac:dyDescent="0.3">
      <c r="A3418" s="249"/>
      <c r="B3418" s="252"/>
      <c r="C3418" s="40" t="s">
        <v>3826</v>
      </c>
      <c r="D3418" s="40" t="s">
        <v>3752</v>
      </c>
      <c r="E3418" s="41">
        <v>1.2</v>
      </c>
      <c r="F3418" s="59">
        <v>27.920500000000001</v>
      </c>
      <c r="G3418" s="59">
        <f t="shared" si="58"/>
        <v>33.504599999999996</v>
      </c>
      <c r="H3418" s="43">
        <f>SUM(G3418:G3419)</f>
        <v>58.481999999999999</v>
      </c>
      <c r="I3418" s="44"/>
      <c r="J3418" s="34">
        <v>0</v>
      </c>
    </row>
    <row r="3419" spans="1:10" ht="15.75" hidden="1" thickBot="1" x14ac:dyDescent="0.3">
      <c r="A3419" s="249"/>
      <c r="B3419" s="252"/>
      <c r="C3419" s="40" t="s">
        <v>3754</v>
      </c>
      <c r="D3419" s="40" t="s">
        <v>3752</v>
      </c>
      <c r="E3419" s="41">
        <v>1.2</v>
      </c>
      <c r="F3419" s="59">
        <v>20.814499999999999</v>
      </c>
      <c r="G3419" s="59">
        <f t="shared" si="58"/>
        <v>24.977399999999999</v>
      </c>
      <c r="H3419" s="62"/>
      <c r="I3419" s="63"/>
      <c r="J3419" s="34">
        <v>0</v>
      </c>
    </row>
    <row r="3420" spans="1:10" ht="15.75" hidden="1" thickBot="1" x14ac:dyDescent="0.3">
      <c r="A3420" s="250"/>
      <c r="B3420" s="253"/>
      <c r="C3420" s="40"/>
      <c r="D3420" s="40"/>
      <c r="E3420" s="41"/>
      <c r="F3420" s="59" t="s">
        <v>23</v>
      </c>
      <c r="G3420" s="59" t="str">
        <f t="shared" si="58"/>
        <v/>
      </c>
      <c r="H3420" s="62"/>
      <c r="I3420" s="63"/>
      <c r="J3420" s="34">
        <v>0</v>
      </c>
    </row>
    <row r="3421" spans="1:10" ht="15.75" hidden="1" thickBot="1" x14ac:dyDescent="0.3">
      <c r="A3421" s="248" t="s">
        <v>871</v>
      </c>
      <c r="B3421" s="251" t="s">
        <v>2743</v>
      </c>
      <c r="C3421" s="28"/>
      <c r="D3421" s="29" t="s">
        <v>78</v>
      </c>
      <c r="E3421" s="30"/>
      <c r="F3421" s="51" t="s">
        <v>23</v>
      </c>
      <c r="G3421" s="31" t="str">
        <f t="shared" si="58"/>
        <v/>
      </c>
      <c r="H3421" s="32"/>
      <c r="I3421" s="33"/>
      <c r="J3421" s="34">
        <v>0</v>
      </c>
    </row>
    <row r="3422" spans="1:10" ht="15.75" hidden="1" thickBot="1" x14ac:dyDescent="0.3">
      <c r="A3422" s="249"/>
      <c r="B3422" s="252"/>
      <c r="C3422" s="36"/>
      <c r="D3422" s="36"/>
      <c r="E3422" s="37"/>
      <c r="F3422" s="59" t="s">
        <v>23</v>
      </c>
      <c r="G3422" s="59" t="str">
        <f t="shared" si="58"/>
        <v/>
      </c>
      <c r="H3422" s="62"/>
      <c r="I3422" s="63"/>
      <c r="J3422" s="34">
        <v>0</v>
      </c>
    </row>
    <row r="3423" spans="1:10" ht="15.75" hidden="1" thickBot="1" x14ac:dyDescent="0.3">
      <c r="A3423" s="249"/>
      <c r="B3423" s="252"/>
      <c r="C3423" s="40" t="s">
        <v>4034</v>
      </c>
      <c r="D3423" s="40" t="s">
        <v>177</v>
      </c>
      <c r="E3423" s="41">
        <v>1.05</v>
      </c>
      <c r="F3423" s="59">
        <v>5.3864999999999998</v>
      </c>
      <c r="G3423" s="59">
        <f t="shared" si="58"/>
        <v>5.6558250000000001</v>
      </c>
      <c r="H3423" s="43">
        <f>SUM(G3423:G3424)</f>
        <v>9.8187250000000006</v>
      </c>
      <c r="I3423" s="44"/>
      <c r="J3423" s="34">
        <v>0</v>
      </c>
    </row>
    <row r="3424" spans="1:10" ht="15.75" hidden="1" thickBot="1" x14ac:dyDescent="0.3">
      <c r="A3424" s="249"/>
      <c r="B3424" s="252"/>
      <c r="C3424" s="40" t="s">
        <v>3754</v>
      </c>
      <c r="D3424" s="40" t="s">
        <v>3752</v>
      </c>
      <c r="E3424" s="41">
        <v>0.2</v>
      </c>
      <c r="F3424" s="59">
        <v>20.814499999999999</v>
      </c>
      <c r="G3424" s="59">
        <f t="shared" si="58"/>
        <v>4.1628999999999996</v>
      </c>
      <c r="H3424" s="62"/>
      <c r="I3424" s="63"/>
      <c r="J3424" s="34">
        <v>0</v>
      </c>
    </row>
    <row r="3425" spans="1:10" ht="15.75" hidden="1" thickBot="1" x14ac:dyDescent="0.3">
      <c r="A3425" s="250"/>
      <c r="B3425" s="253"/>
      <c r="C3425" s="40"/>
      <c r="D3425" s="40"/>
      <c r="E3425" s="41"/>
      <c r="F3425" s="59" t="s">
        <v>23</v>
      </c>
      <c r="G3425" s="59" t="str">
        <f t="shared" si="58"/>
        <v/>
      </c>
      <c r="H3425" s="62"/>
      <c r="I3425" s="63"/>
      <c r="J3425" s="34">
        <v>0</v>
      </c>
    </row>
    <row r="3426" spans="1:10" ht="15.75" hidden="1" thickBot="1" x14ac:dyDescent="0.3">
      <c r="A3426" s="248" t="s">
        <v>872</v>
      </c>
      <c r="B3426" s="251" t="s">
        <v>2744</v>
      </c>
      <c r="C3426" s="28"/>
      <c r="D3426" s="29" t="s">
        <v>78</v>
      </c>
      <c r="E3426" s="30"/>
      <c r="F3426" s="51" t="s">
        <v>23</v>
      </c>
      <c r="G3426" s="31" t="str">
        <f t="shared" si="58"/>
        <v/>
      </c>
      <c r="H3426" s="32"/>
      <c r="I3426" s="33"/>
      <c r="J3426" s="34">
        <v>0</v>
      </c>
    </row>
    <row r="3427" spans="1:10" ht="15.75" hidden="1" thickBot="1" x14ac:dyDescent="0.3">
      <c r="A3427" s="249"/>
      <c r="B3427" s="252"/>
      <c r="C3427" s="36"/>
      <c r="D3427" s="36"/>
      <c r="E3427" s="37"/>
      <c r="F3427" s="59" t="s">
        <v>23</v>
      </c>
      <c r="G3427" s="59" t="str">
        <f t="shared" si="58"/>
        <v/>
      </c>
      <c r="H3427" s="62"/>
      <c r="I3427" s="63"/>
      <c r="J3427" s="34">
        <v>0</v>
      </c>
    </row>
    <row r="3428" spans="1:10" ht="15.75" hidden="1" thickBot="1" x14ac:dyDescent="0.3">
      <c r="A3428" s="249"/>
      <c r="B3428" s="252"/>
      <c r="C3428" s="40" t="s">
        <v>3754</v>
      </c>
      <c r="D3428" s="40" t="s">
        <v>3752</v>
      </c>
      <c r="E3428" s="41">
        <v>0.3</v>
      </c>
      <c r="F3428" s="59">
        <v>20.814499999999999</v>
      </c>
      <c r="G3428" s="59">
        <f t="shared" si="58"/>
        <v>6.2443499999999998</v>
      </c>
      <c r="H3428" s="43">
        <f>SUM(G3428)</f>
        <v>6.2443499999999998</v>
      </c>
      <c r="I3428" s="44"/>
      <c r="J3428" s="34">
        <v>0</v>
      </c>
    </row>
    <row r="3429" spans="1:10" ht="15.75" hidden="1" thickBot="1" x14ac:dyDescent="0.3">
      <c r="A3429" s="250"/>
      <c r="B3429" s="253"/>
      <c r="C3429" s="40"/>
      <c r="D3429" s="40"/>
      <c r="E3429" s="41"/>
      <c r="F3429" s="59" t="s">
        <v>23</v>
      </c>
      <c r="G3429" s="59" t="str">
        <f t="shared" ref="G3429:G3492" si="59">IF(ISNUMBER(F3429),E3429*F3429,"")</f>
        <v/>
      </c>
      <c r="H3429" s="62"/>
      <c r="I3429" s="63"/>
      <c r="J3429" s="34">
        <v>0</v>
      </c>
    </row>
    <row r="3430" spans="1:10" ht="15.75" hidden="1" thickBot="1" x14ac:dyDescent="0.3">
      <c r="A3430" s="248" t="s">
        <v>873</v>
      </c>
      <c r="B3430" s="251" t="s">
        <v>2745</v>
      </c>
      <c r="C3430" s="28"/>
      <c r="D3430" s="29" t="s">
        <v>28</v>
      </c>
      <c r="E3430" s="30"/>
      <c r="F3430" s="51" t="s">
        <v>23</v>
      </c>
      <c r="G3430" s="31" t="str">
        <f t="shared" si="59"/>
        <v/>
      </c>
      <c r="H3430" s="32"/>
      <c r="I3430" s="33"/>
      <c r="J3430" s="34">
        <v>0</v>
      </c>
    </row>
    <row r="3431" spans="1:10" ht="15.75" hidden="1" thickBot="1" x14ac:dyDescent="0.3">
      <c r="A3431" s="249"/>
      <c r="B3431" s="252"/>
      <c r="C3431" s="36"/>
      <c r="D3431" s="36"/>
      <c r="E3431" s="37"/>
      <c r="F3431" s="59" t="s">
        <v>23</v>
      </c>
      <c r="G3431" s="59" t="str">
        <f t="shared" si="59"/>
        <v/>
      </c>
      <c r="H3431" s="62"/>
      <c r="I3431" s="63"/>
      <c r="J3431" s="34">
        <v>0</v>
      </c>
    </row>
    <row r="3432" spans="1:10" ht="15.75" hidden="1" thickBot="1" x14ac:dyDescent="0.3">
      <c r="A3432" s="249"/>
      <c r="B3432" s="252"/>
      <c r="C3432" s="40" t="s">
        <v>3754</v>
      </c>
      <c r="D3432" s="40" t="s">
        <v>3752</v>
      </c>
      <c r="E3432" s="41">
        <v>0.1</v>
      </c>
      <c r="F3432" s="59">
        <v>20.814499999999999</v>
      </c>
      <c r="G3432" s="59">
        <f t="shared" si="59"/>
        <v>2.0814499999999998</v>
      </c>
      <c r="H3432" s="43">
        <f>SUM(G3432)</f>
        <v>2.0814499999999998</v>
      </c>
      <c r="I3432" s="44"/>
      <c r="J3432" s="34">
        <v>0</v>
      </c>
    </row>
    <row r="3433" spans="1:10" ht="15.75" hidden="1" thickBot="1" x14ac:dyDescent="0.3">
      <c r="A3433" s="250"/>
      <c r="B3433" s="253"/>
      <c r="C3433" s="40"/>
      <c r="D3433" s="40"/>
      <c r="E3433" s="41"/>
      <c r="F3433" s="59" t="s">
        <v>23</v>
      </c>
      <c r="G3433" s="59" t="str">
        <f t="shared" si="59"/>
        <v/>
      </c>
      <c r="H3433" s="62"/>
      <c r="I3433" s="63"/>
      <c r="J3433" s="34">
        <v>0</v>
      </c>
    </row>
    <row r="3434" spans="1:10" ht="15.75" hidden="1" thickBot="1" x14ac:dyDescent="0.3">
      <c r="A3434" s="248" t="s">
        <v>874</v>
      </c>
      <c r="B3434" s="251" t="s">
        <v>2746</v>
      </c>
      <c r="C3434" s="28"/>
      <c r="D3434" s="29" t="s">
        <v>28</v>
      </c>
      <c r="E3434" s="30"/>
      <c r="F3434" s="51" t="s">
        <v>23</v>
      </c>
      <c r="G3434" s="31" t="str">
        <f t="shared" si="59"/>
        <v/>
      </c>
      <c r="H3434" s="32"/>
      <c r="I3434" s="33"/>
      <c r="J3434" s="34">
        <v>0</v>
      </c>
    </row>
    <row r="3435" spans="1:10" ht="15.75" hidden="1" thickBot="1" x14ac:dyDescent="0.3">
      <c r="A3435" s="249"/>
      <c r="B3435" s="252"/>
      <c r="C3435" s="36"/>
      <c r="D3435" s="36"/>
      <c r="E3435" s="37"/>
      <c r="F3435" s="59" t="s">
        <v>23</v>
      </c>
      <c r="G3435" s="59" t="str">
        <f t="shared" si="59"/>
        <v/>
      </c>
      <c r="H3435" s="62"/>
      <c r="I3435" s="63"/>
      <c r="J3435" s="34">
        <v>0</v>
      </c>
    </row>
    <row r="3436" spans="1:10" ht="15.75" hidden="1" thickBot="1" x14ac:dyDescent="0.3">
      <c r="A3436" s="249"/>
      <c r="B3436" s="252"/>
      <c r="C3436" s="40" t="s">
        <v>3757</v>
      </c>
      <c r="D3436" s="40" t="s">
        <v>3752</v>
      </c>
      <c r="E3436" s="41">
        <f>0.1+0.1</f>
        <v>0.2</v>
      </c>
      <c r="F3436" s="59">
        <v>28.0535</v>
      </c>
      <c r="G3436" s="59">
        <f t="shared" si="59"/>
        <v>5.6107000000000005</v>
      </c>
      <c r="H3436" s="43">
        <f>SUM(G3436:G3440)</f>
        <v>10.064553243342999</v>
      </c>
      <c r="I3436" s="44"/>
      <c r="J3436" s="34">
        <v>0</v>
      </c>
    </row>
    <row r="3437" spans="1:10" ht="15.75" hidden="1" thickBot="1" x14ac:dyDescent="0.3">
      <c r="A3437" s="249"/>
      <c r="B3437" s="252"/>
      <c r="C3437" s="40" t="s">
        <v>3754</v>
      </c>
      <c r="D3437" s="40" t="s">
        <v>3752</v>
      </c>
      <c r="E3437" s="41">
        <f>0.1+0.1</f>
        <v>0.2</v>
      </c>
      <c r="F3437" s="59">
        <v>20.814499999999999</v>
      </c>
      <c r="G3437" s="59">
        <f t="shared" si="59"/>
        <v>4.1628999999999996</v>
      </c>
      <c r="H3437" s="62"/>
      <c r="I3437" s="63"/>
      <c r="J3437" s="34">
        <v>0</v>
      </c>
    </row>
    <row r="3438" spans="1:10" ht="15.75" hidden="1" thickBot="1" x14ac:dyDescent="0.3">
      <c r="A3438" s="249"/>
      <c r="B3438" s="252"/>
      <c r="C3438" s="40" t="s">
        <v>875</v>
      </c>
      <c r="D3438" s="40" t="s">
        <v>102</v>
      </c>
      <c r="E3438" s="41">
        <f>0.016*2</f>
        <v>3.2000000000000001E-2</v>
      </c>
      <c r="F3438" s="59">
        <v>0</v>
      </c>
      <c r="G3438" s="59">
        <f t="shared" si="59"/>
        <v>0</v>
      </c>
      <c r="H3438" s="62"/>
      <c r="I3438" s="63"/>
      <c r="J3438" s="34">
        <v>0</v>
      </c>
    </row>
    <row r="3439" spans="1:10" ht="15.75" hidden="1" thickBot="1" x14ac:dyDescent="0.3">
      <c r="A3439" s="249"/>
      <c r="B3439" s="252"/>
      <c r="C3439" s="40" t="s">
        <v>876</v>
      </c>
      <c r="D3439" s="40" t="s">
        <v>877</v>
      </c>
      <c r="E3439" s="41">
        <f>0.1*2</f>
        <v>0.2</v>
      </c>
      <c r="F3439" s="59">
        <v>0</v>
      </c>
      <c r="G3439" s="59">
        <f t="shared" si="59"/>
        <v>0</v>
      </c>
      <c r="H3439" s="62"/>
      <c r="I3439" s="63"/>
      <c r="J3439" s="34">
        <v>0</v>
      </c>
    </row>
    <row r="3440" spans="1:10" ht="39" hidden="1" thickBot="1" x14ac:dyDescent="0.3">
      <c r="A3440" s="249"/>
      <c r="B3440" s="252"/>
      <c r="C3440" s="40" t="s">
        <v>4699</v>
      </c>
      <c r="D3440" s="40" t="s">
        <v>3764</v>
      </c>
      <c r="E3440" s="41">
        <f>ROUND(0.15*0.05*0.05,4)</f>
        <v>4.0000000000000002E-4</v>
      </c>
      <c r="F3440" s="59">
        <v>727.38310835749996</v>
      </c>
      <c r="G3440" s="59">
        <f t="shared" si="59"/>
        <v>0.29095324334299999</v>
      </c>
      <c r="H3440" s="62"/>
      <c r="I3440" s="63"/>
      <c r="J3440" s="34">
        <v>0</v>
      </c>
    </row>
    <row r="3441" spans="1:10" ht="15.75" hidden="1" thickBot="1" x14ac:dyDescent="0.3">
      <c r="A3441" s="249"/>
      <c r="B3441" s="252"/>
      <c r="C3441" s="40"/>
      <c r="D3441" s="40"/>
      <c r="E3441" s="41"/>
      <c r="F3441" s="59" t="s">
        <v>23</v>
      </c>
      <c r="G3441" s="59" t="str">
        <f t="shared" si="59"/>
        <v/>
      </c>
      <c r="H3441" s="62"/>
      <c r="I3441" s="63"/>
      <c r="J3441" s="34">
        <v>0</v>
      </c>
    </row>
    <row r="3442" spans="1:10" ht="15.75" hidden="1" thickBot="1" x14ac:dyDescent="0.3">
      <c r="A3442" s="249"/>
      <c r="B3442" s="252"/>
      <c r="C3442" s="90" t="s">
        <v>878</v>
      </c>
      <c r="D3442" s="40"/>
      <c r="E3442" s="41"/>
      <c r="F3442" s="59" t="s">
        <v>23</v>
      </c>
      <c r="G3442" s="59" t="str">
        <f t="shared" si="59"/>
        <v/>
      </c>
      <c r="H3442" s="62"/>
      <c r="I3442" s="63"/>
      <c r="J3442" s="34">
        <v>0</v>
      </c>
    </row>
    <row r="3443" spans="1:10" ht="15.75" hidden="1" thickBot="1" x14ac:dyDescent="0.3">
      <c r="A3443" s="250"/>
      <c r="B3443" s="253"/>
      <c r="C3443" s="40"/>
      <c r="D3443" s="40"/>
      <c r="E3443" s="41"/>
      <c r="F3443" s="59" t="s">
        <v>23</v>
      </c>
      <c r="G3443" s="59" t="str">
        <f t="shared" si="59"/>
        <v/>
      </c>
      <c r="H3443" s="62"/>
      <c r="I3443" s="63"/>
      <c r="J3443" s="34">
        <v>0</v>
      </c>
    </row>
    <row r="3444" spans="1:10" ht="15.75" hidden="1" thickBot="1" x14ac:dyDescent="0.3">
      <c r="A3444" s="248" t="s">
        <v>879</v>
      </c>
      <c r="B3444" s="251" t="s">
        <v>2747</v>
      </c>
      <c r="C3444" s="28"/>
      <c r="D3444" s="29" t="s">
        <v>28</v>
      </c>
      <c r="E3444" s="30"/>
      <c r="F3444" s="51" t="s">
        <v>23</v>
      </c>
      <c r="G3444" s="31" t="str">
        <f t="shared" si="59"/>
        <v/>
      </c>
      <c r="H3444" s="32"/>
      <c r="I3444" s="33"/>
      <c r="J3444" s="34">
        <v>0</v>
      </c>
    </row>
    <row r="3445" spans="1:10" ht="15.75" hidden="1" thickBot="1" x14ac:dyDescent="0.3">
      <c r="A3445" s="249"/>
      <c r="B3445" s="252"/>
      <c r="C3445" s="36"/>
      <c r="D3445" s="36"/>
      <c r="E3445" s="37"/>
      <c r="F3445" s="59" t="s">
        <v>23</v>
      </c>
      <c r="G3445" s="59" t="str">
        <f t="shared" si="59"/>
        <v/>
      </c>
      <c r="H3445" s="62"/>
      <c r="I3445" s="63"/>
      <c r="J3445" s="34">
        <v>0</v>
      </c>
    </row>
    <row r="3446" spans="1:10" ht="15.75" hidden="1" thickBot="1" x14ac:dyDescent="0.3">
      <c r="A3446" s="249"/>
      <c r="B3446" s="252"/>
      <c r="C3446" s="40" t="s">
        <v>3757</v>
      </c>
      <c r="D3446" s="40" t="s">
        <v>3752</v>
      </c>
      <c r="E3446" s="41">
        <f>0.1+0.1</f>
        <v>0.2</v>
      </c>
      <c r="F3446" s="59">
        <v>28.0535</v>
      </c>
      <c r="G3446" s="59">
        <f t="shared" si="59"/>
        <v>5.6107000000000005</v>
      </c>
      <c r="H3446" s="43">
        <f>SUM(G3446:G3451)</f>
        <v>10.064553243342999</v>
      </c>
      <c r="I3446" s="44"/>
      <c r="J3446" s="34">
        <v>0</v>
      </c>
    </row>
    <row r="3447" spans="1:10" ht="15.75" hidden="1" thickBot="1" x14ac:dyDescent="0.3">
      <c r="A3447" s="249"/>
      <c r="B3447" s="252"/>
      <c r="C3447" s="40" t="s">
        <v>3754</v>
      </c>
      <c r="D3447" s="40" t="s">
        <v>3752</v>
      </c>
      <c r="E3447" s="41">
        <f>0.1+0.1</f>
        <v>0.2</v>
      </c>
      <c r="F3447" s="59">
        <v>20.814499999999999</v>
      </c>
      <c r="G3447" s="59">
        <f t="shared" si="59"/>
        <v>4.1628999999999996</v>
      </c>
      <c r="H3447" s="62"/>
      <c r="I3447" s="63"/>
      <c r="J3447" s="34">
        <v>0</v>
      </c>
    </row>
    <row r="3448" spans="1:10" ht="15.75" hidden="1" thickBot="1" x14ac:dyDescent="0.3">
      <c r="A3448" s="249"/>
      <c r="B3448" s="252"/>
      <c r="C3448" s="40" t="s">
        <v>875</v>
      </c>
      <c r="D3448" s="40" t="s">
        <v>102</v>
      </c>
      <c r="E3448" s="41">
        <f>0.016*2</f>
        <v>3.2000000000000001E-2</v>
      </c>
      <c r="F3448" s="59">
        <v>0</v>
      </c>
      <c r="G3448" s="59">
        <f t="shared" si="59"/>
        <v>0</v>
      </c>
      <c r="H3448" s="62"/>
      <c r="I3448" s="63"/>
      <c r="J3448" s="34">
        <v>0</v>
      </c>
    </row>
    <row r="3449" spans="1:10" ht="15.75" hidden="1" thickBot="1" x14ac:dyDescent="0.3">
      <c r="A3449" s="249"/>
      <c r="B3449" s="252"/>
      <c r="C3449" s="40" t="s">
        <v>876</v>
      </c>
      <c r="D3449" s="40" t="s">
        <v>877</v>
      </c>
      <c r="E3449" s="41">
        <f>0.1*2</f>
        <v>0.2</v>
      </c>
      <c r="F3449" s="59">
        <v>0</v>
      </c>
      <c r="G3449" s="59">
        <f t="shared" si="59"/>
        <v>0</v>
      </c>
      <c r="H3449" s="62"/>
      <c r="I3449" s="63"/>
      <c r="J3449" s="34">
        <v>0</v>
      </c>
    </row>
    <row r="3450" spans="1:10" ht="15.75" hidden="1" thickBot="1" x14ac:dyDescent="0.3">
      <c r="A3450" s="249"/>
      <c r="B3450" s="252"/>
      <c r="C3450" s="40" t="s">
        <v>880</v>
      </c>
      <c r="D3450" s="40" t="s">
        <v>102</v>
      </c>
      <c r="E3450" s="41">
        <v>1</v>
      </c>
      <c r="F3450" s="59" t="s">
        <v>23</v>
      </c>
      <c r="G3450" s="59" t="str">
        <f t="shared" si="59"/>
        <v/>
      </c>
      <c r="H3450" s="62"/>
      <c r="I3450" s="63"/>
      <c r="J3450" s="34">
        <v>0</v>
      </c>
    </row>
    <row r="3451" spans="1:10" ht="39" hidden="1" thickBot="1" x14ac:dyDescent="0.3">
      <c r="A3451" s="249"/>
      <c r="B3451" s="252"/>
      <c r="C3451" s="40" t="s">
        <v>4699</v>
      </c>
      <c r="D3451" s="40" t="s">
        <v>3764</v>
      </c>
      <c r="E3451" s="41">
        <f>ROUND(0.15*0.05*0.05,4)</f>
        <v>4.0000000000000002E-4</v>
      </c>
      <c r="F3451" s="59">
        <v>727.38310835749996</v>
      </c>
      <c r="G3451" s="59">
        <f t="shared" si="59"/>
        <v>0.29095324334299999</v>
      </c>
      <c r="H3451" s="62"/>
      <c r="I3451" s="63"/>
      <c r="J3451" s="34">
        <v>0</v>
      </c>
    </row>
    <row r="3452" spans="1:10" ht="15.75" hidden="1" thickBot="1" x14ac:dyDescent="0.3">
      <c r="A3452" s="249"/>
      <c r="B3452" s="252"/>
      <c r="C3452" s="40"/>
      <c r="D3452" s="40"/>
      <c r="E3452" s="41"/>
      <c r="F3452" s="59" t="s">
        <v>23</v>
      </c>
      <c r="G3452" s="59" t="str">
        <f t="shared" si="59"/>
        <v/>
      </c>
      <c r="H3452" s="62"/>
      <c r="I3452" s="63"/>
      <c r="J3452" s="34">
        <v>0</v>
      </c>
    </row>
    <row r="3453" spans="1:10" ht="15.75" hidden="1" thickBot="1" x14ac:dyDescent="0.3">
      <c r="A3453" s="249"/>
      <c r="B3453" s="252"/>
      <c r="C3453" s="90" t="s">
        <v>878</v>
      </c>
      <c r="D3453" s="40"/>
      <c r="E3453" s="41"/>
      <c r="F3453" s="59" t="s">
        <v>23</v>
      </c>
      <c r="G3453" s="59" t="str">
        <f t="shared" si="59"/>
        <v/>
      </c>
      <c r="H3453" s="62"/>
      <c r="I3453" s="63"/>
      <c r="J3453" s="34">
        <v>0</v>
      </c>
    </row>
    <row r="3454" spans="1:10" ht="15.75" hidden="1" thickBot="1" x14ac:dyDescent="0.3">
      <c r="A3454" s="250"/>
      <c r="B3454" s="253"/>
      <c r="C3454" s="40"/>
      <c r="D3454" s="40"/>
      <c r="E3454" s="41"/>
      <c r="F3454" s="59" t="s">
        <v>23</v>
      </c>
      <c r="G3454" s="59" t="str">
        <f t="shared" si="59"/>
        <v/>
      </c>
      <c r="H3454" s="62"/>
      <c r="I3454" s="63"/>
      <c r="J3454" s="34">
        <v>0</v>
      </c>
    </row>
    <row r="3455" spans="1:10" ht="15.75" hidden="1" thickBot="1" x14ac:dyDescent="0.3">
      <c r="A3455" s="248" t="s">
        <v>881</v>
      </c>
      <c r="B3455" s="251" t="s">
        <v>2748</v>
      </c>
      <c r="C3455" s="28"/>
      <c r="D3455" s="29" t="s">
        <v>28</v>
      </c>
      <c r="E3455" s="30"/>
      <c r="F3455" s="51" t="s">
        <v>23</v>
      </c>
      <c r="G3455" s="31" t="str">
        <f t="shared" si="59"/>
        <v/>
      </c>
      <c r="H3455" s="32"/>
      <c r="I3455" s="33"/>
      <c r="J3455" s="34">
        <v>0</v>
      </c>
    </row>
    <row r="3456" spans="1:10" ht="15.75" hidden="1" thickBot="1" x14ac:dyDescent="0.3">
      <c r="A3456" s="249"/>
      <c r="B3456" s="252"/>
      <c r="C3456" s="36"/>
      <c r="D3456" s="36"/>
      <c r="E3456" s="37"/>
      <c r="F3456" s="59" t="s">
        <v>23</v>
      </c>
      <c r="G3456" s="59" t="str">
        <f t="shared" si="59"/>
        <v/>
      </c>
      <c r="H3456" s="62"/>
      <c r="I3456" s="63"/>
      <c r="J3456" s="34">
        <v>0</v>
      </c>
    </row>
    <row r="3457" spans="1:10" ht="15.75" hidden="1" thickBot="1" x14ac:dyDescent="0.3">
      <c r="A3457" s="249"/>
      <c r="B3457" s="252"/>
      <c r="C3457" s="40" t="s">
        <v>3757</v>
      </c>
      <c r="D3457" s="40" t="s">
        <v>3752</v>
      </c>
      <c r="E3457" s="41">
        <f>0.1+0.1</f>
        <v>0.2</v>
      </c>
      <c r="F3457" s="59">
        <v>28.0535</v>
      </c>
      <c r="G3457" s="59">
        <f t="shared" si="59"/>
        <v>5.6107000000000005</v>
      </c>
      <c r="H3457" s="43">
        <f>SUM(G3457:G3462)</f>
        <v>10.064553243342999</v>
      </c>
      <c r="I3457" s="44"/>
      <c r="J3457" s="34">
        <v>0</v>
      </c>
    </row>
    <row r="3458" spans="1:10" ht="15.75" hidden="1" thickBot="1" x14ac:dyDescent="0.3">
      <c r="A3458" s="249"/>
      <c r="B3458" s="252"/>
      <c r="C3458" s="40" t="s">
        <v>3754</v>
      </c>
      <c r="D3458" s="40" t="s">
        <v>3752</v>
      </c>
      <c r="E3458" s="41">
        <f>0.1+0.1</f>
        <v>0.2</v>
      </c>
      <c r="F3458" s="59">
        <v>20.814499999999999</v>
      </c>
      <c r="G3458" s="59">
        <f t="shared" si="59"/>
        <v>4.1628999999999996</v>
      </c>
      <c r="H3458" s="62"/>
      <c r="I3458" s="63"/>
      <c r="J3458" s="34">
        <v>0</v>
      </c>
    </row>
    <row r="3459" spans="1:10" ht="15.75" hidden="1" thickBot="1" x14ac:dyDescent="0.3">
      <c r="A3459" s="249"/>
      <c r="B3459" s="252"/>
      <c r="C3459" s="40" t="s">
        <v>875</v>
      </c>
      <c r="D3459" s="40" t="s">
        <v>102</v>
      </c>
      <c r="E3459" s="41">
        <f>0.016*2</f>
        <v>3.2000000000000001E-2</v>
      </c>
      <c r="F3459" s="59">
        <v>0</v>
      </c>
      <c r="G3459" s="59">
        <f t="shared" si="59"/>
        <v>0</v>
      </c>
      <c r="H3459" s="62"/>
      <c r="I3459" s="63"/>
      <c r="J3459" s="34">
        <v>0</v>
      </c>
    </row>
    <row r="3460" spans="1:10" ht="15.75" hidden="1" thickBot="1" x14ac:dyDescent="0.3">
      <c r="A3460" s="249"/>
      <c r="B3460" s="252"/>
      <c r="C3460" s="40" t="s">
        <v>876</v>
      </c>
      <c r="D3460" s="40" t="s">
        <v>877</v>
      </c>
      <c r="E3460" s="41">
        <f>0.1*2</f>
        <v>0.2</v>
      </c>
      <c r="F3460" s="59">
        <v>0</v>
      </c>
      <c r="G3460" s="59">
        <f t="shared" si="59"/>
        <v>0</v>
      </c>
      <c r="H3460" s="62"/>
      <c r="I3460" s="63"/>
      <c r="J3460" s="34">
        <v>0</v>
      </c>
    </row>
    <row r="3461" spans="1:10" ht="15.75" hidden="1" thickBot="1" x14ac:dyDescent="0.3">
      <c r="A3461" s="249"/>
      <c r="B3461" s="252"/>
      <c r="C3461" s="40" t="s">
        <v>882</v>
      </c>
      <c r="D3461" s="40" t="s">
        <v>102</v>
      </c>
      <c r="E3461" s="41">
        <v>1</v>
      </c>
      <c r="F3461" s="59" t="s">
        <v>23</v>
      </c>
      <c r="G3461" s="59" t="str">
        <f t="shared" si="59"/>
        <v/>
      </c>
      <c r="H3461" s="62"/>
      <c r="I3461" s="63"/>
      <c r="J3461" s="34">
        <v>0</v>
      </c>
    </row>
    <row r="3462" spans="1:10" ht="39" hidden="1" thickBot="1" x14ac:dyDescent="0.3">
      <c r="A3462" s="249"/>
      <c r="B3462" s="252"/>
      <c r="C3462" s="40" t="s">
        <v>4699</v>
      </c>
      <c r="D3462" s="40" t="s">
        <v>3764</v>
      </c>
      <c r="E3462" s="41">
        <f>ROUND(0.15*0.05*0.05,4)</f>
        <v>4.0000000000000002E-4</v>
      </c>
      <c r="F3462" s="59">
        <v>727.38310835749996</v>
      </c>
      <c r="G3462" s="59">
        <f t="shared" si="59"/>
        <v>0.29095324334299999</v>
      </c>
      <c r="H3462" s="62"/>
      <c r="I3462" s="63"/>
      <c r="J3462" s="34">
        <v>0</v>
      </c>
    </row>
    <row r="3463" spans="1:10" ht="15.75" hidden="1" thickBot="1" x14ac:dyDescent="0.3">
      <c r="A3463" s="249"/>
      <c r="B3463" s="252"/>
      <c r="C3463" s="40"/>
      <c r="D3463" s="40"/>
      <c r="E3463" s="41"/>
      <c r="F3463" s="59" t="s">
        <v>23</v>
      </c>
      <c r="G3463" s="59" t="str">
        <f t="shared" si="59"/>
        <v/>
      </c>
      <c r="H3463" s="62"/>
      <c r="I3463" s="63"/>
      <c r="J3463" s="34">
        <v>0</v>
      </c>
    </row>
    <row r="3464" spans="1:10" ht="15.75" hidden="1" thickBot="1" x14ac:dyDescent="0.3">
      <c r="A3464" s="249"/>
      <c r="B3464" s="252"/>
      <c r="C3464" s="90" t="s">
        <v>878</v>
      </c>
      <c r="D3464" s="40"/>
      <c r="E3464" s="41"/>
      <c r="F3464" s="59" t="s">
        <v>23</v>
      </c>
      <c r="G3464" s="59" t="str">
        <f t="shared" si="59"/>
        <v/>
      </c>
      <c r="H3464" s="62"/>
      <c r="I3464" s="63"/>
      <c r="J3464" s="34">
        <v>0</v>
      </c>
    </row>
    <row r="3465" spans="1:10" ht="15.75" hidden="1" thickBot="1" x14ac:dyDescent="0.3">
      <c r="A3465" s="250"/>
      <c r="B3465" s="253"/>
      <c r="C3465" s="40"/>
      <c r="D3465" s="40"/>
      <c r="E3465" s="41"/>
      <c r="F3465" s="59" t="s">
        <v>23</v>
      </c>
      <c r="G3465" s="59" t="str">
        <f t="shared" si="59"/>
        <v/>
      </c>
      <c r="H3465" s="62"/>
      <c r="I3465" s="63"/>
      <c r="J3465" s="34">
        <v>0</v>
      </c>
    </row>
    <row r="3466" spans="1:10" ht="15.75" hidden="1" thickBot="1" x14ac:dyDescent="0.3">
      <c r="A3466" s="248" t="s">
        <v>883</v>
      </c>
      <c r="B3466" s="251" t="s">
        <v>2749</v>
      </c>
      <c r="C3466" s="28"/>
      <c r="D3466" s="29" t="s">
        <v>78</v>
      </c>
      <c r="E3466" s="30"/>
      <c r="F3466" s="51" t="s">
        <v>23</v>
      </c>
      <c r="G3466" s="31" t="str">
        <f t="shared" si="59"/>
        <v/>
      </c>
      <c r="H3466" s="32"/>
      <c r="I3466" s="33"/>
      <c r="J3466" s="34">
        <v>0</v>
      </c>
    </row>
    <row r="3467" spans="1:10" ht="15.75" hidden="1" thickBot="1" x14ac:dyDescent="0.3">
      <c r="A3467" s="249"/>
      <c r="B3467" s="252"/>
      <c r="C3467" s="36"/>
      <c r="D3467" s="36"/>
      <c r="E3467" s="37"/>
      <c r="F3467" s="59" t="s">
        <v>23</v>
      </c>
      <c r="G3467" s="59" t="str">
        <f t="shared" si="59"/>
        <v/>
      </c>
      <c r="H3467" s="62"/>
      <c r="I3467" s="63"/>
      <c r="J3467" s="34">
        <v>0</v>
      </c>
    </row>
    <row r="3468" spans="1:10" ht="15.75" hidden="1" thickBot="1" x14ac:dyDescent="0.3">
      <c r="A3468" s="249"/>
      <c r="B3468" s="252"/>
      <c r="C3468" s="40" t="s">
        <v>884</v>
      </c>
      <c r="D3468" s="40" t="s">
        <v>78</v>
      </c>
      <c r="E3468" s="41">
        <v>1.05</v>
      </c>
      <c r="F3468" s="59" t="s">
        <v>23</v>
      </c>
      <c r="G3468" s="59" t="str">
        <f t="shared" si="59"/>
        <v/>
      </c>
      <c r="H3468" s="43">
        <f>SUM(G3468:G3472)</f>
        <v>59.774475000000002</v>
      </c>
      <c r="I3468" s="44"/>
      <c r="J3468" s="34">
        <v>0</v>
      </c>
    </row>
    <row r="3469" spans="1:10" ht="15.75" hidden="1" thickBot="1" x14ac:dyDescent="0.3">
      <c r="A3469" s="249"/>
      <c r="B3469" s="252"/>
      <c r="C3469" s="40" t="s">
        <v>3826</v>
      </c>
      <c r="D3469" s="40" t="s">
        <v>3752</v>
      </c>
      <c r="E3469" s="41">
        <v>1.35</v>
      </c>
      <c r="F3469" s="59">
        <v>27.920500000000001</v>
      </c>
      <c r="G3469" s="59">
        <f t="shared" si="59"/>
        <v>37.692675000000001</v>
      </c>
      <c r="H3469" s="62"/>
      <c r="I3469" s="63"/>
      <c r="J3469" s="34">
        <v>0</v>
      </c>
    </row>
    <row r="3470" spans="1:10" ht="15.75" hidden="1" thickBot="1" x14ac:dyDescent="0.3">
      <c r="A3470" s="249"/>
      <c r="B3470" s="252"/>
      <c r="C3470" s="40" t="s">
        <v>3754</v>
      </c>
      <c r="D3470" s="40" t="s">
        <v>3752</v>
      </c>
      <c r="E3470" s="41">
        <v>0.6</v>
      </c>
      <c r="F3470" s="59">
        <v>20.814499999999999</v>
      </c>
      <c r="G3470" s="59">
        <f t="shared" si="59"/>
        <v>12.4887</v>
      </c>
      <c r="H3470" s="62"/>
      <c r="I3470" s="63"/>
      <c r="J3470" s="34">
        <v>0</v>
      </c>
    </row>
    <row r="3471" spans="1:10" ht="15.75" hidden="1" thickBot="1" x14ac:dyDescent="0.3">
      <c r="A3471" s="249"/>
      <c r="B3471" s="252"/>
      <c r="C3471" s="40" t="s">
        <v>3852</v>
      </c>
      <c r="D3471" s="40" t="s">
        <v>1035</v>
      </c>
      <c r="E3471" s="41">
        <v>4.5</v>
      </c>
      <c r="F3471" s="59">
        <v>1.8904999999999998</v>
      </c>
      <c r="G3471" s="59">
        <f t="shared" si="59"/>
        <v>8.5072499999999991</v>
      </c>
      <c r="H3471" s="62"/>
      <c r="I3471" s="63"/>
      <c r="J3471" s="34">
        <v>0</v>
      </c>
    </row>
    <row r="3472" spans="1:10" ht="15.75" hidden="1" thickBot="1" x14ac:dyDescent="0.3">
      <c r="A3472" s="249"/>
      <c r="B3472" s="252"/>
      <c r="C3472" s="40" t="s">
        <v>4013</v>
      </c>
      <c r="D3472" s="40" t="s">
        <v>1035</v>
      </c>
      <c r="E3472" s="41">
        <v>0.3</v>
      </c>
      <c r="F3472" s="59">
        <v>3.6194999999999999</v>
      </c>
      <c r="G3472" s="59">
        <f t="shared" si="59"/>
        <v>1.08585</v>
      </c>
      <c r="H3472" s="62"/>
      <c r="I3472" s="63"/>
      <c r="J3472" s="34">
        <v>0</v>
      </c>
    </row>
    <row r="3473" spans="1:10" ht="15.75" hidden="1" thickBot="1" x14ac:dyDescent="0.3">
      <c r="A3473" s="250"/>
      <c r="B3473" s="253"/>
      <c r="C3473" s="40"/>
      <c r="D3473" s="40"/>
      <c r="E3473" s="41"/>
      <c r="F3473" s="59" t="s">
        <v>23</v>
      </c>
      <c r="G3473" s="59" t="str">
        <f t="shared" si="59"/>
        <v/>
      </c>
      <c r="H3473" s="62"/>
      <c r="I3473" s="63"/>
      <c r="J3473" s="34">
        <v>0</v>
      </c>
    </row>
    <row r="3474" spans="1:10" ht="15.75" hidden="1" thickBot="1" x14ac:dyDescent="0.3">
      <c r="A3474" s="248" t="s">
        <v>885</v>
      </c>
      <c r="B3474" s="251" t="s">
        <v>2750</v>
      </c>
      <c r="C3474" s="28"/>
      <c r="D3474" s="29" t="s">
        <v>78</v>
      </c>
      <c r="E3474" s="30"/>
      <c r="F3474" s="51" t="s">
        <v>23</v>
      </c>
      <c r="G3474" s="31" t="str">
        <f t="shared" si="59"/>
        <v/>
      </c>
      <c r="H3474" s="32"/>
      <c r="I3474" s="33"/>
      <c r="J3474" s="34">
        <v>0</v>
      </c>
    </row>
    <row r="3475" spans="1:10" ht="15.75" hidden="1" thickBot="1" x14ac:dyDescent="0.3">
      <c r="A3475" s="249"/>
      <c r="B3475" s="252"/>
      <c r="C3475" s="36"/>
      <c r="D3475" s="36"/>
      <c r="E3475" s="37"/>
      <c r="F3475" s="59" t="s">
        <v>23</v>
      </c>
      <c r="G3475" s="59" t="str">
        <f t="shared" si="59"/>
        <v/>
      </c>
      <c r="H3475" s="62"/>
      <c r="I3475" s="63"/>
      <c r="J3475" s="34">
        <v>0</v>
      </c>
    </row>
    <row r="3476" spans="1:10" ht="15.75" hidden="1" thickBot="1" x14ac:dyDescent="0.3">
      <c r="A3476" s="249"/>
      <c r="B3476" s="252"/>
      <c r="C3476" s="40" t="s">
        <v>884</v>
      </c>
      <c r="D3476" s="40" t="s">
        <v>78</v>
      </c>
      <c r="E3476" s="41">
        <v>1.05</v>
      </c>
      <c r="F3476" s="59" t="s">
        <v>23</v>
      </c>
      <c r="G3476" s="59" t="str">
        <f t="shared" si="59"/>
        <v/>
      </c>
      <c r="H3476" s="43">
        <f>SUM(G3476:G3486)</f>
        <v>81.956088310835739</v>
      </c>
      <c r="I3476" s="44"/>
      <c r="J3476" s="34">
        <v>0</v>
      </c>
    </row>
    <row r="3477" spans="1:10" ht="15.75" hidden="1" thickBot="1" x14ac:dyDescent="0.3">
      <c r="A3477" s="249"/>
      <c r="B3477" s="252"/>
      <c r="C3477" s="40" t="s">
        <v>3826</v>
      </c>
      <c r="D3477" s="40" t="s">
        <v>3752</v>
      </c>
      <c r="E3477" s="41">
        <f>1.35</f>
        <v>1.35</v>
      </c>
      <c r="F3477" s="59">
        <v>27.920500000000001</v>
      </c>
      <c r="G3477" s="59">
        <f t="shared" si="59"/>
        <v>37.692675000000001</v>
      </c>
      <c r="H3477" s="62"/>
      <c r="I3477" s="63"/>
      <c r="J3477" s="34">
        <v>0</v>
      </c>
    </row>
    <row r="3478" spans="1:10" ht="15.75" hidden="1" thickBot="1" x14ac:dyDescent="0.3">
      <c r="A3478" s="249"/>
      <c r="B3478" s="252"/>
      <c r="C3478" s="40" t="s">
        <v>3757</v>
      </c>
      <c r="D3478" s="40" t="s">
        <v>3752</v>
      </c>
      <c r="E3478" s="41">
        <v>0.1</v>
      </c>
      <c r="F3478" s="59">
        <v>28.0535</v>
      </c>
      <c r="G3478" s="59">
        <f t="shared" si="59"/>
        <v>2.8053500000000002</v>
      </c>
      <c r="H3478" s="62"/>
      <c r="I3478" s="63"/>
      <c r="J3478" s="34">
        <v>0</v>
      </c>
    </row>
    <row r="3479" spans="1:10" ht="15.75" hidden="1" thickBot="1" x14ac:dyDescent="0.3">
      <c r="A3479" s="249"/>
      <c r="B3479" s="252"/>
      <c r="C3479" s="40" t="s">
        <v>3754</v>
      </c>
      <c r="D3479" s="40" t="s">
        <v>3752</v>
      </c>
      <c r="E3479" s="41">
        <f>0.6+0.1+0.1</f>
        <v>0.79999999999999993</v>
      </c>
      <c r="F3479" s="59">
        <v>20.814499999999999</v>
      </c>
      <c r="G3479" s="59">
        <f t="shared" si="59"/>
        <v>16.651599999999998</v>
      </c>
      <c r="H3479" s="62"/>
      <c r="I3479" s="63"/>
      <c r="J3479" s="34">
        <v>0</v>
      </c>
    </row>
    <row r="3480" spans="1:10" ht="15.75" hidden="1" thickBot="1" x14ac:dyDescent="0.3">
      <c r="A3480" s="249"/>
      <c r="B3480" s="252"/>
      <c r="C3480" s="40" t="s">
        <v>3852</v>
      </c>
      <c r="D3480" s="40" t="s">
        <v>1035</v>
      </c>
      <c r="E3480" s="41">
        <v>4.5</v>
      </c>
      <c r="F3480" s="59">
        <v>1.8904999999999998</v>
      </c>
      <c r="G3480" s="59">
        <f t="shared" si="59"/>
        <v>8.5072499999999991</v>
      </c>
      <c r="H3480" s="62"/>
      <c r="I3480" s="63"/>
      <c r="J3480" s="34">
        <v>0</v>
      </c>
    </row>
    <row r="3481" spans="1:10" ht="15.75" hidden="1" thickBot="1" x14ac:dyDescent="0.3">
      <c r="A3481" s="249"/>
      <c r="B3481" s="252"/>
      <c r="C3481" s="40" t="s">
        <v>4013</v>
      </c>
      <c r="D3481" s="40" t="s">
        <v>1035</v>
      </c>
      <c r="E3481" s="41">
        <v>0.3</v>
      </c>
      <c r="F3481" s="59">
        <v>3.6194999999999999</v>
      </c>
      <c r="G3481" s="59">
        <f t="shared" si="59"/>
        <v>1.08585</v>
      </c>
      <c r="H3481" s="62"/>
      <c r="I3481" s="63"/>
      <c r="J3481" s="34">
        <v>0</v>
      </c>
    </row>
    <row r="3482" spans="1:10" ht="26.25" hidden="1" thickBot="1" x14ac:dyDescent="0.3">
      <c r="A3482" s="249"/>
      <c r="B3482" s="252"/>
      <c r="C3482" s="40" t="s">
        <v>4035</v>
      </c>
      <c r="D3482" s="40" t="s">
        <v>291</v>
      </c>
      <c r="E3482" s="41">
        <f>2/(0.4*0.8)</f>
        <v>6.2499999999999991</v>
      </c>
      <c r="F3482" s="59">
        <v>2.4224999999999999</v>
      </c>
      <c r="G3482" s="59">
        <f t="shared" si="59"/>
        <v>15.140624999999996</v>
      </c>
      <c r="H3482" s="62"/>
      <c r="I3482" s="63"/>
      <c r="J3482" s="34">
        <v>0</v>
      </c>
    </row>
    <row r="3483" spans="1:10" ht="15.75" hidden="1" thickBot="1" x14ac:dyDescent="0.3">
      <c r="A3483" s="249"/>
      <c r="B3483" s="252"/>
      <c r="C3483" s="40" t="s">
        <v>875</v>
      </c>
      <c r="D3483" s="40" t="s">
        <v>102</v>
      </c>
      <c r="E3483" s="41">
        <f>(2/(0.4*0.8))*(0.016)*1.5</f>
        <v>0.15</v>
      </c>
      <c r="F3483" s="59">
        <v>0</v>
      </c>
      <c r="G3483" s="59">
        <f t="shared" si="59"/>
        <v>0</v>
      </c>
      <c r="H3483" s="62"/>
      <c r="I3483" s="63"/>
      <c r="J3483" s="34">
        <v>0</v>
      </c>
    </row>
    <row r="3484" spans="1:10" ht="15.75" hidden="1" thickBot="1" x14ac:dyDescent="0.3">
      <c r="A3484" s="249"/>
      <c r="B3484" s="252"/>
      <c r="C3484" s="40" t="s">
        <v>876</v>
      </c>
      <c r="D3484" s="40" t="s">
        <v>877</v>
      </c>
      <c r="E3484" s="41">
        <f>(2/(0.4*0.8))*0.1*1.5</f>
        <v>0.9375</v>
      </c>
      <c r="F3484" s="59">
        <v>0</v>
      </c>
      <c r="G3484" s="59">
        <f t="shared" si="59"/>
        <v>0</v>
      </c>
      <c r="H3484" s="62"/>
      <c r="I3484" s="63"/>
      <c r="J3484" s="34">
        <v>0</v>
      </c>
    </row>
    <row r="3485" spans="1:10" ht="15.75" hidden="1" thickBot="1" x14ac:dyDescent="0.3">
      <c r="A3485" s="249"/>
      <c r="B3485" s="252"/>
      <c r="C3485" s="40" t="s">
        <v>886</v>
      </c>
      <c r="D3485" s="40" t="s">
        <v>102</v>
      </c>
      <c r="E3485" s="41">
        <f>2/(0.4*0.8)</f>
        <v>6.2499999999999991</v>
      </c>
      <c r="F3485" s="59" t="s">
        <v>23</v>
      </c>
      <c r="G3485" s="59" t="str">
        <f t="shared" si="59"/>
        <v/>
      </c>
      <c r="H3485" s="62"/>
      <c r="I3485" s="63"/>
      <c r="J3485" s="34">
        <v>0</v>
      </c>
    </row>
    <row r="3486" spans="1:10" ht="39" hidden="1" thickBot="1" x14ac:dyDescent="0.3">
      <c r="A3486" s="249"/>
      <c r="B3486" s="252"/>
      <c r="C3486" s="40" t="s">
        <v>4699</v>
      </c>
      <c r="D3486" s="40" t="s">
        <v>3764</v>
      </c>
      <c r="E3486" s="41">
        <v>1E-4</v>
      </c>
      <c r="F3486" s="59">
        <v>727.38310835749996</v>
      </c>
      <c r="G3486" s="59">
        <f t="shared" si="59"/>
        <v>7.2738310835749997E-2</v>
      </c>
      <c r="H3486" s="62"/>
      <c r="I3486" s="63"/>
      <c r="J3486" s="34">
        <v>0</v>
      </c>
    </row>
    <row r="3487" spans="1:10" ht="15.75" hidden="1" thickBot="1" x14ac:dyDescent="0.3">
      <c r="A3487" s="249"/>
      <c r="B3487" s="252"/>
      <c r="C3487" s="40"/>
      <c r="D3487" s="40"/>
      <c r="E3487" s="41"/>
      <c r="F3487" s="59" t="s">
        <v>23</v>
      </c>
      <c r="G3487" s="59" t="str">
        <f t="shared" si="59"/>
        <v/>
      </c>
      <c r="H3487" s="62"/>
      <c r="I3487" s="63"/>
      <c r="J3487" s="34">
        <v>0</v>
      </c>
    </row>
    <row r="3488" spans="1:10" ht="15.75" hidden="1" thickBot="1" x14ac:dyDescent="0.3">
      <c r="A3488" s="249"/>
      <c r="B3488" s="252"/>
      <c r="C3488" s="90" t="s">
        <v>887</v>
      </c>
      <c r="D3488" s="40"/>
      <c r="E3488" s="41"/>
      <c r="F3488" s="59" t="s">
        <v>23</v>
      </c>
      <c r="G3488" s="59" t="str">
        <f t="shared" si="59"/>
        <v/>
      </c>
      <c r="H3488" s="62"/>
      <c r="I3488" s="63"/>
      <c r="J3488" s="34">
        <v>0</v>
      </c>
    </row>
    <row r="3489" spans="1:10" ht="26.25" hidden="1" thickBot="1" x14ac:dyDescent="0.3">
      <c r="A3489" s="249"/>
      <c r="B3489" s="252"/>
      <c r="C3489" s="90" t="s">
        <v>888</v>
      </c>
      <c r="D3489" s="40"/>
      <c r="E3489" s="41"/>
      <c r="F3489" s="59" t="s">
        <v>23</v>
      </c>
      <c r="G3489" s="59" t="str">
        <f t="shared" si="59"/>
        <v/>
      </c>
      <c r="H3489" s="62"/>
      <c r="I3489" s="63"/>
      <c r="J3489" s="34">
        <v>0</v>
      </c>
    </row>
    <row r="3490" spans="1:10" ht="15.75" hidden="1" thickBot="1" x14ac:dyDescent="0.3">
      <c r="A3490" s="250"/>
      <c r="B3490" s="253"/>
      <c r="C3490" s="40"/>
      <c r="D3490" s="40"/>
      <c r="E3490" s="41"/>
      <c r="F3490" s="59" t="s">
        <v>23</v>
      </c>
      <c r="G3490" s="59" t="str">
        <f t="shared" si="59"/>
        <v/>
      </c>
      <c r="H3490" s="62"/>
      <c r="I3490" s="63"/>
      <c r="J3490" s="34">
        <v>0</v>
      </c>
    </row>
    <row r="3491" spans="1:10" ht="15.75" hidden="1" thickBot="1" x14ac:dyDescent="0.3">
      <c r="A3491" s="248" t="s">
        <v>889</v>
      </c>
      <c r="B3491" s="251" t="s">
        <v>2751</v>
      </c>
      <c r="C3491" s="28"/>
      <c r="D3491" s="29" t="s">
        <v>78</v>
      </c>
      <c r="E3491" s="30"/>
      <c r="F3491" s="51" t="s">
        <v>23</v>
      </c>
      <c r="G3491" s="31" t="str">
        <f t="shared" si="59"/>
        <v/>
      </c>
      <c r="H3491" s="32"/>
      <c r="I3491" s="33"/>
      <c r="J3491" s="34">
        <v>0</v>
      </c>
    </row>
    <row r="3492" spans="1:10" ht="15.75" hidden="1" thickBot="1" x14ac:dyDescent="0.3">
      <c r="A3492" s="249"/>
      <c r="B3492" s="252"/>
      <c r="C3492" s="36"/>
      <c r="D3492" s="36"/>
      <c r="E3492" s="37"/>
      <c r="F3492" s="59" t="s">
        <v>23</v>
      </c>
      <c r="G3492" s="59" t="str">
        <f t="shared" si="59"/>
        <v/>
      </c>
      <c r="H3492" s="62"/>
      <c r="I3492" s="63"/>
      <c r="J3492" s="34">
        <v>0</v>
      </c>
    </row>
    <row r="3493" spans="1:10" ht="15.75" hidden="1" thickBot="1" x14ac:dyDescent="0.3">
      <c r="A3493" s="249"/>
      <c r="B3493" s="252"/>
      <c r="C3493" s="40" t="s">
        <v>890</v>
      </c>
      <c r="D3493" s="40" t="s">
        <v>78</v>
      </c>
      <c r="E3493" s="41">
        <v>1.05</v>
      </c>
      <c r="F3493" s="59" t="s">
        <v>23</v>
      </c>
      <c r="G3493" s="59" t="str">
        <f t="shared" ref="G3493:G3556" si="60">IF(ISNUMBER(F3493),E3493*F3493,"")</f>
        <v/>
      </c>
      <c r="H3493" s="43">
        <f>SUM(G3493:G3497)</f>
        <v>59.774475000000002</v>
      </c>
      <c r="I3493" s="44"/>
      <c r="J3493" s="34">
        <v>0</v>
      </c>
    </row>
    <row r="3494" spans="1:10" ht="15.75" hidden="1" thickBot="1" x14ac:dyDescent="0.3">
      <c r="A3494" s="249"/>
      <c r="B3494" s="252"/>
      <c r="C3494" s="40" t="s">
        <v>3826</v>
      </c>
      <c r="D3494" s="40" t="s">
        <v>3752</v>
      </c>
      <c r="E3494" s="41">
        <v>1.35</v>
      </c>
      <c r="F3494" s="59">
        <v>27.920500000000001</v>
      </c>
      <c r="G3494" s="59">
        <f t="shared" si="60"/>
        <v>37.692675000000001</v>
      </c>
      <c r="H3494" s="62"/>
      <c r="I3494" s="63"/>
      <c r="J3494" s="34">
        <v>0</v>
      </c>
    </row>
    <row r="3495" spans="1:10" ht="15.75" hidden="1" thickBot="1" x14ac:dyDescent="0.3">
      <c r="A3495" s="249"/>
      <c r="B3495" s="252"/>
      <c r="C3495" s="40" t="s">
        <v>3754</v>
      </c>
      <c r="D3495" s="40" t="s">
        <v>3752</v>
      </c>
      <c r="E3495" s="41">
        <v>0.6</v>
      </c>
      <c r="F3495" s="59">
        <v>20.814499999999999</v>
      </c>
      <c r="G3495" s="59">
        <f t="shared" si="60"/>
        <v>12.4887</v>
      </c>
      <c r="H3495" s="62"/>
      <c r="I3495" s="63"/>
      <c r="J3495" s="34">
        <v>0</v>
      </c>
    </row>
    <row r="3496" spans="1:10" ht="15.75" hidden="1" thickBot="1" x14ac:dyDescent="0.3">
      <c r="A3496" s="249"/>
      <c r="B3496" s="252"/>
      <c r="C3496" s="40" t="s">
        <v>3852</v>
      </c>
      <c r="D3496" s="40" t="s">
        <v>1035</v>
      </c>
      <c r="E3496" s="41">
        <v>4.5</v>
      </c>
      <c r="F3496" s="59">
        <v>1.8904999999999998</v>
      </c>
      <c r="G3496" s="59">
        <f t="shared" si="60"/>
        <v>8.5072499999999991</v>
      </c>
      <c r="H3496" s="62"/>
      <c r="I3496" s="63"/>
      <c r="J3496" s="34">
        <v>0</v>
      </c>
    </row>
    <row r="3497" spans="1:10" ht="15.75" hidden="1" thickBot="1" x14ac:dyDescent="0.3">
      <c r="A3497" s="249"/>
      <c r="B3497" s="252"/>
      <c r="C3497" s="40" t="s">
        <v>4013</v>
      </c>
      <c r="D3497" s="40" t="s">
        <v>1035</v>
      </c>
      <c r="E3497" s="41">
        <v>0.3</v>
      </c>
      <c r="F3497" s="59">
        <v>3.6194999999999999</v>
      </c>
      <c r="G3497" s="59">
        <f t="shared" si="60"/>
        <v>1.08585</v>
      </c>
      <c r="H3497" s="62"/>
      <c r="I3497" s="63"/>
      <c r="J3497" s="34">
        <v>0</v>
      </c>
    </row>
    <row r="3498" spans="1:10" ht="15.75" hidden="1" thickBot="1" x14ac:dyDescent="0.3">
      <c r="A3498" s="250"/>
      <c r="B3498" s="253"/>
      <c r="C3498" s="40"/>
      <c r="D3498" s="40"/>
      <c r="E3498" s="41"/>
      <c r="F3498" s="59" t="s">
        <v>23</v>
      </c>
      <c r="G3498" s="59" t="str">
        <f t="shared" si="60"/>
        <v/>
      </c>
      <c r="H3498" s="62"/>
      <c r="I3498" s="63"/>
      <c r="J3498" s="34">
        <v>0</v>
      </c>
    </row>
    <row r="3499" spans="1:10" ht="15.75" hidden="1" thickBot="1" x14ac:dyDescent="0.3">
      <c r="A3499" s="248" t="s">
        <v>891</v>
      </c>
      <c r="B3499" s="251" t="s">
        <v>2752</v>
      </c>
      <c r="C3499" s="28"/>
      <c r="D3499" s="29" t="s">
        <v>78</v>
      </c>
      <c r="E3499" s="30"/>
      <c r="F3499" s="51" t="s">
        <v>23</v>
      </c>
      <c r="G3499" s="31" t="str">
        <f t="shared" si="60"/>
        <v/>
      </c>
      <c r="H3499" s="32"/>
      <c r="I3499" s="33"/>
      <c r="J3499" s="34">
        <v>0</v>
      </c>
    </row>
    <row r="3500" spans="1:10" ht="15.75" hidden="1" thickBot="1" x14ac:dyDescent="0.3">
      <c r="A3500" s="249"/>
      <c r="B3500" s="252"/>
      <c r="C3500" s="36"/>
      <c r="D3500" s="36"/>
      <c r="E3500" s="37"/>
      <c r="F3500" s="59" t="s">
        <v>23</v>
      </c>
      <c r="G3500" s="59" t="str">
        <f t="shared" si="60"/>
        <v/>
      </c>
      <c r="H3500" s="62"/>
      <c r="I3500" s="63"/>
      <c r="J3500" s="34">
        <v>0</v>
      </c>
    </row>
    <row r="3501" spans="1:10" ht="15.75" hidden="1" thickBot="1" x14ac:dyDescent="0.3">
      <c r="A3501" s="249"/>
      <c r="B3501" s="252"/>
      <c r="C3501" s="40" t="s">
        <v>890</v>
      </c>
      <c r="D3501" s="40" t="s">
        <v>78</v>
      </c>
      <c r="E3501" s="41">
        <v>1.05</v>
      </c>
      <c r="F3501" s="59" t="s">
        <v>23</v>
      </c>
      <c r="G3501" s="59" t="str">
        <f t="shared" si="60"/>
        <v/>
      </c>
      <c r="H3501" s="43">
        <f>SUM(G3501:G3511)</f>
        <v>81.956088310835739</v>
      </c>
      <c r="I3501" s="44"/>
      <c r="J3501" s="34">
        <v>0</v>
      </c>
    </row>
    <row r="3502" spans="1:10" ht="15.75" hidden="1" thickBot="1" x14ac:dyDescent="0.3">
      <c r="A3502" s="249"/>
      <c r="B3502" s="252"/>
      <c r="C3502" s="40" t="s">
        <v>3826</v>
      </c>
      <c r="D3502" s="40" t="s">
        <v>3752</v>
      </c>
      <c r="E3502" s="41">
        <f>1.35</f>
        <v>1.35</v>
      </c>
      <c r="F3502" s="59">
        <v>27.920500000000001</v>
      </c>
      <c r="G3502" s="59">
        <f t="shared" si="60"/>
        <v>37.692675000000001</v>
      </c>
      <c r="H3502" s="62"/>
      <c r="I3502" s="63"/>
      <c r="J3502" s="34">
        <v>0</v>
      </c>
    </row>
    <row r="3503" spans="1:10" ht="15.75" hidden="1" thickBot="1" x14ac:dyDescent="0.3">
      <c r="A3503" s="249"/>
      <c r="B3503" s="252"/>
      <c r="C3503" s="40" t="s">
        <v>3757</v>
      </c>
      <c r="D3503" s="40" t="s">
        <v>3752</v>
      </c>
      <c r="E3503" s="41">
        <v>0.1</v>
      </c>
      <c r="F3503" s="59">
        <v>28.0535</v>
      </c>
      <c r="G3503" s="59">
        <f t="shared" si="60"/>
        <v>2.8053500000000002</v>
      </c>
      <c r="H3503" s="62"/>
      <c r="I3503" s="63"/>
      <c r="J3503" s="34">
        <v>0</v>
      </c>
    </row>
    <row r="3504" spans="1:10" ht="15.75" hidden="1" thickBot="1" x14ac:dyDescent="0.3">
      <c r="A3504" s="249"/>
      <c r="B3504" s="252"/>
      <c r="C3504" s="40" t="s">
        <v>3754</v>
      </c>
      <c r="D3504" s="40" t="s">
        <v>3752</v>
      </c>
      <c r="E3504" s="41">
        <f>0.6+0.1+0.1</f>
        <v>0.79999999999999993</v>
      </c>
      <c r="F3504" s="59">
        <v>20.814499999999999</v>
      </c>
      <c r="G3504" s="59">
        <f t="shared" si="60"/>
        <v>16.651599999999998</v>
      </c>
      <c r="H3504" s="62"/>
      <c r="I3504" s="63"/>
      <c r="J3504" s="34">
        <v>0</v>
      </c>
    </row>
    <row r="3505" spans="1:10" ht="15.75" hidden="1" thickBot="1" x14ac:dyDescent="0.3">
      <c r="A3505" s="249"/>
      <c r="B3505" s="252"/>
      <c r="C3505" s="40" t="s">
        <v>3852</v>
      </c>
      <c r="D3505" s="40" t="s">
        <v>1035</v>
      </c>
      <c r="E3505" s="41">
        <v>4.5</v>
      </c>
      <c r="F3505" s="59">
        <v>1.8904999999999998</v>
      </c>
      <c r="G3505" s="59">
        <f t="shared" si="60"/>
        <v>8.5072499999999991</v>
      </c>
      <c r="H3505" s="62"/>
      <c r="I3505" s="63"/>
      <c r="J3505" s="34">
        <v>0</v>
      </c>
    </row>
    <row r="3506" spans="1:10" ht="15.75" hidden="1" thickBot="1" x14ac:dyDescent="0.3">
      <c r="A3506" s="249"/>
      <c r="B3506" s="252"/>
      <c r="C3506" s="40" t="s">
        <v>4013</v>
      </c>
      <c r="D3506" s="40" t="s">
        <v>1035</v>
      </c>
      <c r="E3506" s="41">
        <v>0.3</v>
      </c>
      <c r="F3506" s="59">
        <v>3.6194999999999999</v>
      </c>
      <c r="G3506" s="59">
        <f t="shared" si="60"/>
        <v>1.08585</v>
      </c>
      <c r="H3506" s="62"/>
      <c r="I3506" s="63"/>
      <c r="J3506" s="34">
        <v>0</v>
      </c>
    </row>
    <row r="3507" spans="1:10" ht="26.25" hidden="1" thickBot="1" x14ac:dyDescent="0.3">
      <c r="A3507" s="249"/>
      <c r="B3507" s="252"/>
      <c r="C3507" s="40" t="s">
        <v>4035</v>
      </c>
      <c r="D3507" s="40" t="s">
        <v>291</v>
      </c>
      <c r="E3507" s="41">
        <f>2/(0.4*0.8)</f>
        <v>6.2499999999999991</v>
      </c>
      <c r="F3507" s="59">
        <v>2.4224999999999999</v>
      </c>
      <c r="G3507" s="59">
        <f t="shared" si="60"/>
        <v>15.140624999999996</v>
      </c>
      <c r="H3507" s="62"/>
      <c r="I3507" s="63"/>
      <c r="J3507" s="34">
        <v>0</v>
      </c>
    </row>
    <row r="3508" spans="1:10" ht="15.75" hidden="1" thickBot="1" x14ac:dyDescent="0.3">
      <c r="A3508" s="249"/>
      <c r="B3508" s="252"/>
      <c r="C3508" s="40" t="s">
        <v>875</v>
      </c>
      <c r="D3508" s="40" t="s">
        <v>102</v>
      </c>
      <c r="E3508" s="41">
        <f>(2/(0.4*0.8))*(0.016)*1.5</f>
        <v>0.15</v>
      </c>
      <c r="F3508" s="59">
        <v>0</v>
      </c>
      <c r="G3508" s="59">
        <f t="shared" si="60"/>
        <v>0</v>
      </c>
      <c r="H3508" s="62"/>
      <c r="I3508" s="63"/>
      <c r="J3508" s="34">
        <v>0</v>
      </c>
    </row>
    <row r="3509" spans="1:10" ht="15.75" hidden="1" thickBot="1" x14ac:dyDescent="0.3">
      <c r="A3509" s="249"/>
      <c r="B3509" s="252"/>
      <c r="C3509" s="40" t="s">
        <v>876</v>
      </c>
      <c r="D3509" s="40" t="s">
        <v>877</v>
      </c>
      <c r="E3509" s="41">
        <f>(2/(0.4*0.8))*0.1*1.5</f>
        <v>0.9375</v>
      </c>
      <c r="F3509" s="59">
        <v>0</v>
      </c>
      <c r="G3509" s="59">
        <f t="shared" si="60"/>
        <v>0</v>
      </c>
      <c r="H3509" s="62"/>
      <c r="I3509" s="63"/>
      <c r="J3509" s="34">
        <v>0</v>
      </c>
    </row>
    <row r="3510" spans="1:10" ht="15.75" hidden="1" thickBot="1" x14ac:dyDescent="0.3">
      <c r="A3510" s="249"/>
      <c r="B3510" s="252"/>
      <c r="C3510" s="40" t="s">
        <v>886</v>
      </c>
      <c r="D3510" s="40" t="s">
        <v>102</v>
      </c>
      <c r="E3510" s="41">
        <f>2/(0.4*0.8)</f>
        <v>6.2499999999999991</v>
      </c>
      <c r="F3510" s="59" t="s">
        <v>23</v>
      </c>
      <c r="G3510" s="59" t="str">
        <f t="shared" si="60"/>
        <v/>
      </c>
      <c r="H3510" s="62"/>
      <c r="I3510" s="63"/>
      <c r="J3510" s="34">
        <v>0</v>
      </c>
    </row>
    <row r="3511" spans="1:10" ht="39" hidden="1" thickBot="1" x14ac:dyDescent="0.3">
      <c r="A3511" s="249"/>
      <c r="B3511" s="252"/>
      <c r="C3511" s="40" t="s">
        <v>4699</v>
      </c>
      <c r="D3511" s="40" t="s">
        <v>3764</v>
      </c>
      <c r="E3511" s="41">
        <v>1E-4</v>
      </c>
      <c r="F3511" s="59">
        <v>727.38310835749996</v>
      </c>
      <c r="G3511" s="59">
        <f t="shared" si="60"/>
        <v>7.2738310835749997E-2</v>
      </c>
      <c r="H3511" s="62"/>
      <c r="I3511" s="63"/>
      <c r="J3511" s="34">
        <v>0</v>
      </c>
    </row>
    <row r="3512" spans="1:10" ht="15.75" hidden="1" thickBot="1" x14ac:dyDescent="0.3">
      <c r="A3512" s="249"/>
      <c r="B3512" s="252"/>
      <c r="C3512" s="40"/>
      <c r="D3512" s="40"/>
      <c r="E3512" s="41"/>
      <c r="F3512" s="59" t="s">
        <v>23</v>
      </c>
      <c r="G3512" s="59" t="str">
        <f t="shared" si="60"/>
        <v/>
      </c>
      <c r="H3512" s="62"/>
      <c r="I3512" s="63"/>
      <c r="J3512" s="34">
        <v>0</v>
      </c>
    </row>
    <row r="3513" spans="1:10" ht="15.75" hidden="1" thickBot="1" x14ac:dyDescent="0.3">
      <c r="A3513" s="249"/>
      <c r="B3513" s="252"/>
      <c r="C3513" s="90" t="s">
        <v>887</v>
      </c>
      <c r="D3513" s="40"/>
      <c r="E3513" s="41"/>
      <c r="F3513" s="59" t="s">
        <v>23</v>
      </c>
      <c r="G3513" s="59" t="str">
        <f t="shared" si="60"/>
        <v/>
      </c>
      <c r="H3513" s="62"/>
      <c r="I3513" s="63"/>
      <c r="J3513" s="34">
        <v>0</v>
      </c>
    </row>
    <row r="3514" spans="1:10" ht="26.25" hidden="1" thickBot="1" x14ac:dyDescent="0.3">
      <c r="A3514" s="249"/>
      <c r="B3514" s="252"/>
      <c r="C3514" s="90" t="s">
        <v>888</v>
      </c>
      <c r="D3514" s="40"/>
      <c r="E3514" s="41"/>
      <c r="F3514" s="59" t="s">
        <v>23</v>
      </c>
      <c r="G3514" s="59" t="str">
        <f t="shared" si="60"/>
        <v/>
      </c>
      <c r="H3514" s="62"/>
      <c r="I3514" s="63"/>
      <c r="J3514" s="34">
        <v>0</v>
      </c>
    </row>
    <row r="3515" spans="1:10" ht="15.75" hidden="1" thickBot="1" x14ac:dyDescent="0.3">
      <c r="A3515" s="250"/>
      <c r="B3515" s="253"/>
      <c r="C3515" s="40"/>
      <c r="D3515" s="40"/>
      <c r="E3515" s="41"/>
      <c r="F3515" s="59" t="s">
        <v>23</v>
      </c>
      <c r="G3515" s="59" t="str">
        <f t="shared" si="60"/>
        <v/>
      </c>
      <c r="H3515" s="62"/>
      <c r="I3515" s="63"/>
      <c r="J3515" s="34">
        <v>0</v>
      </c>
    </row>
    <row r="3516" spans="1:10" ht="15.75" hidden="1" thickBot="1" x14ac:dyDescent="0.3">
      <c r="A3516" s="248" t="s">
        <v>892</v>
      </c>
      <c r="B3516" s="251" t="s">
        <v>2753</v>
      </c>
      <c r="C3516" s="28"/>
      <c r="D3516" s="29" t="s">
        <v>78</v>
      </c>
      <c r="E3516" s="30"/>
      <c r="F3516" s="51" t="s">
        <v>23</v>
      </c>
      <c r="G3516" s="31" t="str">
        <f t="shared" si="60"/>
        <v/>
      </c>
      <c r="H3516" s="32"/>
      <c r="I3516" s="33"/>
      <c r="J3516" s="34">
        <v>0</v>
      </c>
    </row>
    <row r="3517" spans="1:10" ht="15.75" hidden="1" thickBot="1" x14ac:dyDescent="0.3">
      <c r="A3517" s="249"/>
      <c r="B3517" s="252"/>
      <c r="C3517" s="36"/>
      <c r="D3517" s="36"/>
      <c r="E3517" s="37"/>
      <c r="F3517" s="59" t="s">
        <v>23</v>
      </c>
      <c r="G3517" s="59" t="str">
        <f t="shared" si="60"/>
        <v/>
      </c>
      <c r="H3517" s="62"/>
      <c r="I3517" s="63"/>
      <c r="J3517" s="34">
        <v>0</v>
      </c>
    </row>
    <row r="3518" spans="1:10" ht="15.75" hidden="1" thickBot="1" x14ac:dyDescent="0.3">
      <c r="A3518" s="249"/>
      <c r="B3518" s="252"/>
      <c r="C3518" s="40" t="s">
        <v>890</v>
      </c>
      <c r="D3518" s="40" t="s">
        <v>78</v>
      </c>
      <c r="E3518" s="41">
        <v>1.05</v>
      </c>
      <c r="F3518" s="59" t="s">
        <v>23</v>
      </c>
      <c r="G3518" s="59" t="str">
        <f t="shared" si="60"/>
        <v/>
      </c>
      <c r="H3518" s="43">
        <f>SUM(G3518:G3522)</f>
        <v>9.0615749999999995</v>
      </c>
      <c r="I3518" s="44"/>
      <c r="J3518" s="34">
        <v>0</v>
      </c>
    </row>
    <row r="3519" spans="1:10" ht="15.75" hidden="1" thickBot="1" x14ac:dyDescent="0.3">
      <c r="A3519" s="249"/>
      <c r="B3519" s="252"/>
      <c r="C3519" s="40" t="s">
        <v>3826</v>
      </c>
      <c r="D3519" s="40" t="s">
        <v>3752</v>
      </c>
      <c r="E3519" s="41">
        <v>0.25</v>
      </c>
      <c r="F3519" s="59">
        <v>27.920500000000001</v>
      </c>
      <c r="G3519" s="59">
        <f t="shared" si="60"/>
        <v>6.9801250000000001</v>
      </c>
      <c r="H3519" s="62"/>
      <c r="I3519" s="63"/>
      <c r="J3519" s="34">
        <v>0</v>
      </c>
    </row>
    <row r="3520" spans="1:10" ht="15.75" hidden="1" thickBot="1" x14ac:dyDescent="0.3">
      <c r="A3520" s="249"/>
      <c r="B3520" s="252"/>
      <c r="C3520" s="40" t="s">
        <v>3754</v>
      </c>
      <c r="D3520" s="40" t="s">
        <v>3752</v>
      </c>
      <c r="E3520" s="41">
        <v>0.1</v>
      </c>
      <c r="F3520" s="59">
        <v>20.814499999999999</v>
      </c>
      <c r="G3520" s="59">
        <f t="shared" si="60"/>
        <v>2.0814499999999998</v>
      </c>
      <c r="H3520" s="62"/>
      <c r="I3520" s="63"/>
      <c r="J3520" s="34">
        <v>0</v>
      </c>
    </row>
    <row r="3521" spans="1:10" ht="15.75" hidden="1" thickBot="1" x14ac:dyDescent="0.3">
      <c r="A3521" s="249"/>
      <c r="B3521" s="252"/>
      <c r="C3521" s="40" t="s">
        <v>875</v>
      </c>
      <c r="D3521" s="40" t="s">
        <v>102</v>
      </c>
      <c r="E3521" s="41">
        <f>(2/(0.4*0.8))*0.016/2</f>
        <v>4.9999999999999996E-2</v>
      </c>
      <c r="F3521" s="59">
        <v>0</v>
      </c>
      <c r="G3521" s="59">
        <f t="shared" si="60"/>
        <v>0</v>
      </c>
      <c r="H3521" s="62"/>
      <c r="I3521" s="63"/>
      <c r="J3521" s="34">
        <v>0</v>
      </c>
    </row>
    <row r="3522" spans="1:10" ht="15.75" hidden="1" thickBot="1" x14ac:dyDescent="0.3">
      <c r="A3522" s="249"/>
      <c r="B3522" s="252"/>
      <c r="C3522" s="40" t="s">
        <v>876</v>
      </c>
      <c r="D3522" s="40" t="s">
        <v>877</v>
      </c>
      <c r="E3522" s="41">
        <f>(2/(0.4*0.8))*0.1/2</f>
        <v>0.3125</v>
      </c>
      <c r="F3522" s="59">
        <v>0</v>
      </c>
      <c r="G3522" s="59">
        <f t="shared" si="60"/>
        <v>0</v>
      </c>
      <c r="H3522" s="62"/>
      <c r="I3522" s="63"/>
      <c r="J3522" s="34">
        <v>0</v>
      </c>
    </row>
    <row r="3523" spans="1:10" ht="15.75" hidden="1" thickBot="1" x14ac:dyDescent="0.3">
      <c r="A3523" s="249"/>
      <c r="B3523" s="252"/>
      <c r="C3523" s="40"/>
      <c r="D3523" s="40"/>
      <c r="E3523" s="41"/>
      <c r="F3523" s="59" t="s">
        <v>23</v>
      </c>
      <c r="G3523" s="59" t="str">
        <f t="shared" si="60"/>
        <v/>
      </c>
      <c r="H3523" s="62"/>
      <c r="I3523" s="63"/>
      <c r="J3523" s="34">
        <v>0</v>
      </c>
    </row>
    <row r="3524" spans="1:10" ht="15.75" hidden="1" thickBot="1" x14ac:dyDescent="0.3">
      <c r="A3524" s="249"/>
      <c r="B3524" s="252"/>
      <c r="C3524" s="90" t="s">
        <v>893</v>
      </c>
      <c r="D3524" s="40"/>
      <c r="E3524" s="41"/>
      <c r="F3524" s="59" t="s">
        <v>23</v>
      </c>
      <c r="G3524" s="59" t="str">
        <f t="shared" si="60"/>
        <v/>
      </c>
      <c r="H3524" s="62"/>
      <c r="I3524" s="63"/>
      <c r="J3524" s="34">
        <v>0</v>
      </c>
    </row>
    <row r="3525" spans="1:10" ht="15.75" hidden="1" thickBot="1" x14ac:dyDescent="0.3">
      <c r="A3525" s="250"/>
      <c r="B3525" s="253"/>
      <c r="C3525" s="40"/>
      <c r="D3525" s="40"/>
      <c r="E3525" s="41"/>
      <c r="F3525" s="59" t="s">
        <v>23</v>
      </c>
      <c r="G3525" s="59" t="str">
        <f t="shared" si="60"/>
        <v/>
      </c>
      <c r="H3525" s="62"/>
      <c r="I3525" s="63"/>
      <c r="J3525" s="34">
        <v>0</v>
      </c>
    </row>
    <row r="3526" spans="1:10" ht="15.75" hidden="1" thickBot="1" x14ac:dyDescent="0.3">
      <c r="A3526" s="248" t="s">
        <v>894</v>
      </c>
      <c r="B3526" s="251" t="s">
        <v>2754</v>
      </c>
      <c r="C3526" s="28"/>
      <c r="D3526" s="29" t="s">
        <v>78</v>
      </c>
      <c r="E3526" s="30"/>
      <c r="F3526" s="51" t="s">
        <v>23</v>
      </c>
      <c r="G3526" s="31" t="str">
        <f t="shared" si="60"/>
        <v/>
      </c>
      <c r="H3526" s="32"/>
      <c r="I3526" s="33"/>
      <c r="J3526" s="34">
        <v>0</v>
      </c>
    </row>
    <row r="3527" spans="1:10" ht="15.75" hidden="1" thickBot="1" x14ac:dyDescent="0.3">
      <c r="A3527" s="249"/>
      <c r="B3527" s="252"/>
      <c r="C3527" s="36"/>
      <c r="D3527" s="36"/>
      <c r="E3527" s="37"/>
      <c r="F3527" s="59" t="s">
        <v>23</v>
      </c>
      <c r="G3527" s="59" t="str">
        <f t="shared" si="60"/>
        <v/>
      </c>
      <c r="H3527" s="62"/>
      <c r="I3527" s="63"/>
      <c r="J3527" s="34">
        <v>0</v>
      </c>
    </row>
    <row r="3528" spans="1:10" ht="15.75" hidden="1" thickBot="1" x14ac:dyDescent="0.3">
      <c r="A3528" s="249"/>
      <c r="B3528" s="252"/>
      <c r="C3528" s="40" t="s">
        <v>3826</v>
      </c>
      <c r="D3528" s="40" t="s">
        <v>3752</v>
      </c>
      <c r="E3528" s="41">
        <v>0.25</v>
      </c>
      <c r="F3528" s="59">
        <v>27.920500000000001</v>
      </c>
      <c r="G3528" s="59">
        <f t="shared" si="60"/>
        <v>6.9801250000000001</v>
      </c>
      <c r="H3528" s="43">
        <f>SUM(G3528:G3531)</f>
        <v>9.0615749999999995</v>
      </c>
      <c r="I3528" s="44"/>
      <c r="J3528" s="34">
        <v>0</v>
      </c>
    </row>
    <row r="3529" spans="1:10" ht="15.75" hidden="1" thickBot="1" x14ac:dyDescent="0.3">
      <c r="A3529" s="249"/>
      <c r="B3529" s="252"/>
      <c r="C3529" s="40" t="s">
        <v>3754</v>
      </c>
      <c r="D3529" s="40" t="s">
        <v>3752</v>
      </c>
      <c r="E3529" s="41">
        <v>0.1</v>
      </c>
      <c r="F3529" s="59">
        <v>20.814499999999999</v>
      </c>
      <c r="G3529" s="59">
        <f t="shared" si="60"/>
        <v>2.0814499999999998</v>
      </c>
      <c r="H3529" s="62"/>
      <c r="I3529" s="63"/>
      <c r="J3529" s="34">
        <v>0</v>
      </c>
    </row>
    <row r="3530" spans="1:10" ht="15.75" hidden="1" thickBot="1" x14ac:dyDescent="0.3">
      <c r="A3530" s="249"/>
      <c r="B3530" s="252"/>
      <c r="C3530" s="40" t="s">
        <v>875</v>
      </c>
      <c r="D3530" s="40" t="s">
        <v>102</v>
      </c>
      <c r="E3530" s="41">
        <f>(2/(0.4*0.8))*0.016/2</f>
        <v>4.9999999999999996E-2</v>
      </c>
      <c r="F3530" s="59">
        <v>0</v>
      </c>
      <c r="G3530" s="59">
        <f t="shared" si="60"/>
        <v>0</v>
      </c>
      <c r="H3530" s="62"/>
      <c r="I3530" s="63"/>
      <c r="J3530" s="34">
        <v>0</v>
      </c>
    </row>
    <row r="3531" spans="1:10" ht="15.75" hidden="1" thickBot="1" x14ac:dyDescent="0.3">
      <c r="A3531" s="249"/>
      <c r="B3531" s="252"/>
      <c r="C3531" s="40" t="s">
        <v>876</v>
      </c>
      <c r="D3531" s="40" t="s">
        <v>877</v>
      </c>
      <c r="E3531" s="41">
        <f>(2/(0.4*0.8))*0.1/2</f>
        <v>0.3125</v>
      </c>
      <c r="F3531" s="59">
        <v>0</v>
      </c>
      <c r="G3531" s="59">
        <f t="shared" si="60"/>
        <v>0</v>
      </c>
      <c r="H3531" s="62"/>
      <c r="I3531" s="63"/>
      <c r="J3531" s="34">
        <v>0</v>
      </c>
    </row>
    <row r="3532" spans="1:10" ht="15.75" hidden="1" thickBot="1" x14ac:dyDescent="0.3">
      <c r="A3532" s="249"/>
      <c r="B3532" s="252"/>
      <c r="C3532" s="40"/>
      <c r="D3532" s="40"/>
      <c r="E3532" s="41"/>
      <c r="F3532" s="59" t="s">
        <v>23</v>
      </c>
      <c r="G3532" s="59" t="str">
        <f t="shared" si="60"/>
        <v/>
      </c>
      <c r="H3532" s="62"/>
      <c r="I3532" s="63"/>
      <c r="J3532" s="34">
        <v>0</v>
      </c>
    </row>
    <row r="3533" spans="1:10" ht="15.75" hidden="1" thickBot="1" x14ac:dyDescent="0.3">
      <c r="A3533" s="249"/>
      <c r="B3533" s="252"/>
      <c r="C3533" s="90" t="s">
        <v>893</v>
      </c>
      <c r="D3533" s="40"/>
      <c r="E3533" s="41"/>
      <c r="F3533" s="59" t="s">
        <v>23</v>
      </c>
      <c r="G3533" s="59" t="str">
        <f t="shared" si="60"/>
        <v/>
      </c>
      <c r="H3533" s="62"/>
      <c r="I3533" s="63"/>
      <c r="J3533" s="34">
        <v>0</v>
      </c>
    </row>
    <row r="3534" spans="1:10" ht="15.75" hidden="1" thickBot="1" x14ac:dyDescent="0.3">
      <c r="A3534" s="250"/>
      <c r="B3534" s="253"/>
      <c r="C3534" s="40"/>
      <c r="D3534" s="40"/>
      <c r="E3534" s="41"/>
      <c r="F3534" s="59" t="s">
        <v>23</v>
      </c>
      <c r="G3534" s="59" t="str">
        <f t="shared" si="60"/>
        <v/>
      </c>
      <c r="H3534" s="62"/>
      <c r="I3534" s="63"/>
      <c r="J3534" s="34">
        <v>0</v>
      </c>
    </row>
    <row r="3535" spans="1:10" ht="15.75" hidden="1" thickBot="1" x14ac:dyDescent="0.3">
      <c r="A3535" s="248" t="s">
        <v>895</v>
      </c>
      <c r="B3535" s="251" t="s">
        <v>2755</v>
      </c>
      <c r="C3535" s="28"/>
      <c r="D3535" s="29" t="s">
        <v>78</v>
      </c>
      <c r="E3535" s="30"/>
      <c r="F3535" s="51" t="s">
        <v>23</v>
      </c>
      <c r="G3535" s="31" t="str">
        <f t="shared" si="60"/>
        <v/>
      </c>
      <c r="H3535" s="32"/>
      <c r="I3535" s="33"/>
      <c r="J3535" s="34">
        <v>0</v>
      </c>
    </row>
    <row r="3536" spans="1:10" ht="15.75" hidden="1" thickBot="1" x14ac:dyDescent="0.3">
      <c r="A3536" s="249"/>
      <c r="B3536" s="252"/>
      <c r="C3536" s="36"/>
      <c r="D3536" s="36"/>
      <c r="E3536" s="37"/>
      <c r="F3536" s="59" t="s">
        <v>23</v>
      </c>
      <c r="G3536" s="59" t="str">
        <f t="shared" si="60"/>
        <v/>
      </c>
      <c r="H3536" s="62"/>
      <c r="I3536" s="63"/>
      <c r="J3536" s="34">
        <v>0</v>
      </c>
    </row>
    <row r="3537" spans="1:10" ht="15.75" hidden="1" thickBot="1" x14ac:dyDescent="0.3">
      <c r="A3537" s="249"/>
      <c r="B3537" s="252"/>
      <c r="C3537" s="40" t="s">
        <v>3826</v>
      </c>
      <c r="D3537" s="40" t="s">
        <v>3752</v>
      </c>
      <c r="E3537" s="41">
        <v>1.35</v>
      </c>
      <c r="F3537" s="59">
        <v>27.920500000000001</v>
      </c>
      <c r="G3537" s="59">
        <f t="shared" si="60"/>
        <v>37.692675000000001</v>
      </c>
      <c r="H3537" s="43">
        <f>SUM(G3537:G3540)</f>
        <v>59.774475000000002</v>
      </c>
      <c r="I3537" s="44"/>
      <c r="J3537" s="34">
        <v>0</v>
      </c>
    </row>
    <row r="3538" spans="1:10" ht="15.75" hidden="1" thickBot="1" x14ac:dyDescent="0.3">
      <c r="A3538" s="249"/>
      <c r="B3538" s="252"/>
      <c r="C3538" s="40" t="s">
        <v>3754</v>
      </c>
      <c r="D3538" s="40" t="s">
        <v>3752</v>
      </c>
      <c r="E3538" s="41">
        <v>0.6</v>
      </c>
      <c r="F3538" s="59">
        <v>20.814499999999999</v>
      </c>
      <c r="G3538" s="59">
        <f t="shared" si="60"/>
        <v>12.4887</v>
      </c>
      <c r="H3538" s="62"/>
      <c r="I3538" s="63"/>
      <c r="J3538" s="34">
        <v>0</v>
      </c>
    </row>
    <row r="3539" spans="1:10" ht="15.75" hidden="1" thickBot="1" x14ac:dyDescent="0.3">
      <c r="A3539" s="249"/>
      <c r="B3539" s="252"/>
      <c r="C3539" s="40" t="s">
        <v>3852</v>
      </c>
      <c r="D3539" s="40" t="s">
        <v>1035</v>
      </c>
      <c r="E3539" s="41">
        <v>4.5</v>
      </c>
      <c r="F3539" s="59">
        <v>1.8904999999999998</v>
      </c>
      <c r="G3539" s="59">
        <f t="shared" si="60"/>
        <v>8.5072499999999991</v>
      </c>
      <c r="H3539" s="62"/>
      <c r="I3539" s="63"/>
      <c r="J3539" s="34">
        <v>0</v>
      </c>
    </row>
    <row r="3540" spans="1:10" ht="15.75" hidden="1" thickBot="1" x14ac:dyDescent="0.3">
      <c r="A3540" s="249"/>
      <c r="B3540" s="252"/>
      <c r="C3540" s="40" t="s">
        <v>4013</v>
      </c>
      <c r="D3540" s="40" t="s">
        <v>1035</v>
      </c>
      <c r="E3540" s="41">
        <v>0.3</v>
      </c>
      <c r="F3540" s="59">
        <v>3.6194999999999999</v>
      </c>
      <c r="G3540" s="59">
        <f t="shared" si="60"/>
        <v>1.08585</v>
      </c>
      <c r="H3540" s="62"/>
      <c r="I3540" s="63"/>
      <c r="J3540" s="34">
        <v>0</v>
      </c>
    </row>
    <row r="3541" spans="1:10" ht="15.75" hidden="1" thickBot="1" x14ac:dyDescent="0.3">
      <c r="A3541" s="250"/>
      <c r="B3541" s="253"/>
      <c r="C3541" s="40"/>
      <c r="D3541" s="40"/>
      <c r="E3541" s="41"/>
      <c r="F3541" s="59" t="s">
        <v>23</v>
      </c>
      <c r="G3541" s="59" t="str">
        <f t="shared" si="60"/>
        <v/>
      </c>
      <c r="H3541" s="62"/>
      <c r="I3541" s="63"/>
      <c r="J3541" s="34">
        <v>0</v>
      </c>
    </row>
    <row r="3542" spans="1:10" ht="15.75" hidden="1" thickBot="1" x14ac:dyDescent="0.3">
      <c r="A3542" s="248" t="s">
        <v>896</v>
      </c>
      <c r="B3542" s="251" t="s">
        <v>2756</v>
      </c>
      <c r="C3542" s="28"/>
      <c r="D3542" s="29" t="s">
        <v>78</v>
      </c>
      <c r="E3542" s="30"/>
      <c r="F3542" s="51" t="s">
        <v>23</v>
      </c>
      <c r="G3542" s="31" t="str">
        <f t="shared" si="60"/>
        <v/>
      </c>
      <c r="H3542" s="32"/>
      <c r="I3542" s="33"/>
      <c r="J3542" s="34">
        <v>0</v>
      </c>
    </row>
    <row r="3543" spans="1:10" ht="15.75" hidden="1" thickBot="1" x14ac:dyDescent="0.3">
      <c r="A3543" s="249"/>
      <c r="B3543" s="252"/>
      <c r="C3543" s="36"/>
      <c r="D3543" s="36"/>
      <c r="E3543" s="37"/>
      <c r="F3543" s="59" t="s">
        <v>23</v>
      </c>
      <c r="G3543" s="59" t="str">
        <f t="shared" si="60"/>
        <v/>
      </c>
      <c r="H3543" s="62"/>
      <c r="I3543" s="63"/>
      <c r="J3543" s="34">
        <v>0</v>
      </c>
    </row>
    <row r="3544" spans="1:10" ht="15.75" hidden="1" thickBot="1" x14ac:dyDescent="0.3">
      <c r="A3544" s="249"/>
      <c r="B3544" s="252"/>
      <c r="C3544" s="40" t="s">
        <v>3826</v>
      </c>
      <c r="D3544" s="40" t="s">
        <v>3752</v>
      </c>
      <c r="E3544" s="41">
        <f>1.35</f>
        <v>1.35</v>
      </c>
      <c r="F3544" s="59">
        <v>27.920500000000001</v>
      </c>
      <c r="G3544" s="59">
        <f t="shared" si="60"/>
        <v>37.692675000000001</v>
      </c>
      <c r="H3544" s="43">
        <f>SUM(G3544:G3553)</f>
        <v>81.956088310835739</v>
      </c>
      <c r="I3544" s="44"/>
      <c r="J3544" s="34">
        <v>0</v>
      </c>
    </row>
    <row r="3545" spans="1:10" ht="15.75" hidden="1" thickBot="1" x14ac:dyDescent="0.3">
      <c r="A3545" s="249"/>
      <c r="B3545" s="252"/>
      <c r="C3545" s="40" t="s">
        <v>3757</v>
      </c>
      <c r="D3545" s="40" t="s">
        <v>3752</v>
      </c>
      <c r="E3545" s="41">
        <v>0.1</v>
      </c>
      <c r="F3545" s="59">
        <v>28.0535</v>
      </c>
      <c r="G3545" s="59">
        <f t="shared" si="60"/>
        <v>2.8053500000000002</v>
      </c>
      <c r="H3545" s="62"/>
      <c r="I3545" s="63"/>
      <c r="J3545" s="34">
        <v>0</v>
      </c>
    </row>
    <row r="3546" spans="1:10" ht="15.75" hidden="1" thickBot="1" x14ac:dyDescent="0.3">
      <c r="A3546" s="249"/>
      <c r="B3546" s="252"/>
      <c r="C3546" s="40" t="s">
        <v>3754</v>
      </c>
      <c r="D3546" s="40" t="s">
        <v>3752</v>
      </c>
      <c r="E3546" s="41">
        <f>0.6+0.1+0.1</f>
        <v>0.79999999999999993</v>
      </c>
      <c r="F3546" s="59">
        <v>20.814499999999999</v>
      </c>
      <c r="G3546" s="59">
        <f t="shared" si="60"/>
        <v>16.651599999999998</v>
      </c>
      <c r="H3546" s="62"/>
      <c r="I3546" s="63"/>
      <c r="J3546" s="34">
        <v>0</v>
      </c>
    </row>
    <row r="3547" spans="1:10" ht="15.75" hidden="1" thickBot="1" x14ac:dyDescent="0.3">
      <c r="A3547" s="249"/>
      <c r="B3547" s="252"/>
      <c r="C3547" s="40" t="s">
        <v>3852</v>
      </c>
      <c r="D3547" s="40" t="s">
        <v>1035</v>
      </c>
      <c r="E3547" s="41">
        <v>4.5</v>
      </c>
      <c r="F3547" s="59">
        <v>1.8904999999999998</v>
      </c>
      <c r="G3547" s="59">
        <f t="shared" si="60"/>
        <v>8.5072499999999991</v>
      </c>
      <c r="H3547" s="62"/>
      <c r="I3547" s="63"/>
      <c r="J3547" s="34">
        <v>0</v>
      </c>
    </row>
    <row r="3548" spans="1:10" ht="15.75" hidden="1" thickBot="1" x14ac:dyDescent="0.3">
      <c r="A3548" s="249"/>
      <c r="B3548" s="252"/>
      <c r="C3548" s="40" t="s">
        <v>4013</v>
      </c>
      <c r="D3548" s="40" t="s">
        <v>1035</v>
      </c>
      <c r="E3548" s="41">
        <v>0.3</v>
      </c>
      <c r="F3548" s="59">
        <v>3.6194999999999999</v>
      </c>
      <c r="G3548" s="59">
        <f t="shared" si="60"/>
        <v>1.08585</v>
      </c>
      <c r="H3548" s="62"/>
      <c r="I3548" s="63"/>
      <c r="J3548" s="34">
        <v>0</v>
      </c>
    </row>
    <row r="3549" spans="1:10" ht="26.25" hidden="1" thickBot="1" x14ac:dyDescent="0.3">
      <c r="A3549" s="249"/>
      <c r="B3549" s="252"/>
      <c r="C3549" s="40" t="s">
        <v>4035</v>
      </c>
      <c r="D3549" s="40" t="s">
        <v>291</v>
      </c>
      <c r="E3549" s="41">
        <f>2/(0.4*0.8)</f>
        <v>6.2499999999999991</v>
      </c>
      <c r="F3549" s="59">
        <v>2.4224999999999999</v>
      </c>
      <c r="G3549" s="59">
        <f t="shared" si="60"/>
        <v>15.140624999999996</v>
      </c>
      <c r="H3549" s="62"/>
      <c r="I3549" s="63"/>
      <c r="J3549" s="34">
        <v>0</v>
      </c>
    </row>
    <row r="3550" spans="1:10" ht="15.75" hidden="1" thickBot="1" x14ac:dyDescent="0.3">
      <c r="A3550" s="249"/>
      <c r="B3550" s="252"/>
      <c r="C3550" s="40" t="s">
        <v>875</v>
      </c>
      <c r="D3550" s="40" t="s">
        <v>102</v>
      </c>
      <c r="E3550" s="41">
        <f>(2/(0.4*0.8))*(0.016)*1.5</f>
        <v>0.15</v>
      </c>
      <c r="F3550" s="59">
        <v>0</v>
      </c>
      <c r="G3550" s="59">
        <f t="shared" si="60"/>
        <v>0</v>
      </c>
      <c r="H3550" s="62"/>
      <c r="I3550" s="63"/>
      <c r="J3550" s="34">
        <v>0</v>
      </c>
    </row>
    <row r="3551" spans="1:10" ht="15.75" hidden="1" thickBot="1" x14ac:dyDescent="0.3">
      <c r="A3551" s="249"/>
      <c r="B3551" s="252"/>
      <c r="C3551" s="40" t="s">
        <v>876</v>
      </c>
      <c r="D3551" s="40" t="s">
        <v>877</v>
      </c>
      <c r="E3551" s="41">
        <f>(2/(0.4*0.8))*0.1*1.5</f>
        <v>0.9375</v>
      </c>
      <c r="F3551" s="59">
        <v>0</v>
      </c>
      <c r="G3551" s="59">
        <f t="shared" si="60"/>
        <v>0</v>
      </c>
      <c r="H3551" s="62"/>
      <c r="I3551" s="63"/>
      <c r="J3551" s="34">
        <v>0</v>
      </c>
    </row>
    <row r="3552" spans="1:10" ht="15.75" hidden="1" thickBot="1" x14ac:dyDescent="0.3">
      <c r="A3552" s="249"/>
      <c r="B3552" s="252"/>
      <c r="C3552" s="40" t="s">
        <v>886</v>
      </c>
      <c r="D3552" s="40" t="s">
        <v>102</v>
      </c>
      <c r="E3552" s="41">
        <f>2/(0.4*0.8)</f>
        <v>6.2499999999999991</v>
      </c>
      <c r="F3552" s="59" t="s">
        <v>23</v>
      </c>
      <c r="G3552" s="59" t="str">
        <f t="shared" si="60"/>
        <v/>
      </c>
      <c r="H3552" s="62"/>
      <c r="I3552" s="63"/>
      <c r="J3552" s="34">
        <v>0</v>
      </c>
    </row>
    <row r="3553" spans="1:10" ht="39" hidden="1" thickBot="1" x14ac:dyDescent="0.3">
      <c r="A3553" s="249"/>
      <c r="B3553" s="252"/>
      <c r="C3553" s="40" t="s">
        <v>4699</v>
      </c>
      <c r="D3553" s="40" t="s">
        <v>3764</v>
      </c>
      <c r="E3553" s="41">
        <v>1E-4</v>
      </c>
      <c r="F3553" s="59">
        <v>727.38310835749996</v>
      </c>
      <c r="G3553" s="59">
        <f t="shared" si="60"/>
        <v>7.2738310835749997E-2</v>
      </c>
      <c r="H3553" s="62"/>
      <c r="I3553" s="63"/>
      <c r="J3553" s="34">
        <v>0</v>
      </c>
    </row>
    <row r="3554" spans="1:10" ht="15.75" hidden="1" thickBot="1" x14ac:dyDescent="0.3">
      <c r="A3554" s="249"/>
      <c r="B3554" s="252"/>
      <c r="C3554" s="40"/>
      <c r="D3554" s="40"/>
      <c r="E3554" s="41"/>
      <c r="F3554" s="59" t="s">
        <v>23</v>
      </c>
      <c r="G3554" s="59" t="str">
        <f t="shared" si="60"/>
        <v/>
      </c>
      <c r="H3554" s="62"/>
      <c r="I3554" s="63"/>
      <c r="J3554" s="34">
        <v>0</v>
      </c>
    </row>
    <row r="3555" spans="1:10" ht="15.75" hidden="1" thickBot="1" x14ac:dyDescent="0.3">
      <c r="A3555" s="249"/>
      <c r="B3555" s="252"/>
      <c r="C3555" s="90" t="s">
        <v>887</v>
      </c>
      <c r="D3555" s="40"/>
      <c r="E3555" s="41"/>
      <c r="F3555" s="59" t="s">
        <v>23</v>
      </c>
      <c r="G3555" s="59" t="str">
        <f t="shared" si="60"/>
        <v/>
      </c>
      <c r="H3555" s="62"/>
      <c r="I3555" s="63"/>
      <c r="J3555" s="34">
        <v>0</v>
      </c>
    </row>
    <row r="3556" spans="1:10" ht="26.25" hidden="1" thickBot="1" x14ac:dyDescent="0.3">
      <c r="A3556" s="249"/>
      <c r="B3556" s="252"/>
      <c r="C3556" s="90" t="s">
        <v>888</v>
      </c>
      <c r="D3556" s="40"/>
      <c r="E3556" s="41"/>
      <c r="F3556" s="59" t="s">
        <v>23</v>
      </c>
      <c r="G3556" s="59" t="str">
        <f t="shared" si="60"/>
        <v/>
      </c>
      <c r="H3556" s="62"/>
      <c r="I3556" s="63"/>
      <c r="J3556" s="34">
        <v>0</v>
      </c>
    </row>
    <row r="3557" spans="1:10" ht="15.75" hidden="1" thickBot="1" x14ac:dyDescent="0.3">
      <c r="A3557" s="250"/>
      <c r="B3557" s="253"/>
      <c r="C3557" s="40"/>
      <c r="D3557" s="40"/>
      <c r="E3557" s="41"/>
      <c r="F3557" s="59" t="s">
        <v>23</v>
      </c>
      <c r="G3557" s="59" t="str">
        <f t="shared" ref="G3557:G3597" si="61">IF(ISNUMBER(F3557),E3557*F3557,"")</f>
        <v/>
      </c>
      <c r="H3557" s="62"/>
      <c r="I3557" s="63"/>
      <c r="J3557" s="34">
        <v>0</v>
      </c>
    </row>
    <row r="3558" spans="1:10" ht="15.75" hidden="1" thickBot="1" x14ac:dyDescent="0.3">
      <c r="A3558" s="248" t="s">
        <v>897</v>
      </c>
      <c r="B3558" s="251" t="s">
        <v>2757</v>
      </c>
      <c r="C3558" s="28"/>
      <c r="D3558" s="29" t="s">
        <v>78</v>
      </c>
      <c r="E3558" s="30"/>
      <c r="F3558" s="51" t="s">
        <v>23</v>
      </c>
      <c r="G3558" s="31" t="str">
        <f t="shared" si="61"/>
        <v/>
      </c>
      <c r="H3558" s="32"/>
      <c r="I3558" s="33"/>
      <c r="J3558" s="34">
        <v>0</v>
      </c>
    </row>
    <row r="3559" spans="1:10" ht="15.75" hidden="1" thickBot="1" x14ac:dyDescent="0.3">
      <c r="A3559" s="262"/>
      <c r="B3559" s="252"/>
      <c r="C3559" s="36"/>
      <c r="D3559" s="36"/>
      <c r="E3559" s="37"/>
      <c r="F3559" s="59" t="s">
        <v>23</v>
      </c>
      <c r="G3559" s="59" t="str">
        <f t="shared" si="61"/>
        <v/>
      </c>
      <c r="H3559" s="62"/>
      <c r="I3559" s="63"/>
      <c r="J3559" s="34">
        <v>0</v>
      </c>
    </row>
    <row r="3560" spans="1:10" ht="15.75" hidden="1" thickBot="1" x14ac:dyDescent="0.3">
      <c r="A3560" s="262"/>
      <c r="B3560" s="252"/>
      <c r="C3560" s="40" t="s">
        <v>3753</v>
      </c>
      <c r="D3560" s="40" t="s">
        <v>3752</v>
      </c>
      <c r="E3560" s="41">
        <v>0.4</v>
      </c>
      <c r="F3560" s="59">
        <v>29.202999999999996</v>
      </c>
      <c r="G3560" s="59">
        <f t="shared" si="61"/>
        <v>11.681199999999999</v>
      </c>
      <c r="H3560" s="43">
        <f>SUM(G3560:G3562)</f>
        <v>14.024849999999999</v>
      </c>
      <c r="I3560" s="44"/>
      <c r="J3560" s="34">
        <v>0</v>
      </c>
    </row>
    <row r="3561" spans="1:10" ht="15.75" hidden="1" thickBot="1" x14ac:dyDescent="0.3">
      <c r="A3561" s="262"/>
      <c r="B3561" s="252"/>
      <c r="C3561" s="40" t="s">
        <v>4100</v>
      </c>
      <c r="D3561" s="40" t="s">
        <v>3752</v>
      </c>
      <c r="E3561" s="41">
        <v>0.1</v>
      </c>
      <c r="F3561" s="59">
        <v>23.436499999999999</v>
      </c>
      <c r="G3561" s="59">
        <f t="shared" si="61"/>
        <v>2.3436499999999998</v>
      </c>
      <c r="H3561" s="62"/>
      <c r="I3561" s="63"/>
      <c r="J3561" s="34">
        <v>0</v>
      </c>
    </row>
    <row r="3562" spans="1:10" ht="15.75" hidden="1" thickBot="1" x14ac:dyDescent="0.3">
      <c r="A3562" s="262"/>
      <c r="B3562" s="252"/>
      <c r="C3562" s="40" t="s">
        <v>898</v>
      </c>
      <c r="D3562" s="58" t="s">
        <v>80</v>
      </c>
      <c r="E3562" s="41">
        <v>0.33</v>
      </c>
      <c r="F3562" s="59">
        <v>0</v>
      </c>
      <c r="G3562" s="59">
        <f t="shared" si="61"/>
        <v>0</v>
      </c>
      <c r="H3562" s="62"/>
      <c r="I3562" s="63"/>
      <c r="J3562" s="34">
        <v>0</v>
      </c>
    </row>
    <row r="3563" spans="1:10" ht="15.75" hidden="1" thickBot="1" x14ac:dyDescent="0.3">
      <c r="A3563" s="263"/>
      <c r="B3563" s="253"/>
      <c r="C3563" s="40"/>
      <c r="D3563" s="40"/>
      <c r="E3563" s="41"/>
      <c r="F3563" s="59" t="s">
        <v>23</v>
      </c>
      <c r="G3563" s="59" t="str">
        <f t="shared" si="61"/>
        <v/>
      </c>
      <c r="H3563" s="62"/>
      <c r="I3563" s="63"/>
      <c r="J3563" s="34">
        <v>0</v>
      </c>
    </row>
    <row r="3564" spans="1:10" ht="15.75" hidden="1" thickBot="1" x14ac:dyDescent="0.3">
      <c r="A3564" s="248" t="s">
        <v>899</v>
      </c>
      <c r="B3564" s="251" t="s">
        <v>2758</v>
      </c>
      <c r="C3564" s="28"/>
      <c r="D3564" s="29" t="s">
        <v>121</v>
      </c>
      <c r="E3564" s="30"/>
      <c r="F3564" s="51" t="s">
        <v>23</v>
      </c>
      <c r="G3564" s="31" t="str">
        <f t="shared" si="61"/>
        <v/>
      </c>
      <c r="H3564" s="32"/>
      <c r="I3564" s="33"/>
      <c r="J3564" s="34">
        <v>0</v>
      </c>
    </row>
    <row r="3565" spans="1:10" ht="15.75" hidden="1" thickBot="1" x14ac:dyDescent="0.3">
      <c r="A3565" s="262"/>
      <c r="B3565" s="252"/>
      <c r="C3565" s="36"/>
      <c r="D3565" s="36"/>
      <c r="E3565" s="37"/>
      <c r="F3565" s="59" t="s">
        <v>23</v>
      </c>
      <c r="G3565" s="59" t="str">
        <f t="shared" si="61"/>
        <v/>
      </c>
      <c r="H3565" s="62"/>
      <c r="I3565" s="63"/>
      <c r="J3565" s="34">
        <v>0</v>
      </c>
    </row>
    <row r="3566" spans="1:10" ht="15.75" hidden="1" thickBot="1" x14ac:dyDescent="0.3">
      <c r="A3566" s="262"/>
      <c r="B3566" s="252"/>
      <c r="C3566" s="40" t="s">
        <v>3826</v>
      </c>
      <c r="D3566" s="40" t="s">
        <v>3752</v>
      </c>
      <c r="E3566" s="41">
        <v>0.6</v>
      </c>
      <c r="F3566" s="59">
        <v>27.920500000000001</v>
      </c>
      <c r="G3566" s="59">
        <f t="shared" si="61"/>
        <v>16.752299999999998</v>
      </c>
      <c r="H3566" s="43">
        <f>SUM(G3566:G3568)</f>
        <v>25.078099999999999</v>
      </c>
      <c r="I3566" s="44"/>
      <c r="J3566" s="34">
        <v>0</v>
      </c>
    </row>
    <row r="3567" spans="1:10" ht="15.75" hidden="1" thickBot="1" x14ac:dyDescent="0.3">
      <c r="A3567" s="262"/>
      <c r="B3567" s="252"/>
      <c r="C3567" s="40" t="s">
        <v>3754</v>
      </c>
      <c r="D3567" s="40" t="s">
        <v>3752</v>
      </c>
      <c r="E3567" s="41">
        <v>0.4</v>
      </c>
      <c r="F3567" s="59">
        <v>20.814499999999999</v>
      </c>
      <c r="G3567" s="59">
        <f t="shared" si="61"/>
        <v>8.3257999999999992</v>
      </c>
      <c r="H3567" s="62"/>
      <c r="I3567" s="63"/>
      <c r="J3567" s="34">
        <v>0</v>
      </c>
    </row>
    <row r="3568" spans="1:10" ht="26.25" hidden="1" thickBot="1" x14ac:dyDescent="0.3">
      <c r="A3568" s="262"/>
      <c r="B3568" s="252"/>
      <c r="C3568" s="40" t="s">
        <v>900</v>
      </c>
      <c r="D3568" s="53" t="s">
        <v>121</v>
      </c>
      <c r="E3568" s="41">
        <v>1</v>
      </c>
      <c r="F3568" s="59" t="s">
        <v>23</v>
      </c>
      <c r="G3568" s="59" t="str">
        <f t="shared" si="61"/>
        <v/>
      </c>
      <c r="H3568" s="62"/>
      <c r="I3568" s="63"/>
      <c r="J3568" s="34">
        <v>0</v>
      </c>
    </row>
    <row r="3569" spans="1:10" ht="15.75" hidden="1" thickBot="1" x14ac:dyDescent="0.3">
      <c r="A3569" s="263"/>
      <c r="B3569" s="253"/>
      <c r="C3569" s="40"/>
      <c r="D3569" s="40"/>
      <c r="E3569" s="41"/>
      <c r="F3569" s="59" t="s">
        <v>23</v>
      </c>
      <c r="G3569" s="59" t="str">
        <f t="shared" si="61"/>
        <v/>
      </c>
      <c r="H3569" s="62"/>
      <c r="I3569" s="63"/>
      <c r="J3569" s="34">
        <v>0</v>
      </c>
    </row>
    <row r="3570" spans="1:10" ht="15.75" hidden="1" thickBot="1" x14ac:dyDescent="0.3">
      <c r="A3570" s="248" t="s">
        <v>901</v>
      </c>
      <c r="B3570" s="251" t="s">
        <v>2759</v>
      </c>
      <c r="C3570" s="28"/>
      <c r="D3570" s="29" t="s">
        <v>78</v>
      </c>
      <c r="E3570" s="30"/>
      <c r="F3570" s="51" t="s">
        <v>23</v>
      </c>
      <c r="G3570" s="31" t="str">
        <f t="shared" si="61"/>
        <v/>
      </c>
      <c r="H3570" s="32"/>
      <c r="I3570" s="33"/>
      <c r="J3570" s="34">
        <v>0</v>
      </c>
    </row>
    <row r="3571" spans="1:10" ht="15.75" hidden="1" thickBot="1" x14ac:dyDescent="0.3">
      <c r="A3571" s="262"/>
      <c r="B3571" s="252"/>
      <c r="C3571" s="36"/>
      <c r="D3571" s="36"/>
      <c r="E3571" s="37"/>
      <c r="F3571" s="59" t="s">
        <v>23</v>
      </c>
      <c r="G3571" s="59" t="str">
        <f t="shared" si="61"/>
        <v/>
      </c>
      <c r="H3571" s="62"/>
      <c r="I3571" s="63"/>
      <c r="J3571" s="34">
        <v>0</v>
      </c>
    </row>
    <row r="3572" spans="1:10" ht="15.75" hidden="1" thickBot="1" x14ac:dyDescent="0.3">
      <c r="A3572" s="262"/>
      <c r="B3572" s="252"/>
      <c r="C3572" s="40" t="s">
        <v>902</v>
      </c>
      <c r="D3572" s="40" t="s">
        <v>78</v>
      </c>
      <c r="E3572" s="41">
        <v>1.05</v>
      </c>
      <c r="F3572" s="59" t="s">
        <v>23</v>
      </c>
      <c r="G3572" s="59" t="str">
        <f t="shared" si="61"/>
        <v/>
      </c>
      <c r="H3572" s="43">
        <f>SUM(G3572:G3576)</f>
        <v>135.332212</v>
      </c>
      <c r="I3572" s="44"/>
      <c r="J3572" s="34">
        <v>0</v>
      </c>
    </row>
    <row r="3573" spans="1:10" ht="15.75" hidden="1" thickBot="1" x14ac:dyDescent="0.3">
      <c r="A3573" s="262"/>
      <c r="B3573" s="252"/>
      <c r="C3573" s="40" t="s">
        <v>3852</v>
      </c>
      <c r="D3573" s="40" t="s">
        <v>1035</v>
      </c>
      <c r="E3573" s="41">
        <f>0.8614/0.1</f>
        <v>8.6140000000000008</v>
      </c>
      <c r="F3573" s="59">
        <v>1.8904999999999998</v>
      </c>
      <c r="G3573" s="59">
        <f t="shared" si="61"/>
        <v>16.284766999999999</v>
      </c>
      <c r="H3573" s="62"/>
      <c r="I3573" s="63"/>
      <c r="J3573" s="34">
        <v>0</v>
      </c>
    </row>
    <row r="3574" spans="1:10" ht="15.75" hidden="1" thickBot="1" x14ac:dyDescent="0.3">
      <c r="A3574" s="262"/>
      <c r="B3574" s="252"/>
      <c r="C3574" s="40" t="s">
        <v>3826</v>
      </c>
      <c r="D3574" s="40" t="s">
        <v>3752</v>
      </c>
      <c r="E3574" s="41">
        <f>0.299/0.1</f>
        <v>2.9899999999999998</v>
      </c>
      <c r="F3574" s="59">
        <v>27.920500000000001</v>
      </c>
      <c r="G3574" s="59">
        <f t="shared" si="61"/>
        <v>83.482294999999993</v>
      </c>
      <c r="H3574" s="62"/>
      <c r="I3574" s="63"/>
      <c r="J3574" s="34">
        <v>0</v>
      </c>
    </row>
    <row r="3575" spans="1:10" ht="15.75" hidden="1" thickBot="1" x14ac:dyDescent="0.3">
      <c r="A3575" s="262"/>
      <c r="B3575" s="252"/>
      <c r="C3575" s="40" t="s">
        <v>3754</v>
      </c>
      <c r="D3575" s="40" t="s">
        <v>3752</v>
      </c>
      <c r="E3575" s="41">
        <f>0.15/0.1</f>
        <v>1.4999999999999998</v>
      </c>
      <c r="F3575" s="59">
        <v>20.814499999999999</v>
      </c>
      <c r="G3575" s="59">
        <f t="shared" si="61"/>
        <v>31.221749999999993</v>
      </c>
      <c r="H3575" s="62"/>
      <c r="I3575" s="63"/>
      <c r="J3575" s="34">
        <v>0</v>
      </c>
    </row>
    <row r="3576" spans="1:10" ht="15.75" hidden="1" thickBot="1" x14ac:dyDescent="0.3">
      <c r="A3576" s="262"/>
      <c r="B3576" s="252"/>
      <c r="C3576" s="40" t="s">
        <v>4013</v>
      </c>
      <c r="D3576" s="40" t="s">
        <v>1035</v>
      </c>
      <c r="E3576" s="41">
        <f>0.12/0.1</f>
        <v>1.2</v>
      </c>
      <c r="F3576" s="59">
        <v>3.6194999999999999</v>
      </c>
      <c r="G3576" s="59">
        <f t="shared" si="61"/>
        <v>4.3433999999999999</v>
      </c>
      <c r="H3576" s="62"/>
      <c r="I3576" s="63"/>
      <c r="J3576" s="34">
        <v>0</v>
      </c>
    </row>
    <row r="3577" spans="1:10" ht="15.75" hidden="1" thickBot="1" x14ac:dyDescent="0.3">
      <c r="A3577" s="262"/>
      <c r="B3577" s="252"/>
      <c r="C3577" s="40"/>
      <c r="D3577" s="40"/>
      <c r="E3577" s="41"/>
      <c r="F3577" s="59" t="s">
        <v>23</v>
      </c>
      <c r="G3577" s="59" t="str">
        <f t="shared" si="61"/>
        <v/>
      </c>
      <c r="H3577" s="62"/>
      <c r="I3577" s="63"/>
      <c r="J3577" s="34">
        <v>0</v>
      </c>
    </row>
    <row r="3578" spans="1:10" ht="15.75" hidden="1" thickBot="1" x14ac:dyDescent="0.3">
      <c r="A3578" s="248" t="s">
        <v>903</v>
      </c>
      <c r="B3578" s="251" t="s">
        <v>2760</v>
      </c>
      <c r="C3578" s="28"/>
      <c r="D3578" s="29" t="s">
        <v>28</v>
      </c>
      <c r="E3578" s="30"/>
      <c r="F3578" s="51" t="s">
        <v>23</v>
      </c>
      <c r="G3578" s="31" t="str">
        <f t="shared" si="61"/>
        <v/>
      </c>
      <c r="H3578" s="32"/>
      <c r="I3578" s="33"/>
      <c r="J3578" s="34">
        <v>0</v>
      </c>
    </row>
    <row r="3579" spans="1:10" ht="15.75" hidden="1" thickBot="1" x14ac:dyDescent="0.3">
      <c r="A3579" s="262"/>
      <c r="B3579" s="252"/>
      <c r="C3579" s="36"/>
      <c r="D3579" s="36"/>
      <c r="E3579" s="37"/>
      <c r="F3579" s="59" t="s">
        <v>23</v>
      </c>
      <c r="G3579" s="59" t="str">
        <f t="shared" si="61"/>
        <v/>
      </c>
      <c r="H3579" s="62"/>
      <c r="I3579" s="63"/>
      <c r="J3579" s="34">
        <v>0</v>
      </c>
    </row>
    <row r="3580" spans="1:10" ht="15.75" hidden="1" thickBot="1" x14ac:dyDescent="0.3">
      <c r="A3580" s="262"/>
      <c r="B3580" s="252"/>
      <c r="C3580" s="40" t="s">
        <v>3754</v>
      </c>
      <c r="D3580" s="40" t="s">
        <v>3752</v>
      </c>
      <c r="E3580" s="41">
        <v>0.05</v>
      </c>
      <c r="F3580" s="59">
        <v>20.814499999999999</v>
      </c>
      <c r="G3580" s="59">
        <f t="shared" si="61"/>
        <v>1.0407249999999999</v>
      </c>
      <c r="H3580" s="43">
        <f>SUM(G3580:G3583)</f>
        <v>1.2216999999999998</v>
      </c>
      <c r="I3580" s="44"/>
      <c r="J3580" s="34">
        <v>0</v>
      </c>
    </row>
    <row r="3581" spans="1:10" ht="15.75" hidden="1" thickBot="1" x14ac:dyDescent="0.3">
      <c r="A3581" s="262"/>
      <c r="B3581" s="252"/>
      <c r="C3581" s="40" t="s">
        <v>904</v>
      </c>
      <c r="D3581" s="40" t="s">
        <v>905</v>
      </c>
      <c r="E3581" s="41">
        <f>0.25/10</f>
        <v>2.5000000000000001E-2</v>
      </c>
      <c r="F3581" s="59">
        <v>0</v>
      </c>
      <c r="G3581" s="59">
        <f t="shared" si="61"/>
        <v>0</v>
      </c>
      <c r="H3581" s="62"/>
      <c r="I3581" s="63"/>
      <c r="J3581" s="34">
        <v>0</v>
      </c>
    </row>
    <row r="3582" spans="1:10" ht="15.75" hidden="1" thickBot="1" x14ac:dyDescent="0.3">
      <c r="A3582" s="262"/>
      <c r="B3582" s="252"/>
      <c r="C3582" s="40" t="s">
        <v>906</v>
      </c>
      <c r="D3582" s="40" t="s">
        <v>28</v>
      </c>
      <c r="E3582" s="41">
        <v>0.25</v>
      </c>
      <c r="F3582" s="59" t="s">
        <v>23</v>
      </c>
      <c r="G3582" s="59" t="str">
        <f t="shared" si="61"/>
        <v/>
      </c>
      <c r="H3582" s="62"/>
      <c r="I3582" s="63"/>
      <c r="J3582" s="34">
        <v>0</v>
      </c>
    </row>
    <row r="3583" spans="1:10" ht="15.75" hidden="1" thickBot="1" x14ac:dyDescent="0.3">
      <c r="A3583" s="262"/>
      <c r="B3583" s="252"/>
      <c r="C3583" s="40" t="s">
        <v>4013</v>
      </c>
      <c r="D3583" s="40" t="s">
        <v>1035</v>
      </c>
      <c r="E3583" s="41">
        <v>0.05</v>
      </c>
      <c r="F3583" s="59">
        <v>3.6194999999999999</v>
      </c>
      <c r="G3583" s="59">
        <f t="shared" si="61"/>
        <v>0.180975</v>
      </c>
      <c r="H3583" s="62"/>
      <c r="I3583" s="63"/>
      <c r="J3583" s="34">
        <v>0</v>
      </c>
    </row>
    <row r="3584" spans="1:10" ht="15.75" hidden="1" thickBot="1" x14ac:dyDescent="0.3">
      <c r="A3584" s="263"/>
      <c r="B3584" s="253"/>
      <c r="C3584" s="40"/>
      <c r="D3584" s="40"/>
      <c r="E3584" s="41"/>
      <c r="F3584" s="59" t="s">
        <v>23</v>
      </c>
      <c r="G3584" s="59" t="str">
        <f t="shared" si="61"/>
        <v/>
      </c>
      <c r="H3584" s="62"/>
      <c r="I3584" s="63"/>
      <c r="J3584" s="34">
        <v>0</v>
      </c>
    </row>
    <row r="3585" spans="1:10" ht="15.75" hidden="1" thickBot="1" x14ac:dyDescent="0.3">
      <c r="A3585" s="248" t="s">
        <v>907</v>
      </c>
      <c r="B3585" s="251" t="s">
        <v>2761</v>
      </c>
      <c r="C3585" s="28"/>
      <c r="D3585" s="29" t="s">
        <v>78</v>
      </c>
      <c r="E3585" s="30"/>
      <c r="F3585" s="51" t="s">
        <v>23</v>
      </c>
      <c r="G3585" s="31" t="str">
        <f t="shared" si="61"/>
        <v/>
      </c>
      <c r="H3585" s="32"/>
      <c r="I3585" s="33"/>
      <c r="J3585" s="34">
        <v>0</v>
      </c>
    </row>
    <row r="3586" spans="1:10" ht="15.75" hidden="1" thickBot="1" x14ac:dyDescent="0.3">
      <c r="A3586" s="262"/>
      <c r="B3586" s="252"/>
      <c r="C3586" s="36"/>
      <c r="D3586" s="36"/>
      <c r="E3586" s="37"/>
      <c r="F3586" s="59" t="s">
        <v>23</v>
      </c>
      <c r="G3586" s="59" t="str">
        <f t="shared" si="61"/>
        <v/>
      </c>
      <c r="H3586" s="62"/>
      <c r="I3586" s="63"/>
      <c r="J3586" s="34">
        <v>0</v>
      </c>
    </row>
    <row r="3587" spans="1:10" ht="15.75" hidden="1" thickBot="1" x14ac:dyDescent="0.3">
      <c r="A3587" s="262"/>
      <c r="B3587" s="252"/>
      <c r="C3587" s="40" t="s">
        <v>3754</v>
      </c>
      <c r="D3587" s="40" t="s">
        <v>3752</v>
      </c>
      <c r="E3587" s="41">
        <v>0.25</v>
      </c>
      <c r="F3587" s="59">
        <v>20.814499999999999</v>
      </c>
      <c r="G3587" s="59">
        <f t="shared" si="61"/>
        <v>5.2036249999999997</v>
      </c>
      <c r="H3587" s="43">
        <f>SUM(G3587:G3588)</f>
        <v>7.1183404999999995</v>
      </c>
      <c r="I3587" s="44"/>
      <c r="J3587" s="34">
        <v>0</v>
      </c>
    </row>
    <row r="3588" spans="1:10" ht="15.75" hidden="1" thickBot="1" x14ac:dyDescent="0.3">
      <c r="A3588" s="262"/>
      <c r="B3588" s="252"/>
      <c r="C3588" s="40" t="s">
        <v>4013</v>
      </c>
      <c r="D3588" s="40" t="s">
        <v>1035</v>
      </c>
      <c r="E3588" s="41">
        <v>0.52900000000000003</v>
      </c>
      <c r="F3588" s="59">
        <v>3.6194999999999999</v>
      </c>
      <c r="G3588" s="59">
        <f t="shared" si="61"/>
        <v>1.9147155</v>
      </c>
      <c r="H3588" s="62"/>
      <c r="I3588" s="63"/>
      <c r="J3588" s="34">
        <v>0</v>
      </c>
    </row>
    <row r="3589" spans="1:10" ht="15.75" hidden="1" thickBot="1" x14ac:dyDescent="0.3">
      <c r="A3589" s="263"/>
      <c r="B3589" s="253"/>
      <c r="C3589" s="40"/>
      <c r="D3589" s="40"/>
      <c r="E3589" s="41"/>
      <c r="F3589" s="59" t="s">
        <v>23</v>
      </c>
      <c r="G3589" s="59" t="str">
        <f t="shared" si="61"/>
        <v/>
      </c>
      <c r="H3589" s="62"/>
      <c r="I3589" s="63"/>
      <c r="J3589" s="34">
        <v>0</v>
      </c>
    </row>
    <row r="3590" spans="1:10" ht="15.75" thickBot="1" x14ac:dyDescent="0.3">
      <c r="A3590" s="248" t="s">
        <v>908</v>
      </c>
      <c r="B3590" s="251" t="s">
        <v>2762</v>
      </c>
      <c r="C3590" s="28"/>
      <c r="D3590" s="29" t="s">
        <v>121</v>
      </c>
      <c r="E3590" s="30"/>
      <c r="F3590" s="51" t="s">
        <v>23</v>
      </c>
      <c r="G3590" s="31" t="str">
        <f t="shared" si="61"/>
        <v/>
      </c>
      <c r="H3590" s="32"/>
      <c r="I3590" s="33"/>
      <c r="J3590" s="34">
        <v>10160</v>
      </c>
    </row>
    <row r="3591" spans="1:10" x14ac:dyDescent="0.25">
      <c r="A3591" s="262"/>
      <c r="B3591" s="266"/>
      <c r="C3591" s="36"/>
      <c r="D3591" s="36"/>
      <c r="E3591" s="37"/>
      <c r="F3591" s="59" t="s">
        <v>23</v>
      </c>
      <c r="G3591" s="59" t="str">
        <f t="shared" si="61"/>
        <v/>
      </c>
      <c r="H3591" s="62"/>
      <c r="I3591" s="63"/>
      <c r="J3591" s="34">
        <v>10160</v>
      </c>
    </row>
    <row r="3592" spans="1:10" x14ac:dyDescent="0.25">
      <c r="A3592" s="262"/>
      <c r="B3592" s="266"/>
      <c r="C3592" s="40" t="s">
        <v>3757</v>
      </c>
      <c r="D3592" s="40" t="s">
        <v>3752</v>
      </c>
      <c r="E3592" s="41">
        <v>1.85</v>
      </c>
      <c r="F3592" s="59">
        <v>28.0535</v>
      </c>
      <c r="G3592" s="59">
        <f t="shared" si="61"/>
        <v>51.898975</v>
      </c>
      <c r="H3592" s="43">
        <f>SUM(G3592:G3596)</f>
        <v>95.760152000000005</v>
      </c>
      <c r="I3592" s="44"/>
      <c r="J3592" s="34">
        <v>10160</v>
      </c>
    </row>
    <row r="3593" spans="1:10" x14ac:dyDescent="0.25">
      <c r="A3593" s="262"/>
      <c r="B3593" s="266"/>
      <c r="C3593" s="40" t="s">
        <v>3754</v>
      </c>
      <c r="D3593" s="40" t="s">
        <v>3752</v>
      </c>
      <c r="E3593" s="41">
        <v>0.374</v>
      </c>
      <c r="F3593" s="59">
        <v>20.814499999999999</v>
      </c>
      <c r="G3593" s="59">
        <f t="shared" si="61"/>
        <v>7.7846229999999998</v>
      </c>
      <c r="H3593" s="62"/>
      <c r="I3593" s="63"/>
      <c r="J3593" s="34">
        <v>10160</v>
      </c>
    </row>
    <row r="3594" spans="1:10" x14ac:dyDescent="0.25">
      <c r="A3594" s="262"/>
      <c r="B3594" s="266"/>
      <c r="C3594" s="40" t="s">
        <v>4008</v>
      </c>
      <c r="D3594" s="40" t="s">
        <v>80</v>
      </c>
      <c r="E3594" s="41">
        <v>6.0000000000000001E-3</v>
      </c>
      <c r="F3594" s="59">
        <v>641.45899999999995</v>
      </c>
      <c r="G3594" s="59">
        <f t="shared" si="61"/>
        <v>3.8487539999999996</v>
      </c>
      <c r="H3594" s="62"/>
      <c r="I3594" s="63"/>
      <c r="J3594" s="34">
        <v>10160</v>
      </c>
    </row>
    <row r="3595" spans="1:10" ht="25.5" x14ac:dyDescent="0.25">
      <c r="A3595" s="262"/>
      <c r="B3595" s="266"/>
      <c r="C3595" s="40" t="s">
        <v>4134</v>
      </c>
      <c r="D3595" s="40" t="s">
        <v>1286</v>
      </c>
      <c r="E3595" s="41">
        <v>1</v>
      </c>
      <c r="F3595" s="59">
        <v>0.58899999999999997</v>
      </c>
      <c r="G3595" s="59">
        <f t="shared" si="61"/>
        <v>0.58899999999999997</v>
      </c>
      <c r="H3595" s="62"/>
      <c r="I3595" s="63"/>
      <c r="J3595" s="34">
        <v>10160</v>
      </c>
    </row>
    <row r="3596" spans="1:10" ht="25.5" x14ac:dyDescent="0.25">
      <c r="A3596" s="262"/>
      <c r="B3596" s="266"/>
      <c r="C3596" s="40" t="s">
        <v>3788</v>
      </c>
      <c r="D3596" s="40" t="s">
        <v>3789</v>
      </c>
      <c r="E3596" s="41">
        <v>0.8</v>
      </c>
      <c r="F3596" s="59">
        <v>39.548499999999997</v>
      </c>
      <c r="G3596" s="59">
        <f t="shared" si="61"/>
        <v>31.6388</v>
      </c>
      <c r="H3596" s="62"/>
      <c r="I3596" s="63"/>
      <c r="J3596" s="34">
        <v>10160</v>
      </c>
    </row>
    <row r="3597" spans="1:10" x14ac:dyDescent="0.25">
      <c r="A3597" s="262"/>
      <c r="B3597" s="266"/>
      <c r="C3597" s="40"/>
      <c r="D3597" s="40"/>
      <c r="E3597" s="41"/>
      <c r="F3597" s="59" t="s">
        <v>23</v>
      </c>
      <c r="G3597" s="59" t="str">
        <f t="shared" si="61"/>
        <v/>
      </c>
      <c r="H3597" s="62"/>
      <c r="I3597" s="63"/>
      <c r="J3597" s="34">
        <v>10160</v>
      </c>
    </row>
    <row r="3598" spans="1:10" x14ac:dyDescent="0.25">
      <c r="A3598" s="262"/>
      <c r="B3598" s="266"/>
      <c r="C3598" s="40" t="s">
        <v>909</v>
      </c>
      <c r="D3598" s="40"/>
      <c r="E3598" s="41"/>
      <c r="F3598" s="59"/>
      <c r="G3598" s="59"/>
      <c r="H3598" s="62"/>
      <c r="I3598" s="63"/>
      <c r="J3598" s="34">
        <v>10160</v>
      </c>
    </row>
    <row r="3599" spans="1:10" ht="15.75" thickBot="1" x14ac:dyDescent="0.3">
      <c r="A3599" s="263"/>
      <c r="B3599" s="253"/>
      <c r="C3599" s="40"/>
      <c r="D3599" s="40"/>
      <c r="E3599" s="41"/>
      <c r="F3599" s="59"/>
      <c r="G3599" s="59"/>
      <c r="H3599" s="62"/>
      <c r="I3599" s="63"/>
      <c r="J3599" s="34">
        <v>10160</v>
      </c>
    </row>
    <row r="3600" spans="1:10" ht="15.75" thickBot="1" x14ac:dyDescent="0.3">
      <c r="A3600" s="248" t="s">
        <v>910</v>
      </c>
      <c r="B3600" s="251" t="s">
        <v>2763</v>
      </c>
      <c r="C3600" s="28"/>
      <c r="D3600" s="29" t="s">
        <v>121</v>
      </c>
      <c r="E3600" s="30"/>
      <c r="F3600" s="51" t="s">
        <v>23</v>
      </c>
      <c r="G3600" s="31" t="str">
        <f t="shared" ref="G3600:G3663" si="62">IF(ISNUMBER(F3600),E3600*F3600,"")</f>
        <v/>
      </c>
      <c r="H3600" s="32"/>
      <c r="I3600" s="33"/>
      <c r="J3600" s="34">
        <v>10000</v>
      </c>
    </row>
    <row r="3601" spans="1:10" x14ac:dyDescent="0.25">
      <c r="A3601" s="262"/>
      <c r="B3601" s="252"/>
      <c r="C3601" s="36"/>
      <c r="D3601" s="36"/>
      <c r="E3601" s="37"/>
      <c r="F3601" s="59" t="s">
        <v>23</v>
      </c>
      <c r="G3601" s="59" t="str">
        <f t="shared" si="62"/>
        <v/>
      </c>
      <c r="H3601" s="62"/>
      <c r="I3601" s="63"/>
      <c r="J3601" s="34">
        <v>10000</v>
      </c>
    </row>
    <row r="3602" spans="1:10" x14ac:dyDescent="0.25">
      <c r="A3602" s="262"/>
      <c r="B3602" s="252"/>
      <c r="C3602" s="40" t="s">
        <v>3767</v>
      </c>
      <c r="D3602" s="40" t="s">
        <v>3752</v>
      </c>
      <c r="E3602" s="41">
        <v>0.68100000000000005</v>
      </c>
      <c r="F3602" s="59">
        <v>25.877999999999997</v>
      </c>
      <c r="G3602" s="59">
        <f t="shared" si="62"/>
        <v>17.622917999999999</v>
      </c>
      <c r="H3602" s="43">
        <f>SUM(G3602:G3603)</f>
        <v>31.464892999999996</v>
      </c>
      <c r="I3602" s="44"/>
      <c r="J3602" s="34">
        <v>10000</v>
      </c>
    </row>
    <row r="3603" spans="1:10" ht="25.5" x14ac:dyDescent="0.25">
      <c r="A3603" s="262"/>
      <c r="B3603" s="252"/>
      <c r="C3603" s="40" t="s">
        <v>3788</v>
      </c>
      <c r="D3603" s="40" t="s">
        <v>3789</v>
      </c>
      <c r="E3603" s="41">
        <v>0.35</v>
      </c>
      <c r="F3603" s="59">
        <v>39.548499999999997</v>
      </c>
      <c r="G3603" s="59">
        <f t="shared" si="62"/>
        <v>13.841974999999998</v>
      </c>
      <c r="H3603" s="62"/>
      <c r="I3603" s="63"/>
      <c r="J3603" s="34">
        <v>10000</v>
      </c>
    </row>
    <row r="3604" spans="1:10" ht="15.75" thickBot="1" x14ac:dyDescent="0.3">
      <c r="A3604" s="263"/>
      <c r="B3604" s="253"/>
      <c r="C3604" s="40"/>
      <c r="D3604" s="40"/>
      <c r="E3604" s="41"/>
      <c r="F3604" s="59" t="s">
        <v>23</v>
      </c>
      <c r="G3604" s="59" t="str">
        <f t="shared" si="62"/>
        <v/>
      </c>
      <c r="H3604" s="62"/>
      <c r="I3604" s="63"/>
      <c r="J3604" s="34">
        <v>10000</v>
      </c>
    </row>
    <row r="3605" spans="1:10" ht="15.75" hidden="1" thickBot="1" x14ac:dyDescent="0.3">
      <c r="A3605" s="248" t="s">
        <v>911</v>
      </c>
      <c r="B3605" s="251" t="s">
        <v>2764</v>
      </c>
      <c r="C3605" s="28"/>
      <c r="D3605" s="29" t="s">
        <v>28</v>
      </c>
      <c r="E3605" s="30"/>
      <c r="F3605" s="51" t="s">
        <v>23</v>
      </c>
      <c r="G3605" s="31" t="str">
        <f t="shared" si="62"/>
        <v/>
      </c>
      <c r="H3605" s="32"/>
      <c r="I3605" s="33"/>
      <c r="J3605" s="34">
        <v>0</v>
      </c>
    </row>
    <row r="3606" spans="1:10" ht="15.75" hidden="1" thickBot="1" x14ac:dyDescent="0.3">
      <c r="A3606" s="262"/>
      <c r="B3606" s="252"/>
      <c r="C3606" s="36"/>
      <c r="D3606" s="36"/>
      <c r="E3606" s="37"/>
      <c r="F3606" s="59" t="s">
        <v>23</v>
      </c>
      <c r="G3606" s="59" t="str">
        <f t="shared" si="62"/>
        <v/>
      </c>
      <c r="H3606" s="62"/>
      <c r="I3606" s="63"/>
      <c r="J3606" s="34">
        <v>0</v>
      </c>
    </row>
    <row r="3607" spans="1:10" ht="26.25" hidden="1" thickBot="1" x14ac:dyDescent="0.3">
      <c r="A3607" s="262"/>
      <c r="B3607" s="252"/>
      <c r="C3607" s="40" t="s">
        <v>4037</v>
      </c>
      <c r="D3607" s="40" t="s">
        <v>291</v>
      </c>
      <c r="E3607" s="41">
        <v>1</v>
      </c>
      <c r="F3607" s="59">
        <v>74.48</v>
      </c>
      <c r="G3607" s="59">
        <f t="shared" si="62"/>
        <v>74.48</v>
      </c>
      <c r="H3607" s="43">
        <f>SUM(G3607:G3610)</f>
        <v>89.700826849999999</v>
      </c>
      <c r="I3607" s="44"/>
      <c r="J3607" s="34">
        <v>0</v>
      </c>
    </row>
    <row r="3608" spans="1:10" ht="15.75" hidden="1" thickBot="1" x14ac:dyDescent="0.3">
      <c r="A3608" s="262"/>
      <c r="B3608" s="252"/>
      <c r="C3608" s="40" t="s">
        <v>3876</v>
      </c>
      <c r="D3608" s="40" t="s">
        <v>291</v>
      </c>
      <c r="E3608" s="41">
        <v>2.1000000000000001E-2</v>
      </c>
      <c r="F3608" s="59">
        <v>3.762</v>
      </c>
      <c r="G3608" s="59">
        <f t="shared" si="62"/>
        <v>7.9002000000000003E-2</v>
      </c>
      <c r="H3608" s="62"/>
      <c r="I3608" s="63"/>
      <c r="J3608" s="34">
        <v>0</v>
      </c>
    </row>
    <row r="3609" spans="1:10" ht="26.25" hidden="1" thickBot="1" x14ac:dyDescent="0.3">
      <c r="A3609" s="262"/>
      <c r="B3609" s="252"/>
      <c r="C3609" s="40" t="s">
        <v>4110</v>
      </c>
      <c r="D3609" s="40" t="s">
        <v>3752</v>
      </c>
      <c r="E3609" s="41">
        <v>0.44669999999999999</v>
      </c>
      <c r="F3609" s="59">
        <v>27.341000000000001</v>
      </c>
      <c r="G3609" s="59">
        <f t="shared" si="62"/>
        <v>12.2132247</v>
      </c>
      <c r="H3609" s="62"/>
      <c r="I3609" s="63"/>
      <c r="J3609" s="34">
        <v>0</v>
      </c>
    </row>
    <row r="3610" spans="1:10" ht="15.75" hidden="1" thickBot="1" x14ac:dyDescent="0.3">
      <c r="A3610" s="262"/>
      <c r="B3610" s="252"/>
      <c r="C3610" s="40" t="s">
        <v>3754</v>
      </c>
      <c r="D3610" s="40" t="s">
        <v>3752</v>
      </c>
      <c r="E3610" s="41">
        <v>0.14069999999999999</v>
      </c>
      <c r="F3610" s="59">
        <v>20.814499999999999</v>
      </c>
      <c r="G3610" s="59">
        <f t="shared" si="62"/>
        <v>2.9286001499999998</v>
      </c>
      <c r="H3610" s="62"/>
      <c r="I3610" s="63"/>
      <c r="J3610" s="34">
        <v>0</v>
      </c>
    </row>
    <row r="3611" spans="1:10" ht="15.75" hidden="1" thickBot="1" x14ac:dyDescent="0.3">
      <c r="A3611" s="263"/>
      <c r="B3611" s="253"/>
      <c r="C3611" s="40"/>
      <c r="D3611" s="40"/>
      <c r="E3611" s="41"/>
      <c r="F3611" s="59" t="s">
        <v>23</v>
      </c>
      <c r="G3611" s="59" t="str">
        <f t="shared" si="62"/>
        <v/>
      </c>
      <c r="H3611" s="62"/>
      <c r="I3611" s="63"/>
      <c r="J3611" s="34">
        <v>0</v>
      </c>
    </row>
    <row r="3612" spans="1:10" ht="15.75" thickBot="1" x14ac:dyDescent="0.3">
      <c r="A3612" s="248" t="s">
        <v>912</v>
      </c>
      <c r="B3612" s="251" t="s">
        <v>2765</v>
      </c>
      <c r="C3612" s="28"/>
      <c r="D3612" s="29" t="s">
        <v>1748</v>
      </c>
      <c r="E3612" s="30"/>
      <c r="F3612" s="51" t="s">
        <v>23</v>
      </c>
      <c r="G3612" s="31" t="str">
        <f t="shared" si="62"/>
        <v/>
      </c>
      <c r="H3612" s="32"/>
      <c r="I3612" s="33"/>
      <c r="J3612" s="34">
        <v>110</v>
      </c>
    </row>
    <row r="3613" spans="1:10" x14ac:dyDescent="0.25">
      <c r="A3613" s="262"/>
      <c r="B3613" s="252"/>
      <c r="C3613" s="36"/>
      <c r="D3613" s="36"/>
      <c r="E3613" s="37"/>
      <c r="F3613" s="59" t="s">
        <v>23</v>
      </c>
      <c r="G3613" s="59" t="str">
        <f t="shared" si="62"/>
        <v/>
      </c>
      <c r="H3613" s="62"/>
      <c r="I3613" s="63"/>
      <c r="J3613" s="34">
        <v>110</v>
      </c>
    </row>
    <row r="3614" spans="1:10" x14ac:dyDescent="0.25">
      <c r="A3614" s="262"/>
      <c r="B3614" s="252"/>
      <c r="C3614" s="40" t="s">
        <v>3757</v>
      </c>
      <c r="D3614" s="40" t="s">
        <v>3752</v>
      </c>
      <c r="E3614" s="41">
        <v>5.4370000000000003</v>
      </c>
      <c r="F3614" s="59">
        <v>28.0535</v>
      </c>
      <c r="G3614" s="59">
        <f t="shared" si="62"/>
        <v>152.52687950000001</v>
      </c>
      <c r="H3614" s="43">
        <f>SUM(G3614:G3616)</f>
        <v>819.86663109876258</v>
      </c>
      <c r="I3614" s="44"/>
      <c r="J3614" s="34">
        <v>110</v>
      </c>
    </row>
    <row r="3615" spans="1:10" x14ac:dyDescent="0.25">
      <c r="A3615" s="262"/>
      <c r="B3615" s="252"/>
      <c r="C3615" s="40" t="s">
        <v>3754</v>
      </c>
      <c r="D3615" s="40" t="s">
        <v>3752</v>
      </c>
      <c r="E3615" s="41">
        <v>1.4830000000000001</v>
      </c>
      <c r="F3615" s="59">
        <v>20.814499999999999</v>
      </c>
      <c r="G3615" s="59">
        <f t="shared" si="62"/>
        <v>30.867903500000001</v>
      </c>
      <c r="H3615" s="62"/>
      <c r="I3615" s="63"/>
      <c r="J3615" s="34">
        <v>110</v>
      </c>
    </row>
    <row r="3616" spans="1:10" ht="38.25" x14ac:dyDescent="0.25">
      <c r="A3616" s="262"/>
      <c r="B3616" s="252"/>
      <c r="C3616" s="40" t="s">
        <v>4702</v>
      </c>
      <c r="D3616" s="40" t="s">
        <v>3764</v>
      </c>
      <c r="E3616" s="41">
        <v>1.1299999999999999</v>
      </c>
      <c r="F3616" s="59">
        <v>563.2494230962501</v>
      </c>
      <c r="G3616" s="59">
        <f t="shared" si="62"/>
        <v>636.47184809876251</v>
      </c>
      <c r="H3616" s="62"/>
      <c r="I3616" s="63"/>
      <c r="J3616" s="34">
        <v>110</v>
      </c>
    </row>
    <row r="3617" spans="1:10" ht="15.75" thickBot="1" x14ac:dyDescent="0.3">
      <c r="A3617" s="263"/>
      <c r="B3617" s="253"/>
      <c r="C3617" s="40"/>
      <c r="D3617" s="40"/>
      <c r="E3617" s="41"/>
      <c r="F3617" s="59" t="s">
        <v>23</v>
      </c>
      <c r="G3617" s="59" t="str">
        <f t="shared" si="62"/>
        <v/>
      </c>
      <c r="H3617" s="62"/>
      <c r="I3617" s="63"/>
      <c r="J3617" s="34">
        <v>110</v>
      </c>
    </row>
    <row r="3618" spans="1:10" ht="15.75" thickBot="1" x14ac:dyDescent="0.3">
      <c r="A3618" s="248" t="s">
        <v>913</v>
      </c>
      <c r="B3618" s="251" t="s">
        <v>2767</v>
      </c>
      <c r="C3618" s="28"/>
      <c r="D3618" s="29" t="s">
        <v>78</v>
      </c>
      <c r="E3618" s="30"/>
      <c r="F3618" s="51" t="s">
        <v>23</v>
      </c>
      <c r="G3618" s="31" t="str">
        <f t="shared" si="62"/>
        <v/>
      </c>
      <c r="H3618" s="32"/>
      <c r="I3618" s="33"/>
      <c r="J3618" s="34">
        <v>26670</v>
      </c>
    </row>
    <row r="3619" spans="1:10" x14ac:dyDescent="0.25">
      <c r="A3619" s="249"/>
      <c r="B3619" s="252"/>
      <c r="C3619" s="36"/>
      <c r="D3619" s="36"/>
      <c r="E3619" s="37"/>
      <c r="F3619" s="59" t="s">
        <v>23</v>
      </c>
      <c r="G3619" s="59" t="str">
        <f t="shared" si="62"/>
        <v/>
      </c>
      <c r="H3619" s="62"/>
      <c r="I3619" s="63"/>
      <c r="J3619" s="34">
        <v>26670</v>
      </c>
    </row>
    <row r="3620" spans="1:10" ht="38.25" x14ac:dyDescent="0.25">
      <c r="A3620" s="249"/>
      <c r="B3620" s="252"/>
      <c r="C3620" s="40" t="s">
        <v>3791</v>
      </c>
      <c r="D3620" s="40" t="s">
        <v>3764</v>
      </c>
      <c r="E3620" s="41">
        <v>8.14E-2</v>
      </c>
      <c r="F3620" s="59">
        <v>420.84999999999997</v>
      </c>
      <c r="G3620" s="59">
        <f t="shared" si="62"/>
        <v>34.257189999999994</v>
      </c>
      <c r="H3620" s="43">
        <f>SUM(G3620:G3626)</f>
        <v>110.73015224999997</v>
      </c>
      <c r="I3620" s="44"/>
      <c r="J3620" s="34">
        <v>26670</v>
      </c>
    </row>
    <row r="3621" spans="1:10" ht="25.5" x14ac:dyDescent="0.25">
      <c r="A3621" s="249"/>
      <c r="B3621" s="252"/>
      <c r="C3621" s="40" t="s">
        <v>3783</v>
      </c>
      <c r="D3621" s="40" t="s">
        <v>1035</v>
      </c>
      <c r="E3621" s="41">
        <v>4</v>
      </c>
      <c r="F3621" s="59">
        <v>10.145999999999999</v>
      </c>
      <c r="G3621" s="59">
        <f t="shared" si="62"/>
        <v>40.583999999999996</v>
      </c>
      <c r="H3621" s="62"/>
      <c r="I3621" s="63"/>
      <c r="J3621" s="34">
        <v>26670</v>
      </c>
    </row>
    <row r="3622" spans="1:10" x14ac:dyDescent="0.25">
      <c r="A3622" s="249"/>
      <c r="B3622" s="252"/>
      <c r="C3622" s="40" t="s">
        <v>3757</v>
      </c>
      <c r="D3622" s="40" t="s">
        <v>3752</v>
      </c>
      <c r="E3622" s="41">
        <v>0.1119</v>
      </c>
      <c r="F3622" s="59">
        <v>28.0535</v>
      </c>
      <c r="G3622" s="59">
        <f t="shared" si="62"/>
        <v>3.1391866500000001</v>
      </c>
      <c r="H3622" s="62"/>
      <c r="I3622" s="63"/>
      <c r="J3622" s="34">
        <v>26670</v>
      </c>
    </row>
    <row r="3623" spans="1:10" x14ac:dyDescent="0.25">
      <c r="A3623" s="249"/>
      <c r="B3623" s="252"/>
      <c r="C3623" s="40" t="s">
        <v>3754</v>
      </c>
      <c r="D3623" s="40" t="s">
        <v>3752</v>
      </c>
      <c r="E3623" s="41">
        <v>4.6600000000000003E-2</v>
      </c>
      <c r="F3623" s="59">
        <v>20.814499999999999</v>
      </c>
      <c r="G3623" s="59">
        <f t="shared" si="62"/>
        <v>0.96995569999999998</v>
      </c>
      <c r="H3623" s="62"/>
      <c r="I3623" s="63"/>
      <c r="J3623" s="34">
        <v>26670</v>
      </c>
    </row>
    <row r="3624" spans="1:10" ht="25.5" x14ac:dyDescent="0.25">
      <c r="A3624" s="249"/>
      <c r="B3624" s="252"/>
      <c r="C3624" s="40" t="s">
        <v>4163</v>
      </c>
      <c r="D3624" s="40" t="s">
        <v>1041</v>
      </c>
      <c r="E3624" s="41">
        <v>7.0000000000000001E-3</v>
      </c>
      <c r="F3624" s="59">
        <v>8.7684999999999995</v>
      </c>
      <c r="G3624" s="59">
        <f t="shared" si="62"/>
        <v>6.1379499999999997E-2</v>
      </c>
      <c r="H3624" s="62"/>
      <c r="I3624" s="63"/>
      <c r="J3624" s="34">
        <v>26670</v>
      </c>
    </row>
    <row r="3625" spans="1:10" ht="38.25" x14ac:dyDescent="0.25">
      <c r="A3625" s="249"/>
      <c r="B3625" s="252"/>
      <c r="C3625" s="40" t="s">
        <v>3801</v>
      </c>
      <c r="D3625" s="40" t="s">
        <v>177</v>
      </c>
      <c r="E3625" s="41">
        <v>1.0815999999999999</v>
      </c>
      <c r="F3625" s="59">
        <v>25.668999999999997</v>
      </c>
      <c r="G3625" s="59">
        <f t="shared" si="62"/>
        <v>27.763590399999995</v>
      </c>
      <c r="H3625" s="62"/>
      <c r="I3625" s="63"/>
      <c r="J3625" s="34">
        <v>26670</v>
      </c>
    </row>
    <row r="3626" spans="1:10" ht="25.5" x14ac:dyDescent="0.25">
      <c r="A3626" s="249"/>
      <c r="B3626" s="252"/>
      <c r="C3626" s="40" t="s">
        <v>3788</v>
      </c>
      <c r="D3626" s="40" t="s">
        <v>3789</v>
      </c>
      <c r="E3626" s="41">
        <v>0.1</v>
      </c>
      <c r="F3626" s="59">
        <v>39.548499999999997</v>
      </c>
      <c r="G3626" s="59">
        <f t="shared" si="62"/>
        <v>3.95485</v>
      </c>
      <c r="H3626" s="62"/>
      <c r="I3626" s="63"/>
      <c r="J3626" s="34">
        <v>26670</v>
      </c>
    </row>
    <row r="3627" spans="1:10" ht="15.75" thickBot="1" x14ac:dyDescent="0.3">
      <c r="A3627" s="250"/>
      <c r="B3627" s="253"/>
      <c r="C3627" s="40"/>
      <c r="D3627" s="40"/>
      <c r="E3627" s="41"/>
      <c r="F3627" s="59" t="s">
        <v>23</v>
      </c>
      <c r="G3627" s="59" t="str">
        <f t="shared" si="62"/>
        <v/>
      </c>
      <c r="H3627" s="62"/>
      <c r="I3627" s="63"/>
      <c r="J3627" s="34">
        <v>26670</v>
      </c>
    </row>
    <row r="3628" spans="1:10" ht="15.75" hidden="1" thickBot="1" x14ac:dyDescent="0.3">
      <c r="A3628" s="248" t="s">
        <v>914</v>
      </c>
      <c r="B3628" s="251" t="s">
        <v>2768</v>
      </c>
      <c r="C3628" s="28"/>
      <c r="D3628" s="29" t="s">
        <v>28</v>
      </c>
      <c r="E3628" s="30"/>
      <c r="F3628" s="51" t="s">
        <v>23</v>
      </c>
      <c r="G3628" s="31" t="str">
        <f t="shared" si="62"/>
        <v/>
      </c>
      <c r="H3628" s="32"/>
      <c r="I3628" s="33"/>
      <c r="J3628" s="34">
        <v>0</v>
      </c>
    </row>
    <row r="3629" spans="1:10" ht="15.75" hidden="1" thickBot="1" x14ac:dyDescent="0.3">
      <c r="A3629" s="262"/>
      <c r="B3629" s="252"/>
      <c r="C3629" s="36"/>
      <c r="D3629" s="36"/>
      <c r="E3629" s="37"/>
      <c r="F3629" s="59" t="s">
        <v>23</v>
      </c>
      <c r="G3629" s="59" t="str">
        <f t="shared" si="62"/>
        <v/>
      </c>
      <c r="H3629" s="62"/>
      <c r="I3629" s="63"/>
      <c r="J3629" s="34">
        <v>0</v>
      </c>
    </row>
    <row r="3630" spans="1:10" ht="26.25" hidden="1" thickBot="1" x14ac:dyDescent="0.3">
      <c r="A3630" s="262"/>
      <c r="B3630" s="252"/>
      <c r="C3630" s="40" t="s">
        <v>4110</v>
      </c>
      <c r="D3630" s="40" t="s">
        <v>3752</v>
      </c>
      <c r="E3630" s="41">
        <v>3</v>
      </c>
      <c r="F3630" s="59">
        <v>27.341000000000001</v>
      </c>
      <c r="G3630" s="59">
        <f t="shared" si="62"/>
        <v>82.022999999999996</v>
      </c>
      <c r="H3630" s="43">
        <f>SUM(G3630:G3631)</f>
        <v>146.68950000000001</v>
      </c>
      <c r="I3630" s="44"/>
      <c r="J3630" s="34">
        <v>0</v>
      </c>
    </row>
    <row r="3631" spans="1:10" ht="26.25" hidden="1" thickBot="1" x14ac:dyDescent="0.3">
      <c r="A3631" s="262"/>
      <c r="B3631" s="252"/>
      <c r="C3631" s="40" t="s">
        <v>4119</v>
      </c>
      <c r="D3631" s="40" t="s">
        <v>3752</v>
      </c>
      <c r="E3631" s="41">
        <v>3</v>
      </c>
      <c r="F3631" s="59">
        <v>21.555499999999999</v>
      </c>
      <c r="G3631" s="59">
        <f t="shared" si="62"/>
        <v>64.666499999999999</v>
      </c>
      <c r="H3631" s="62"/>
      <c r="I3631" s="63"/>
      <c r="J3631" s="34">
        <v>0</v>
      </c>
    </row>
    <row r="3632" spans="1:10" ht="15.75" hidden="1" thickBot="1" x14ac:dyDescent="0.3">
      <c r="A3632" s="263"/>
      <c r="B3632" s="253"/>
      <c r="C3632" s="40"/>
      <c r="D3632" s="40"/>
      <c r="E3632" s="41"/>
      <c r="F3632" s="59" t="s">
        <v>23</v>
      </c>
      <c r="G3632" s="59" t="str">
        <f t="shared" si="62"/>
        <v/>
      </c>
      <c r="H3632" s="62"/>
      <c r="I3632" s="63"/>
      <c r="J3632" s="34">
        <v>0</v>
      </c>
    </row>
    <row r="3633" spans="1:10" ht="15.75" thickBot="1" x14ac:dyDescent="0.3">
      <c r="A3633" s="248" t="s">
        <v>915</v>
      </c>
      <c r="B3633" s="251" t="s">
        <v>2769</v>
      </c>
      <c r="C3633" s="28"/>
      <c r="D3633" s="29" t="s">
        <v>2770</v>
      </c>
      <c r="E3633" s="30"/>
      <c r="F3633" s="51" t="s">
        <v>23</v>
      </c>
      <c r="G3633" s="31" t="str">
        <f t="shared" si="62"/>
        <v/>
      </c>
      <c r="H3633" s="32"/>
      <c r="I3633" s="33"/>
      <c r="J3633" s="34">
        <v>10000</v>
      </c>
    </row>
    <row r="3634" spans="1:10" x14ac:dyDescent="0.25">
      <c r="A3634" s="262"/>
      <c r="B3634" s="252"/>
      <c r="C3634" s="36"/>
      <c r="D3634" s="36"/>
      <c r="E3634" s="37"/>
      <c r="F3634" s="59" t="s">
        <v>23</v>
      </c>
      <c r="G3634" s="59" t="str">
        <f t="shared" si="62"/>
        <v/>
      </c>
      <c r="H3634" s="62"/>
      <c r="I3634" s="63"/>
      <c r="J3634" s="34">
        <v>10000</v>
      </c>
    </row>
    <row r="3635" spans="1:10" ht="51" x14ac:dyDescent="0.25">
      <c r="A3635" s="262"/>
      <c r="B3635" s="252"/>
      <c r="C3635" s="40" t="s">
        <v>3792</v>
      </c>
      <c r="D3635" s="40" t="s">
        <v>1041</v>
      </c>
      <c r="E3635" s="41">
        <v>1.3899999999999999E-2</v>
      </c>
      <c r="F3635" s="59">
        <v>163.4855</v>
      </c>
      <c r="G3635" s="59">
        <f t="shared" si="62"/>
        <v>2.2724484499999997</v>
      </c>
      <c r="H3635" s="43">
        <f>SUM(G3635:G3636)</f>
        <v>2.5960374499999999</v>
      </c>
      <c r="I3635" s="44"/>
      <c r="J3635" s="34">
        <v>10000</v>
      </c>
    </row>
    <row r="3636" spans="1:10" ht="51" x14ac:dyDescent="0.25">
      <c r="A3636" s="262"/>
      <c r="B3636" s="252"/>
      <c r="C3636" s="40" t="s">
        <v>3962</v>
      </c>
      <c r="D3636" s="40" t="s">
        <v>1052</v>
      </c>
      <c r="E3636" s="41">
        <v>6.0000000000000001E-3</v>
      </c>
      <c r="F3636" s="59">
        <v>53.9315</v>
      </c>
      <c r="G3636" s="59">
        <f t="shared" si="62"/>
        <v>0.32358900000000002</v>
      </c>
      <c r="H3636" s="62"/>
      <c r="I3636" s="63"/>
      <c r="J3636" s="34">
        <v>10000</v>
      </c>
    </row>
    <row r="3637" spans="1:10" ht="15.75" thickBot="1" x14ac:dyDescent="0.3">
      <c r="A3637" s="263"/>
      <c r="B3637" s="253"/>
      <c r="C3637" s="40"/>
      <c r="D3637" s="40"/>
      <c r="E3637" s="41"/>
      <c r="F3637" s="59" t="s">
        <v>23</v>
      </c>
      <c r="G3637" s="59" t="str">
        <f t="shared" si="62"/>
        <v/>
      </c>
      <c r="H3637" s="62"/>
      <c r="I3637" s="63"/>
      <c r="J3637" s="34">
        <v>10000</v>
      </c>
    </row>
    <row r="3638" spans="1:10" ht="15.75" hidden="1" thickBot="1" x14ac:dyDescent="0.3">
      <c r="A3638" s="248" t="s">
        <v>916</v>
      </c>
      <c r="B3638" s="251" t="s">
        <v>2773</v>
      </c>
      <c r="C3638" s="28"/>
      <c r="D3638" s="29" t="s">
        <v>82</v>
      </c>
      <c r="E3638" s="30"/>
      <c r="F3638" s="51" t="s">
        <v>23</v>
      </c>
      <c r="G3638" s="31" t="str">
        <f t="shared" si="62"/>
        <v/>
      </c>
      <c r="H3638" s="32"/>
      <c r="I3638" s="33"/>
      <c r="J3638" s="34">
        <v>0</v>
      </c>
    </row>
    <row r="3639" spans="1:10" ht="15.75" hidden="1" thickBot="1" x14ac:dyDescent="0.3">
      <c r="A3639" s="262"/>
      <c r="B3639" s="252"/>
      <c r="C3639" s="36"/>
      <c r="D3639" s="36"/>
      <c r="E3639" s="37"/>
      <c r="F3639" s="59" t="s">
        <v>23</v>
      </c>
      <c r="G3639" s="59" t="str">
        <f t="shared" si="62"/>
        <v/>
      </c>
      <c r="H3639" s="62"/>
      <c r="I3639" s="63"/>
      <c r="J3639" s="34">
        <v>0</v>
      </c>
    </row>
    <row r="3640" spans="1:10" ht="26.25" hidden="1" thickBot="1" x14ac:dyDescent="0.3">
      <c r="A3640" s="262"/>
      <c r="B3640" s="252"/>
      <c r="C3640" s="40" t="s">
        <v>3790</v>
      </c>
      <c r="D3640" s="40" t="s">
        <v>3764</v>
      </c>
      <c r="E3640" s="41">
        <v>2.1999999999999999E-2</v>
      </c>
      <c r="F3640" s="59">
        <v>16.34</v>
      </c>
      <c r="G3640" s="59">
        <f t="shared" si="62"/>
        <v>0.35947999999999997</v>
      </c>
      <c r="H3640" s="43">
        <f>SUM(G3640:G3644)</f>
        <v>6.4728249999999994</v>
      </c>
      <c r="I3640" s="44"/>
      <c r="J3640" s="34">
        <v>0</v>
      </c>
    </row>
    <row r="3641" spans="1:10" ht="39" hidden="1" thickBot="1" x14ac:dyDescent="0.3">
      <c r="A3641" s="262"/>
      <c r="B3641" s="252"/>
      <c r="C3641" s="40" t="s">
        <v>3786</v>
      </c>
      <c r="D3641" s="40" t="s">
        <v>1035</v>
      </c>
      <c r="E3641" s="41">
        <v>5.0000000000000001E-3</v>
      </c>
      <c r="F3641" s="59">
        <v>74.575000000000003</v>
      </c>
      <c r="G3641" s="59">
        <f t="shared" si="62"/>
        <v>0.37287500000000001</v>
      </c>
      <c r="H3641" s="62"/>
      <c r="I3641" s="63"/>
      <c r="J3641" s="34">
        <v>0</v>
      </c>
    </row>
    <row r="3642" spans="1:10" ht="26.25" hidden="1" thickBot="1" x14ac:dyDescent="0.3">
      <c r="A3642" s="262"/>
      <c r="B3642" s="252"/>
      <c r="C3642" s="40" t="s">
        <v>4041</v>
      </c>
      <c r="D3642" s="40" t="s">
        <v>1041</v>
      </c>
      <c r="E3642" s="41">
        <f>E3643</f>
        <v>4.4999999999999998E-2</v>
      </c>
      <c r="F3642" s="59">
        <v>78.099499999999992</v>
      </c>
      <c r="G3642" s="59">
        <f t="shared" si="62"/>
        <v>3.5144774999999995</v>
      </c>
      <c r="H3642" s="62"/>
      <c r="I3642" s="63"/>
      <c r="J3642" s="34">
        <v>0</v>
      </c>
    </row>
    <row r="3643" spans="1:10" ht="15.75" hidden="1" thickBot="1" x14ac:dyDescent="0.3">
      <c r="A3643" s="262"/>
      <c r="B3643" s="252"/>
      <c r="C3643" s="40" t="s">
        <v>4017</v>
      </c>
      <c r="D3643" s="40" t="s">
        <v>3752</v>
      </c>
      <c r="E3643" s="41">
        <v>4.4999999999999998E-2</v>
      </c>
      <c r="F3643" s="59">
        <v>28.651999999999997</v>
      </c>
      <c r="G3643" s="59">
        <f t="shared" si="62"/>
        <v>1.2893399999999999</v>
      </c>
      <c r="H3643" s="62"/>
      <c r="I3643" s="63"/>
      <c r="J3643" s="34">
        <v>0</v>
      </c>
    </row>
    <row r="3644" spans="1:10" ht="15.75" hidden="1" thickBot="1" x14ac:dyDescent="0.3">
      <c r="A3644" s="262"/>
      <c r="B3644" s="252"/>
      <c r="C3644" s="40" t="s">
        <v>3754</v>
      </c>
      <c r="D3644" s="40" t="s">
        <v>3752</v>
      </c>
      <c r="E3644" s="41">
        <v>4.4999999999999998E-2</v>
      </c>
      <c r="F3644" s="59">
        <v>20.814499999999999</v>
      </c>
      <c r="G3644" s="59">
        <f t="shared" si="62"/>
        <v>0.93665249999999989</v>
      </c>
      <c r="H3644" s="62"/>
      <c r="I3644" s="63"/>
      <c r="J3644" s="34">
        <v>0</v>
      </c>
    </row>
    <row r="3645" spans="1:10" ht="15.75" hidden="1" thickBot="1" x14ac:dyDescent="0.3">
      <c r="A3645" s="263"/>
      <c r="B3645" s="253"/>
      <c r="C3645" s="40"/>
      <c r="D3645" s="40"/>
      <c r="E3645" s="41"/>
      <c r="F3645" s="59" t="s">
        <v>23</v>
      </c>
      <c r="G3645" s="59" t="str">
        <f t="shared" si="62"/>
        <v/>
      </c>
      <c r="H3645" s="62"/>
      <c r="I3645" s="63"/>
      <c r="J3645" s="34">
        <v>0</v>
      </c>
    </row>
    <row r="3646" spans="1:10" ht="15.75" hidden="1" thickBot="1" x14ac:dyDescent="0.3">
      <c r="A3646" s="248" t="s">
        <v>917</v>
      </c>
      <c r="B3646" s="251" t="s">
        <v>2775</v>
      </c>
      <c r="C3646" s="28"/>
      <c r="D3646" s="29" t="s">
        <v>1748</v>
      </c>
      <c r="E3646" s="30"/>
      <c r="F3646" s="51" t="s">
        <v>23</v>
      </c>
      <c r="G3646" s="31" t="str">
        <f t="shared" si="62"/>
        <v/>
      </c>
      <c r="H3646" s="32"/>
      <c r="I3646" s="33"/>
      <c r="J3646" s="34">
        <v>0</v>
      </c>
    </row>
    <row r="3647" spans="1:10" ht="15.75" hidden="1" thickBot="1" x14ac:dyDescent="0.3">
      <c r="A3647" s="262"/>
      <c r="B3647" s="252"/>
      <c r="C3647" s="36"/>
      <c r="D3647" s="36"/>
      <c r="E3647" s="37"/>
      <c r="F3647" s="59" t="s">
        <v>23</v>
      </c>
      <c r="G3647" s="59" t="str">
        <f t="shared" si="62"/>
        <v/>
      </c>
      <c r="H3647" s="62"/>
      <c r="I3647" s="63"/>
      <c r="J3647" s="34">
        <v>0</v>
      </c>
    </row>
    <row r="3648" spans="1:10" ht="15.75" hidden="1" thickBot="1" x14ac:dyDescent="0.3">
      <c r="A3648" s="262"/>
      <c r="B3648" s="252"/>
      <c r="C3648" s="40" t="s">
        <v>3754</v>
      </c>
      <c r="D3648" s="40" t="s">
        <v>3752</v>
      </c>
      <c r="E3648" s="41">
        <v>4.3</v>
      </c>
      <c r="F3648" s="59">
        <v>20.814499999999999</v>
      </c>
      <c r="G3648" s="59">
        <f t="shared" si="62"/>
        <v>89.502349999999993</v>
      </c>
      <c r="H3648" s="43">
        <f>SUM(G3648:G3648)</f>
        <v>89.502349999999993</v>
      </c>
      <c r="I3648" s="44"/>
      <c r="J3648" s="34">
        <v>0</v>
      </c>
    </row>
    <row r="3649" spans="1:10" ht="15.75" hidden="1" thickBot="1" x14ac:dyDescent="0.3">
      <c r="A3649" s="263"/>
      <c r="B3649" s="253"/>
      <c r="C3649" s="40"/>
      <c r="D3649" s="40"/>
      <c r="E3649" s="41"/>
      <c r="F3649" s="59" t="s">
        <v>23</v>
      </c>
      <c r="G3649" s="59" t="str">
        <f t="shared" si="62"/>
        <v/>
      </c>
      <c r="H3649" s="62"/>
      <c r="I3649" s="63"/>
      <c r="J3649" s="34">
        <v>0</v>
      </c>
    </row>
    <row r="3650" spans="1:10" ht="15.75" hidden="1" thickBot="1" x14ac:dyDescent="0.3">
      <c r="A3650" s="248" t="s">
        <v>918</v>
      </c>
      <c r="B3650" s="251" t="s">
        <v>2776</v>
      </c>
      <c r="C3650" s="28"/>
      <c r="D3650" s="29" t="s">
        <v>1748</v>
      </c>
      <c r="E3650" s="30"/>
      <c r="F3650" s="51" t="s">
        <v>23</v>
      </c>
      <c r="G3650" s="31" t="str">
        <f t="shared" si="62"/>
        <v/>
      </c>
      <c r="H3650" s="32"/>
      <c r="I3650" s="33"/>
      <c r="J3650" s="34">
        <v>0</v>
      </c>
    </row>
    <row r="3651" spans="1:10" ht="15.75" hidden="1" thickBot="1" x14ac:dyDescent="0.3">
      <c r="A3651" s="262"/>
      <c r="B3651" s="252"/>
      <c r="C3651" s="36"/>
      <c r="D3651" s="36"/>
      <c r="E3651" s="37"/>
      <c r="F3651" s="59" t="s">
        <v>23</v>
      </c>
      <c r="G3651" s="59" t="str">
        <f t="shared" si="62"/>
        <v/>
      </c>
      <c r="H3651" s="62"/>
      <c r="I3651" s="63"/>
      <c r="J3651" s="34">
        <v>0</v>
      </c>
    </row>
    <row r="3652" spans="1:10" ht="51.75" hidden="1" thickBot="1" x14ac:dyDescent="0.3">
      <c r="A3652" s="262"/>
      <c r="B3652" s="252"/>
      <c r="C3652" s="40" t="s">
        <v>4044</v>
      </c>
      <c r="D3652" s="40" t="s">
        <v>1041</v>
      </c>
      <c r="E3652" s="41">
        <v>2.4799999999999999E-2</v>
      </c>
      <c r="F3652" s="59">
        <v>123.91799999999999</v>
      </c>
      <c r="G3652" s="59">
        <f t="shared" si="62"/>
        <v>3.0731663999999999</v>
      </c>
      <c r="H3652" s="43">
        <f>SUM(G3652:G3654)</f>
        <v>5.7782552999999997</v>
      </c>
      <c r="I3652" s="44"/>
      <c r="J3652" s="34">
        <v>0</v>
      </c>
    </row>
    <row r="3653" spans="1:10" ht="51.75" hidden="1" thickBot="1" x14ac:dyDescent="0.3">
      <c r="A3653" s="262"/>
      <c r="B3653" s="252"/>
      <c r="C3653" s="40" t="s">
        <v>4045</v>
      </c>
      <c r="D3653" s="40" t="s">
        <v>1052</v>
      </c>
      <c r="E3653" s="41">
        <v>2.9899999999999999E-2</v>
      </c>
      <c r="F3653" s="59">
        <v>52.392499999999998</v>
      </c>
      <c r="G3653" s="59">
        <f t="shared" si="62"/>
        <v>1.5665357499999999</v>
      </c>
      <c r="H3653" s="62"/>
      <c r="I3653" s="63"/>
      <c r="J3653" s="34">
        <v>0</v>
      </c>
    </row>
    <row r="3654" spans="1:10" ht="15.75" hidden="1" thickBot="1" x14ac:dyDescent="0.3">
      <c r="A3654" s="262"/>
      <c r="B3654" s="252"/>
      <c r="C3654" s="40" t="s">
        <v>3754</v>
      </c>
      <c r="D3654" s="40" t="s">
        <v>3752</v>
      </c>
      <c r="E3654" s="41">
        <v>5.4699999999999999E-2</v>
      </c>
      <c r="F3654" s="59">
        <v>20.814499999999999</v>
      </c>
      <c r="G3654" s="59">
        <f t="shared" si="62"/>
        <v>1.1385531499999999</v>
      </c>
      <c r="H3654" s="62"/>
      <c r="I3654" s="63"/>
      <c r="J3654" s="34">
        <v>0</v>
      </c>
    </row>
    <row r="3655" spans="1:10" ht="15.75" hidden="1" thickBot="1" x14ac:dyDescent="0.3">
      <c r="A3655" s="263"/>
      <c r="B3655" s="253"/>
      <c r="C3655" s="92"/>
      <c r="D3655" s="40"/>
      <c r="E3655" s="41"/>
      <c r="F3655" s="59" t="s">
        <v>23</v>
      </c>
      <c r="G3655" s="59" t="str">
        <f t="shared" si="62"/>
        <v/>
      </c>
      <c r="H3655" s="62"/>
      <c r="I3655" s="63"/>
      <c r="J3655" s="34">
        <v>0</v>
      </c>
    </row>
    <row r="3656" spans="1:10" ht="15.75" hidden="1" thickBot="1" x14ac:dyDescent="0.3">
      <c r="A3656" s="248" t="s">
        <v>919</v>
      </c>
      <c r="B3656" s="251" t="s">
        <v>2777</v>
      </c>
      <c r="C3656" s="28"/>
      <c r="D3656" s="29" t="s">
        <v>78</v>
      </c>
      <c r="E3656" s="30"/>
      <c r="F3656" s="51" t="s">
        <v>23</v>
      </c>
      <c r="G3656" s="31" t="str">
        <f t="shared" si="62"/>
        <v/>
      </c>
      <c r="H3656" s="32"/>
      <c r="I3656" s="33"/>
      <c r="J3656" s="34">
        <v>0</v>
      </c>
    </row>
    <row r="3657" spans="1:10" ht="15.75" hidden="1" thickBot="1" x14ac:dyDescent="0.3">
      <c r="A3657" s="249"/>
      <c r="B3657" s="252"/>
      <c r="C3657" s="36"/>
      <c r="D3657" s="36"/>
      <c r="E3657" s="37"/>
      <c r="F3657" s="59" t="s">
        <v>23</v>
      </c>
      <c r="G3657" s="59" t="str">
        <f t="shared" si="62"/>
        <v/>
      </c>
      <c r="H3657" s="62"/>
      <c r="I3657" s="63"/>
      <c r="J3657" s="34">
        <v>0</v>
      </c>
    </row>
    <row r="3658" spans="1:10" ht="15.75" hidden="1" thickBot="1" x14ac:dyDescent="0.3">
      <c r="A3658" s="249"/>
      <c r="B3658" s="252"/>
      <c r="C3658" s="40" t="s">
        <v>4046</v>
      </c>
      <c r="D3658" s="40" t="s">
        <v>177</v>
      </c>
      <c r="E3658" s="41">
        <v>1</v>
      </c>
      <c r="F3658" s="59">
        <v>10.516500000000001</v>
      </c>
      <c r="G3658" s="59">
        <f t="shared" si="62"/>
        <v>10.516500000000001</v>
      </c>
      <c r="H3658" s="43">
        <f>SUM(G3658:G3668)</f>
        <v>60.380757527205006</v>
      </c>
      <c r="I3658" s="44"/>
      <c r="J3658" s="34">
        <v>0</v>
      </c>
    </row>
    <row r="3659" spans="1:10" ht="15.75" hidden="1" thickBot="1" x14ac:dyDescent="0.3">
      <c r="A3659" s="249"/>
      <c r="B3659" s="252"/>
      <c r="C3659" s="40" t="s">
        <v>3754</v>
      </c>
      <c r="D3659" s="40" t="s">
        <v>3752</v>
      </c>
      <c r="E3659" s="41">
        <v>0.15640000000000001</v>
      </c>
      <c r="F3659" s="59">
        <v>20.814499999999999</v>
      </c>
      <c r="G3659" s="59">
        <f t="shared" si="62"/>
        <v>3.2553878000000003</v>
      </c>
      <c r="H3659" s="62"/>
      <c r="I3659" s="63"/>
      <c r="J3659" s="34">
        <v>0</v>
      </c>
    </row>
    <row r="3660" spans="1:10" ht="15.75" hidden="1" thickBot="1" x14ac:dyDescent="0.3">
      <c r="A3660" s="249"/>
      <c r="B3660" s="252"/>
      <c r="C3660" s="40" t="s">
        <v>4047</v>
      </c>
      <c r="D3660" s="40" t="s">
        <v>3752</v>
      </c>
      <c r="E3660" s="41">
        <v>3.9100000000000003E-2</v>
      </c>
      <c r="F3660" s="59">
        <v>22.011500000000002</v>
      </c>
      <c r="G3660" s="59">
        <f t="shared" si="62"/>
        <v>0.86064965000000015</v>
      </c>
      <c r="H3660" s="62"/>
      <c r="I3660" s="63"/>
      <c r="J3660" s="34">
        <v>0</v>
      </c>
    </row>
    <row r="3661" spans="1:10" ht="15.75" hidden="1" thickBot="1" x14ac:dyDescent="0.3">
      <c r="A3661" s="249"/>
      <c r="B3661" s="252"/>
      <c r="C3661" s="40" t="s">
        <v>3754</v>
      </c>
      <c r="D3661" s="40" t="s">
        <v>3752</v>
      </c>
      <c r="E3661" s="41">
        <f>1.6*0.25</f>
        <v>0.4</v>
      </c>
      <c r="F3661" s="59">
        <v>20.814499999999999</v>
      </c>
      <c r="G3661" s="59">
        <f t="shared" si="62"/>
        <v>8.3257999999999992</v>
      </c>
      <c r="H3661" s="62"/>
      <c r="I3661" s="63"/>
      <c r="J3661" s="34">
        <v>0</v>
      </c>
    </row>
    <row r="3662" spans="1:10" ht="26.25" hidden="1" thickBot="1" x14ac:dyDescent="0.3">
      <c r="A3662" s="249"/>
      <c r="B3662" s="252"/>
      <c r="C3662" s="40" t="s">
        <v>4048</v>
      </c>
      <c r="D3662" s="40" t="s">
        <v>1035</v>
      </c>
      <c r="E3662" s="41">
        <f>1*0.25</f>
        <v>0.25</v>
      </c>
      <c r="F3662" s="59">
        <v>0.25650000000000001</v>
      </c>
      <c r="G3662" s="59">
        <f t="shared" si="62"/>
        <v>6.4125000000000001E-2</v>
      </c>
      <c r="H3662" s="62"/>
      <c r="I3662" s="63"/>
      <c r="J3662" s="34">
        <v>0</v>
      </c>
    </row>
    <row r="3663" spans="1:10" ht="15.75" hidden="1" thickBot="1" x14ac:dyDescent="0.3">
      <c r="A3663" s="249"/>
      <c r="B3663" s="252"/>
      <c r="C3663" s="40" t="s">
        <v>4049</v>
      </c>
      <c r="D3663" s="40" t="s">
        <v>3764</v>
      </c>
      <c r="E3663" s="41">
        <f>0.9*0.25</f>
        <v>0.22500000000000001</v>
      </c>
      <c r="F3663" s="59">
        <v>162.84899999999999</v>
      </c>
      <c r="G3663" s="59">
        <f t="shared" si="62"/>
        <v>36.641024999999999</v>
      </c>
      <c r="H3663" s="62"/>
      <c r="I3663" s="63"/>
      <c r="J3663" s="34">
        <v>0</v>
      </c>
    </row>
    <row r="3664" spans="1:10" ht="15.75" hidden="1" thickBot="1" x14ac:dyDescent="0.3">
      <c r="A3664" s="249"/>
      <c r="B3664" s="252"/>
      <c r="C3664" s="40" t="s">
        <v>4050</v>
      </c>
      <c r="D3664" s="40" t="s">
        <v>1035</v>
      </c>
      <c r="E3664" s="41">
        <f>1*0.25</f>
        <v>0.25</v>
      </c>
      <c r="F3664" s="59">
        <v>2.698</v>
      </c>
      <c r="G3664" s="59">
        <f t="shared" ref="G3664:G3727" si="63">IF(ISNUMBER(F3664),E3664*F3664,"")</f>
        <v>0.67449999999999999</v>
      </c>
      <c r="H3664" s="62"/>
      <c r="I3664" s="63"/>
      <c r="J3664" s="34">
        <v>0</v>
      </c>
    </row>
    <row r="3665" spans="1:10" ht="15.75" hidden="1" thickBot="1" x14ac:dyDescent="0.3">
      <c r="A3665" s="249"/>
      <c r="B3665" s="252"/>
      <c r="C3665" s="40" t="s">
        <v>4051</v>
      </c>
      <c r="D3665" s="40" t="s">
        <v>1035</v>
      </c>
      <c r="E3665" s="41">
        <f>0.1*0.25</f>
        <v>2.5000000000000001E-2</v>
      </c>
      <c r="F3665" s="59">
        <v>1.3015000000000001</v>
      </c>
      <c r="G3665" s="59">
        <f t="shared" si="63"/>
        <v>3.2537500000000004E-2</v>
      </c>
      <c r="H3665" s="62"/>
      <c r="I3665" s="63"/>
      <c r="J3665" s="34">
        <v>0</v>
      </c>
    </row>
    <row r="3666" spans="1:10" ht="51.75" hidden="1" thickBot="1" x14ac:dyDescent="0.3">
      <c r="A3666" s="249"/>
      <c r="B3666" s="252"/>
      <c r="C3666" s="40" t="s">
        <v>4754</v>
      </c>
      <c r="D3666" s="40" t="s">
        <v>4753</v>
      </c>
      <c r="E3666" s="41">
        <f>ROUND(1*E3662/1000,4)</f>
        <v>2.9999999999999997E-4</v>
      </c>
      <c r="F3666" s="38">
        <v>5.1729048500000001</v>
      </c>
      <c r="G3666" s="38">
        <f t="shared" si="63"/>
        <v>1.5518714549999999E-3</v>
      </c>
      <c r="H3666" s="39"/>
      <c r="I3666" s="35"/>
      <c r="J3666" s="34">
        <v>0</v>
      </c>
    </row>
    <row r="3667" spans="1:10" ht="39" hidden="1" thickBot="1" x14ac:dyDescent="0.3">
      <c r="A3667" s="249"/>
      <c r="B3667" s="252"/>
      <c r="C3667" s="40" t="s">
        <v>4716</v>
      </c>
      <c r="D3667" s="40" t="s">
        <v>4715</v>
      </c>
      <c r="E3667" s="41">
        <f>20*E3662*1/1000</f>
        <v>5.0000000000000001E-3</v>
      </c>
      <c r="F3667" s="59">
        <v>1.7361411499999997</v>
      </c>
      <c r="G3667" s="59">
        <f t="shared" si="63"/>
        <v>8.6807057499999982E-3</v>
      </c>
      <c r="H3667" s="62"/>
      <c r="I3667" s="63"/>
      <c r="J3667" s="34">
        <v>0</v>
      </c>
    </row>
    <row r="3668" spans="1:10" ht="15.75" hidden="1" thickBot="1" x14ac:dyDescent="0.3">
      <c r="A3668" s="249"/>
      <c r="B3668" s="252"/>
      <c r="C3668" s="40"/>
      <c r="D3668" s="40"/>
      <c r="E3668" s="41"/>
      <c r="F3668" s="59" t="s">
        <v>23</v>
      </c>
      <c r="G3668" s="59" t="str">
        <f t="shared" si="63"/>
        <v/>
      </c>
      <c r="H3668" s="62"/>
      <c r="I3668" s="63"/>
      <c r="J3668" s="34">
        <v>0</v>
      </c>
    </row>
    <row r="3669" spans="1:10" ht="26.25" hidden="1" thickBot="1" x14ac:dyDescent="0.3">
      <c r="A3669" s="249"/>
      <c r="B3669" s="252"/>
      <c r="C3669" s="50" t="s">
        <v>920</v>
      </c>
      <c r="D3669" s="40"/>
      <c r="E3669" s="41"/>
      <c r="F3669" s="59" t="s">
        <v>23</v>
      </c>
      <c r="G3669" s="59" t="str">
        <f t="shared" si="63"/>
        <v/>
      </c>
      <c r="H3669" s="62"/>
      <c r="I3669" s="63"/>
      <c r="J3669" s="34">
        <v>0</v>
      </c>
    </row>
    <row r="3670" spans="1:10" ht="15.75" hidden="1" thickBot="1" x14ac:dyDescent="0.3">
      <c r="A3670" s="250"/>
      <c r="B3670" s="253"/>
      <c r="C3670" s="40"/>
      <c r="D3670" s="40"/>
      <c r="E3670" s="41"/>
      <c r="F3670" s="59" t="s">
        <v>23</v>
      </c>
      <c r="G3670" s="59" t="str">
        <f t="shared" si="63"/>
        <v/>
      </c>
      <c r="H3670" s="62"/>
      <c r="I3670" s="63"/>
      <c r="J3670" s="34">
        <v>0</v>
      </c>
    </row>
    <row r="3671" spans="1:10" ht="15.75" thickBot="1" x14ac:dyDescent="0.3">
      <c r="A3671" s="248" t="s">
        <v>921</v>
      </c>
      <c r="B3671" s="251" t="s">
        <v>2778</v>
      </c>
      <c r="C3671" s="28"/>
      <c r="D3671" s="29" t="s">
        <v>121</v>
      </c>
      <c r="E3671" s="30"/>
      <c r="F3671" s="51" t="s">
        <v>23</v>
      </c>
      <c r="G3671" s="31" t="str">
        <f t="shared" si="63"/>
        <v/>
      </c>
      <c r="H3671" s="32"/>
      <c r="I3671" s="33"/>
      <c r="J3671" s="34">
        <v>91110</v>
      </c>
    </row>
    <row r="3672" spans="1:10" x14ac:dyDescent="0.25">
      <c r="A3672" s="262"/>
      <c r="B3672" s="252"/>
      <c r="C3672" s="36"/>
      <c r="D3672" s="36"/>
      <c r="E3672" s="37"/>
      <c r="F3672" s="59" t="s">
        <v>23</v>
      </c>
      <c r="G3672" s="59" t="str">
        <f t="shared" si="63"/>
        <v/>
      </c>
      <c r="H3672" s="62"/>
      <c r="I3672" s="63"/>
      <c r="J3672" s="34">
        <v>91110</v>
      </c>
    </row>
    <row r="3673" spans="1:10" x14ac:dyDescent="0.25">
      <c r="A3673" s="262"/>
      <c r="B3673" s="252"/>
      <c r="C3673" s="40" t="s">
        <v>3842</v>
      </c>
      <c r="D3673" s="40" t="s">
        <v>80</v>
      </c>
      <c r="E3673" s="41">
        <f>ROUND(0.427/2*(0.25+0.13+0.25),4)</f>
        <v>0.13450000000000001</v>
      </c>
      <c r="F3673" s="59">
        <v>18.5535</v>
      </c>
      <c r="G3673" s="59">
        <f t="shared" si="63"/>
        <v>2.49544575</v>
      </c>
      <c r="H3673" s="43">
        <f>SUM(G3673:G3675)</f>
        <v>5.7791608874999998</v>
      </c>
      <c r="I3673" s="44"/>
      <c r="J3673" s="34">
        <v>91110</v>
      </c>
    </row>
    <row r="3674" spans="1:10" x14ac:dyDescent="0.25">
      <c r="A3674" s="262"/>
      <c r="B3674" s="252"/>
      <c r="C3674" s="40" t="s">
        <v>3753</v>
      </c>
      <c r="D3674" s="40" t="s">
        <v>3752</v>
      </c>
      <c r="E3674" s="41">
        <f>0.275*(0.25+0.13+0.25)/2</f>
        <v>8.6625000000000008E-2</v>
      </c>
      <c r="F3674" s="59">
        <v>29.202999999999996</v>
      </c>
      <c r="G3674" s="59">
        <f t="shared" si="63"/>
        <v>2.529709875</v>
      </c>
      <c r="H3674" s="62"/>
      <c r="I3674" s="63"/>
      <c r="J3674" s="34">
        <v>91110</v>
      </c>
    </row>
    <row r="3675" spans="1:10" x14ac:dyDescent="0.25">
      <c r="A3675" s="262"/>
      <c r="B3675" s="252"/>
      <c r="C3675" s="40" t="s">
        <v>3754</v>
      </c>
      <c r="D3675" s="40" t="s">
        <v>3752</v>
      </c>
      <c r="E3675" s="41">
        <f>0.115*(0.25+0.13+0.25)/2</f>
        <v>3.6225E-2</v>
      </c>
      <c r="F3675" s="59">
        <v>20.814499999999999</v>
      </c>
      <c r="G3675" s="59">
        <f t="shared" si="63"/>
        <v>0.7540052625</v>
      </c>
      <c r="H3675" s="62"/>
      <c r="I3675" s="63"/>
      <c r="J3675" s="34">
        <v>91110</v>
      </c>
    </row>
    <row r="3676" spans="1:10" x14ac:dyDescent="0.25">
      <c r="A3676" s="262"/>
      <c r="B3676" s="252"/>
      <c r="C3676" s="40"/>
      <c r="D3676" s="40"/>
      <c r="E3676" s="41"/>
      <c r="F3676" s="59" t="s">
        <v>23</v>
      </c>
      <c r="G3676" s="59" t="str">
        <f t="shared" si="63"/>
        <v/>
      </c>
      <c r="H3676" s="62"/>
      <c r="I3676" s="63"/>
      <c r="J3676" s="34">
        <v>91110</v>
      </c>
    </row>
    <row r="3677" spans="1:10" ht="25.5" x14ac:dyDescent="0.25">
      <c r="A3677" s="262"/>
      <c r="B3677" s="252"/>
      <c r="C3677" s="50" t="s">
        <v>922</v>
      </c>
      <c r="D3677" s="40"/>
      <c r="E3677" s="41"/>
      <c r="F3677" s="59" t="s">
        <v>23</v>
      </c>
      <c r="G3677" s="59" t="str">
        <f t="shared" si="63"/>
        <v/>
      </c>
      <c r="H3677" s="62"/>
      <c r="I3677" s="63"/>
      <c r="J3677" s="34">
        <v>91110</v>
      </c>
    </row>
    <row r="3678" spans="1:10" ht="15.75" thickBot="1" x14ac:dyDescent="0.3">
      <c r="A3678" s="263"/>
      <c r="B3678" s="253"/>
      <c r="C3678" s="40"/>
      <c r="D3678" s="40"/>
      <c r="E3678" s="41"/>
      <c r="F3678" s="59" t="s">
        <v>23</v>
      </c>
      <c r="G3678" s="59" t="str">
        <f t="shared" si="63"/>
        <v/>
      </c>
      <c r="H3678" s="62"/>
      <c r="I3678" s="63"/>
      <c r="J3678" s="34">
        <v>91110</v>
      </c>
    </row>
    <row r="3679" spans="1:10" ht="15.75" thickBot="1" x14ac:dyDescent="0.3">
      <c r="A3679" s="248" t="s">
        <v>923</v>
      </c>
      <c r="B3679" s="251" t="s">
        <v>2779</v>
      </c>
      <c r="C3679" s="28"/>
      <c r="D3679" s="29" t="s">
        <v>121</v>
      </c>
      <c r="E3679" s="30"/>
      <c r="F3679" s="51" t="s">
        <v>23</v>
      </c>
      <c r="G3679" s="31" t="str">
        <f t="shared" si="63"/>
        <v/>
      </c>
      <c r="H3679" s="32"/>
      <c r="I3679" s="33"/>
      <c r="J3679" s="34">
        <v>810</v>
      </c>
    </row>
    <row r="3680" spans="1:10" x14ac:dyDescent="0.25">
      <c r="A3680" s="249"/>
      <c r="B3680" s="252"/>
      <c r="C3680" s="36"/>
      <c r="D3680" s="36"/>
      <c r="E3680" s="37"/>
      <c r="F3680" s="59" t="s">
        <v>23</v>
      </c>
      <c r="G3680" s="59" t="str">
        <f t="shared" si="63"/>
        <v/>
      </c>
      <c r="H3680" s="62"/>
      <c r="I3680" s="63"/>
      <c r="J3680" s="34">
        <v>810</v>
      </c>
    </row>
    <row r="3681" spans="1:10" ht="25.5" x14ac:dyDescent="0.25">
      <c r="A3681" s="249"/>
      <c r="B3681" s="252"/>
      <c r="C3681" s="40" t="s">
        <v>3763</v>
      </c>
      <c r="D3681" s="40" t="s">
        <v>3764</v>
      </c>
      <c r="E3681" s="41">
        <v>7.0000000000000001E-3</v>
      </c>
      <c r="F3681" s="59">
        <v>204.23099999999999</v>
      </c>
      <c r="G3681" s="59">
        <f t="shared" si="63"/>
        <v>1.4296169999999999</v>
      </c>
      <c r="H3681" s="43">
        <f>SUM(G3681:G3689)</f>
        <v>52.139791086624996</v>
      </c>
      <c r="I3681" s="44"/>
      <c r="J3681" s="34">
        <v>810</v>
      </c>
    </row>
    <row r="3682" spans="1:10" ht="25.5" x14ac:dyDescent="0.25">
      <c r="A3682" s="249"/>
      <c r="B3682" s="252"/>
      <c r="C3682" s="40" t="s">
        <v>4052</v>
      </c>
      <c r="D3682" s="40" t="s">
        <v>1286</v>
      </c>
      <c r="E3682" s="41">
        <v>1.0049999999999999</v>
      </c>
      <c r="F3682" s="59">
        <v>29.3645</v>
      </c>
      <c r="G3682" s="59">
        <f t="shared" si="63"/>
        <v>29.511322499999995</v>
      </c>
      <c r="H3682" s="62"/>
      <c r="I3682" s="63"/>
      <c r="J3682" s="34">
        <v>810</v>
      </c>
    </row>
    <row r="3683" spans="1:10" x14ac:dyDescent="0.25">
      <c r="A3683" s="249"/>
      <c r="B3683" s="252"/>
      <c r="C3683" s="40" t="s">
        <v>3757</v>
      </c>
      <c r="D3683" s="40" t="s">
        <v>3752</v>
      </c>
      <c r="E3683" s="41">
        <v>0.39400000000000002</v>
      </c>
      <c r="F3683" s="59">
        <v>28.0535</v>
      </c>
      <c r="G3683" s="59">
        <f t="shared" si="63"/>
        <v>11.053079</v>
      </c>
      <c r="H3683" s="62"/>
      <c r="I3683" s="63"/>
      <c r="J3683" s="34">
        <v>810</v>
      </c>
    </row>
    <row r="3684" spans="1:10" x14ac:dyDescent="0.25">
      <c r="A3684" s="249"/>
      <c r="B3684" s="252"/>
      <c r="C3684" s="40" t="s">
        <v>3754</v>
      </c>
      <c r="D3684" s="40" t="s">
        <v>3752</v>
      </c>
      <c r="E3684" s="41">
        <v>0.39400000000000002</v>
      </c>
      <c r="F3684" s="59">
        <v>20.814499999999999</v>
      </c>
      <c r="G3684" s="59">
        <f t="shared" si="63"/>
        <v>8.2009129999999999</v>
      </c>
      <c r="H3684" s="62"/>
      <c r="I3684" s="63"/>
      <c r="J3684" s="34">
        <v>810</v>
      </c>
    </row>
    <row r="3685" spans="1:10" ht="25.5" x14ac:dyDescent="0.25">
      <c r="A3685" s="249"/>
      <c r="B3685" s="252"/>
      <c r="C3685" s="40" t="s">
        <v>4740</v>
      </c>
      <c r="D3685" s="40" t="s">
        <v>3764</v>
      </c>
      <c r="E3685" s="41">
        <v>2E-3</v>
      </c>
      <c r="F3685" s="59">
        <v>763.57365893749989</v>
      </c>
      <c r="G3685" s="59">
        <f t="shared" si="63"/>
        <v>1.5271473178749999</v>
      </c>
      <c r="H3685" s="62"/>
      <c r="I3685" s="63"/>
      <c r="J3685" s="34">
        <v>810</v>
      </c>
    </row>
    <row r="3686" spans="1:10" ht="51" x14ac:dyDescent="0.25">
      <c r="A3686" s="249"/>
      <c r="B3686" s="252"/>
      <c r="C3686" s="40" t="s">
        <v>4752</v>
      </c>
      <c r="D3686" s="40" t="s">
        <v>3764</v>
      </c>
      <c r="E3686" s="41">
        <f>1*E3681</f>
        <v>7.0000000000000001E-3</v>
      </c>
      <c r="F3686" s="38">
        <v>7.75243225</v>
      </c>
      <c r="G3686" s="38">
        <f t="shared" si="63"/>
        <v>5.4267025750000003E-2</v>
      </c>
      <c r="H3686" s="39"/>
      <c r="I3686" s="35"/>
      <c r="J3686" s="34">
        <v>810</v>
      </c>
    </row>
    <row r="3687" spans="1:10" ht="38.25" x14ac:dyDescent="0.25">
      <c r="A3687" s="249"/>
      <c r="B3687" s="252"/>
      <c r="C3687" s="40" t="s">
        <v>4749</v>
      </c>
      <c r="D3687" s="40" t="s">
        <v>4744</v>
      </c>
      <c r="E3687" s="41">
        <f>0.007*20</f>
        <v>0.14000000000000001</v>
      </c>
      <c r="F3687" s="59">
        <v>2.5960374499999999</v>
      </c>
      <c r="G3687" s="59">
        <f t="shared" si="63"/>
        <v>0.36344524300000003</v>
      </c>
      <c r="H3687" s="62"/>
      <c r="I3687" s="63"/>
      <c r="J3687" s="34">
        <v>810</v>
      </c>
    </row>
    <row r="3688" spans="1:10" x14ac:dyDescent="0.25">
      <c r="A3688" s="249"/>
      <c r="B3688" s="252"/>
      <c r="C3688" s="40"/>
      <c r="D3688" s="40"/>
      <c r="E3688" s="41"/>
      <c r="F3688" s="59" t="s">
        <v>23</v>
      </c>
      <c r="G3688" s="59" t="str">
        <f t="shared" si="63"/>
        <v/>
      </c>
      <c r="H3688" s="62"/>
      <c r="I3688" s="63"/>
      <c r="J3688" s="34">
        <v>810</v>
      </c>
    </row>
    <row r="3689" spans="1:10" x14ac:dyDescent="0.25">
      <c r="A3689" s="249"/>
      <c r="B3689" s="252"/>
      <c r="C3689" s="50" t="s">
        <v>924</v>
      </c>
      <c r="D3689" s="40"/>
      <c r="E3689" s="41"/>
      <c r="F3689" s="59" t="s">
        <v>23</v>
      </c>
      <c r="G3689" s="59" t="str">
        <f t="shared" si="63"/>
        <v/>
      </c>
      <c r="H3689" s="62"/>
      <c r="I3689" s="63"/>
      <c r="J3689" s="34">
        <v>810</v>
      </c>
    </row>
    <row r="3690" spans="1:10" ht="15.75" thickBot="1" x14ac:dyDescent="0.3">
      <c r="A3690" s="250"/>
      <c r="B3690" s="253"/>
      <c r="C3690" s="40"/>
      <c r="D3690" s="40"/>
      <c r="E3690" s="41"/>
      <c r="F3690" s="59" t="s">
        <v>23</v>
      </c>
      <c r="G3690" s="59" t="str">
        <f t="shared" si="63"/>
        <v/>
      </c>
      <c r="H3690" s="62"/>
      <c r="I3690" s="63"/>
      <c r="J3690" s="34">
        <v>810</v>
      </c>
    </row>
    <row r="3691" spans="1:10" ht="15.75" hidden="1" thickBot="1" x14ac:dyDescent="0.3">
      <c r="A3691" s="248" t="s">
        <v>925</v>
      </c>
      <c r="B3691" s="251" t="s">
        <v>2780</v>
      </c>
      <c r="C3691" s="28"/>
      <c r="D3691" s="29" t="s">
        <v>121</v>
      </c>
      <c r="E3691" s="30"/>
      <c r="F3691" s="51" t="s">
        <v>23</v>
      </c>
      <c r="G3691" s="31" t="str">
        <f t="shared" si="63"/>
        <v/>
      </c>
      <c r="H3691" s="32"/>
      <c r="I3691" s="33"/>
      <c r="J3691" s="34">
        <v>0</v>
      </c>
    </row>
    <row r="3692" spans="1:10" ht="15.75" hidden="1" thickBot="1" x14ac:dyDescent="0.3">
      <c r="A3692" s="249"/>
      <c r="B3692" s="252"/>
      <c r="C3692" s="36"/>
      <c r="D3692" s="36"/>
      <c r="E3692" s="37"/>
      <c r="F3692" s="59" t="s">
        <v>23</v>
      </c>
      <c r="G3692" s="59" t="str">
        <f t="shared" si="63"/>
        <v/>
      </c>
      <c r="H3692" s="62"/>
      <c r="I3692" s="63"/>
      <c r="J3692" s="34">
        <v>0</v>
      </c>
    </row>
    <row r="3693" spans="1:10" ht="26.25" hidden="1" thickBot="1" x14ac:dyDescent="0.3">
      <c r="A3693" s="249"/>
      <c r="B3693" s="252"/>
      <c r="C3693" s="40" t="s">
        <v>3994</v>
      </c>
      <c r="D3693" s="40" t="s">
        <v>3764</v>
      </c>
      <c r="E3693" s="41">
        <v>0.23</v>
      </c>
      <c r="F3693" s="59">
        <v>171</v>
      </c>
      <c r="G3693" s="59">
        <f t="shared" si="63"/>
        <v>39.33</v>
      </c>
      <c r="H3693" s="43">
        <f>SUM(G3693:G3703)</f>
        <v>152.59326668750001</v>
      </c>
      <c r="I3693" s="44"/>
      <c r="J3693" s="34">
        <v>0</v>
      </c>
    </row>
    <row r="3694" spans="1:10" ht="39" hidden="1" thickBot="1" x14ac:dyDescent="0.3">
      <c r="A3694" s="249"/>
      <c r="B3694" s="252"/>
      <c r="C3694" s="40" t="s">
        <v>4053</v>
      </c>
      <c r="D3694" s="40" t="s">
        <v>1286</v>
      </c>
      <c r="E3694" s="41">
        <v>1.01</v>
      </c>
      <c r="F3694" s="59">
        <v>11.333499999999999</v>
      </c>
      <c r="G3694" s="59">
        <f t="shared" si="63"/>
        <v>11.446834999999998</v>
      </c>
      <c r="H3694" s="62"/>
      <c r="I3694" s="63"/>
      <c r="J3694" s="34">
        <v>0</v>
      </c>
    </row>
    <row r="3695" spans="1:10" ht="26.25" hidden="1" thickBot="1" x14ac:dyDescent="0.3">
      <c r="A3695" s="249"/>
      <c r="B3695" s="252"/>
      <c r="C3695" s="40" t="s">
        <v>4110</v>
      </c>
      <c r="D3695" s="40" t="s">
        <v>3752</v>
      </c>
      <c r="E3695" s="41">
        <v>0.5</v>
      </c>
      <c r="F3695" s="59">
        <v>27.341000000000001</v>
      </c>
      <c r="G3695" s="59">
        <f t="shared" si="63"/>
        <v>13.670500000000001</v>
      </c>
      <c r="H3695" s="62"/>
      <c r="I3695" s="63"/>
      <c r="J3695" s="34">
        <v>0</v>
      </c>
    </row>
    <row r="3696" spans="1:10" ht="15.75" hidden="1" thickBot="1" x14ac:dyDescent="0.3">
      <c r="A3696" s="249"/>
      <c r="B3696" s="252"/>
      <c r="C3696" s="40" t="s">
        <v>3754</v>
      </c>
      <c r="D3696" s="40" t="s">
        <v>3752</v>
      </c>
      <c r="E3696" s="41">
        <v>0.7</v>
      </c>
      <c r="F3696" s="59">
        <v>20.814499999999999</v>
      </c>
      <c r="G3696" s="59">
        <f t="shared" si="63"/>
        <v>14.570149999999998</v>
      </c>
      <c r="H3696" s="62"/>
      <c r="I3696" s="63"/>
      <c r="J3696" s="34">
        <v>0</v>
      </c>
    </row>
    <row r="3697" spans="1:10" ht="26.25" hidden="1" thickBot="1" x14ac:dyDescent="0.3">
      <c r="A3697" s="249"/>
      <c r="B3697" s="252"/>
      <c r="C3697" s="40" t="s">
        <v>4054</v>
      </c>
      <c r="D3697" s="40" t="s">
        <v>177</v>
      </c>
      <c r="E3697" s="41">
        <v>2.2000000000000002</v>
      </c>
      <c r="F3697" s="59">
        <v>22.306000000000001</v>
      </c>
      <c r="G3697" s="59">
        <f t="shared" si="63"/>
        <v>49.073200000000007</v>
      </c>
      <c r="H3697" s="62"/>
      <c r="I3697" s="63"/>
      <c r="J3697" s="34">
        <v>0</v>
      </c>
    </row>
    <row r="3698" spans="1:10" ht="26.25" hidden="1" thickBot="1" x14ac:dyDescent="0.3">
      <c r="A3698" s="249"/>
      <c r="B3698" s="252"/>
      <c r="C3698" s="40" t="s">
        <v>4119</v>
      </c>
      <c r="D3698" s="40" t="s">
        <v>3752</v>
      </c>
      <c r="E3698" s="41">
        <v>0.5</v>
      </c>
      <c r="F3698" s="59">
        <v>21.555499999999999</v>
      </c>
      <c r="G3698" s="59">
        <f t="shared" si="63"/>
        <v>10.777749999999999</v>
      </c>
      <c r="H3698" s="62"/>
      <c r="I3698" s="63"/>
      <c r="J3698" s="34">
        <v>0</v>
      </c>
    </row>
    <row r="3699" spans="1:10" ht="51.75" hidden="1" thickBot="1" x14ac:dyDescent="0.3">
      <c r="A3699" s="249"/>
      <c r="B3699" s="252"/>
      <c r="C3699" s="40" t="s">
        <v>4752</v>
      </c>
      <c r="D3699" s="40" t="s">
        <v>3764</v>
      </c>
      <c r="E3699" s="41">
        <f>1*E3693</f>
        <v>0.23</v>
      </c>
      <c r="F3699" s="38">
        <v>7.75243225</v>
      </c>
      <c r="G3699" s="38">
        <f t="shared" si="63"/>
        <v>1.7830594175000001</v>
      </c>
      <c r="H3699" s="39"/>
      <c r="I3699" s="35"/>
      <c r="J3699" s="34">
        <v>0</v>
      </c>
    </row>
    <row r="3700" spans="1:10" ht="39" hidden="1" thickBot="1" x14ac:dyDescent="0.3">
      <c r="A3700" s="249"/>
      <c r="B3700" s="252"/>
      <c r="C3700" s="40" t="s">
        <v>4749</v>
      </c>
      <c r="D3700" s="40" t="s">
        <v>4744</v>
      </c>
      <c r="E3700" s="41">
        <f>E3693*20</f>
        <v>4.6000000000000005</v>
      </c>
      <c r="F3700" s="59">
        <v>2.5960374499999999</v>
      </c>
      <c r="G3700" s="59">
        <f t="shared" si="63"/>
        <v>11.941772270000001</v>
      </c>
      <c r="H3700" s="62"/>
      <c r="I3700" s="63"/>
      <c r="J3700" s="34">
        <v>0</v>
      </c>
    </row>
    <row r="3701" spans="1:10" ht="15.75" hidden="1" thickBot="1" x14ac:dyDescent="0.3">
      <c r="A3701" s="249"/>
      <c r="B3701" s="252"/>
      <c r="C3701" s="40"/>
      <c r="D3701" s="40"/>
      <c r="E3701" s="41"/>
      <c r="F3701" s="59" t="s">
        <v>23</v>
      </c>
      <c r="G3701" s="59" t="str">
        <f t="shared" si="63"/>
        <v/>
      </c>
      <c r="H3701" s="62"/>
      <c r="I3701" s="63"/>
      <c r="J3701" s="34">
        <v>0</v>
      </c>
    </row>
    <row r="3702" spans="1:10" ht="15.75" hidden="1" thickBot="1" x14ac:dyDescent="0.3">
      <c r="A3702" s="249"/>
      <c r="B3702" s="252"/>
      <c r="C3702" s="50" t="s">
        <v>926</v>
      </c>
      <c r="D3702" s="40"/>
      <c r="E3702" s="41"/>
      <c r="F3702" s="59" t="s">
        <v>23</v>
      </c>
      <c r="G3702" s="59" t="str">
        <f t="shared" si="63"/>
        <v/>
      </c>
      <c r="H3702" s="62"/>
      <c r="I3702" s="63"/>
      <c r="J3702" s="34">
        <v>0</v>
      </c>
    </row>
    <row r="3703" spans="1:10" ht="15.75" hidden="1" thickBot="1" x14ac:dyDescent="0.3">
      <c r="A3703" s="249"/>
      <c r="B3703" s="252"/>
      <c r="C3703" s="40"/>
      <c r="D3703" s="40"/>
      <c r="E3703" s="41"/>
      <c r="F3703" s="59" t="s">
        <v>23</v>
      </c>
      <c r="G3703" s="59" t="str">
        <f t="shared" si="63"/>
        <v/>
      </c>
      <c r="H3703" s="62"/>
      <c r="I3703" s="63"/>
      <c r="J3703" s="34">
        <v>0</v>
      </c>
    </row>
    <row r="3704" spans="1:10" ht="15.75" hidden="1" thickBot="1" x14ac:dyDescent="0.3">
      <c r="A3704" s="248" t="s">
        <v>927</v>
      </c>
      <c r="B3704" s="251" t="s">
        <v>2781</v>
      </c>
      <c r="C3704" s="28"/>
      <c r="D3704" s="29" t="s">
        <v>28</v>
      </c>
      <c r="E3704" s="30"/>
      <c r="F3704" s="51" t="s">
        <v>23</v>
      </c>
      <c r="G3704" s="31" t="str">
        <f t="shared" si="63"/>
        <v/>
      </c>
      <c r="H3704" s="32"/>
      <c r="I3704" s="33"/>
      <c r="J3704" s="34">
        <v>0</v>
      </c>
    </row>
    <row r="3705" spans="1:10" ht="15.75" hidden="1" thickBot="1" x14ac:dyDescent="0.3">
      <c r="A3705" s="249"/>
      <c r="B3705" s="252"/>
      <c r="C3705" s="36"/>
      <c r="D3705" s="36"/>
      <c r="E3705" s="37"/>
      <c r="F3705" s="59" t="s">
        <v>23</v>
      </c>
      <c r="G3705" s="59" t="str">
        <f t="shared" si="63"/>
        <v/>
      </c>
      <c r="H3705" s="62"/>
      <c r="I3705" s="63"/>
      <c r="J3705" s="34">
        <v>0</v>
      </c>
    </row>
    <row r="3706" spans="1:10" ht="15.75" hidden="1" thickBot="1" x14ac:dyDescent="0.3">
      <c r="A3706" s="249"/>
      <c r="B3706" s="252"/>
      <c r="C3706" s="40" t="s">
        <v>3757</v>
      </c>
      <c r="D3706" s="40" t="s">
        <v>3752</v>
      </c>
      <c r="E3706" s="41">
        <f>0.1+0.1</f>
        <v>0.2</v>
      </c>
      <c r="F3706" s="59">
        <v>28.0535</v>
      </c>
      <c r="G3706" s="59">
        <f t="shared" si="63"/>
        <v>5.6107000000000005</v>
      </c>
      <c r="H3706" s="43">
        <f>SUM(G3706:G3711)</f>
        <v>10.064553243342999</v>
      </c>
      <c r="I3706" s="44"/>
      <c r="J3706" s="34">
        <v>0</v>
      </c>
    </row>
    <row r="3707" spans="1:10" ht="15.75" hidden="1" thickBot="1" x14ac:dyDescent="0.3">
      <c r="A3707" s="249"/>
      <c r="B3707" s="252"/>
      <c r="C3707" s="40" t="s">
        <v>3754</v>
      </c>
      <c r="D3707" s="40" t="s">
        <v>3752</v>
      </c>
      <c r="E3707" s="41">
        <f>0.1+0.1</f>
        <v>0.2</v>
      </c>
      <c r="F3707" s="59">
        <v>20.814499999999999</v>
      </c>
      <c r="G3707" s="59">
        <f t="shared" si="63"/>
        <v>4.1628999999999996</v>
      </c>
      <c r="H3707" s="62"/>
      <c r="I3707" s="63"/>
      <c r="J3707" s="34">
        <v>0</v>
      </c>
    </row>
    <row r="3708" spans="1:10" ht="15.75" hidden="1" thickBot="1" x14ac:dyDescent="0.3">
      <c r="A3708" s="249"/>
      <c r="B3708" s="252"/>
      <c r="C3708" s="40" t="s">
        <v>875</v>
      </c>
      <c r="D3708" s="40" t="s">
        <v>102</v>
      </c>
      <c r="E3708" s="41">
        <f>0.016*2</f>
        <v>3.2000000000000001E-2</v>
      </c>
      <c r="F3708" s="59">
        <v>0</v>
      </c>
      <c r="G3708" s="59">
        <f t="shared" si="63"/>
        <v>0</v>
      </c>
      <c r="H3708" s="62"/>
      <c r="I3708" s="63"/>
      <c r="J3708" s="34">
        <v>0</v>
      </c>
    </row>
    <row r="3709" spans="1:10" ht="15.75" hidden="1" thickBot="1" x14ac:dyDescent="0.3">
      <c r="A3709" s="249"/>
      <c r="B3709" s="252"/>
      <c r="C3709" s="40" t="s">
        <v>876</v>
      </c>
      <c r="D3709" s="40" t="s">
        <v>877</v>
      </c>
      <c r="E3709" s="41">
        <f>0.1*2</f>
        <v>0.2</v>
      </c>
      <c r="F3709" s="59">
        <v>0</v>
      </c>
      <c r="G3709" s="59">
        <f t="shared" si="63"/>
        <v>0</v>
      </c>
      <c r="H3709" s="62"/>
      <c r="I3709" s="63"/>
      <c r="J3709" s="34">
        <v>0</v>
      </c>
    </row>
    <row r="3710" spans="1:10" ht="15.75" hidden="1" thickBot="1" x14ac:dyDescent="0.3">
      <c r="A3710" s="249"/>
      <c r="B3710" s="252"/>
      <c r="C3710" s="40" t="s">
        <v>882</v>
      </c>
      <c r="D3710" s="40" t="s">
        <v>102</v>
      </c>
      <c r="E3710" s="41">
        <v>1</v>
      </c>
      <c r="F3710" s="59" t="s">
        <v>23</v>
      </c>
      <c r="G3710" s="59" t="str">
        <f t="shared" si="63"/>
        <v/>
      </c>
      <c r="H3710" s="62"/>
      <c r="I3710" s="63"/>
      <c r="J3710" s="34">
        <v>0</v>
      </c>
    </row>
    <row r="3711" spans="1:10" ht="39" hidden="1" thickBot="1" x14ac:dyDescent="0.3">
      <c r="A3711" s="249"/>
      <c r="B3711" s="252"/>
      <c r="C3711" s="40" t="s">
        <v>4699</v>
      </c>
      <c r="D3711" s="40" t="s">
        <v>3764</v>
      </c>
      <c r="E3711" s="41">
        <f>ROUND(0.15*0.05*0.05,4)</f>
        <v>4.0000000000000002E-4</v>
      </c>
      <c r="F3711" s="59">
        <v>727.38310835749996</v>
      </c>
      <c r="G3711" s="59">
        <f t="shared" si="63"/>
        <v>0.29095324334299999</v>
      </c>
      <c r="H3711" s="62"/>
      <c r="I3711" s="63"/>
      <c r="J3711" s="34">
        <v>0</v>
      </c>
    </row>
    <row r="3712" spans="1:10" ht="15.75" hidden="1" thickBot="1" x14ac:dyDescent="0.3">
      <c r="A3712" s="249"/>
      <c r="B3712" s="252"/>
      <c r="C3712" s="40"/>
      <c r="D3712" s="40"/>
      <c r="E3712" s="41"/>
      <c r="F3712" s="59" t="s">
        <v>23</v>
      </c>
      <c r="G3712" s="59" t="str">
        <f t="shared" si="63"/>
        <v/>
      </c>
      <c r="H3712" s="62"/>
      <c r="I3712" s="63"/>
      <c r="J3712" s="34">
        <v>0</v>
      </c>
    </row>
    <row r="3713" spans="1:10" ht="15.75" hidden="1" thickBot="1" x14ac:dyDescent="0.3">
      <c r="A3713" s="249"/>
      <c r="B3713" s="252"/>
      <c r="C3713" s="90" t="s">
        <v>878</v>
      </c>
      <c r="D3713" s="40"/>
      <c r="E3713" s="41"/>
      <c r="F3713" s="59" t="s">
        <v>23</v>
      </c>
      <c r="G3713" s="59" t="str">
        <f t="shared" si="63"/>
        <v/>
      </c>
      <c r="H3713" s="62"/>
      <c r="I3713" s="63"/>
      <c r="J3713" s="34">
        <v>0</v>
      </c>
    </row>
    <row r="3714" spans="1:10" ht="15.75" hidden="1" thickBot="1" x14ac:dyDescent="0.3">
      <c r="A3714" s="250"/>
      <c r="B3714" s="253"/>
      <c r="C3714" s="60"/>
      <c r="D3714" s="60"/>
      <c r="E3714" s="79"/>
      <c r="F3714" s="80" t="s">
        <v>23</v>
      </c>
      <c r="G3714" s="80" t="str">
        <f t="shared" si="63"/>
        <v/>
      </c>
      <c r="H3714" s="81"/>
      <c r="I3714" s="63"/>
      <c r="J3714" s="34">
        <v>0</v>
      </c>
    </row>
    <row r="3715" spans="1:10" ht="15.75" hidden="1" thickBot="1" x14ac:dyDescent="0.3">
      <c r="A3715" s="248" t="s">
        <v>928</v>
      </c>
      <c r="B3715" s="251" t="s">
        <v>2786</v>
      </c>
      <c r="C3715" s="28"/>
      <c r="D3715" s="29" t="s">
        <v>3100</v>
      </c>
      <c r="E3715" s="30"/>
      <c r="F3715" s="51" t="s">
        <v>23</v>
      </c>
      <c r="G3715" s="31" t="str">
        <f t="shared" si="63"/>
        <v/>
      </c>
      <c r="H3715" s="32"/>
      <c r="I3715" s="33"/>
      <c r="J3715" s="34">
        <v>0</v>
      </c>
    </row>
    <row r="3716" spans="1:10" ht="15.75" hidden="1" thickBot="1" x14ac:dyDescent="0.3">
      <c r="A3716" s="262"/>
      <c r="B3716" s="252"/>
      <c r="C3716" s="36"/>
      <c r="D3716" s="36"/>
      <c r="E3716" s="37"/>
      <c r="F3716" s="59" t="s">
        <v>23</v>
      </c>
      <c r="G3716" s="59" t="str">
        <f t="shared" si="63"/>
        <v/>
      </c>
      <c r="H3716" s="62"/>
      <c r="I3716" s="63"/>
      <c r="J3716" s="34">
        <v>0</v>
      </c>
    </row>
    <row r="3717" spans="1:10" ht="39" hidden="1" thickBot="1" x14ac:dyDescent="0.3">
      <c r="A3717" s="262"/>
      <c r="B3717" s="252"/>
      <c r="C3717" s="40" t="s">
        <v>4055</v>
      </c>
      <c r="D3717" s="40" t="s">
        <v>3778</v>
      </c>
      <c r="E3717" s="41">
        <v>1</v>
      </c>
      <c r="F3717" s="59">
        <v>1187.5</v>
      </c>
      <c r="G3717" s="59">
        <f t="shared" si="63"/>
        <v>1187.5</v>
      </c>
      <c r="H3717" s="43">
        <f>SUM(G3717:G3717)</f>
        <v>1187.5</v>
      </c>
      <c r="I3717" s="44"/>
      <c r="J3717" s="34">
        <v>0</v>
      </c>
    </row>
    <row r="3718" spans="1:10" ht="15.75" hidden="1" thickBot="1" x14ac:dyDescent="0.3">
      <c r="A3718" s="263"/>
      <c r="B3718" s="253"/>
      <c r="C3718" s="40"/>
      <c r="D3718" s="40"/>
      <c r="E3718" s="41"/>
      <c r="F3718" s="59" t="s">
        <v>23</v>
      </c>
      <c r="G3718" s="59" t="str">
        <f t="shared" si="63"/>
        <v/>
      </c>
      <c r="H3718" s="62"/>
      <c r="I3718" s="63"/>
      <c r="J3718" s="34">
        <v>0</v>
      </c>
    </row>
    <row r="3719" spans="1:10" ht="15.75" hidden="1" thickBot="1" x14ac:dyDescent="0.3">
      <c r="A3719" s="248" t="s">
        <v>929</v>
      </c>
      <c r="B3719" s="251" t="s">
        <v>2788</v>
      </c>
      <c r="C3719" s="28"/>
      <c r="D3719" s="29" t="s">
        <v>121</v>
      </c>
      <c r="E3719" s="30"/>
      <c r="F3719" s="45" t="s">
        <v>23</v>
      </c>
      <c r="G3719" s="31" t="str">
        <f t="shared" si="63"/>
        <v/>
      </c>
      <c r="H3719" s="32"/>
      <c r="I3719" s="33"/>
      <c r="J3719" s="34">
        <v>0</v>
      </c>
    </row>
    <row r="3720" spans="1:10" ht="15.75" hidden="1" thickBot="1" x14ac:dyDescent="0.3">
      <c r="A3720" s="249"/>
      <c r="B3720" s="252"/>
      <c r="C3720" s="36"/>
      <c r="D3720" s="36"/>
      <c r="E3720" s="37"/>
      <c r="F3720" s="46" t="s">
        <v>23</v>
      </c>
      <c r="G3720" s="35" t="str">
        <f t="shared" si="63"/>
        <v/>
      </c>
      <c r="H3720" s="39"/>
      <c r="I3720" s="35"/>
      <c r="J3720" s="34">
        <v>0</v>
      </c>
    </row>
    <row r="3721" spans="1:10" ht="26.25" hidden="1" thickBot="1" x14ac:dyDescent="0.3">
      <c r="A3721" s="249"/>
      <c r="B3721" s="252"/>
      <c r="C3721" s="40" t="s">
        <v>3761</v>
      </c>
      <c r="D3721" s="40" t="s">
        <v>1041</v>
      </c>
      <c r="E3721" s="41">
        <v>0.183</v>
      </c>
      <c r="F3721" s="35">
        <v>25.032499999999999</v>
      </c>
      <c r="G3721" s="35">
        <f t="shared" si="63"/>
        <v>4.5809474999999997</v>
      </c>
      <c r="H3721" s="43">
        <f>SUM(G3721:G3727)</f>
        <v>46.2943112715</v>
      </c>
      <c r="I3721" s="44"/>
      <c r="J3721" s="34">
        <v>0</v>
      </c>
    </row>
    <row r="3722" spans="1:10" ht="26.25" hidden="1" thickBot="1" x14ac:dyDescent="0.3">
      <c r="A3722" s="249"/>
      <c r="B3722" s="252"/>
      <c r="C3722" s="40" t="s">
        <v>3762</v>
      </c>
      <c r="D3722" s="40" t="s">
        <v>1052</v>
      </c>
      <c r="E3722" s="41">
        <v>0.40100000000000002</v>
      </c>
      <c r="F3722" s="35">
        <v>23.56</v>
      </c>
      <c r="G3722" s="35">
        <f t="shared" si="63"/>
        <v>9.4475599999999993</v>
      </c>
      <c r="H3722" s="39"/>
      <c r="I3722" s="35"/>
      <c r="J3722" s="34">
        <v>0</v>
      </c>
    </row>
    <row r="3723" spans="1:10" ht="26.25" hidden="1" thickBot="1" x14ac:dyDescent="0.3">
      <c r="A3723" s="249"/>
      <c r="B3723" s="252"/>
      <c r="C3723" s="40" t="s">
        <v>4119</v>
      </c>
      <c r="D3723" s="40" t="s">
        <v>3752</v>
      </c>
      <c r="E3723" s="41">
        <v>9.0999999999999998E-2</v>
      </c>
      <c r="F3723" s="35">
        <v>21.555499999999999</v>
      </c>
      <c r="G3723" s="35">
        <f t="shared" si="63"/>
        <v>1.9615504999999998</v>
      </c>
      <c r="H3723" s="39"/>
      <c r="I3723" s="35"/>
      <c r="J3723" s="34">
        <v>0</v>
      </c>
    </row>
    <row r="3724" spans="1:10" ht="26.25" hidden="1" thickBot="1" x14ac:dyDescent="0.3">
      <c r="A3724" s="249"/>
      <c r="B3724" s="252"/>
      <c r="C3724" s="40" t="s">
        <v>4110</v>
      </c>
      <c r="D3724" s="40" t="s">
        <v>3752</v>
      </c>
      <c r="E3724" s="41">
        <v>0.58299999999999996</v>
      </c>
      <c r="F3724" s="35">
        <v>27.341000000000001</v>
      </c>
      <c r="G3724" s="35">
        <f t="shared" si="63"/>
        <v>15.939802999999999</v>
      </c>
      <c r="H3724" s="39"/>
      <c r="I3724" s="35"/>
      <c r="J3724" s="34">
        <v>0</v>
      </c>
    </row>
    <row r="3725" spans="1:10" ht="26.25" hidden="1" thickBot="1" x14ac:dyDescent="0.3">
      <c r="A3725" s="249"/>
      <c r="B3725" s="252"/>
      <c r="C3725" s="40" t="s">
        <v>4119</v>
      </c>
      <c r="D3725" s="40" t="s">
        <v>3752</v>
      </c>
      <c r="E3725" s="41">
        <v>3.7999999999999999E-2</v>
      </c>
      <c r="F3725" s="35">
        <v>21.555499999999999</v>
      </c>
      <c r="G3725" s="35">
        <f t="shared" si="63"/>
        <v>0.81910899999999998</v>
      </c>
      <c r="H3725" s="39"/>
      <c r="I3725" s="35"/>
      <c r="J3725" s="34">
        <v>0</v>
      </c>
    </row>
    <row r="3726" spans="1:10" ht="26.25" hidden="1" thickBot="1" x14ac:dyDescent="0.3">
      <c r="A3726" s="249"/>
      <c r="B3726" s="252"/>
      <c r="C3726" s="40" t="s">
        <v>4110</v>
      </c>
      <c r="D3726" s="40" t="s">
        <v>3752</v>
      </c>
      <c r="E3726" s="41">
        <v>0.27200000000000002</v>
      </c>
      <c r="F3726" s="35">
        <v>27.341000000000001</v>
      </c>
      <c r="G3726" s="35">
        <f t="shared" si="63"/>
        <v>7.4367520000000011</v>
      </c>
      <c r="H3726" s="39"/>
      <c r="I3726" s="35"/>
      <c r="J3726" s="34">
        <v>0</v>
      </c>
    </row>
    <row r="3727" spans="1:10" ht="26.25" hidden="1" thickBot="1" x14ac:dyDescent="0.3">
      <c r="A3727" s="249"/>
      <c r="B3727" s="252"/>
      <c r="C3727" s="40" t="s">
        <v>4740</v>
      </c>
      <c r="D3727" s="40" t="s">
        <v>3764</v>
      </c>
      <c r="E3727" s="41">
        <v>8.0000000000000002E-3</v>
      </c>
      <c r="F3727" s="38">
        <v>763.57365893749989</v>
      </c>
      <c r="G3727" s="38">
        <f t="shared" si="63"/>
        <v>6.1085892714999996</v>
      </c>
      <c r="H3727" s="39"/>
      <c r="I3727" s="35"/>
      <c r="J3727" s="34">
        <v>0</v>
      </c>
    </row>
    <row r="3728" spans="1:10" ht="15.75" hidden="1" thickBot="1" x14ac:dyDescent="0.3">
      <c r="A3728" s="250"/>
      <c r="B3728" s="253"/>
      <c r="C3728" s="40"/>
      <c r="D3728" s="40"/>
      <c r="E3728" s="41"/>
      <c r="F3728" s="35" t="s">
        <v>23</v>
      </c>
      <c r="G3728" s="35" t="str">
        <f t="shared" ref="G3728:G3791" si="64">IF(ISNUMBER(F3728),E3728*F3728,"")</f>
        <v/>
      </c>
      <c r="H3728" s="39"/>
      <c r="I3728" s="35"/>
      <c r="J3728" s="34">
        <v>0</v>
      </c>
    </row>
    <row r="3729" spans="1:10" ht="15.75" thickBot="1" x14ac:dyDescent="0.3">
      <c r="A3729" s="248" t="s">
        <v>930</v>
      </c>
      <c r="B3729" s="251" t="s">
        <v>2789</v>
      </c>
      <c r="C3729" s="28"/>
      <c r="D3729" s="29" t="s">
        <v>82</v>
      </c>
      <c r="E3729" s="30"/>
      <c r="F3729" s="51" t="s">
        <v>23</v>
      </c>
      <c r="G3729" s="31" t="str">
        <f t="shared" si="64"/>
        <v/>
      </c>
      <c r="H3729" s="32"/>
      <c r="I3729" s="33"/>
      <c r="J3729" s="34">
        <v>1600</v>
      </c>
    </row>
    <row r="3730" spans="1:10" x14ac:dyDescent="0.25">
      <c r="A3730" s="262"/>
      <c r="B3730" s="252"/>
      <c r="C3730" s="36"/>
      <c r="D3730" s="36"/>
      <c r="E3730" s="37"/>
      <c r="F3730" s="59" t="s">
        <v>23</v>
      </c>
      <c r="G3730" s="59" t="str">
        <f t="shared" si="64"/>
        <v/>
      </c>
      <c r="H3730" s="62"/>
      <c r="I3730" s="63"/>
      <c r="J3730" s="34">
        <v>1600</v>
      </c>
    </row>
    <row r="3731" spans="1:10" x14ac:dyDescent="0.25">
      <c r="A3731" s="262"/>
      <c r="B3731" s="252"/>
      <c r="C3731" s="40" t="s">
        <v>4013</v>
      </c>
      <c r="D3731" s="40" t="s">
        <v>1035</v>
      </c>
      <c r="E3731" s="91">
        <v>1</v>
      </c>
      <c r="F3731" s="59">
        <v>3.6194999999999999</v>
      </c>
      <c r="G3731" s="59">
        <f t="shared" si="64"/>
        <v>3.6194999999999999</v>
      </c>
      <c r="H3731" s="43">
        <f>SUM(G3731:G3732)</f>
        <v>13.456220226843099</v>
      </c>
      <c r="I3731" s="44"/>
      <c r="J3731" s="34">
        <v>1600</v>
      </c>
    </row>
    <row r="3732" spans="1:10" x14ac:dyDescent="0.25">
      <c r="A3732" s="262"/>
      <c r="B3732" s="252"/>
      <c r="C3732" s="40" t="s">
        <v>3754</v>
      </c>
      <c r="D3732" s="40" t="s">
        <v>3752</v>
      </c>
      <c r="E3732" s="91">
        <f>0.25/0.529</f>
        <v>0.47258979206049145</v>
      </c>
      <c r="F3732" s="59">
        <v>20.814499999999999</v>
      </c>
      <c r="G3732" s="59">
        <f t="shared" si="64"/>
        <v>9.8367202268430987</v>
      </c>
      <c r="H3732" s="62"/>
      <c r="I3732" s="63"/>
      <c r="J3732" s="34">
        <v>1600</v>
      </c>
    </row>
    <row r="3733" spans="1:10" ht="15.75" thickBot="1" x14ac:dyDescent="0.3">
      <c r="A3733" s="263"/>
      <c r="B3733" s="253"/>
      <c r="C3733" s="40"/>
      <c r="D3733" s="40"/>
      <c r="E3733" s="41"/>
      <c r="F3733" s="59" t="s">
        <v>23</v>
      </c>
      <c r="G3733" s="59" t="str">
        <f t="shared" si="64"/>
        <v/>
      </c>
      <c r="H3733" s="62"/>
      <c r="I3733" s="63"/>
      <c r="J3733" s="34">
        <v>1600</v>
      </c>
    </row>
    <row r="3734" spans="1:10" ht="15.75" hidden="1" thickBot="1" x14ac:dyDescent="0.3">
      <c r="A3734" s="248" t="s">
        <v>931</v>
      </c>
      <c r="B3734" s="251" t="s">
        <v>2790</v>
      </c>
      <c r="C3734" s="28"/>
      <c r="D3734" s="29" t="s">
        <v>78</v>
      </c>
      <c r="E3734" s="30"/>
      <c r="F3734" s="51" t="s">
        <v>23</v>
      </c>
      <c r="G3734" s="31" t="str">
        <f t="shared" si="64"/>
        <v/>
      </c>
      <c r="H3734" s="32"/>
      <c r="I3734" s="33"/>
      <c r="J3734" s="34">
        <v>0</v>
      </c>
    </row>
    <row r="3735" spans="1:10" ht="15.75" hidden="1" thickBot="1" x14ac:dyDescent="0.3">
      <c r="A3735" s="262"/>
      <c r="B3735" s="252"/>
      <c r="C3735" s="36"/>
      <c r="D3735" s="36"/>
      <c r="E3735" s="37"/>
      <c r="F3735" s="59" t="s">
        <v>23</v>
      </c>
      <c r="G3735" s="59" t="str">
        <f t="shared" si="64"/>
        <v/>
      </c>
      <c r="H3735" s="62"/>
      <c r="I3735" s="63"/>
      <c r="J3735" s="34">
        <v>0</v>
      </c>
    </row>
    <row r="3736" spans="1:10" ht="15.75" hidden="1" thickBot="1" x14ac:dyDescent="0.3">
      <c r="A3736" s="262"/>
      <c r="B3736" s="252"/>
      <c r="C3736" s="40" t="s">
        <v>932</v>
      </c>
      <c r="D3736" s="58" t="s">
        <v>80</v>
      </c>
      <c r="E3736" s="41">
        <f>ROUND(1/12,4)</f>
        <v>8.3299999999999999E-2</v>
      </c>
      <c r="F3736" s="59" t="s">
        <v>23</v>
      </c>
      <c r="G3736" s="59" t="str">
        <f t="shared" si="64"/>
        <v/>
      </c>
      <c r="H3736" s="43">
        <f>SUM(G3736:G3738)</f>
        <v>23.076450000000001</v>
      </c>
      <c r="I3736" s="44"/>
      <c r="J3736" s="34">
        <v>0</v>
      </c>
    </row>
    <row r="3737" spans="1:10" ht="15.75" hidden="1" thickBot="1" x14ac:dyDescent="0.3">
      <c r="A3737" s="262"/>
      <c r="B3737" s="252"/>
      <c r="C3737" s="40" t="s">
        <v>3758</v>
      </c>
      <c r="D3737" s="40" t="s">
        <v>3752</v>
      </c>
      <c r="E3737" s="41">
        <f>1.2/2</f>
        <v>0.6</v>
      </c>
      <c r="F3737" s="59">
        <v>28.0535</v>
      </c>
      <c r="G3737" s="59">
        <f t="shared" si="64"/>
        <v>16.832100000000001</v>
      </c>
      <c r="H3737" s="62"/>
      <c r="I3737" s="63"/>
      <c r="J3737" s="34">
        <v>0</v>
      </c>
    </row>
    <row r="3738" spans="1:10" ht="15.75" hidden="1" thickBot="1" x14ac:dyDescent="0.3">
      <c r="A3738" s="262"/>
      <c r="B3738" s="252"/>
      <c r="C3738" s="40" t="s">
        <v>3754</v>
      </c>
      <c r="D3738" s="40" t="s">
        <v>3752</v>
      </c>
      <c r="E3738" s="41">
        <f>0.6/2</f>
        <v>0.3</v>
      </c>
      <c r="F3738" s="59">
        <v>20.814499999999999</v>
      </c>
      <c r="G3738" s="59">
        <f t="shared" si="64"/>
        <v>6.2443499999999998</v>
      </c>
      <c r="H3738" s="62"/>
      <c r="I3738" s="63"/>
      <c r="J3738" s="34">
        <v>0</v>
      </c>
    </row>
    <row r="3739" spans="1:10" ht="15.75" hidden="1" thickBot="1" x14ac:dyDescent="0.3">
      <c r="A3739" s="262"/>
      <c r="B3739" s="252"/>
      <c r="C3739" s="40"/>
      <c r="D3739" s="40"/>
      <c r="E3739" s="41"/>
      <c r="F3739" s="59" t="s">
        <v>23</v>
      </c>
      <c r="G3739" s="59" t="str">
        <f t="shared" si="64"/>
        <v/>
      </c>
      <c r="H3739" s="62"/>
      <c r="I3739" s="63"/>
      <c r="J3739" s="34">
        <v>0</v>
      </c>
    </row>
    <row r="3740" spans="1:10" ht="26.25" hidden="1" thickBot="1" x14ac:dyDescent="0.3">
      <c r="A3740" s="262"/>
      <c r="B3740" s="252"/>
      <c r="C3740" s="50" t="s">
        <v>933</v>
      </c>
      <c r="D3740" s="40"/>
      <c r="E3740" s="41"/>
      <c r="F3740" s="59" t="s">
        <v>23</v>
      </c>
      <c r="G3740" s="59" t="str">
        <f t="shared" si="64"/>
        <v/>
      </c>
      <c r="H3740" s="62"/>
      <c r="I3740" s="63"/>
      <c r="J3740" s="34">
        <v>0</v>
      </c>
    </row>
    <row r="3741" spans="1:10" ht="15.75" hidden="1" thickBot="1" x14ac:dyDescent="0.3">
      <c r="A3741" s="262"/>
      <c r="B3741" s="252"/>
      <c r="C3741" s="50" t="s">
        <v>934</v>
      </c>
      <c r="D3741" s="40"/>
      <c r="E3741" s="41"/>
      <c r="F3741" s="59" t="s">
        <v>23</v>
      </c>
      <c r="G3741" s="59" t="str">
        <f t="shared" si="64"/>
        <v/>
      </c>
      <c r="H3741" s="62"/>
      <c r="I3741" s="63"/>
      <c r="J3741" s="34">
        <v>0</v>
      </c>
    </row>
    <row r="3742" spans="1:10" ht="15.75" hidden="1" thickBot="1" x14ac:dyDescent="0.3">
      <c r="A3742" s="263"/>
      <c r="B3742" s="253"/>
      <c r="C3742" s="40"/>
      <c r="D3742" s="40"/>
      <c r="E3742" s="41"/>
      <c r="F3742" s="59" t="s">
        <v>23</v>
      </c>
      <c r="G3742" s="59" t="str">
        <f t="shared" si="64"/>
        <v/>
      </c>
      <c r="H3742" s="62"/>
      <c r="I3742" s="63"/>
      <c r="J3742" s="34">
        <v>0</v>
      </c>
    </row>
    <row r="3743" spans="1:10" ht="15.75" thickBot="1" x14ac:dyDescent="0.3">
      <c r="A3743" s="248" t="s">
        <v>935</v>
      </c>
      <c r="B3743" s="251" t="s">
        <v>2791</v>
      </c>
      <c r="C3743" s="28"/>
      <c r="D3743" s="29" t="s">
        <v>78</v>
      </c>
      <c r="E3743" s="30"/>
      <c r="F3743" s="51" t="s">
        <v>23</v>
      </c>
      <c r="G3743" s="31" t="str">
        <f t="shared" si="64"/>
        <v/>
      </c>
      <c r="H3743" s="32"/>
      <c r="I3743" s="33"/>
      <c r="J3743" s="34">
        <v>13690</v>
      </c>
    </row>
    <row r="3744" spans="1:10" x14ac:dyDescent="0.25">
      <c r="A3744" s="249"/>
      <c r="B3744" s="252"/>
      <c r="C3744" s="36"/>
      <c r="D3744" s="36"/>
      <c r="E3744" s="37"/>
      <c r="F3744" s="59" t="s">
        <v>23</v>
      </c>
      <c r="G3744" s="59" t="str">
        <f t="shared" si="64"/>
        <v/>
      </c>
      <c r="H3744" s="62"/>
      <c r="I3744" s="63"/>
      <c r="J3744" s="34">
        <v>13690</v>
      </c>
    </row>
    <row r="3745" spans="1:10" x14ac:dyDescent="0.25">
      <c r="A3745" s="249"/>
      <c r="B3745" s="252"/>
      <c r="C3745" s="40" t="s">
        <v>3947</v>
      </c>
      <c r="D3745" s="40" t="s">
        <v>1035</v>
      </c>
      <c r="E3745" s="41">
        <v>9.5000000000000001E-2</v>
      </c>
      <c r="F3745" s="59">
        <v>49.029499999999999</v>
      </c>
      <c r="G3745" s="59">
        <f t="shared" si="64"/>
        <v>4.6578024999999998</v>
      </c>
      <c r="H3745" s="43">
        <f>SUM(G3745:G3748)</f>
        <v>105.02195850000001</v>
      </c>
      <c r="I3745" s="44"/>
      <c r="J3745" s="34">
        <v>13690</v>
      </c>
    </row>
    <row r="3746" spans="1:10" ht="25.5" x14ac:dyDescent="0.25">
      <c r="A3746" s="249"/>
      <c r="B3746" s="252"/>
      <c r="C3746" s="40" t="s">
        <v>3779</v>
      </c>
      <c r="D3746" s="40" t="s">
        <v>177</v>
      </c>
      <c r="E3746" s="41">
        <v>1.1100000000000001</v>
      </c>
      <c r="F3746" s="59">
        <v>84.502499999999998</v>
      </c>
      <c r="G3746" s="59">
        <f t="shared" si="64"/>
        <v>93.797775000000001</v>
      </c>
      <c r="H3746" s="62"/>
      <c r="I3746" s="63"/>
      <c r="J3746" s="34">
        <v>13690</v>
      </c>
    </row>
    <row r="3747" spans="1:10" x14ac:dyDescent="0.25">
      <c r="A3747" s="249"/>
      <c r="B3747" s="252"/>
      <c r="C3747" s="40" t="s">
        <v>3757</v>
      </c>
      <c r="D3747" s="40" t="s">
        <v>3752</v>
      </c>
      <c r="E3747" s="41">
        <v>0.17100000000000001</v>
      </c>
      <c r="F3747" s="59">
        <v>28.0535</v>
      </c>
      <c r="G3747" s="59">
        <f t="shared" si="64"/>
        <v>4.7971485000000005</v>
      </c>
      <c r="H3747" s="62"/>
      <c r="I3747" s="63"/>
      <c r="J3747" s="34">
        <v>13690</v>
      </c>
    </row>
    <row r="3748" spans="1:10" x14ac:dyDescent="0.25">
      <c r="A3748" s="249"/>
      <c r="B3748" s="252"/>
      <c r="C3748" s="40" t="s">
        <v>3754</v>
      </c>
      <c r="D3748" s="40" t="s">
        <v>3752</v>
      </c>
      <c r="E3748" s="41">
        <v>8.5000000000000006E-2</v>
      </c>
      <c r="F3748" s="59">
        <v>20.814499999999999</v>
      </c>
      <c r="G3748" s="59">
        <f t="shared" si="64"/>
        <v>1.7692325</v>
      </c>
      <c r="H3748" s="62"/>
      <c r="I3748" s="63"/>
      <c r="J3748" s="34">
        <v>13690</v>
      </c>
    </row>
    <row r="3749" spans="1:10" ht="15.75" thickBot="1" x14ac:dyDescent="0.3">
      <c r="A3749" s="249"/>
      <c r="B3749" s="252"/>
      <c r="C3749" s="40"/>
      <c r="D3749" s="40"/>
      <c r="E3749" s="41"/>
      <c r="F3749" s="59" t="s">
        <v>23</v>
      </c>
      <c r="G3749" s="59" t="str">
        <f t="shared" si="64"/>
        <v/>
      </c>
      <c r="H3749" s="62"/>
      <c r="I3749" s="63"/>
      <c r="J3749" s="34">
        <v>13690</v>
      </c>
    </row>
    <row r="3750" spans="1:10" ht="15.75" hidden="1" thickBot="1" x14ac:dyDescent="0.3">
      <c r="A3750" s="248" t="s">
        <v>936</v>
      </c>
      <c r="B3750" s="251" t="s">
        <v>2792</v>
      </c>
      <c r="C3750" s="28"/>
      <c r="D3750" s="29" t="s">
        <v>3100</v>
      </c>
      <c r="E3750" s="30"/>
      <c r="F3750" s="51" t="s">
        <v>23</v>
      </c>
      <c r="G3750" s="31" t="str">
        <f t="shared" si="64"/>
        <v/>
      </c>
      <c r="H3750" s="32"/>
      <c r="I3750" s="33"/>
      <c r="J3750" s="34">
        <v>0</v>
      </c>
    </row>
    <row r="3751" spans="1:10" ht="15.75" hidden="1" thickBot="1" x14ac:dyDescent="0.3">
      <c r="A3751" s="262"/>
      <c r="B3751" s="252"/>
      <c r="C3751" s="36"/>
      <c r="D3751" s="36"/>
      <c r="E3751" s="37"/>
      <c r="F3751" s="59" t="s">
        <v>23</v>
      </c>
      <c r="G3751" s="59" t="str">
        <f t="shared" si="64"/>
        <v/>
      </c>
      <c r="H3751" s="62"/>
      <c r="I3751" s="63"/>
      <c r="J3751" s="34">
        <v>0</v>
      </c>
    </row>
    <row r="3752" spans="1:10" ht="39" hidden="1" thickBot="1" x14ac:dyDescent="0.3">
      <c r="A3752" s="262"/>
      <c r="B3752" s="252"/>
      <c r="C3752" s="40" t="s">
        <v>4057</v>
      </c>
      <c r="D3752" s="40" t="s">
        <v>3778</v>
      </c>
      <c r="E3752" s="41">
        <v>1</v>
      </c>
      <c r="F3752" s="59">
        <v>1484.375</v>
      </c>
      <c r="G3752" s="59">
        <f t="shared" si="64"/>
        <v>1484.375</v>
      </c>
      <c r="H3752" s="43">
        <f>SUM(G3752:G3752)</f>
        <v>1484.375</v>
      </c>
      <c r="I3752" s="44"/>
      <c r="J3752" s="34">
        <v>0</v>
      </c>
    </row>
    <row r="3753" spans="1:10" ht="15.75" hidden="1" thickBot="1" x14ac:dyDescent="0.3">
      <c r="A3753" s="263"/>
      <c r="B3753" s="253"/>
      <c r="C3753" s="40"/>
      <c r="D3753" s="40"/>
      <c r="E3753" s="41"/>
      <c r="F3753" s="59" t="s">
        <v>23</v>
      </c>
      <c r="G3753" s="59" t="str">
        <f t="shared" si="64"/>
        <v/>
      </c>
      <c r="H3753" s="62"/>
      <c r="I3753" s="63"/>
      <c r="J3753" s="34">
        <v>0</v>
      </c>
    </row>
    <row r="3754" spans="1:10" ht="15.75" thickBot="1" x14ac:dyDescent="0.3">
      <c r="A3754" s="248" t="s">
        <v>937</v>
      </c>
      <c r="B3754" s="251" t="s">
        <v>2793</v>
      </c>
      <c r="C3754" s="28"/>
      <c r="D3754" s="29" t="s">
        <v>3100</v>
      </c>
      <c r="E3754" s="30"/>
      <c r="F3754" s="51" t="s">
        <v>23</v>
      </c>
      <c r="G3754" s="31" t="str">
        <f t="shared" si="64"/>
        <v/>
      </c>
      <c r="H3754" s="32"/>
      <c r="I3754" s="33"/>
      <c r="J3754" s="34">
        <v>1200</v>
      </c>
    </row>
    <row r="3755" spans="1:10" x14ac:dyDescent="0.25">
      <c r="A3755" s="262"/>
      <c r="B3755" s="252"/>
      <c r="C3755" s="36"/>
      <c r="D3755" s="36"/>
      <c r="E3755" s="37"/>
      <c r="F3755" s="59" t="s">
        <v>23</v>
      </c>
      <c r="G3755" s="59" t="str">
        <f t="shared" si="64"/>
        <v/>
      </c>
      <c r="H3755" s="62"/>
      <c r="I3755" s="63"/>
      <c r="J3755" s="34">
        <v>1200</v>
      </c>
    </row>
    <row r="3756" spans="1:10" ht="38.25" x14ac:dyDescent="0.25">
      <c r="A3756" s="262"/>
      <c r="B3756" s="252"/>
      <c r="C3756" s="40" t="s">
        <v>3782</v>
      </c>
      <c r="D3756" s="40" t="s">
        <v>3778</v>
      </c>
      <c r="E3756" s="41">
        <v>1</v>
      </c>
      <c r="F3756" s="59">
        <v>927.73199999999986</v>
      </c>
      <c r="G3756" s="59">
        <f t="shared" si="64"/>
        <v>927.73199999999986</v>
      </c>
      <c r="H3756" s="43">
        <f>SUM(G3756:G3756)</f>
        <v>927.73199999999986</v>
      </c>
      <c r="I3756" s="44"/>
      <c r="J3756" s="34">
        <v>1200</v>
      </c>
    </row>
    <row r="3757" spans="1:10" ht="15.75" thickBot="1" x14ac:dyDescent="0.3">
      <c r="A3757" s="263"/>
      <c r="B3757" s="253"/>
      <c r="C3757" s="40"/>
      <c r="D3757" s="40"/>
      <c r="E3757" s="41"/>
      <c r="F3757" s="59" t="s">
        <v>23</v>
      </c>
      <c r="G3757" s="59" t="str">
        <f t="shared" si="64"/>
        <v/>
      </c>
      <c r="H3757" s="62"/>
      <c r="I3757" s="63"/>
      <c r="J3757" s="34">
        <v>1200</v>
      </c>
    </row>
    <row r="3758" spans="1:10" ht="15.75" hidden="1" thickBot="1" x14ac:dyDescent="0.3">
      <c r="A3758" s="248" t="s">
        <v>938</v>
      </c>
      <c r="B3758" s="251" t="s">
        <v>2794</v>
      </c>
      <c r="C3758" s="28"/>
      <c r="D3758" s="29" t="s">
        <v>78</v>
      </c>
      <c r="E3758" s="30"/>
      <c r="F3758" s="51" t="s">
        <v>23</v>
      </c>
      <c r="G3758" s="31" t="str">
        <f t="shared" si="64"/>
        <v/>
      </c>
      <c r="H3758" s="32"/>
      <c r="I3758" s="33"/>
      <c r="J3758" s="34">
        <v>0</v>
      </c>
    </row>
    <row r="3759" spans="1:10" ht="15.75" hidden="1" thickBot="1" x14ac:dyDescent="0.3">
      <c r="A3759" s="249"/>
      <c r="B3759" s="252"/>
      <c r="C3759" s="36"/>
      <c r="D3759" s="36"/>
      <c r="E3759" s="37"/>
      <c r="F3759" s="59" t="s">
        <v>23</v>
      </c>
      <c r="G3759" s="59" t="str">
        <f t="shared" si="64"/>
        <v/>
      </c>
      <c r="H3759" s="62"/>
      <c r="I3759" s="63"/>
      <c r="J3759" s="34">
        <v>0</v>
      </c>
    </row>
    <row r="3760" spans="1:10" ht="39" hidden="1" thickBot="1" x14ac:dyDescent="0.3">
      <c r="A3760" s="249"/>
      <c r="B3760" s="252"/>
      <c r="C3760" s="40" t="s">
        <v>4059</v>
      </c>
      <c r="D3760" s="40" t="s">
        <v>177</v>
      </c>
      <c r="E3760" s="41">
        <v>1</v>
      </c>
      <c r="F3760" s="59">
        <v>237.5</v>
      </c>
      <c r="G3760" s="59">
        <f t="shared" si="64"/>
        <v>237.5</v>
      </c>
      <c r="H3760" s="43">
        <f>SUM(G3760:G3761)</f>
        <v>237.5</v>
      </c>
      <c r="I3760" s="44"/>
      <c r="J3760" s="34">
        <v>0</v>
      </c>
    </row>
    <row r="3761" spans="1:10" ht="15.75" hidden="1" thickBot="1" x14ac:dyDescent="0.3">
      <c r="A3761" s="250"/>
      <c r="B3761" s="253"/>
      <c r="C3761" s="60"/>
      <c r="D3761" s="60"/>
      <c r="E3761" s="79"/>
      <c r="F3761" s="80" t="s">
        <v>23</v>
      </c>
      <c r="G3761" s="80" t="str">
        <f t="shared" si="64"/>
        <v/>
      </c>
      <c r="H3761" s="81"/>
      <c r="I3761" s="63"/>
      <c r="J3761" s="34">
        <v>0</v>
      </c>
    </row>
    <row r="3762" spans="1:10" ht="15.75" hidden="1" thickBot="1" x14ac:dyDescent="0.3">
      <c r="A3762" s="248" t="s">
        <v>939</v>
      </c>
      <c r="B3762" s="251" t="s">
        <v>2795</v>
      </c>
      <c r="C3762" s="28"/>
      <c r="D3762" s="29" t="s">
        <v>2</v>
      </c>
      <c r="E3762" s="30"/>
      <c r="F3762" s="51" t="s">
        <v>23</v>
      </c>
      <c r="G3762" s="31" t="str">
        <f t="shared" si="64"/>
        <v/>
      </c>
      <c r="H3762" s="32"/>
      <c r="I3762" s="33"/>
      <c r="J3762" s="34">
        <v>0</v>
      </c>
    </row>
    <row r="3763" spans="1:10" ht="15.75" hidden="1" thickBot="1" x14ac:dyDescent="0.3">
      <c r="A3763" s="249"/>
      <c r="B3763" s="252"/>
      <c r="C3763" s="36"/>
      <c r="D3763" s="36"/>
      <c r="E3763" s="37"/>
      <c r="F3763" s="59" t="s">
        <v>23</v>
      </c>
      <c r="G3763" s="59" t="str">
        <f t="shared" si="64"/>
        <v/>
      </c>
      <c r="H3763" s="62"/>
      <c r="I3763" s="63"/>
      <c r="J3763" s="34">
        <v>0</v>
      </c>
    </row>
    <row r="3764" spans="1:10" ht="15.75" hidden="1" thickBot="1" x14ac:dyDescent="0.3">
      <c r="A3764" s="249"/>
      <c r="B3764" s="252"/>
      <c r="C3764" s="40" t="s">
        <v>3777</v>
      </c>
      <c r="D3764" s="40" t="s">
        <v>3778</v>
      </c>
      <c r="E3764" s="41" t="e">
        <f>IF(#REF!="Desonerado",ROUND(1/(1+47.14%),4),ROUND(1/(1+70.4%),4))</f>
        <v>#REF!</v>
      </c>
      <c r="F3764" s="59">
        <v>3214.6194999999998</v>
      </c>
      <c r="G3764" s="59" t="e">
        <f t="shared" si="64"/>
        <v>#REF!</v>
      </c>
      <c r="H3764" s="43" t="e">
        <f>SUM(G3764:G3767)</f>
        <v>#REF!</v>
      </c>
      <c r="I3764" s="44"/>
      <c r="J3764" s="34">
        <v>0</v>
      </c>
    </row>
    <row r="3765" spans="1:10" ht="15.75" hidden="1" thickBot="1" x14ac:dyDescent="0.3">
      <c r="A3765" s="249"/>
      <c r="B3765" s="252"/>
      <c r="C3765" s="40"/>
      <c r="D3765" s="40"/>
      <c r="E3765" s="41"/>
      <c r="F3765" s="59" t="s">
        <v>23</v>
      </c>
      <c r="G3765" s="59" t="str">
        <f t="shared" si="64"/>
        <v/>
      </c>
      <c r="H3765" s="62"/>
      <c r="I3765" s="63"/>
      <c r="J3765" s="34">
        <v>0</v>
      </c>
    </row>
    <row r="3766" spans="1:10" ht="26.25" hidden="1" thickBot="1" x14ac:dyDescent="0.3">
      <c r="A3766" s="249"/>
      <c r="B3766" s="252"/>
      <c r="C3766" s="50" t="s">
        <v>668</v>
      </c>
      <c r="D3766" s="40"/>
      <c r="E3766" s="41"/>
      <c r="F3766" s="59" t="s">
        <v>23</v>
      </c>
      <c r="G3766" s="59" t="str">
        <f t="shared" si="64"/>
        <v/>
      </c>
      <c r="H3766" s="62"/>
      <c r="I3766" s="63"/>
      <c r="J3766" s="34">
        <v>0</v>
      </c>
    </row>
    <row r="3767" spans="1:10" ht="15.75" hidden="1" thickBot="1" x14ac:dyDescent="0.3">
      <c r="A3767" s="250"/>
      <c r="B3767" s="253"/>
      <c r="C3767" s="60"/>
      <c r="D3767" s="60"/>
      <c r="E3767" s="79"/>
      <c r="F3767" s="80" t="s">
        <v>23</v>
      </c>
      <c r="G3767" s="80" t="str">
        <f t="shared" si="64"/>
        <v/>
      </c>
      <c r="H3767" s="81"/>
      <c r="I3767" s="63"/>
      <c r="J3767" s="34">
        <v>0</v>
      </c>
    </row>
    <row r="3768" spans="1:10" ht="15.75" hidden="1" thickBot="1" x14ac:dyDescent="0.3">
      <c r="A3768" s="248" t="s">
        <v>940</v>
      </c>
      <c r="B3768" s="251" t="s">
        <v>2796</v>
      </c>
      <c r="C3768" s="28"/>
      <c r="D3768" s="29" t="s">
        <v>2</v>
      </c>
      <c r="E3768" s="30"/>
      <c r="F3768" s="51" t="s">
        <v>23</v>
      </c>
      <c r="G3768" s="31" t="str">
        <f t="shared" si="64"/>
        <v/>
      </c>
      <c r="H3768" s="32"/>
      <c r="I3768" s="33"/>
      <c r="J3768" s="34">
        <v>0</v>
      </c>
    </row>
    <row r="3769" spans="1:10" ht="15.75" hidden="1" thickBot="1" x14ac:dyDescent="0.3">
      <c r="A3769" s="249"/>
      <c r="B3769" s="252"/>
      <c r="C3769" s="36"/>
      <c r="D3769" s="36"/>
      <c r="E3769" s="37"/>
      <c r="F3769" s="59" t="s">
        <v>23</v>
      </c>
      <c r="G3769" s="59" t="str">
        <f t="shared" si="64"/>
        <v/>
      </c>
      <c r="H3769" s="62"/>
      <c r="I3769" s="63"/>
      <c r="J3769" s="34">
        <v>0</v>
      </c>
    </row>
    <row r="3770" spans="1:10" ht="15.75" hidden="1" thickBot="1" x14ac:dyDescent="0.3">
      <c r="A3770" s="249"/>
      <c r="B3770" s="252"/>
      <c r="C3770" s="40" t="s">
        <v>3777</v>
      </c>
      <c r="D3770" s="40" t="s">
        <v>3778</v>
      </c>
      <c r="E3770" s="41" t="e">
        <f>IF(#REF!="Desonerado",ROUND(1/(1+47.14%),4),ROUND(1/(1+70.4%),4))</f>
        <v>#REF!</v>
      </c>
      <c r="F3770" s="59">
        <v>3214.6194999999998</v>
      </c>
      <c r="G3770" s="59" t="e">
        <f t="shared" si="64"/>
        <v>#REF!</v>
      </c>
      <c r="H3770" s="43" t="e">
        <f>SUM(G3770:G3773)</f>
        <v>#REF!</v>
      </c>
      <c r="I3770" s="44"/>
      <c r="J3770" s="34">
        <v>0</v>
      </c>
    </row>
    <row r="3771" spans="1:10" ht="15.75" hidden="1" thickBot="1" x14ac:dyDescent="0.3">
      <c r="A3771" s="249"/>
      <c r="B3771" s="252"/>
      <c r="C3771" s="40"/>
      <c r="D3771" s="40"/>
      <c r="E3771" s="41"/>
      <c r="F3771" s="59" t="s">
        <v>23</v>
      </c>
      <c r="G3771" s="59" t="str">
        <f t="shared" si="64"/>
        <v/>
      </c>
      <c r="H3771" s="62"/>
      <c r="I3771" s="63"/>
      <c r="J3771" s="34">
        <v>0</v>
      </c>
    </row>
    <row r="3772" spans="1:10" ht="26.25" hidden="1" thickBot="1" x14ac:dyDescent="0.3">
      <c r="A3772" s="249"/>
      <c r="B3772" s="252"/>
      <c r="C3772" s="50" t="s">
        <v>668</v>
      </c>
      <c r="D3772" s="40"/>
      <c r="E3772" s="41"/>
      <c r="F3772" s="59" t="s">
        <v>23</v>
      </c>
      <c r="G3772" s="59" t="str">
        <f t="shared" si="64"/>
        <v/>
      </c>
      <c r="H3772" s="62"/>
      <c r="I3772" s="63"/>
      <c r="J3772" s="34">
        <v>0</v>
      </c>
    </row>
    <row r="3773" spans="1:10" ht="15.75" hidden="1" thickBot="1" x14ac:dyDescent="0.3">
      <c r="A3773" s="250"/>
      <c r="B3773" s="253"/>
      <c r="C3773" s="60"/>
      <c r="D3773" s="60"/>
      <c r="E3773" s="79"/>
      <c r="F3773" s="80" t="s">
        <v>23</v>
      </c>
      <c r="G3773" s="80" t="str">
        <f t="shared" si="64"/>
        <v/>
      </c>
      <c r="H3773" s="81"/>
      <c r="I3773" s="63"/>
      <c r="J3773" s="34">
        <v>0</v>
      </c>
    </row>
    <row r="3774" spans="1:10" ht="15.75" hidden="1" thickBot="1" x14ac:dyDescent="0.3">
      <c r="A3774" s="248" t="s">
        <v>941</v>
      </c>
      <c r="B3774" s="251" t="s">
        <v>2797</v>
      </c>
      <c r="C3774" s="28"/>
      <c r="D3774" s="29" t="s">
        <v>2</v>
      </c>
      <c r="E3774" s="30"/>
      <c r="F3774" s="51" t="s">
        <v>23</v>
      </c>
      <c r="G3774" s="31" t="str">
        <f t="shared" si="64"/>
        <v/>
      </c>
      <c r="H3774" s="32"/>
      <c r="I3774" s="33"/>
      <c r="J3774" s="34">
        <v>0</v>
      </c>
    </row>
    <row r="3775" spans="1:10" ht="15.75" hidden="1" thickBot="1" x14ac:dyDescent="0.3">
      <c r="A3775" s="249"/>
      <c r="B3775" s="252"/>
      <c r="C3775" s="36"/>
      <c r="D3775" s="36"/>
      <c r="E3775" s="37"/>
      <c r="F3775" s="59" t="s">
        <v>23</v>
      </c>
      <c r="G3775" s="59" t="str">
        <f t="shared" si="64"/>
        <v/>
      </c>
      <c r="H3775" s="62"/>
      <c r="I3775" s="63"/>
      <c r="J3775" s="34">
        <v>0</v>
      </c>
    </row>
    <row r="3776" spans="1:10" ht="15.75" hidden="1" thickBot="1" x14ac:dyDescent="0.3">
      <c r="A3776" s="249"/>
      <c r="B3776" s="252"/>
      <c r="C3776" s="40" t="s">
        <v>3777</v>
      </c>
      <c r="D3776" s="40" t="s">
        <v>3778</v>
      </c>
      <c r="E3776" s="41" t="e">
        <f>IF(#REF!="Desonerado",ROUND(1/(1+47.14%),4),ROUND(1/(1+70.4%),4))</f>
        <v>#REF!</v>
      </c>
      <c r="F3776" s="59">
        <v>3214.6194999999998</v>
      </c>
      <c r="G3776" s="59" t="e">
        <f t="shared" si="64"/>
        <v>#REF!</v>
      </c>
      <c r="H3776" s="43" t="e">
        <f>SUM(G3776:G3779)</f>
        <v>#REF!</v>
      </c>
      <c r="I3776" s="44"/>
      <c r="J3776" s="34">
        <v>0</v>
      </c>
    </row>
    <row r="3777" spans="1:10" ht="15.75" hidden="1" thickBot="1" x14ac:dyDescent="0.3">
      <c r="A3777" s="249"/>
      <c r="B3777" s="252"/>
      <c r="C3777" s="40"/>
      <c r="D3777" s="40"/>
      <c r="E3777" s="41"/>
      <c r="F3777" s="59" t="s">
        <v>23</v>
      </c>
      <c r="G3777" s="59" t="str">
        <f t="shared" si="64"/>
        <v/>
      </c>
      <c r="H3777" s="62"/>
      <c r="I3777" s="63"/>
      <c r="J3777" s="34">
        <v>0</v>
      </c>
    </row>
    <row r="3778" spans="1:10" ht="26.25" hidden="1" thickBot="1" x14ac:dyDescent="0.3">
      <c r="A3778" s="249"/>
      <c r="B3778" s="252"/>
      <c r="C3778" s="50" t="s">
        <v>668</v>
      </c>
      <c r="D3778" s="40"/>
      <c r="E3778" s="41"/>
      <c r="F3778" s="59" t="s">
        <v>23</v>
      </c>
      <c r="G3778" s="59" t="str">
        <f t="shared" si="64"/>
        <v/>
      </c>
      <c r="H3778" s="62"/>
      <c r="I3778" s="63"/>
      <c r="J3778" s="34">
        <v>0</v>
      </c>
    </row>
    <row r="3779" spans="1:10" ht="15.75" hidden="1" thickBot="1" x14ac:dyDescent="0.3">
      <c r="A3779" s="250"/>
      <c r="B3779" s="253"/>
      <c r="C3779" s="60"/>
      <c r="D3779" s="60"/>
      <c r="E3779" s="79"/>
      <c r="F3779" s="80" t="s">
        <v>23</v>
      </c>
      <c r="G3779" s="80" t="str">
        <f t="shared" si="64"/>
        <v/>
      </c>
      <c r="H3779" s="81"/>
      <c r="I3779" s="63"/>
      <c r="J3779" s="34">
        <v>0</v>
      </c>
    </row>
    <row r="3780" spans="1:10" ht="15.75" hidden="1" thickBot="1" x14ac:dyDescent="0.3">
      <c r="A3780" s="248" t="s">
        <v>942</v>
      </c>
      <c r="B3780" s="251" t="s">
        <v>2798</v>
      </c>
      <c r="C3780" s="28"/>
      <c r="D3780" s="29" t="s">
        <v>2</v>
      </c>
      <c r="E3780" s="30"/>
      <c r="F3780" s="51" t="s">
        <v>23</v>
      </c>
      <c r="G3780" s="31" t="str">
        <f t="shared" si="64"/>
        <v/>
      </c>
      <c r="H3780" s="32"/>
      <c r="I3780" s="33"/>
      <c r="J3780" s="34">
        <v>0</v>
      </c>
    </row>
    <row r="3781" spans="1:10" ht="15.75" hidden="1" thickBot="1" x14ac:dyDescent="0.3">
      <c r="A3781" s="249"/>
      <c r="B3781" s="252"/>
      <c r="C3781" s="36"/>
      <c r="D3781" s="36"/>
      <c r="E3781" s="37"/>
      <c r="F3781" s="59" t="s">
        <v>23</v>
      </c>
      <c r="G3781" s="59" t="str">
        <f t="shared" si="64"/>
        <v/>
      </c>
      <c r="H3781" s="62"/>
      <c r="I3781" s="63"/>
      <c r="J3781" s="34">
        <v>0</v>
      </c>
    </row>
    <row r="3782" spans="1:10" ht="15.75" hidden="1" thickBot="1" x14ac:dyDescent="0.3">
      <c r="A3782" s="249"/>
      <c r="B3782" s="252"/>
      <c r="C3782" s="40" t="s">
        <v>3777</v>
      </c>
      <c r="D3782" s="40" t="s">
        <v>3778</v>
      </c>
      <c r="E3782" s="41" t="e">
        <f>IF(#REF!="Desonerado",ROUND(1/(1+47.14%),4),ROUND(1/(1+70.4%),4))</f>
        <v>#REF!</v>
      </c>
      <c r="F3782" s="59">
        <v>3214.6194999999998</v>
      </c>
      <c r="G3782" s="59" t="e">
        <f t="shared" si="64"/>
        <v>#REF!</v>
      </c>
      <c r="H3782" s="43" t="e">
        <f>SUM(G3782:G3785)</f>
        <v>#REF!</v>
      </c>
      <c r="I3782" s="44"/>
      <c r="J3782" s="34">
        <v>0</v>
      </c>
    </row>
    <row r="3783" spans="1:10" ht="15.75" hidden="1" thickBot="1" x14ac:dyDescent="0.3">
      <c r="A3783" s="249"/>
      <c r="B3783" s="252"/>
      <c r="C3783" s="40"/>
      <c r="D3783" s="40"/>
      <c r="E3783" s="41"/>
      <c r="F3783" s="59" t="s">
        <v>23</v>
      </c>
      <c r="G3783" s="59" t="str">
        <f t="shared" si="64"/>
        <v/>
      </c>
      <c r="H3783" s="62"/>
      <c r="I3783" s="63"/>
      <c r="J3783" s="34">
        <v>0</v>
      </c>
    </row>
    <row r="3784" spans="1:10" ht="26.25" hidden="1" thickBot="1" x14ac:dyDescent="0.3">
      <c r="A3784" s="249"/>
      <c r="B3784" s="252"/>
      <c r="C3784" s="50" t="s">
        <v>668</v>
      </c>
      <c r="D3784" s="40"/>
      <c r="E3784" s="41"/>
      <c r="F3784" s="59" t="s">
        <v>23</v>
      </c>
      <c r="G3784" s="59" t="str">
        <f t="shared" si="64"/>
        <v/>
      </c>
      <c r="H3784" s="62"/>
      <c r="I3784" s="63"/>
      <c r="J3784" s="34">
        <v>0</v>
      </c>
    </row>
    <row r="3785" spans="1:10" ht="15.75" hidden="1" thickBot="1" x14ac:dyDescent="0.3">
      <c r="A3785" s="250"/>
      <c r="B3785" s="253"/>
      <c r="C3785" s="60"/>
      <c r="D3785" s="60"/>
      <c r="E3785" s="79"/>
      <c r="F3785" s="80" t="s">
        <v>23</v>
      </c>
      <c r="G3785" s="80" t="str">
        <f t="shared" si="64"/>
        <v/>
      </c>
      <c r="H3785" s="81"/>
      <c r="I3785" s="63"/>
      <c r="J3785" s="34">
        <v>0</v>
      </c>
    </row>
    <row r="3786" spans="1:10" ht="15.75" hidden="1" thickBot="1" x14ac:dyDescent="0.3">
      <c r="A3786" s="248" t="s">
        <v>943</v>
      </c>
      <c r="B3786" s="251" t="s">
        <v>2799</v>
      </c>
      <c r="C3786" s="28"/>
      <c r="D3786" s="29" t="s">
        <v>2</v>
      </c>
      <c r="E3786" s="30"/>
      <c r="F3786" s="51" t="s">
        <v>23</v>
      </c>
      <c r="G3786" s="31" t="str">
        <f t="shared" si="64"/>
        <v/>
      </c>
      <c r="H3786" s="32"/>
      <c r="I3786" s="33"/>
      <c r="J3786" s="34">
        <v>0</v>
      </c>
    </row>
    <row r="3787" spans="1:10" ht="15.75" hidden="1" thickBot="1" x14ac:dyDescent="0.3">
      <c r="A3787" s="249"/>
      <c r="B3787" s="252"/>
      <c r="C3787" s="36"/>
      <c r="D3787" s="36"/>
      <c r="E3787" s="37"/>
      <c r="F3787" s="59" t="s">
        <v>23</v>
      </c>
      <c r="G3787" s="59" t="str">
        <f t="shared" si="64"/>
        <v/>
      </c>
      <c r="H3787" s="62"/>
      <c r="I3787" s="63"/>
      <c r="J3787" s="34">
        <v>0</v>
      </c>
    </row>
    <row r="3788" spans="1:10" ht="15.75" hidden="1" thickBot="1" x14ac:dyDescent="0.3">
      <c r="A3788" s="249"/>
      <c r="B3788" s="252"/>
      <c r="C3788" s="40" t="s">
        <v>3777</v>
      </c>
      <c r="D3788" s="40" t="s">
        <v>3778</v>
      </c>
      <c r="E3788" s="41" t="e">
        <f>IF(#REF!="Desonerado",ROUND(1/(1+47.14%),4),ROUND(1/(1+70.4%),4))</f>
        <v>#REF!</v>
      </c>
      <c r="F3788" s="59">
        <v>3214.6194999999998</v>
      </c>
      <c r="G3788" s="59" t="e">
        <f t="shared" si="64"/>
        <v>#REF!</v>
      </c>
      <c r="H3788" s="43" t="e">
        <f>SUM(G3788:G3791)</f>
        <v>#REF!</v>
      </c>
      <c r="I3788" s="44"/>
      <c r="J3788" s="34">
        <v>0</v>
      </c>
    </row>
    <row r="3789" spans="1:10" ht="15.75" hidden="1" thickBot="1" x14ac:dyDescent="0.3">
      <c r="A3789" s="249"/>
      <c r="B3789" s="252"/>
      <c r="C3789" s="40"/>
      <c r="D3789" s="40"/>
      <c r="E3789" s="41"/>
      <c r="F3789" s="59" t="s">
        <v>23</v>
      </c>
      <c r="G3789" s="59" t="str">
        <f t="shared" si="64"/>
        <v/>
      </c>
      <c r="H3789" s="62"/>
      <c r="I3789" s="63"/>
      <c r="J3789" s="34">
        <v>0</v>
      </c>
    </row>
    <row r="3790" spans="1:10" ht="26.25" hidden="1" thickBot="1" x14ac:dyDescent="0.3">
      <c r="A3790" s="249"/>
      <c r="B3790" s="252"/>
      <c r="C3790" s="50" t="s">
        <v>668</v>
      </c>
      <c r="D3790" s="40"/>
      <c r="E3790" s="41"/>
      <c r="F3790" s="59" t="s">
        <v>23</v>
      </c>
      <c r="G3790" s="59" t="str">
        <f t="shared" si="64"/>
        <v/>
      </c>
      <c r="H3790" s="62"/>
      <c r="I3790" s="63"/>
      <c r="J3790" s="34">
        <v>0</v>
      </c>
    </row>
    <row r="3791" spans="1:10" ht="15.75" hidden="1" thickBot="1" x14ac:dyDescent="0.3">
      <c r="A3791" s="250"/>
      <c r="B3791" s="253"/>
      <c r="C3791" s="60"/>
      <c r="D3791" s="60"/>
      <c r="E3791" s="79"/>
      <c r="F3791" s="80" t="s">
        <v>23</v>
      </c>
      <c r="G3791" s="80" t="str">
        <f t="shared" si="64"/>
        <v/>
      </c>
      <c r="H3791" s="81"/>
      <c r="I3791" s="63"/>
      <c r="J3791" s="34">
        <v>0</v>
      </c>
    </row>
    <row r="3792" spans="1:10" ht="15.75" hidden="1" thickBot="1" x14ac:dyDescent="0.3">
      <c r="A3792" s="248" t="s">
        <v>944</v>
      </c>
      <c r="B3792" s="251" t="s">
        <v>2800</v>
      </c>
      <c r="C3792" s="28"/>
      <c r="D3792" s="29" t="s">
        <v>2</v>
      </c>
      <c r="E3792" s="30"/>
      <c r="F3792" s="51" t="s">
        <v>23</v>
      </c>
      <c r="G3792" s="31" t="str">
        <f t="shared" ref="G3792:G3855" si="65">IF(ISNUMBER(F3792),E3792*F3792,"")</f>
        <v/>
      </c>
      <c r="H3792" s="32"/>
      <c r="I3792" s="33"/>
      <c r="J3792" s="34">
        <v>0</v>
      </c>
    </row>
    <row r="3793" spans="1:10" ht="15.75" hidden="1" thickBot="1" x14ac:dyDescent="0.3">
      <c r="A3793" s="249"/>
      <c r="B3793" s="252"/>
      <c r="C3793" s="36"/>
      <c r="D3793" s="36"/>
      <c r="E3793" s="37"/>
      <c r="F3793" s="59" t="s">
        <v>23</v>
      </c>
      <c r="G3793" s="59" t="str">
        <f t="shared" si="65"/>
        <v/>
      </c>
      <c r="H3793" s="62"/>
      <c r="I3793" s="63"/>
      <c r="J3793" s="34">
        <v>0</v>
      </c>
    </row>
    <row r="3794" spans="1:10" ht="15.75" hidden="1" thickBot="1" x14ac:dyDescent="0.3">
      <c r="A3794" s="249"/>
      <c r="B3794" s="252"/>
      <c r="C3794" s="40" t="s">
        <v>3777</v>
      </c>
      <c r="D3794" s="40" t="s">
        <v>3778</v>
      </c>
      <c r="E3794" s="41" t="e">
        <f>IF(#REF!="Desonerado",ROUND(1/(1+47.14%),4),ROUND(1/(1+70.4%),4))</f>
        <v>#REF!</v>
      </c>
      <c r="F3794" s="59">
        <v>3214.6194999999998</v>
      </c>
      <c r="G3794" s="59" t="e">
        <f t="shared" si="65"/>
        <v>#REF!</v>
      </c>
      <c r="H3794" s="43" t="e">
        <f>SUM(G3794:G3797)</f>
        <v>#REF!</v>
      </c>
      <c r="I3794" s="44"/>
      <c r="J3794" s="34">
        <v>0</v>
      </c>
    </row>
    <row r="3795" spans="1:10" ht="15.75" hidden="1" thickBot="1" x14ac:dyDescent="0.3">
      <c r="A3795" s="249"/>
      <c r="B3795" s="252"/>
      <c r="C3795" s="40"/>
      <c r="D3795" s="40"/>
      <c r="E3795" s="41"/>
      <c r="F3795" s="59" t="s">
        <v>23</v>
      </c>
      <c r="G3795" s="59" t="str">
        <f t="shared" si="65"/>
        <v/>
      </c>
      <c r="H3795" s="62"/>
      <c r="I3795" s="63"/>
      <c r="J3795" s="34">
        <v>0</v>
      </c>
    </row>
    <row r="3796" spans="1:10" ht="26.25" hidden="1" thickBot="1" x14ac:dyDescent="0.3">
      <c r="A3796" s="249"/>
      <c r="B3796" s="252"/>
      <c r="C3796" s="50" t="s">
        <v>668</v>
      </c>
      <c r="D3796" s="40"/>
      <c r="E3796" s="41"/>
      <c r="F3796" s="59" t="s">
        <v>23</v>
      </c>
      <c r="G3796" s="59" t="str">
        <f t="shared" si="65"/>
        <v/>
      </c>
      <c r="H3796" s="62"/>
      <c r="I3796" s="63"/>
      <c r="J3796" s="34">
        <v>0</v>
      </c>
    </row>
    <row r="3797" spans="1:10" ht="15.75" hidden="1" thickBot="1" x14ac:dyDescent="0.3">
      <c r="A3797" s="250"/>
      <c r="B3797" s="253"/>
      <c r="C3797" s="60"/>
      <c r="D3797" s="60"/>
      <c r="E3797" s="79"/>
      <c r="F3797" s="80" t="s">
        <v>23</v>
      </c>
      <c r="G3797" s="80" t="str">
        <f t="shared" si="65"/>
        <v/>
      </c>
      <c r="H3797" s="81"/>
      <c r="I3797" s="63"/>
      <c r="J3797" s="34">
        <v>0</v>
      </c>
    </row>
    <row r="3798" spans="1:10" ht="15.75" hidden="1" thickBot="1" x14ac:dyDescent="0.3">
      <c r="A3798" s="248" t="s">
        <v>945</v>
      </c>
      <c r="B3798" s="251" t="s">
        <v>2801</v>
      </c>
      <c r="C3798" s="28"/>
      <c r="D3798" s="29" t="s">
        <v>2</v>
      </c>
      <c r="E3798" s="30"/>
      <c r="F3798" s="51" t="s">
        <v>23</v>
      </c>
      <c r="G3798" s="31" t="str">
        <f t="shared" si="65"/>
        <v/>
      </c>
      <c r="H3798" s="32"/>
      <c r="I3798" s="33"/>
      <c r="J3798" s="34">
        <v>0</v>
      </c>
    </row>
    <row r="3799" spans="1:10" ht="15.75" hidden="1" thickBot="1" x14ac:dyDescent="0.3">
      <c r="A3799" s="249"/>
      <c r="B3799" s="252"/>
      <c r="C3799" s="36"/>
      <c r="D3799" s="36"/>
      <c r="E3799" s="37"/>
      <c r="F3799" s="59" t="s">
        <v>23</v>
      </c>
      <c r="G3799" s="59" t="str">
        <f t="shared" si="65"/>
        <v/>
      </c>
      <c r="H3799" s="62"/>
      <c r="I3799" s="63"/>
      <c r="J3799" s="34">
        <v>0</v>
      </c>
    </row>
    <row r="3800" spans="1:10" ht="15.75" hidden="1" thickBot="1" x14ac:dyDescent="0.3">
      <c r="A3800" s="249"/>
      <c r="B3800" s="252"/>
      <c r="C3800" s="40" t="s">
        <v>3777</v>
      </c>
      <c r="D3800" s="40" t="s">
        <v>3778</v>
      </c>
      <c r="E3800" s="41" t="e">
        <f>IF(#REF!="Desonerado",ROUND(1/(1+47.14%),4),ROUND(1/(1+70.4%),4))</f>
        <v>#REF!</v>
      </c>
      <c r="F3800" s="59">
        <v>3214.6194999999998</v>
      </c>
      <c r="G3800" s="59" t="e">
        <f t="shared" si="65"/>
        <v>#REF!</v>
      </c>
      <c r="H3800" s="43" t="e">
        <f>SUM(G3800:G3803)</f>
        <v>#REF!</v>
      </c>
      <c r="I3800" s="44"/>
      <c r="J3800" s="34">
        <v>0</v>
      </c>
    </row>
    <row r="3801" spans="1:10" ht="15.75" hidden="1" thickBot="1" x14ac:dyDescent="0.3">
      <c r="A3801" s="249"/>
      <c r="B3801" s="252"/>
      <c r="C3801" s="40"/>
      <c r="D3801" s="40"/>
      <c r="E3801" s="41"/>
      <c r="F3801" s="59" t="s">
        <v>23</v>
      </c>
      <c r="G3801" s="59" t="str">
        <f t="shared" si="65"/>
        <v/>
      </c>
      <c r="H3801" s="62"/>
      <c r="I3801" s="63"/>
      <c r="J3801" s="34">
        <v>0</v>
      </c>
    </row>
    <row r="3802" spans="1:10" ht="26.25" hidden="1" thickBot="1" x14ac:dyDescent="0.3">
      <c r="A3802" s="249"/>
      <c r="B3802" s="252"/>
      <c r="C3802" s="50" t="s">
        <v>668</v>
      </c>
      <c r="D3802" s="40"/>
      <c r="E3802" s="41"/>
      <c r="F3802" s="59" t="s">
        <v>23</v>
      </c>
      <c r="G3802" s="59" t="str">
        <f t="shared" si="65"/>
        <v/>
      </c>
      <c r="H3802" s="62"/>
      <c r="I3802" s="63"/>
      <c r="J3802" s="34">
        <v>0</v>
      </c>
    </row>
    <row r="3803" spans="1:10" ht="15.75" hidden="1" thickBot="1" x14ac:dyDescent="0.3">
      <c r="A3803" s="250"/>
      <c r="B3803" s="253"/>
      <c r="C3803" s="60"/>
      <c r="D3803" s="60"/>
      <c r="E3803" s="79"/>
      <c r="F3803" s="80" t="s">
        <v>23</v>
      </c>
      <c r="G3803" s="80" t="str">
        <f t="shared" si="65"/>
        <v/>
      </c>
      <c r="H3803" s="81"/>
      <c r="I3803" s="63"/>
      <c r="J3803" s="34">
        <v>0</v>
      </c>
    </row>
    <row r="3804" spans="1:10" ht="15.75" hidden="1" thickBot="1" x14ac:dyDescent="0.3">
      <c r="A3804" s="248" t="s">
        <v>946</v>
      </c>
      <c r="B3804" s="251" t="s">
        <v>2802</v>
      </c>
      <c r="C3804" s="28"/>
      <c r="D3804" s="29" t="s">
        <v>2</v>
      </c>
      <c r="E3804" s="30"/>
      <c r="F3804" s="51" t="s">
        <v>23</v>
      </c>
      <c r="G3804" s="31" t="str">
        <f t="shared" si="65"/>
        <v/>
      </c>
      <c r="H3804" s="32"/>
      <c r="I3804" s="33"/>
      <c r="J3804" s="34">
        <v>0</v>
      </c>
    </row>
    <row r="3805" spans="1:10" ht="15.75" hidden="1" thickBot="1" x14ac:dyDescent="0.3">
      <c r="A3805" s="249"/>
      <c r="B3805" s="252"/>
      <c r="C3805" s="36"/>
      <c r="D3805" s="36"/>
      <c r="E3805" s="37"/>
      <c r="F3805" s="59" t="s">
        <v>23</v>
      </c>
      <c r="G3805" s="59" t="str">
        <f t="shared" si="65"/>
        <v/>
      </c>
      <c r="H3805" s="62"/>
      <c r="I3805" s="63"/>
      <c r="J3805" s="34">
        <v>0</v>
      </c>
    </row>
    <row r="3806" spans="1:10" ht="15.75" hidden="1" thickBot="1" x14ac:dyDescent="0.3">
      <c r="A3806" s="249"/>
      <c r="B3806" s="252"/>
      <c r="C3806" s="40" t="s">
        <v>3777</v>
      </c>
      <c r="D3806" s="40" t="s">
        <v>3778</v>
      </c>
      <c r="E3806" s="41" t="e">
        <f>IF(#REF!="Desonerado",ROUND(1/(1+47.14%),4),ROUND(1/(1+70.4%),4))</f>
        <v>#REF!</v>
      </c>
      <c r="F3806" s="59">
        <v>3214.6194999999998</v>
      </c>
      <c r="G3806" s="59" t="e">
        <f t="shared" si="65"/>
        <v>#REF!</v>
      </c>
      <c r="H3806" s="43" t="e">
        <f>SUM(G3806:G3809)</f>
        <v>#REF!</v>
      </c>
      <c r="I3806" s="44"/>
      <c r="J3806" s="34">
        <v>0</v>
      </c>
    </row>
    <row r="3807" spans="1:10" ht="15.75" hidden="1" thickBot="1" x14ac:dyDescent="0.3">
      <c r="A3807" s="249"/>
      <c r="B3807" s="252"/>
      <c r="C3807" s="40"/>
      <c r="D3807" s="40"/>
      <c r="E3807" s="41"/>
      <c r="F3807" s="59" t="s">
        <v>23</v>
      </c>
      <c r="G3807" s="59" t="str">
        <f t="shared" si="65"/>
        <v/>
      </c>
      <c r="H3807" s="62"/>
      <c r="I3807" s="63"/>
      <c r="J3807" s="34">
        <v>0</v>
      </c>
    </row>
    <row r="3808" spans="1:10" ht="26.25" hidden="1" thickBot="1" x14ac:dyDescent="0.3">
      <c r="A3808" s="249"/>
      <c r="B3808" s="252"/>
      <c r="C3808" s="50" t="s">
        <v>668</v>
      </c>
      <c r="D3808" s="40"/>
      <c r="E3808" s="41"/>
      <c r="F3808" s="59" t="s">
        <v>23</v>
      </c>
      <c r="G3808" s="59" t="str">
        <f t="shared" si="65"/>
        <v/>
      </c>
      <c r="H3808" s="62"/>
      <c r="I3808" s="63"/>
      <c r="J3808" s="34">
        <v>0</v>
      </c>
    </row>
    <row r="3809" spans="1:10" ht="15.75" hidden="1" thickBot="1" x14ac:dyDescent="0.3">
      <c r="A3809" s="250"/>
      <c r="B3809" s="253"/>
      <c r="C3809" s="60"/>
      <c r="D3809" s="60"/>
      <c r="E3809" s="79"/>
      <c r="F3809" s="80" t="s">
        <v>23</v>
      </c>
      <c r="G3809" s="80" t="str">
        <f t="shared" si="65"/>
        <v/>
      </c>
      <c r="H3809" s="81"/>
      <c r="I3809" s="63"/>
      <c r="J3809" s="34">
        <v>0</v>
      </c>
    </row>
    <row r="3810" spans="1:10" ht="15.75" hidden="1" thickBot="1" x14ac:dyDescent="0.3">
      <c r="A3810" s="248" t="s">
        <v>947</v>
      </c>
      <c r="B3810" s="251" t="s">
        <v>2803</v>
      </c>
      <c r="C3810" s="28"/>
      <c r="D3810" s="29" t="s">
        <v>2</v>
      </c>
      <c r="E3810" s="30"/>
      <c r="F3810" s="51" t="s">
        <v>23</v>
      </c>
      <c r="G3810" s="31" t="str">
        <f t="shared" si="65"/>
        <v/>
      </c>
      <c r="H3810" s="32"/>
      <c r="I3810" s="33"/>
      <c r="J3810" s="34">
        <v>0</v>
      </c>
    </row>
    <row r="3811" spans="1:10" ht="15.75" hidden="1" thickBot="1" x14ac:dyDescent="0.3">
      <c r="A3811" s="249"/>
      <c r="B3811" s="252"/>
      <c r="C3811" s="36"/>
      <c r="D3811" s="36"/>
      <c r="E3811" s="37"/>
      <c r="F3811" s="59" t="s">
        <v>23</v>
      </c>
      <c r="G3811" s="59" t="str">
        <f t="shared" si="65"/>
        <v/>
      </c>
      <c r="H3811" s="62"/>
      <c r="I3811" s="63"/>
      <c r="J3811" s="34">
        <v>0</v>
      </c>
    </row>
    <row r="3812" spans="1:10" ht="15.75" hidden="1" thickBot="1" x14ac:dyDescent="0.3">
      <c r="A3812" s="249"/>
      <c r="B3812" s="252"/>
      <c r="C3812" s="40" t="s">
        <v>3777</v>
      </c>
      <c r="D3812" s="40" t="s">
        <v>3778</v>
      </c>
      <c r="E3812" s="41" t="e">
        <f>IF(#REF!="Desonerado",ROUND(1/(1+47.14%),4),ROUND(1/(1+70.4%),4))</f>
        <v>#REF!</v>
      </c>
      <c r="F3812" s="59">
        <v>3214.6194999999998</v>
      </c>
      <c r="G3812" s="59" t="e">
        <f t="shared" si="65"/>
        <v>#REF!</v>
      </c>
      <c r="H3812" s="43" t="e">
        <f>SUM(G3812:G3815)</f>
        <v>#REF!</v>
      </c>
      <c r="I3812" s="44"/>
      <c r="J3812" s="34">
        <v>0</v>
      </c>
    </row>
    <row r="3813" spans="1:10" ht="15.75" hidden="1" thickBot="1" x14ac:dyDescent="0.3">
      <c r="A3813" s="249"/>
      <c r="B3813" s="252"/>
      <c r="C3813" s="40"/>
      <c r="D3813" s="40"/>
      <c r="E3813" s="41"/>
      <c r="F3813" s="59" t="s">
        <v>23</v>
      </c>
      <c r="G3813" s="59" t="str">
        <f t="shared" si="65"/>
        <v/>
      </c>
      <c r="H3813" s="62"/>
      <c r="I3813" s="63"/>
      <c r="J3813" s="34">
        <v>0</v>
      </c>
    </row>
    <row r="3814" spans="1:10" ht="26.25" hidden="1" thickBot="1" x14ac:dyDescent="0.3">
      <c r="A3814" s="249"/>
      <c r="B3814" s="252"/>
      <c r="C3814" s="50" t="s">
        <v>668</v>
      </c>
      <c r="D3814" s="40"/>
      <c r="E3814" s="41"/>
      <c r="F3814" s="59" t="s">
        <v>23</v>
      </c>
      <c r="G3814" s="59" t="str">
        <f t="shared" si="65"/>
        <v/>
      </c>
      <c r="H3814" s="62"/>
      <c r="I3814" s="63"/>
      <c r="J3814" s="34">
        <v>0</v>
      </c>
    </row>
    <row r="3815" spans="1:10" ht="15.75" hidden="1" thickBot="1" x14ac:dyDescent="0.3">
      <c r="A3815" s="250"/>
      <c r="B3815" s="253"/>
      <c r="C3815" s="60"/>
      <c r="D3815" s="60"/>
      <c r="E3815" s="79"/>
      <c r="F3815" s="80" t="s">
        <v>23</v>
      </c>
      <c r="G3815" s="80" t="str">
        <f t="shared" si="65"/>
        <v/>
      </c>
      <c r="H3815" s="81"/>
      <c r="I3815" s="63"/>
      <c r="J3815" s="34">
        <v>0</v>
      </c>
    </row>
    <row r="3816" spans="1:10" ht="15.75" hidden="1" thickBot="1" x14ac:dyDescent="0.3">
      <c r="A3816" s="248" t="s">
        <v>948</v>
      </c>
      <c r="B3816" s="251" t="s">
        <v>2804</v>
      </c>
      <c r="C3816" s="28"/>
      <c r="D3816" s="29" t="s">
        <v>2</v>
      </c>
      <c r="E3816" s="30"/>
      <c r="F3816" s="51" t="s">
        <v>23</v>
      </c>
      <c r="G3816" s="31" t="str">
        <f t="shared" si="65"/>
        <v/>
      </c>
      <c r="H3816" s="32"/>
      <c r="I3816" s="33"/>
      <c r="J3816" s="34">
        <v>0</v>
      </c>
    </row>
    <row r="3817" spans="1:10" ht="15.75" hidden="1" thickBot="1" x14ac:dyDescent="0.3">
      <c r="A3817" s="249"/>
      <c r="B3817" s="252"/>
      <c r="C3817" s="36"/>
      <c r="D3817" s="36"/>
      <c r="E3817" s="37"/>
      <c r="F3817" s="59" t="s">
        <v>23</v>
      </c>
      <c r="G3817" s="59" t="str">
        <f t="shared" si="65"/>
        <v/>
      </c>
      <c r="H3817" s="62"/>
      <c r="I3817" s="63"/>
      <c r="J3817" s="34">
        <v>0</v>
      </c>
    </row>
    <row r="3818" spans="1:10" ht="26.25" hidden="1" thickBot="1" x14ac:dyDescent="0.3">
      <c r="A3818" s="249"/>
      <c r="B3818" s="252"/>
      <c r="C3818" s="40" t="s">
        <v>3794</v>
      </c>
      <c r="D3818" s="40" t="s">
        <v>3778</v>
      </c>
      <c r="E3818" s="41" t="e">
        <f>IF(#REF!="Desonerado",ROUND(1/(1+47.14%),4),ROUND(1/(1+70.4%),4))</f>
        <v>#REF!</v>
      </c>
      <c r="F3818" s="59">
        <v>7819.2979999999998</v>
      </c>
      <c r="G3818" s="59" t="e">
        <f t="shared" si="65"/>
        <v>#REF!</v>
      </c>
      <c r="H3818" s="43" t="e">
        <f>SUM(G3818:G3821)</f>
        <v>#REF!</v>
      </c>
      <c r="I3818" s="44"/>
      <c r="J3818" s="34">
        <v>0</v>
      </c>
    </row>
    <row r="3819" spans="1:10" ht="15.75" hidden="1" thickBot="1" x14ac:dyDescent="0.3">
      <c r="A3819" s="249"/>
      <c r="B3819" s="252"/>
      <c r="C3819" s="40"/>
      <c r="D3819" s="40"/>
      <c r="E3819" s="41"/>
      <c r="F3819" s="59" t="s">
        <v>23</v>
      </c>
      <c r="G3819" s="59" t="str">
        <f t="shared" si="65"/>
        <v/>
      </c>
      <c r="H3819" s="62"/>
      <c r="I3819" s="63"/>
      <c r="J3819" s="34">
        <v>0</v>
      </c>
    </row>
    <row r="3820" spans="1:10" ht="26.25" hidden="1" thickBot="1" x14ac:dyDescent="0.3">
      <c r="A3820" s="249"/>
      <c r="B3820" s="252"/>
      <c r="C3820" s="50" t="s">
        <v>668</v>
      </c>
      <c r="D3820" s="40"/>
      <c r="E3820" s="41"/>
      <c r="F3820" s="59" t="s">
        <v>23</v>
      </c>
      <c r="G3820" s="59" t="str">
        <f t="shared" si="65"/>
        <v/>
      </c>
      <c r="H3820" s="62"/>
      <c r="I3820" s="63"/>
      <c r="J3820" s="34">
        <v>0</v>
      </c>
    </row>
    <row r="3821" spans="1:10" ht="15.75" hidden="1" thickBot="1" x14ac:dyDescent="0.3">
      <c r="A3821" s="250"/>
      <c r="B3821" s="253"/>
      <c r="C3821" s="60"/>
      <c r="D3821" s="60"/>
      <c r="E3821" s="79"/>
      <c r="F3821" s="80" t="s">
        <v>23</v>
      </c>
      <c r="G3821" s="80" t="str">
        <f t="shared" si="65"/>
        <v/>
      </c>
      <c r="H3821" s="81"/>
      <c r="I3821" s="63"/>
      <c r="J3821" s="34">
        <v>0</v>
      </c>
    </row>
    <row r="3822" spans="1:10" ht="15.75" hidden="1" thickBot="1" x14ac:dyDescent="0.3">
      <c r="A3822" s="248" t="s">
        <v>949</v>
      </c>
      <c r="B3822" s="251" t="s">
        <v>2807</v>
      </c>
      <c r="C3822" s="28"/>
      <c r="D3822" s="29" t="s">
        <v>2808</v>
      </c>
      <c r="E3822" s="30"/>
      <c r="F3822" s="51" t="s">
        <v>23</v>
      </c>
      <c r="G3822" s="31" t="str">
        <f t="shared" si="65"/>
        <v/>
      </c>
      <c r="H3822" s="32"/>
      <c r="I3822" s="33"/>
      <c r="J3822" s="34">
        <v>0</v>
      </c>
    </row>
    <row r="3823" spans="1:10" ht="15.75" hidden="1" thickBot="1" x14ac:dyDescent="0.3">
      <c r="A3823" s="262"/>
      <c r="B3823" s="252"/>
      <c r="C3823" s="36"/>
      <c r="D3823" s="36"/>
      <c r="E3823" s="37"/>
      <c r="F3823" s="59" t="s">
        <v>23</v>
      </c>
      <c r="G3823" s="59" t="str">
        <f t="shared" si="65"/>
        <v/>
      </c>
      <c r="H3823" s="62"/>
      <c r="I3823" s="63"/>
      <c r="J3823" s="34">
        <v>0</v>
      </c>
    </row>
    <row r="3824" spans="1:10" ht="15.75" hidden="1" thickBot="1" x14ac:dyDescent="0.3">
      <c r="A3824" s="262"/>
      <c r="B3824" s="252"/>
      <c r="C3824" s="40" t="s">
        <v>3826</v>
      </c>
      <c r="D3824" s="40" t="s">
        <v>3752</v>
      </c>
      <c r="E3824" s="41">
        <f>0.5/50</f>
        <v>0.01</v>
      </c>
      <c r="F3824" s="59">
        <v>27.920500000000001</v>
      </c>
      <c r="G3824" s="59">
        <f t="shared" si="65"/>
        <v>0.27920500000000004</v>
      </c>
      <c r="H3824" s="43">
        <f>SUM(G3824:G3825)</f>
        <v>0.27920500000000004</v>
      </c>
      <c r="I3824" s="44"/>
      <c r="J3824" s="34">
        <v>0</v>
      </c>
    </row>
    <row r="3825" spans="1:10" ht="15.75" hidden="1" thickBot="1" x14ac:dyDescent="0.3">
      <c r="A3825" s="262"/>
      <c r="B3825" s="252"/>
      <c r="C3825" s="40" t="s">
        <v>950</v>
      </c>
      <c r="D3825" s="40" t="s">
        <v>102</v>
      </c>
      <c r="E3825" s="41">
        <f>1/50</f>
        <v>0.02</v>
      </c>
      <c r="F3825" s="59" t="s">
        <v>23</v>
      </c>
      <c r="G3825" s="59" t="str">
        <f t="shared" si="65"/>
        <v/>
      </c>
      <c r="H3825" s="62"/>
      <c r="I3825" s="63"/>
      <c r="J3825" s="34">
        <v>0</v>
      </c>
    </row>
    <row r="3826" spans="1:10" ht="15.75" hidden="1" thickBot="1" x14ac:dyDescent="0.3">
      <c r="A3826" s="263"/>
      <c r="B3826" s="253"/>
      <c r="C3826" s="40"/>
      <c r="D3826" s="40"/>
      <c r="E3826" s="41"/>
      <c r="F3826" s="59" t="s">
        <v>23</v>
      </c>
      <c r="G3826" s="59" t="str">
        <f t="shared" si="65"/>
        <v/>
      </c>
      <c r="H3826" s="62"/>
      <c r="I3826" s="63"/>
      <c r="J3826" s="34">
        <v>0</v>
      </c>
    </row>
    <row r="3827" spans="1:10" ht="15.75" hidden="1" thickBot="1" x14ac:dyDescent="0.3">
      <c r="A3827" s="248" t="s">
        <v>951</v>
      </c>
      <c r="B3827" s="251" t="s">
        <v>2809</v>
      </c>
      <c r="C3827" s="28"/>
      <c r="D3827" s="29" t="s">
        <v>121</v>
      </c>
      <c r="E3827" s="30"/>
      <c r="F3827" s="51" t="s">
        <v>23</v>
      </c>
      <c r="G3827" s="31" t="str">
        <f t="shared" si="65"/>
        <v/>
      </c>
      <c r="H3827" s="32"/>
      <c r="I3827" s="33"/>
      <c r="J3827" s="34">
        <v>0</v>
      </c>
    </row>
    <row r="3828" spans="1:10" ht="15.75" hidden="1" thickBot="1" x14ac:dyDescent="0.3">
      <c r="A3828" s="262"/>
      <c r="B3828" s="252"/>
      <c r="C3828" s="36"/>
      <c r="D3828" s="36"/>
      <c r="E3828" s="37"/>
      <c r="F3828" s="59" t="s">
        <v>23</v>
      </c>
      <c r="G3828" s="59" t="str">
        <f t="shared" si="65"/>
        <v/>
      </c>
      <c r="H3828" s="62"/>
      <c r="I3828" s="63"/>
      <c r="J3828" s="34">
        <v>0</v>
      </c>
    </row>
    <row r="3829" spans="1:10" ht="15.75" hidden="1" thickBot="1" x14ac:dyDescent="0.3">
      <c r="A3829" s="262"/>
      <c r="B3829" s="252"/>
      <c r="C3829" s="40" t="s">
        <v>3757</v>
      </c>
      <c r="D3829" s="40" t="s">
        <v>3752</v>
      </c>
      <c r="E3829" s="41">
        <v>0.5</v>
      </c>
      <c r="F3829" s="59">
        <v>28.0535</v>
      </c>
      <c r="G3829" s="59">
        <f t="shared" si="65"/>
        <v>14.02675</v>
      </c>
      <c r="H3829" s="43">
        <f>SUM(G3829:G3835)</f>
        <v>41.239585587162495</v>
      </c>
      <c r="I3829" s="44"/>
      <c r="J3829" s="34">
        <v>0</v>
      </c>
    </row>
    <row r="3830" spans="1:10" ht="15.75" hidden="1" thickBot="1" x14ac:dyDescent="0.3">
      <c r="A3830" s="262"/>
      <c r="B3830" s="252"/>
      <c r="C3830" s="40" t="s">
        <v>3754</v>
      </c>
      <c r="D3830" s="40" t="s">
        <v>3752</v>
      </c>
      <c r="E3830" s="41">
        <v>0.51</v>
      </c>
      <c r="F3830" s="59">
        <v>20.814499999999999</v>
      </c>
      <c r="G3830" s="59">
        <f t="shared" si="65"/>
        <v>10.615394999999999</v>
      </c>
      <c r="H3830" s="62"/>
      <c r="I3830" s="63"/>
      <c r="J3830" s="34">
        <v>0</v>
      </c>
    </row>
    <row r="3831" spans="1:10" ht="39" hidden="1" thickBot="1" x14ac:dyDescent="0.3">
      <c r="A3831" s="262"/>
      <c r="B3831" s="252"/>
      <c r="C3831" s="40" t="s">
        <v>4736</v>
      </c>
      <c r="D3831" s="40" t="s">
        <v>3764</v>
      </c>
      <c r="E3831" s="41">
        <v>3.0999999999999999E-3</v>
      </c>
      <c r="F3831" s="59">
        <v>744.94406037500005</v>
      </c>
      <c r="G3831" s="59">
        <f t="shared" si="65"/>
        <v>2.3093265871624999</v>
      </c>
      <c r="H3831" s="62"/>
      <c r="I3831" s="63"/>
      <c r="J3831" s="34">
        <v>0</v>
      </c>
    </row>
    <row r="3832" spans="1:10" ht="15.75" hidden="1" thickBot="1" x14ac:dyDescent="0.3">
      <c r="A3832" s="262"/>
      <c r="B3832" s="252"/>
      <c r="C3832" s="40" t="s">
        <v>952</v>
      </c>
      <c r="D3832" s="53" t="s">
        <v>121</v>
      </c>
      <c r="E3832" s="41">
        <v>1</v>
      </c>
      <c r="F3832" s="59" t="s">
        <v>23</v>
      </c>
      <c r="G3832" s="59" t="str">
        <f t="shared" si="65"/>
        <v/>
      </c>
      <c r="H3832" s="62"/>
      <c r="I3832" s="63"/>
      <c r="J3832" s="34">
        <v>0</v>
      </c>
    </row>
    <row r="3833" spans="1:10" ht="15.75" hidden="1" thickBot="1" x14ac:dyDescent="0.3">
      <c r="A3833" s="262"/>
      <c r="B3833" s="252"/>
      <c r="C3833" s="40" t="s">
        <v>3968</v>
      </c>
      <c r="D3833" s="40" t="s">
        <v>3752</v>
      </c>
      <c r="E3833" s="41">
        <v>8.6999999999999994E-2</v>
      </c>
      <c r="F3833" s="59">
        <v>27.853999999999999</v>
      </c>
      <c r="G3833" s="59">
        <f t="shared" si="65"/>
        <v>2.423298</v>
      </c>
      <c r="H3833" s="62"/>
      <c r="I3833" s="63"/>
      <c r="J3833" s="34">
        <v>0</v>
      </c>
    </row>
    <row r="3834" spans="1:10" ht="15.75" hidden="1" thickBot="1" x14ac:dyDescent="0.3">
      <c r="A3834" s="262"/>
      <c r="B3834" s="252"/>
      <c r="C3834" s="40" t="s">
        <v>3967</v>
      </c>
      <c r="D3834" s="40" t="s">
        <v>3752</v>
      </c>
      <c r="E3834" s="41">
        <v>6.4000000000000001E-2</v>
      </c>
      <c r="F3834" s="59">
        <v>22.106499999999997</v>
      </c>
      <c r="G3834" s="59">
        <f t="shared" si="65"/>
        <v>1.4148159999999999</v>
      </c>
      <c r="H3834" s="62"/>
      <c r="I3834" s="63"/>
      <c r="J3834" s="34">
        <v>0</v>
      </c>
    </row>
    <row r="3835" spans="1:10" ht="15.75" hidden="1" thickBot="1" x14ac:dyDescent="0.3">
      <c r="A3835" s="262"/>
      <c r="B3835" s="252"/>
      <c r="C3835" s="40" t="s">
        <v>3831</v>
      </c>
      <c r="D3835" s="40" t="s">
        <v>291</v>
      </c>
      <c r="E3835" s="41">
        <v>0.4</v>
      </c>
      <c r="F3835" s="59">
        <v>26.125</v>
      </c>
      <c r="G3835" s="59">
        <f t="shared" si="65"/>
        <v>10.450000000000001</v>
      </c>
      <c r="H3835" s="62"/>
      <c r="I3835" s="63"/>
      <c r="J3835" s="34">
        <v>0</v>
      </c>
    </row>
    <row r="3836" spans="1:10" ht="15.75" hidden="1" thickBot="1" x14ac:dyDescent="0.3">
      <c r="A3836" s="262"/>
      <c r="B3836" s="252"/>
      <c r="C3836" s="40"/>
      <c r="D3836" s="53"/>
      <c r="E3836" s="41"/>
      <c r="F3836" s="59" t="s">
        <v>23</v>
      </c>
      <c r="G3836" s="59" t="str">
        <f t="shared" si="65"/>
        <v/>
      </c>
      <c r="H3836" s="62"/>
      <c r="I3836" s="63"/>
      <c r="J3836" s="34">
        <v>0</v>
      </c>
    </row>
    <row r="3837" spans="1:10" ht="15.75" hidden="1" thickBot="1" x14ac:dyDescent="0.3">
      <c r="A3837" s="262"/>
      <c r="B3837" s="252"/>
      <c r="C3837" s="54" t="s">
        <v>953</v>
      </c>
      <c r="D3837" s="53"/>
      <c r="E3837" s="41"/>
      <c r="F3837" s="59" t="s">
        <v>23</v>
      </c>
      <c r="G3837" s="59" t="str">
        <f t="shared" si="65"/>
        <v/>
      </c>
      <c r="H3837" s="62"/>
      <c r="I3837" s="63"/>
      <c r="J3837" s="34">
        <v>0</v>
      </c>
    </row>
    <row r="3838" spans="1:10" ht="15.75" hidden="1" thickBot="1" x14ac:dyDescent="0.3">
      <c r="A3838" s="262"/>
      <c r="B3838" s="252"/>
      <c r="C3838" s="60"/>
      <c r="D3838" s="60"/>
      <c r="E3838" s="79"/>
      <c r="F3838" s="80" t="s">
        <v>23</v>
      </c>
      <c r="G3838" s="80" t="str">
        <f t="shared" si="65"/>
        <v/>
      </c>
      <c r="H3838" s="81"/>
      <c r="I3838" s="63"/>
      <c r="J3838" s="34">
        <v>0</v>
      </c>
    </row>
    <row r="3839" spans="1:10" ht="15.75" hidden="1" thickBot="1" x14ac:dyDescent="0.3">
      <c r="A3839" s="248" t="s">
        <v>954</v>
      </c>
      <c r="B3839" s="251" t="s">
        <v>2810</v>
      </c>
      <c r="C3839" s="28"/>
      <c r="D3839" s="29" t="s">
        <v>78</v>
      </c>
      <c r="E3839" s="30"/>
      <c r="F3839" s="51" t="s">
        <v>23</v>
      </c>
      <c r="G3839" s="31" t="str">
        <f t="shared" si="65"/>
        <v/>
      </c>
      <c r="H3839" s="32"/>
      <c r="I3839" s="33"/>
      <c r="J3839" s="34">
        <v>0</v>
      </c>
    </row>
    <row r="3840" spans="1:10" ht="15.75" hidden="1" thickBot="1" x14ac:dyDescent="0.3">
      <c r="A3840" s="262"/>
      <c r="B3840" s="252"/>
      <c r="C3840" s="36"/>
      <c r="D3840" s="36"/>
      <c r="E3840" s="37"/>
      <c r="F3840" s="59" t="s">
        <v>23</v>
      </c>
      <c r="G3840" s="59" t="str">
        <f t="shared" si="65"/>
        <v/>
      </c>
      <c r="H3840" s="62"/>
      <c r="I3840" s="63"/>
      <c r="J3840" s="34">
        <v>0</v>
      </c>
    </row>
    <row r="3841" spans="1:10" ht="15.75" hidden="1" thickBot="1" x14ac:dyDescent="0.3">
      <c r="A3841" s="262"/>
      <c r="B3841" s="252"/>
      <c r="C3841" s="40" t="s">
        <v>4056</v>
      </c>
      <c r="D3841" s="40" t="s">
        <v>1035</v>
      </c>
      <c r="E3841" s="41">
        <f>ROUND(0.5228/(1.5*0.6),4)</f>
        <v>0.58089999999999997</v>
      </c>
      <c r="F3841" s="59">
        <v>33.971999999999994</v>
      </c>
      <c r="G3841" s="59">
        <f t="shared" si="65"/>
        <v>19.734334799999996</v>
      </c>
      <c r="H3841" s="43">
        <f>SUM(G3841:G3847)</f>
        <v>151.38165924999998</v>
      </c>
      <c r="I3841" s="44"/>
      <c r="J3841" s="34">
        <v>0</v>
      </c>
    </row>
    <row r="3842" spans="1:10" ht="39" hidden="1" thickBot="1" x14ac:dyDescent="0.3">
      <c r="A3842" s="262"/>
      <c r="B3842" s="252"/>
      <c r="C3842" s="40" t="s">
        <v>4131</v>
      </c>
      <c r="D3842" s="40" t="s">
        <v>291</v>
      </c>
      <c r="E3842" s="41">
        <f>ROUND(6/(1.5*0.6),4)</f>
        <v>6.6666999999999996</v>
      </c>
      <c r="F3842" s="59">
        <v>1.0449999999999999</v>
      </c>
      <c r="G3842" s="59">
        <f t="shared" si="65"/>
        <v>6.9667014999999992</v>
      </c>
      <c r="H3842" s="62"/>
      <c r="I3842" s="63"/>
      <c r="J3842" s="34">
        <v>0</v>
      </c>
    </row>
    <row r="3843" spans="1:10" ht="26.25" hidden="1" thickBot="1" x14ac:dyDescent="0.3">
      <c r="A3843" s="262"/>
      <c r="B3843" s="252"/>
      <c r="C3843" s="40" t="s">
        <v>955</v>
      </c>
      <c r="D3843" s="40" t="s">
        <v>177</v>
      </c>
      <c r="E3843" s="41">
        <f>ROUND(1.005/(1.5*0.6),4)</f>
        <v>1.1167</v>
      </c>
      <c r="F3843" s="59" t="s">
        <v>23</v>
      </c>
      <c r="G3843" s="59" t="str">
        <f t="shared" si="65"/>
        <v/>
      </c>
      <c r="H3843" s="62"/>
      <c r="I3843" s="63"/>
      <c r="J3843" s="34">
        <v>0</v>
      </c>
    </row>
    <row r="3844" spans="1:10" ht="15.75" hidden="1" thickBot="1" x14ac:dyDescent="0.3">
      <c r="A3844" s="262"/>
      <c r="B3844" s="252"/>
      <c r="C3844" s="40" t="s">
        <v>4161</v>
      </c>
      <c r="D3844" s="40" t="s">
        <v>1035</v>
      </c>
      <c r="E3844" s="41">
        <f>ROUND(0.0211/(1.5*0.6),4)</f>
        <v>2.3400000000000001E-2</v>
      </c>
      <c r="F3844" s="59">
        <v>76.36099999999999</v>
      </c>
      <c r="G3844" s="59">
        <f t="shared" si="65"/>
        <v>1.7868473999999999</v>
      </c>
      <c r="H3844" s="62"/>
      <c r="I3844" s="63"/>
      <c r="J3844" s="34">
        <v>0</v>
      </c>
    </row>
    <row r="3845" spans="1:10" ht="26.25" hidden="1" thickBot="1" x14ac:dyDescent="0.3">
      <c r="A3845" s="262"/>
      <c r="B3845" s="252"/>
      <c r="C3845" s="40" t="s">
        <v>3999</v>
      </c>
      <c r="D3845" s="40" t="s">
        <v>291</v>
      </c>
      <c r="E3845" s="41">
        <f>ROUND(2/(1.5*0.6),4)</f>
        <v>2.2222</v>
      </c>
      <c r="F3845" s="59">
        <v>24.206</v>
      </c>
      <c r="G3845" s="59">
        <f t="shared" si="65"/>
        <v>53.790573199999997</v>
      </c>
      <c r="H3845" s="62"/>
      <c r="I3845" s="63"/>
      <c r="J3845" s="34">
        <v>0</v>
      </c>
    </row>
    <row r="3846" spans="1:10" ht="15.75" hidden="1" thickBot="1" x14ac:dyDescent="0.3">
      <c r="A3846" s="262"/>
      <c r="B3846" s="252"/>
      <c r="C3846" s="40" t="s">
        <v>3826</v>
      </c>
      <c r="D3846" s="40" t="s">
        <v>3752</v>
      </c>
      <c r="E3846" s="41">
        <f>ROUND(1.4944/(1.5*0.6),4)</f>
        <v>1.6604000000000001</v>
      </c>
      <c r="F3846" s="59">
        <v>27.920500000000001</v>
      </c>
      <c r="G3846" s="59">
        <f t="shared" si="65"/>
        <v>46.359198200000002</v>
      </c>
      <c r="H3846" s="62"/>
      <c r="I3846" s="63"/>
      <c r="J3846" s="34">
        <v>0</v>
      </c>
    </row>
    <row r="3847" spans="1:10" ht="15.75" hidden="1" thickBot="1" x14ac:dyDescent="0.3">
      <c r="A3847" s="262"/>
      <c r="B3847" s="252"/>
      <c r="C3847" s="40" t="s">
        <v>3754</v>
      </c>
      <c r="D3847" s="40" t="s">
        <v>3752</v>
      </c>
      <c r="E3847" s="41">
        <f>ROUND(0.9834/(1.5*0.6),4)</f>
        <v>1.0927</v>
      </c>
      <c r="F3847" s="59">
        <v>20.814499999999999</v>
      </c>
      <c r="G3847" s="59">
        <f t="shared" si="65"/>
        <v>22.744004149999999</v>
      </c>
      <c r="H3847" s="62"/>
      <c r="I3847" s="63"/>
      <c r="J3847" s="34">
        <v>0</v>
      </c>
    </row>
    <row r="3848" spans="1:10" ht="15.75" hidden="1" thickBot="1" x14ac:dyDescent="0.3">
      <c r="A3848" s="262"/>
      <c r="B3848" s="252"/>
      <c r="C3848" s="40"/>
      <c r="D3848" s="40"/>
      <c r="E3848" s="41"/>
      <c r="F3848" s="59" t="s">
        <v>23</v>
      </c>
      <c r="G3848" s="59" t="str">
        <f t="shared" si="65"/>
        <v/>
      </c>
      <c r="H3848" s="62"/>
      <c r="I3848" s="63"/>
      <c r="J3848" s="34">
        <v>0</v>
      </c>
    </row>
    <row r="3849" spans="1:10" ht="15.75" hidden="1" thickBot="1" x14ac:dyDescent="0.3">
      <c r="A3849" s="248" t="s">
        <v>956</v>
      </c>
      <c r="B3849" s="251" t="s">
        <v>2811</v>
      </c>
      <c r="C3849" s="28"/>
      <c r="D3849" s="29" t="s">
        <v>78</v>
      </c>
      <c r="E3849" s="30"/>
      <c r="F3849" s="51" t="s">
        <v>23</v>
      </c>
      <c r="G3849" s="31" t="str">
        <f t="shared" si="65"/>
        <v/>
      </c>
      <c r="H3849" s="32"/>
      <c r="I3849" s="33"/>
      <c r="J3849" s="34">
        <v>0</v>
      </c>
    </row>
    <row r="3850" spans="1:10" ht="15.75" hidden="1" thickBot="1" x14ac:dyDescent="0.3">
      <c r="A3850" s="262"/>
      <c r="B3850" s="252"/>
      <c r="C3850" s="36"/>
      <c r="D3850" s="36"/>
      <c r="E3850" s="37"/>
      <c r="F3850" s="59" t="s">
        <v>23</v>
      </c>
      <c r="G3850" s="59" t="str">
        <f t="shared" si="65"/>
        <v/>
      </c>
      <c r="H3850" s="62"/>
      <c r="I3850" s="63"/>
      <c r="J3850" s="34">
        <v>0</v>
      </c>
    </row>
    <row r="3851" spans="1:10" ht="26.25" hidden="1" thickBot="1" x14ac:dyDescent="0.3">
      <c r="A3851" s="262"/>
      <c r="B3851" s="252"/>
      <c r="C3851" s="40" t="s">
        <v>3788</v>
      </c>
      <c r="D3851" s="40" t="s">
        <v>3789</v>
      </c>
      <c r="E3851" s="41">
        <v>0.88290000000000002</v>
      </c>
      <c r="F3851" s="59">
        <v>39.548499999999997</v>
      </c>
      <c r="G3851" s="59">
        <f t="shared" si="65"/>
        <v>34.917370649999995</v>
      </c>
      <c r="H3851" s="43">
        <f>SUM(G3851:G3856)</f>
        <v>512.63300169999991</v>
      </c>
      <c r="I3851" s="44"/>
      <c r="J3851" s="34">
        <v>0</v>
      </c>
    </row>
    <row r="3852" spans="1:10" ht="39" hidden="1" thickBot="1" x14ac:dyDescent="0.3">
      <c r="A3852" s="262"/>
      <c r="B3852" s="252"/>
      <c r="C3852" s="40" t="s">
        <v>4131</v>
      </c>
      <c r="D3852" s="40" t="s">
        <v>291</v>
      </c>
      <c r="E3852" s="41">
        <v>4.8166000000000002</v>
      </c>
      <c r="F3852" s="59">
        <v>1.0449999999999999</v>
      </c>
      <c r="G3852" s="59">
        <f t="shared" si="65"/>
        <v>5.033347</v>
      </c>
      <c r="H3852" s="62"/>
      <c r="I3852" s="63"/>
      <c r="J3852" s="34">
        <v>0</v>
      </c>
    </row>
    <row r="3853" spans="1:10" ht="39" hidden="1" thickBot="1" x14ac:dyDescent="0.3">
      <c r="A3853" s="262"/>
      <c r="B3853" s="252"/>
      <c r="C3853" s="40" t="s">
        <v>4061</v>
      </c>
      <c r="D3853" s="40" t="s">
        <v>1286</v>
      </c>
      <c r="E3853" s="41">
        <v>6.8503999999999996</v>
      </c>
      <c r="F3853" s="59">
        <v>26.3245</v>
      </c>
      <c r="G3853" s="59">
        <f t="shared" si="65"/>
        <v>180.3333548</v>
      </c>
      <c r="H3853" s="62"/>
      <c r="I3853" s="63"/>
      <c r="J3853" s="34">
        <v>0</v>
      </c>
    </row>
    <row r="3854" spans="1:10" ht="26.25" hidden="1" thickBot="1" x14ac:dyDescent="0.3">
      <c r="A3854" s="262"/>
      <c r="B3854" s="252"/>
      <c r="C3854" s="40" t="s">
        <v>4062</v>
      </c>
      <c r="D3854" s="40" t="s">
        <v>291</v>
      </c>
      <c r="E3854" s="41">
        <v>0.54730000000000001</v>
      </c>
      <c r="F3854" s="59">
        <v>507.29050000000001</v>
      </c>
      <c r="G3854" s="59">
        <f t="shared" si="65"/>
        <v>277.64009064999999</v>
      </c>
      <c r="H3854" s="62"/>
      <c r="I3854" s="63"/>
      <c r="J3854" s="34">
        <v>0</v>
      </c>
    </row>
    <row r="3855" spans="1:10" ht="15.75" hidden="1" thickBot="1" x14ac:dyDescent="0.3">
      <c r="A3855" s="262"/>
      <c r="B3855" s="252"/>
      <c r="C3855" s="40" t="s">
        <v>3757</v>
      </c>
      <c r="D3855" s="40" t="s">
        <v>3752</v>
      </c>
      <c r="E3855" s="41">
        <v>0.3826</v>
      </c>
      <c r="F3855" s="59">
        <v>28.0535</v>
      </c>
      <c r="G3855" s="59">
        <f t="shared" si="65"/>
        <v>10.733269099999999</v>
      </c>
      <c r="H3855" s="62"/>
      <c r="I3855" s="63"/>
      <c r="J3855" s="34">
        <v>0</v>
      </c>
    </row>
    <row r="3856" spans="1:10" ht="15.75" hidden="1" thickBot="1" x14ac:dyDescent="0.3">
      <c r="A3856" s="262"/>
      <c r="B3856" s="252"/>
      <c r="C3856" s="40" t="s">
        <v>3754</v>
      </c>
      <c r="D3856" s="40" t="s">
        <v>3752</v>
      </c>
      <c r="E3856" s="41">
        <v>0.191</v>
      </c>
      <c r="F3856" s="59">
        <v>20.814499999999999</v>
      </c>
      <c r="G3856" s="59">
        <f t="shared" ref="G3856:G3919" si="66">IF(ISNUMBER(F3856),E3856*F3856,"")</f>
        <v>3.9755694999999998</v>
      </c>
      <c r="H3856" s="62"/>
      <c r="I3856" s="63"/>
      <c r="J3856" s="34">
        <v>0</v>
      </c>
    </row>
    <row r="3857" spans="1:10" ht="15.75" hidden="1" thickBot="1" x14ac:dyDescent="0.3">
      <c r="A3857" s="262"/>
      <c r="B3857" s="252"/>
      <c r="C3857" s="40"/>
      <c r="D3857" s="53"/>
      <c r="E3857" s="41"/>
      <c r="F3857" s="59" t="s">
        <v>23</v>
      </c>
      <c r="G3857" s="59" t="str">
        <f t="shared" si="66"/>
        <v/>
      </c>
      <c r="H3857" s="62"/>
      <c r="I3857" s="63"/>
      <c r="J3857" s="34">
        <v>0</v>
      </c>
    </row>
    <row r="3858" spans="1:10" ht="15.75" hidden="1" thickBot="1" x14ac:dyDescent="0.3">
      <c r="A3858" s="248" t="s">
        <v>957</v>
      </c>
      <c r="B3858" s="251" t="s">
        <v>2812</v>
      </c>
      <c r="C3858" s="28"/>
      <c r="D3858" s="29" t="s">
        <v>78</v>
      </c>
      <c r="E3858" s="30"/>
      <c r="F3858" s="51" t="s">
        <v>23</v>
      </c>
      <c r="G3858" s="31" t="str">
        <f t="shared" si="66"/>
        <v/>
      </c>
      <c r="H3858" s="32"/>
      <c r="I3858" s="33"/>
      <c r="J3858" s="34">
        <v>0</v>
      </c>
    </row>
    <row r="3859" spans="1:10" ht="15.75" hidden="1" thickBot="1" x14ac:dyDescent="0.3">
      <c r="A3859" s="262"/>
      <c r="B3859" s="252"/>
      <c r="C3859" s="36"/>
      <c r="D3859" s="36"/>
      <c r="E3859" s="37"/>
      <c r="F3859" s="59" t="s">
        <v>23</v>
      </c>
      <c r="G3859" s="59" t="str">
        <f t="shared" si="66"/>
        <v/>
      </c>
      <c r="H3859" s="62"/>
      <c r="I3859" s="63"/>
      <c r="J3859" s="34">
        <v>0</v>
      </c>
    </row>
    <row r="3860" spans="1:10" ht="39" hidden="1" thickBot="1" x14ac:dyDescent="0.3">
      <c r="A3860" s="262"/>
      <c r="B3860" s="252"/>
      <c r="C3860" s="40" t="s">
        <v>4063</v>
      </c>
      <c r="D3860" s="40" t="s">
        <v>291</v>
      </c>
      <c r="E3860" s="41">
        <v>24.4</v>
      </c>
      <c r="F3860" s="59">
        <v>0.19</v>
      </c>
      <c r="G3860" s="59">
        <f t="shared" si="66"/>
        <v>4.6360000000000001</v>
      </c>
      <c r="H3860" s="43">
        <f>SUM(G3860:G3864)</f>
        <v>653.68098369999984</v>
      </c>
      <c r="I3860" s="44"/>
      <c r="J3860" s="34">
        <v>0</v>
      </c>
    </row>
    <row r="3861" spans="1:10" ht="39" hidden="1" thickBot="1" x14ac:dyDescent="0.3">
      <c r="A3861" s="262"/>
      <c r="B3861" s="252"/>
      <c r="C3861" s="40" t="s">
        <v>4064</v>
      </c>
      <c r="D3861" s="40" t="s">
        <v>291</v>
      </c>
      <c r="E3861" s="41">
        <v>2.0832999999999999</v>
      </c>
      <c r="F3861" s="59">
        <v>264.404</v>
      </c>
      <c r="G3861" s="59">
        <f t="shared" si="66"/>
        <v>550.83285319999993</v>
      </c>
      <c r="H3861" s="62"/>
      <c r="I3861" s="63"/>
      <c r="J3861" s="34">
        <v>0</v>
      </c>
    </row>
    <row r="3862" spans="1:10" ht="15.75" hidden="1" thickBot="1" x14ac:dyDescent="0.3">
      <c r="A3862" s="262"/>
      <c r="B3862" s="252"/>
      <c r="C3862" s="40" t="s">
        <v>3831</v>
      </c>
      <c r="D3862" s="40" t="s">
        <v>291</v>
      </c>
      <c r="E3862" s="41">
        <v>1.2466999999999999</v>
      </c>
      <c r="F3862" s="59">
        <v>26.125</v>
      </c>
      <c r="G3862" s="59">
        <f t="shared" si="66"/>
        <v>32.570037499999998</v>
      </c>
      <c r="H3862" s="62"/>
      <c r="I3862" s="63"/>
      <c r="J3862" s="34">
        <v>0</v>
      </c>
    </row>
    <row r="3863" spans="1:10" ht="15.75" hidden="1" thickBot="1" x14ac:dyDescent="0.3">
      <c r="A3863" s="262"/>
      <c r="B3863" s="252"/>
      <c r="C3863" s="40" t="s">
        <v>3757</v>
      </c>
      <c r="D3863" s="40" t="s">
        <v>3752</v>
      </c>
      <c r="E3863" s="41">
        <v>1.7070000000000001</v>
      </c>
      <c r="F3863" s="59">
        <v>28.0535</v>
      </c>
      <c r="G3863" s="59">
        <f t="shared" si="66"/>
        <v>47.887324499999998</v>
      </c>
      <c r="H3863" s="62"/>
      <c r="I3863" s="63"/>
      <c r="J3863" s="34">
        <v>0</v>
      </c>
    </row>
    <row r="3864" spans="1:10" ht="15.75" hidden="1" thickBot="1" x14ac:dyDescent="0.3">
      <c r="A3864" s="262"/>
      <c r="B3864" s="252"/>
      <c r="C3864" s="40" t="s">
        <v>3754</v>
      </c>
      <c r="D3864" s="40" t="s">
        <v>3752</v>
      </c>
      <c r="E3864" s="41">
        <v>0.85299999999999998</v>
      </c>
      <c r="F3864" s="59">
        <v>20.814499999999999</v>
      </c>
      <c r="G3864" s="59">
        <f t="shared" si="66"/>
        <v>17.754768499999997</v>
      </c>
      <c r="H3864" s="62"/>
      <c r="I3864" s="63"/>
      <c r="J3864" s="34">
        <v>0</v>
      </c>
    </row>
    <row r="3865" spans="1:10" ht="15.75" hidden="1" thickBot="1" x14ac:dyDescent="0.3">
      <c r="A3865" s="262"/>
      <c r="B3865" s="252"/>
      <c r="C3865" s="40"/>
      <c r="D3865" s="53"/>
      <c r="E3865" s="41"/>
      <c r="F3865" s="59" t="s">
        <v>23</v>
      </c>
      <c r="G3865" s="59" t="str">
        <f t="shared" si="66"/>
        <v/>
      </c>
      <c r="H3865" s="62"/>
      <c r="I3865" s="63"/>
      <c r="J3865" s="34">
        <v>0</v>
      </c>
    </row>
    <row r="3866" spans="1:10" ht="15.75" hidden="1" thickBot="1" x14ac:dyDescent="0.3">
      <c r="A3866" s="248" t="s">
        <v>958</v>
      </c>
      <c r="B3866" s="251" t="s">
        <v>2813</v>
      </c>
      <c r="C3866" s="28"/>
      <c r="D3866" s="29" t="s">
        <v>78</v>
      </c>
      <c r="E3866" s="30"/>
      <c r="F3866" s="51" t="s">
        <v>23</v>
      </c>
      <c r="G3866" s="31" t="str">
        <f t="shared" si="66"/>
        <v/>
      </c>
      <c r="H3866" s="32"/>
      <c r="I3866" s="33"/>
      <c r="J3866" s="34">
        <v>0</v>
      </c>
    </row>
    <row r="3867" spans="1:10" ht="15.75" hidden="1" thickBot="1" x14ac:dyDescent="0.3">
      <c r="A3867" s="262"/>
      <c r="B3867" s="252"/>
      <c r="C3867" s="36"/>
      <c r="D3867" s="36"/>
      <c r="E3867" s="37"/>
      <c r="F3867" s="59" t="s">
        <v>23</v>
      </c>
      <c r="G3867" s="59" t="str">
        <f t="shared" si="66"/>
        <v/>
      </c>
      <c r="H3867" s="62"/>
      <c r="I3867" s="63"/>
      <c r="J3867" s="34">
        <v>0</v>
      </c>
    </row>
    <row r="3868" spans="1:10" ht="39" hidden="1" thickBot="1" x14ac:dyDescent="0.3">
      <c r="A3868" s="262"/>
      <c r="B3868" s="252"/>
      <c r="C3868" s="40" t="s">
        <v>4065</v>
      </c>
      <c r="D3868" s="40" t="s">
        <v>177</v>
      </c>
      <c r="E3868" s="41">
        <v>1</v>
      </c>
      <c r="F3868" s="59">
        <v>372.4</v>
      </c>
      <c r="G3868" s="59">
        <f t="shared" si="66"/>
        <v>372.4</v>
      </c>
      <c r="H3868" s="43">
        <f>SUM(G3868:G3874)</f>
        <v>429.65186435624997</v>
      </c>
      <c r="I3868" s="44"/>
      <c r="J3868" s="34">
        <v>0</v>
      </c>
    </row>
    <row r="3869" spans="1:10" ht="15.75" hidden="1" thickBot="1" x14ac:dyDescent="0.3">
      <c r="A3869" s="262"/>
      <c r="B3869" s="252"/>
      <c r="C3869" s="40" t="s">
        <v>3757</v>
      </c>
      <c r="D3869" s="40" t="s">
        <v>3752</v>
      </c>
      <c r="E3869" s="41">
        <v>1</v>
      </c>
      <c r="F3869" s="59">
        <v>28.0535</v>
      </c>
      <c r="G3869" s="59">
        <f t="shared" si="66"/>
        <v>28.0535</v>
      </c>
      <c r="H3869" s="62"/>
      <c r="I3869" s="63"/>
      <c r="J3869" s="34">
        <v>0</v>
      </c>
    </row>
    <row r="3870" spans="1:10" ht="15.75" hidden="1" thickBot="1" x14ac:dyDescent="0.3">
      <c r="A3870" s="262"/>
      <c r="B3870" s="252"/>
      <c r="C3870" s="40" t="s">
        <v>3754</v>
      </c>
      <c r="D3870" s="40" t="s">
        <v>3752</v>
      </c>
      <c r="E3870" s="41">
        <v>1.1000000000000001</v>
      </c>
      <c r="F3870" s="59">
        <v>20.814499999999999</v>
      </c>
      <c r="G3870" s="59">
        <f t="shared" si="66"/>
        <v>22.895949999999999</v>
      </c>
      <c r="H3870" s="62"/>
      <c r="I3870" s="63"/>
      <c r="J3870" s="34">
        <v>0</v>
      </c>
    </row>
    <row r="3871" spans="1:10" ht="26.25" hidden="1" thickBot="1" x14ac:dyDescent="0.3">
      <c r="A3871" s="262"/>
      <c r="B3871" s="252"/>
      <c r="C3871" s="40" t="s">
        <v>3763</v>
      </c>
      <c r="D3871" s="40" t="s">
        <v>3764</v>
      </c>
      <c r="E3871" s="41">
        <v>1.2999999999999999E-2</v>
      </c>
      <c r="F3871" s="59">
        <v>204.23099999999999</v>
      </c>
      <c r="G3871" s="59">
        <f t="shared" si="66"/>
        <v>2.6550029999999998</v>
      </c>
      <c r="H3871" s="62"/>
      <c r="I3871" s="63"/>
      <c r="J3871" s="34">
        <v>0</v>
      </c>
    </row>
    <row r="3872" spans="1:10" ht="15.75" hidden="1" thickBot="1" x14ac:dyDescent="0.3">
      <c r="A3872" s="262"/>
      <c r="B3872" s="252"/>
      <c r="C3872" s="40" t="s">
        <v>3759</v>
      </c>
      <c r="D3872" s="40" t="s">
        <v>1035</v>
      </c>
      <c r="E3872" s="41">
        <v>4.58</v>
      </c>
      <c r="F3872" s="59">
        <v>0.627</v>
      </c>
      <c r="G3872" s="59">
        <f t="shared" si="66"/>
        <v>2.8716599999999999</v>
      </c>
      <c r="H3872" s="62"/>
      <c r="I3872" s="63"/>
      <c r="J3872" s="34">
        <v>0</v>
      </c>
    </row>
    <row r="3873" spans="1:10" ht="51.75" hidden="1" thickBot="1" x14ac:dyDescent="0.3">
      <c r="A3873" s="262"/>
      <c r="B3873" s="252"/>
      <c r="C3873" s="40" t="s">
        <v>4752</v>
      </c>
      <c r="D3873" s="40" t="s">
        <v>3764</v>
      </c>
      <c r="E3873" s="41">
        <f>1*E3871</f>
        <v>1.2999999999999999E-2</v>
      </c>
      <c r="F3873" s="38">
        <v>7.75243225</v>
      </c>
      <c r="G3873" s="38">
        <f t="shared" si="66"/>
        <v>0.10078161925</v>
      </c>
      <c r="H3873" s="39"/>
      <c r="I3873" s="35"/>
      <c r="J3873" s="34">
        <v>0</v>
      </c>
    </row>
    <row r="3874" spans="1:10" ht="39" hidden="1" thickBot="1" x14ac:dyDescent="0.3">
      <c r="A3874" s="262"/>
      <c r="B3874" s="252"/>
      <c r="C3874" s="40" t="s">
        <v>4749</v>
      </c>
      <c r="D3874" s="40" t="s">
        <v>4744</v>
      </c>
      <c r="E3874" s="41">
        <f>E3871*20</f>
        <v>0.26</v>
      </c>
      <c r="F3874" s="59">
        <v>2.5960374499999999</v>
      </c>
      <c r="G3874" s="59">
        <f t="shared" si="66"/>
        <v>0.67496973699999996</v>
      </c>
      <c r="H3874" s="62"/>
      <c r="I3874" s="63"/>
      <c r="J3874" s="34">
        <v>0</v>
      </c>
    </row>
    <row r="3875" spans="1:10" ht="15.75" hidden="1" thickBot="1" x14ac:dyDescent="0.3">
      <c r="A3875" s="262"/>
      <c r="B3875" s="252"/>
      <c r="C3875" s="52"/>
      <c r="D3875" s="53"/>
      <c r="E3875" s="41"/>
      <c r="F3875" s="59" t="s">
        <v>23</v>
      </c>
      <c r="G3875" s="59" t="str">
        <f t="shared" si="66"/>
        <v/>
      </c>
      <c r="H3875" s="62"/>
      <c r="I3875" s="63"/>
      <c r="J3875" s="34">
        <v>0</v>
      </c>
    </row>
    <row r="3876" spans="1:10" ht="15.75" hidden="1" thickBot="1" x14ac:dyDescent="0.3">
      <c r="A3876" s="262"/>
      <c r="B3876" s="252"/>
      <c r="C3876" s="50" t="s">
        <v>646</v>
      </c>
      <c r="D3876" s="53"/>
      <c r="E3876" s="41"/>
      <c r="F3876" s="59" t="s">
        <v>23</v>
      </c>
      <c r="G3876" s="59" t="str">
        <f t="shared" si="66"/>
        <v/>
      </c>
      <c r="H3876" s="62"/>
      <c r="I3876" s="63"/>
      <c r="J3876" s="34">
        <v>0</v>
      </c>
    </row>
    <row r="3877" spans="1:10" ht="15.75" hidden="1" thickBot="1" x14ac:dyDescent="0.3">
      <c r="A3877" s="263"/>
      <c r="B3877" s="253"/>
      <c r="C3877" s="50"/>
      <c r="D3877" s="53"/>
      <c r="E3877" s="41"/>
      <c r="F3877" s="59" t="s">
        <v>23</v>
      </c>
      <c r="G3877" s="59" t="str">
        <f t="shared" si="66"/>
        <v/>
      </c>
      <c r="H3877" s="62"/>
      <c r="I3877" s="63"/>
      <c r="J3877" s="34">
        <v>0</v>
      </c>
    </row>
    <row r="3878" spans="1:10" ht="15.75" hidden="1" thickBot="1" x14ac:dyDescent="0.3">
      <c r="A3878" s="248" t="s">
        <v>959</v>
      </c>
      <c r="B3878" s="251" t="s">
        <v>2814</v>
      </c>
      <c r="C3878" s="28"/>
      <c r="D3878" s="29" t="s">
        <v>28</v>
      </c>
      <c r="E3878" s="30"/>
      <c r="F3878" s="51" t="s">
        <v>23</v>
      </c>
      <c r="G3878" s="31" t="str">
        <f t="shared" si="66"/>
        <v/>
      </c>
      <c r="H3878" s="32"/>
      <c r="I3878" s="33"/>
      <c r="J3878" s="34">
        <v>0</v>
      </c>
    </row>
    <row r="3879" spans="1:10" ht="15.75" hidden="1" thickBot="1" x14ac:dyDescent="0.3">
      <c r="A3879" s="262"/>
      <c r="B3879" s="252"/>
      <c r="C3879" s="36"/>
      <c r="D3879" s="36"/>
      <c r="E3879" s="37"/>
      <c r="F3879" s="59" t="s">
        <v>23</v>
      </c>
      <c r="G3879" s="59" t="str">
        <f t="shared" si="66"/>
        <v/>
      </c>
      <c r="H3879" s="62"/>
      <c r="I3879" s="63"/>
      <c r="J3879" s="34">
        <v>0</v>
      </c>
    </row>
    <row r="3880" spans="1:10" ht="15.75" hidden="1" thickBot="1" x14ac:dyDescent="0.3">
      <c r="A3880" s="262"/>
      <c r="B3880" s="252"/>
      <c r="C3880" s="40" t="s">
        <v>3867</v>
      </c>
      <c r="D3880" s="40" t="s">
        <v>291</v>
      </c>
      <c r="E3880" s="41">
        <v>0.20519999999999999</v>
      </c>
      <c r="F3880" s="59">
        <v>13.87</v>
      </c>
      <c r="G3880" s="59">
        <f t="shared" si="66"/>
        <v>2.8461239999999997</v>
      </c>
      <c r="H3880" s="43">
        <f>SUM(G3880:G3891)</f>
        <v>808.36989029999995</v>
      </c>
      <c r="I3880" s="44"/>
      <c r="J3880" s="34">
        <v>0</v>
      </c>
    </row>
    <row r="3881" spans="1:10" ht="26.25" hidden="1" thickBot="1" x14ac:dyDescent="0.3">
      <c r="A3881" s="262"/>
      <c r="B3881" s="252"/>
      <c r="C3881" s="40" t="s">
        <v>4066</v>
      </c>
      <c r="D3881" s="40" t="s">
        <v>291</v>
      </c>
      <c r="E3881" s="41">
        <v>2</v>
      </c>
      <c r="F3881" s="59">
        <v>15.3805</v>
      </c>
      <c r="G3881" s="59">
        <f t="shared" si="66"/>
        <v>30.760999999999999</v>
      </c>
      <c r="H3881" s="62"/>
      <c r="I3881" s="63"/>
      <c r="J3881" s="34">
        <v>0</v>
      </c>
    </row>
    <row r="3882" spans="1:10" ht="15.75" hidden="1" thickBot="1" x14ac:dyDescent="0.3">
      <c r="A3882" s="262"/>
      <c r="B3882" s="252"/>
      <c r="C3882" s="40" t="s">
        <v>4067</v>
      </c>
      <c r="D3882" s="40" t="s">
        <v>291</v>
      </c>
      <c r="E3882" s="41">
        <v>4</v>
      </c>
      <c r="F3882" s="59">
        <v>11.4095</v>
      </c>
      <c r="G3882" s="59">
        <f t="shared" si="66"/>
        <v>45.637999999999998</v>
      </c>
      <c r="H3882" s="62"/>
      <c r="I3882" s="63"/>
      <c r="J3882" s="34">
        <v>0</v>
      </c>
    </row>
    <row r="3883" spans="1:10" ht="15.75" hidden="1" thickBot="1" x14ac:dyDescent="0.3">
      <c r="A3883" s="262"/>
      <c r="B3883" s="252"/>
      <c r="C3883" s="40" t="s">
        <v>4068</v>
      </c>
      <c r="D3883" s="40" t="s">
        <v>291</v>
      </c>
      <c r="E3883" s="41">
        <v>2</v>
      </c>
      <c r="F3883" s="59">
        <v>4.0659999999999998</v>
      </c>
      <c r="G3883" s="59">
        <f t="shared" si="66"/>
        <v>8.1319999999999997</v>
      </c>
      <c r="H3883" s="62"/>
      <c r="I3883" s="63"/>
      <c r="J3883" s="34">
        <v>0</v>
      </c>
    </row>
    <row r="3884" spans="1:10" ht="26.25" hidden="1" thickBot="1" x14ac:dyDescent="0.3">
      <c r="A3884" s="262"/>
      <c r="B3884" s="252"/>
      <c r="C3884" s="40" t="s">
        <v>4069</v>
      </c>
      <c r="D3884" s="40" t="s">
        <v>291</v>
      </c>
      <c r="E3884" s="41">
        <v>2</v>
      </c>
      <c r="F3884" s="59">
        <v>25.023</v>
      </c>
      <c r="G3884" s="59">
        <f t="shared" si="66"/>
        <v>50.045999999999999</v>
      </c>
      <c r="H3884" s="62"/>
      <c r="I3884" s="63"/>
      <c r="J3884" s="34">
        <v>0</v>
      </c>
    </row>
    <row r="3885" spans="1:10" ht="26.25" hidden="1" thickBot="1" x14ac:dyDescent="0.3">
      <c r="A3885" s="262"/>
      <c r="B3885" s="252"/>
      <c r="C3885" s="40" t="s">
        <v>4070</v>
      </c>
      <c r="D3885" s="40" t="s">
        <v>291</v>
      </c>
      <c r="E3885" s="41">
        <v>1</v>
      </c>
      <c r="F3885" s="59">
        <v>32.841499999999996</v>
      </c>
      <c r="G3885" s="59">
        <f t="shared" si="66"/>
        <v>32.841499999999996</v>
      </c>
      <c r="H3885" s="62"/>
      <c r="I3885" s="63"/>
      <c r="J3885" s="34">
        <v>0</v>
      </c>
    </row>
    <row r="3886" spans="1:10" ht="15.75" hidden="1" thickBot="1" x14ac:dyDescent="0.3">
      <c r="A3886" s="262"/>
      <c r="B3886" s="252"/>
      <c r="C3886" s="40" t="s">
        <v>3912</v>
      </c>
      <c r="D3886" s="40" t="s">
        <v>291</v>
      </c>
      <c r="E3886" s="41">
        <v>3</v>
      </c>
      <c r="F3886" s="59">
        <v>98.999499999999983</v>
      </c>
      <c r="G3886" s="59">
        <f t="shared" si="66"/>
        <v>296.99849999999992</v>
      </c>
      <c r="H3886" s="62"/>
      <c r="I3886" s="63"/>
      <c r="J3886" s="34">
        <v>0</v>
      </c>
    </row>
    <row r="3887" spans="1:10" ht="15.75" hidden="1" thickBot="1" x14ac:dyDescent="0.3">
      <c r="A3887" s="262"/>
      <c r="B3887" s="252"/>
      <c r="C3887" s="40" t="s">
        <v>4071</v>
      </c>
      <c r="D3887" s="40" t="s">
        <v>291</v>
      </c>
      <c r="E3887" s="41">
        <v>2</v>
      </c>
      <c r="F3887" s="59">
        <v>63.526499999999999</v>
      </c>
      <c r="G3887" s="59">
        <f t="shared" si="66"/>
        <v>127.053</v>
      </c>
      <c r="H3887" s="62"/>
      <c r="I3887" s="63"/>
      <c r="J3887" s="34">
        <v>0</v>
      </c>
    </row>
    <row r="3888" spans="1:10" ht="26.25" hidden="1" thickBot="1" x14ac:dyDescent="0.3">
      <c r="A3888" s="262"/>
      <c r="B3888" s="252"/>
      <c r="C3888" s="40" t="s">
        <v>4072</v>
      </c>
      <c r="D3888" s="40" t="s">
        <v>1286</v>
      </c>
      <c r="E3888" s="41">
        <v>0.72729999999999995</v>
      </c>
      <c r="F3888" s="59">
        <v>41.305999999999997</v>
      </c>
      <c r="G3888" s="59">
        <f t="shared" si="66"/>
        <v>30.041853799999995</v>
      </c>
      <c r="H3888" s="62"/>
      <c r="I3888" s="63"/>
      <c r="J3888" s="34">
        <v>0</v>
      </c>
    </row>
    <row r="3889" spans="1:10" ht="26.25" hidden="1" thickBot="1" x14ac:dyDescent="0.3">
      <c r="A3889" s="262"/>
      <c r="B3889" s="252"/>
      <c r="C3889" s="40" t="s">
        <v>4119</v>
      </c>
      <c r="D3889" s="40" t="s">
        <v>3752</v>
      </c>
      <c r="E3889" s="41">
        <v>1.6462000000000001</v>
      </c>
      <c r="F3889" s="59">
        <v>21.555499999999999</v>
      </c>
      <c r="G3889" s="59">
        <f t="shared" si="66"/>
        <v>35.484664100000003</v>
      </c>
      <c r="H3889" s="62"/>
      <c r="I3889" s="63"/>
      <c r="J3889" s="34">
        <v>0</v>
      </c>
    </row>
    <row r="3890" spans="1:10" ht="26.25" hidden="1" thickBot="1" x14ac:dyDescent="0.3">
      <c r="A3890" s="262"/>
      <c r="B3890" s="252"/>
      <c r="C3890" s="40" t="s">
        <v>4110</v>
      </c>
      <c r="D3890" s="40" t="s">
        <v>3752</v>
      </c>
      <c r="E3890" s="41">
        <v>5.4324000000000003</v>
      </c>
      <c r="F3890" s="59">
        <v>27.341000000000001</v>
      </c>
      <c r="G3890" s="59">
        <f t="shared" si="66"/>
        <v>148.52724840000002</v>
      </c>
      <c r="H3890" s="62"/>
      <c r="I3890" s="63"/>
      <c r="J3890" s="34">
        <v>0</v>
      </c>
    </row>
    <row r="3891" spans="1:10" ht="15.75" hidden="1" thickBot="1" x14ac:dyDescent="0.3">
      <c r="A3891" s="262"/>
      <c r="B3891" s="252"/>
      <c r="C3891" s="40" t="s">
        <v>960</v>
      </c>
      <c r="D3891" s="53" t="s">
        <v>291</v>
      </c>
      <c r="E3891" s="41">
        <v>1</v>
      </c>
      <c r="F3891" s="59" t="s">
        <v>23</v>
      </c>
      <c r="G3891" s="59" t="str">
        <f t="shared" si="66"/>
        <v/>
      </c>
      <c r="H3891" s="62"/>
      <c r="I3891" s="63"/>
      <c r="J3891" s="34">
        <v>0</v>
      </c>
    </row>
    <row r="3892" spans="1:10" ht="15.75" hidden="1" thickBot="1" x14ac:dyDescent="0.3">
      <c r="A3892" s="262"/>
      <c r="B3892" s="252"/>
      <c r="C3892" s="60"/>
      <c r="D3892" s="60"/>
      <c r="E3892" s="79"/>
      <c r="F3892" s="80" t="s">
        <v>23</v>
      </c>
      <c r="G3892" s="80" t="str">
        <f t="shared" si="66"/>
        <v/>
      </c>
      <c r="H3892" s="81"/>
      <c r="I3892" s="63"/>
      <c r="J3892" s="34">
        <v>0</v>
      </c>
    </row>
    <row r="3893" spans="1:10" ht="15.75" hidden="1" thickBot="1" x14ac:dyDescent="0.3">
      <c r="A3893" s="248" t="s">
        <v>961</v>
      </c>
      <c r="B3893" s="251" t="s">
        <v>2815</v>
      </c>
      <c r="C3893" s="28"/>
      <c r="D3893" s="29" t="s">
        <v>28</v>
      </c>
      <c r="E3893" s="30"/>
      <c r="F3893" s="51" t="s">
        <v>23</v>
      </c>
      <c r="G3893" s="31" t="str">
        <f t="shared" si="66"/>
        <v/>
      </c>
      <c r="H3893" s="32"/>
      <c r="I3893" s="33"/>
      <c r="J3893" s="34">
        <v>0</v>
      </c>
    </row>
    <row r="3894" spans="1:10" ht="15.75" hidden="1" thickBot="1" x14ac:dyDescent="0.3">
      <c r="A3894" s="262"/>
      <c r="B3894" s="252"/>
      <c r="C3894" s="36"/>
      <c r="D3894" s="36"/>
      <c r="E3894" s="37"/>
      <c r="F3894" s="59" t="s">
        <v>23</v>
      </c>
      <c r="G3894" s="59" t="str">
        <f t="shared" si="66"/>
        <v/>
      </c>
      <c r="H3894" s="62"/>
      <c r="I3894" s="63"/>
      <c r="J3894" s="34">
        <v>0</v>
      </c>
    </row>
    <row r="3895" spans="1:10" ht="15.75" hidden="1" thickBot="1" x14ac:dyDescent="0.3">
      <c r="A3895" s="262"/>
      <c r="B3895" s="252"/>
      <c r="C3895" s="40" t="s">
        <v>3867</v>
      </c>
      <c r="D3895" s="40" t="s">
        <v>291</v>
      </c>
      <c r="E3895" s="41">
        <v>1.06E-2</v>
      </c>
      <c r="F3895" s="59">
        <v>13.87</v>
      </c>
      <c r="G3895" s="59">
        <f t="shared" si="66"/>
        <v>0.14702199999999999</v>
      </c>
      <c r="H3895" s="43">
        <f>SUM(G3895:G3898)</f>
        <v>5.5354162999999996</v>
      </c>
      <c r="I3895" s="44"/>
      <c r="J3895" s="34">
        <v>0</v>
      </c>
    </row>
    <row r="3896" spans="1:10" ht="15.75" hidden="1" thickBot="1" x14ac:dyDescent="0.3">
      <c r="A3896" s="262"/>
      <c r="B3896" s="252"/>
      <c r="C3896" s="40" t="s">
        <v>962</v>
      </c>
      <c r="D3896" s="40" t="s">
        <v>291</v>
      </c>
      <c r="E3896" s="41">
        <v>1</v>
      </c>
      <c r="F3896" s="59" t="s">
        <v>23</v>
      </c>
      <c r="G3896" s="59" t="str">
        <f t="shared" si="66"/>
        <v/>
      </c>
      <c r="H3896" s="62"/>
      <c r="I3896" s="63"/>
      <c r="J3896" s="34">
        <v>0</v>
      </c>
    </row>
    <row r="3897" spans="1:10" ht="26.25" hidden="1" thickBot="1" x14ac:dyDescent="0.3">
      <c r="A3897" s="262"/>
      <c r="B3897" s="252"/>
      <c r="C3897" s="40" t="s">
        <v>4119</v>
      </c>
      <c r="D3897" s="40" t="s">
        <v>3752</v>
      </c>
      <c r="E3897" s="41">
        <v>0.11020000000000001</v>
      </c>
      <c r="F3897" s="59">
        <v>21.555499999999999</v>
      </c>
      <c r="G3897" s="59">
        <f t="shared" si="66"/>
        <v>2.3754160999999998</v>
      </c>
      <c r="H3897" s="62"/>
      <c r="I3897" s="63"/>
      <c r="J3897" s="34">
        <v>0</v>
      </c>
    </row>
    <row r="3898" spans="1:10" ht="26.25" hidden="1" thickBot="1" x14ac:dyDescent="0.3">
      <c r="A3898" s="262"/>
      <c r="B3898" s="252"/>
      <c r="C3898" s="40" t="s">
        <v>4110</v>
      </c>
      <c r="D3898" s="40" t="s">
        <v>3752</v>
      </c>
      <c r="E3898" s="41">
        <v>0.11020000000000001</v>
      </c>
      <c r="F3898" s="59">
        <v>27.341000000000001</v>
      </c>
      <c r="G3898" s="59">
        <f t="shared" si="66"/>
        <v>3.0129782000000005</v>
      </c>
      <c r="H3898" s="62"/>
      <c r="I3898" s="63"/>
      <c r="J3898" s="34">
        <v>0</v>
      </c>
    </row>
    <row r="3899" spans="1:10" ht="15.75" hidden="1" thickBot="1" x14ac:dyDescent="0.3">
      <c r="A3899" s="262"/>
      <c r="B3899" s="252"/>
      <c r="C3899" s="60"/>
      <c r="D3899" s="60"/>
      <c r="E3899" s="79"/>
      <c r="F3899" s="80" t="s">
        <v>23</v>
      </c>
      <c r="G3899" s="80" t="str">
        <f t="shared" si="66"/>
        <v/>
      </c>
      <c r="H3899" s="81"/>
      <c r="I3899" s="63"/>
      <c r="J3899" s="34">
        <v>0</v>
      </c>
    </row>
    <row r="3900" spans="1:10" ht="15.75" hidden="1" thickBot="1" x14ac:dyDescent="0.3">
      <c r="A3900" s="248" t="s">
        <v>963</v>
      </c>
      <c r="B3900" s="251" t="s">
        <v>2816</v>
      </c>
      <c r="C3900" s="28"/>
      <c r="D3900" s="29" t="s">
        <v>1748</v>
      </c>
      <c r="E3900" s="30"/>
      <c r="F3900" s="51" t="s">
        <v>23</v>
      </c>
      <c r="G3900" s="31" t="str">
        <f t="shared" si="66"/>
        <v/>
      </c>
      <c r="H3900" s="32"/>
      <c r="I3900" s="33"/>
      <c r="J3900" s="34">
        <v>0</v>
      </c>
    </row>
    <row r="3901" spans="1:10" ht="15.75" hidden="1" thickBot="1" x14ac:dyDescent="0.3">
      <c r="A3901" s="262"/>
      <c r="B3901" s="252"/>
      <c r="C3901" s="36"/>
      <c r="D3901" s="36"/>
      <c r="E3901" s="37"/>
      <c r="F3901" s="59" t="s">
        <v>23</v>
      </c>
      <c r="G3901" s="59" t="str">
        <f t="shared" si="66"/>
        <v/>
      </c>
      <c r="H3901" s="62"/>
      <c r="I3901" s="63"/>
      <c r="J3901" s="34">
        <v>0</v>
      </c>
    </row>
    <row r="3902" spans="1:10" ht="39" hidden="1" thickBot="1" x14ac:dyDescent="0.3">
      <c r="A3902" s="262"/>
      <c r="B3902" s="252"/>
      <c r="C3902" s="40" t="s">
        <v>4104</v>
      </c>
      <c r="D3902" s="40" t="s">
        <v>177</v>
      </c>
      <c r="E3902" s="41">
        <v>0.75829999999999997</v>
      </c>
      <c r="F3902" s="59">
        <v>49.846499999999999</v>
      </c>
      <c r="G3902" s="59">
        <f t="shared" si="66"/>
        <v>37.798600950000001</v>
      </c>
      <c r="H3902" s="43">
        <f>SUM(G3902:G3916)</f>
        <v>1722.8480663314313</v>
      </c>
      <c r="I3902" s="44"/>
      <c r="J3902" s="34">
        <v>0</v>
      </c>
    </row>
    <row r="3903" spans="1:10" ht="26.25" hidden="1" thickBot="1" x14ac:dyDescent="0.3">
      <c r="A3903" s="262"/>
      <c r="B3903" s="252"/>
      <c r="C3903" s="40" t="s">
        <v>4659</v>
      </c>
      <c r="D3903" s="40" t="s">
        <v>80</v>
      </c>
      <c r="E3903" s="41">
        <v>3.3399999999999999E-2</v>
      </c>
      <c r="F3903" s="59">
        <v>7.9229999999999992</v>
      </c>
      <c r="G3903" s="59">
        <f t="shared" si="66"/>
        <v>0.26462819999999998</v>
      </c>
      <c r="H3903" s="62"/>
      <c r="I3903" s="63"/>
      <c r="J3903" s="34">
        <v>0</v>
      </c>
    </row>
    <row r="3904" spans="1:10" ht="26.25" hidden="1" thickBot="1" x14ac:dyDescent="0.3">
      <c r="A3904" s="262"/>
      <c r="B3904" s="252"/>
      <c r="C3904" s="40" t="s">
        <v>4135</v>
      </c>
      <c r="D3904" s="40" t="s">
        <v>1286</v>
      </c>
      <c r="E3904" s="41">
        <v>2.8315999999999999</v>
      </c>
      <c r="F3904" s="59">
        <v>2.7075</v>
      </c>
      <c r="G3904" s="59">
        <f t="shared" si="66"/>
        <v>7.6665570000000001</v>
      </c>
      <c r="H3904" s="62"/>
      <c r="I3904" s="63"/>
      <c r="J3904" s="34">
        <v>0</v>
      </c>
    </row>
    <row r="3905" spans="1:10" ht="15.75" hidden="1" thickBot="1" x14ac:dyDescent="0.3">
      <c r="A3905" s="262"/>
      <c r="B3905" s="252"/>
      <c r="C3905" s="40" t="s">
        <v>4075</v>
      </c>
      <c r="D3905" s="40" t="s">
        <v>1035</v>
      </c>
      <c r="E3905" s="41">
        <v>6.0100000000000001E-2</v>
      </c>
      <c r="F3905" s="59">
        <v>23.008999999999997</v>
      </c>
      <c r="G3905" s="59">
        <f t="shared" si="66"/>
        <v>1.3828408999999999</v>
      </c>
      <c r="H3905" s="62"/>
      <c r="I3905" s="63"/>
      <c r="J3905" s="34">
        <v>0</v>
      </c>
    </row>
    <row r="3906" spans="1:10" ht="15.75" hidden="1" thickBot="1" x14ac:dyDescent="0.3">
      <c r="A3906" s="262"/>
      <c r="B3906" s="252"/>
      <c r="C3906" s="40" t="s">
        <v>4076</v>
      </c>
      <c r="D3906" s="40" t="s">
        <v>3764</v>
      </c>
      <c r="E3906" s="41">
        <v>0.18540000000000001</v>
      </c>
      <c r="F3906" s="59">
        <v>601.37849999999992</v>
      </c>
      <c r="G3906" s="59">
        <f t="shared" si="66"/>
        <v>111.4955739</v>
      </c>
      <c r="H3906" s="62"/>
      <c r="I3906" s="63"/>
      <c r="J3906" s="34">
        <v>0</v>
      </c>
    </row>
    <row r="3907" spans="1:10" ht="15.75" hidden="1" thickBot="1" x14ac:dyDescent="0.3">
      <c r="A3907" s="262"/>
      <c r="B3907" s="252"/>
      <c r="C3907" s="40" t="s">
        <v>4111</v>
      </c>
      <c r="D3907" s="40" t="s">
        <v>3752</v>
      </c>
      <c r="E3907" s="41">
        <v>0.1865</v>
      </c>
      <c r="F3907" s="59">
        <v>21.983000000000001</v>
      </c>
      <c r="G3907" s="59">
        <f t="shared" si="66"/>
        <v>4.0998295000000002</v>
      </c>
      <c r="H3907" s="62"/>
      <c r="I3907" s="63"/>
      <c r="J3907" s="34">
        <v>0</v>
      </c>
    </row>
    <row r="3908" spans="1:10" ht="15.75" hidden="1" thickBot="1" x14ac:dyDescent="0.3">
      <c r="A3908" s="262"/>
      <c r="B3908" s="252"/>
      <c r="C3908" s="40" t="s">
        <v>3766</v>
      </c>
      <c r="D3908" s="40" t="s">
        <v>3752</v>
      </c>
      <c r="E3908" s="41">
        <v>0.93259999999999998</v>
      </c>
      <c r="F3908" s="59">
        <v>26.552499999999998</v>
      </c>
      <c r="G3908" s="59">
        <f t="shared" si="66"/>
        <v>24.7628615</v>
      </c>
      <c r="H3908" s="62"/>
      <c r="I3908" s="63"/>
      <c r="J3908" s="34">
        <v>0</v>
      </c>
    </row>
    <row r="3909" spans="1:10" ht="15.75" hidden="1" thickBot="1" x14ac:dyDescent="0.3">
      <c r="A3909" s="262"/>
      <c r="B3909" s="252"/>
      <c r="C3909" s="40" t="s">
        <v>3757</v>
      </c>
      <c r="D3909" s="40" t="s">
        <v>3752</v>
      </c>
      <c r="E3909" s="41">
        <v>6.7480000000000002</v>
      </c>
      <c r="F3909" s="59">
        <v>28.0535</v>
      </c>
      <c r="G3909" s="59">
        <f t="shared" si="66"/>
        <v>189.30501799999999</v>
      </c>
      <c r="H3909" s="62"/>
      <c r="I3909" s="63"/>
      <c r="J3909" s="34">
        <v>0</v>
      </c>
    </row>
    <row r="3910" spans="1:10" ht="15.75" hidden="1" thickBot="1" x14ac:dyDescent="0.3">
      <c r="A3910" s="262"/>
      <c r="B3910" s="252"/>
      <c r="C3910" s="40" t="s">
        <v>3754</v>
      </c>
      <c r="D3910" s="40" t="s">
        <v>3752</v>
      </c>
      <c r="E3910" s="41">
        <v>6.7480000000000002</v>
      </c>
      <c r="F3910" s="59">
        <v>20.814499999999999</v>
      </c>
      <c r="G3910" s="59">
        <f t="shared" si="66"/>
        <v>140.45624599999999</v>
      </c>
      <c r="H3910" s="62"/>
      <c r="I3910" s="63"/>
      <c r="J3910" s="34">
        <v>0</v>
      </c>
    </row>
    <row r="3911" spans="1:10" ht="26.25" hidden="1" thickBot="1" x14ac:dyDescent="0.3">
      <c r="A3911" s="262"/>
      <c r="B3911" s="252"/>
      <c r="C3911" s="40" t="s">
        <v>4077</v>
      </c>
      <c r="D3911" s="40" t="s">
        <v>1041</v>
      </c>
      <c r="E3911" s="41">
        <v>0.86770000000000003</v>
      </c>
      <c r="F3911" s="59">
        <v>1.1304999999999998</v>
      </c>
      <c r="G3911" s="59">
        <f t="shared" si="66"/>
        <v>0.98093484999999991</v>
      </c>
      <c r="H3911" s="62"/>
      <c r="I3911" s="63"/>
      <c r="J3911" s="34">
        <v>0</v>
      </c>
    </row>
    <row r="3912" spans="1:10" ht="26.25" hidden="1" thickBot="1" x14ac:dyDescent="0.3">
      <c r="A3912" s="262"/>
      <c r="B3912" s="252"/>
      <c r="C3912" s="40" t="s">
        <v>4078</v>
      </c>
      <c r="D3912" s="40" t="s">
        <v>1052</v>
      </c>
      <c r="E3912" s="41">
        <v>2.3860000000000001</v>
      </c>
      <c r="F3912" s="59">
        <v>0.47499999999999998</v>
      </c>
      <c r="G3912" s="59">
        <f t="shared" si="66"/>
        <v>1.1333500000000001</v>
      </c>
      <c r="H3912" s="62"/>
      <c r="I3912" s="63"/>
      <c r="J3912" s="34">
        <v>0</v>
      </c>
    </row>
    <row r="3913" spans="1:10" ht="26.25" hidden="1" thickBot="1" x14ac:dyDescent="0.3">
      <c r="A3913" s="262"/>
      <c r="B3913" s="252"/>
      <c r="C3913" s="40" t="s">
        <v>4168</v>
      </c>
      <c r="D3913" s="40" t="s">
        <v>1041</v>
      </c>
      <c r="E3913" s="41">
        <v>8.9399999999999993E-2</v>
      </c>
      <c r="F3913" s="59">
        <v>22.895</v>
      </c>
      <c r="G3913" s="59">
        <f t="shared" si="66"/>
        <v>2.0468129999999998</v>
      </c>
      <c r="H3913" s="62"/>
      <c r="I3913" s="63"/>
      <c r="J3913" s="34">
        <v>0</v>
      </c>
    </row>
    <row r="3914" spans="1:10" ht="26.25" hidden="1" thickBot="1" x14ac:dyDescent="0.3">
      <c r="A3914" s="262"/>
      <c r="B3914" s="252"/>
      <c r="C3914" s="40" t="s">
        <v>4120</v>
      </c>
      <c r="D3914" s="40" t="s">
        <v>1052</v>
      </c>
      <c r="E3914" s="41">
        <v>9.7100000000000006E-2</v>
      </c>
      <c r="F3914" s="59">
        <v>21.973499999999998</v>
      </c>
      <c r="G3914" s="59">
        <f t="shared" si="66"/>
        <v>2.1336268499999997</v>
      </c>
      <c r="H3914" s="62"/>
      <c r="I3914" s="63"/>
      <c r="J3914" s="34">
        <v>0</v>
      </c>
    </row>
    <row r="3915" spans="1:10" ht="39" hidden="1" thickBot="1" x14ac:dyDescent="0.3">
      <c r="A3915" s="262"/>
      <c r="B3915" s="252"/>
      <c r="C3915" s="40" t="s">
        <v>4688</v>
      </c>
      <c r="D3915" s="40" t="s">
        <v>1035</v>
      </c>
      <c r="E3915" s="41">
        <v>31.7318</v>
      </c>
      <c r="F3915" s="59">
        <v>15.545266100000001</v>
      </c>
      <c r="G3915" s="59">
        <f t="shared" si="66"/>
        <v>493.27927483198005</v>
      </c>
      <c r="H3915" s="62"/>
      <c r="I3915" s="63"/>
      <c r="J3915" s="34">
        <v>0</v>
      </c>
    </row>
    <row r="3916" spans="1:10" ht="39" hidden="1" thickBot="1" x14ac:dyDescent="0.3">
      <c r="A3916" s="262"/>
      <c r="B3916" s="252"/>
      <c r="C3916" s="40" t="s">
        <v>4706</v>
      </c>
      <c r="D3916" s="40" t="s">
        <v>3764</v>
      </c>
      <c r="E3916" s="41">
        <v>1.103</v>
      </c>
      <c r="F3916" s="59">
        <v>640.11052660874998</v>
      </c>
      <c r="G3916" s="59">
        <f t="shared" si="66"/>
        <v>706.04191084945126</v>
      </c>
      <c r="H3916" s="62"/>
      <c r="I3916" s="63"/>
      <c r="J3916" s="34">
        <v>0</v>
      </c>
    </row>
    <row r="3917" spans="1:10" ht="15.75" hidden="1" thickBot="1" x14ac:dyDescent="0.3">
      <c r="A3917" s="263"/>
      <c r="B3917" s="253"/>
      <c r="C3917" s="60"/>
      <c r="D3917" s="60"/>
      <c r="E3917" s="79"/>
      <c r="F3917" s="80" t="s">
        <v>23</v>
      </c>
      <c r="G3917" s="80" t="str">
        <f t="shared" si="66"/>
        <v/>
      </c>
      <c r="H3917" s="81"/>
      <c r="I3917" s="63"/>
      <c r="J3917" s="34">
        <v>0</v>
      </c>
    </row>
    <row r="3918" spans="1:10" ht="15.75" hidden="1" thickBot="1" x14ac:dyDescent="0.3">
      <c r="A3918" s="248" t="s">
        <v>964</v>
      </c>
      <c r="B3918" s="251" t="s">
        <v>2817</v>
      </c>
      <c r="C3918" s="28"/>
      <c r="D3918" s="29" t="s">
        <v>121</v>
      </c>
      <c r="E3918" s="30"/>
      <c r="F3918" s="51" t="s">
        <v>23</v>
      </c>
      <c r="G3918" s="31" t="str">
        <f t="shared" si="66"/>
        <v/>
      </c>
      <c r="H3918" s="32"/>
      <c r="I3918" s="33"/>
      <c r="J3918" s="34">
        <v>0</v>
      </c>
    </row>
    <row r="3919" spans="1:10" ht="15.75" hidden="1" thickBot="1" x14ac:dyDescent="0.3">
      <c r="A3919" s="262"/>
      <c r="B3919" s="252"/>
      <c r="C3919" s="36"/>
      <c r="D3919" s="36"/>
      <c r="E3919" s="37"/>
      <c r="F3919" s="59" t="s">
        <v>23</v>
      </c>
      <c r="G3919" s="59" t="str">
        <f t="shared" si="66"/>
        <v/>
      </c>
      <c r="H3919" s="62"/>
      <c r="I3919" s="63"/>
      <c r="J3919" s="34">
        <v>0</v>
      </c>
    </row>
    <row r="3920" spans="1:10" ht="39" hidden="1" thickBot="1" x14ac:dyDescent="0.3">
      <c r="A3920" s="262"/>
      <c r="B3920" s="252"/>
      <c r="C3920" s="40" t="s">
        <v>4079</v>
      </c>
      <c r="D3920" s="40" t="s">
        <v>1286</v>
      </c>
      <c r="E3920" s="41">
        <v>1.1000000000000001</v>
      </c>
      <c r="F3920" s="59">
        <v>8.160499999999999</v>
      </c>
      <c r="G3920" s="59">
        <f t="shared" ref="G3920:G3983" si="67">IF(ISNUMBER(F3920),E3920*F3920,"")</f>
        <v>8.9765499999999996</v>
      </c>
      <c r="H3920" s="43">
        <f>SUM(G3920:G3922)</f>
        <v>16.58299955</v>
      </c>
      <c r="I3920" s="44"/>
      <c r="J3920" s="34">
        <v>0</v>
      </c>
    </row>
    <row r="3921" spans="1:10" ht="15.75" hidden="1" thickBot="1" x14ac:dyDescent="0.3">
      <c r="A3921" s="262"/>
      <c r="B3921" s="252"/>
      <c r="C3921" s="40" t="s">
        <v>3770</v>
      </c>
      <c r="D3921" s="40" t="s">
        <v>3752</v>
      </c>
      <c r="E3921" s="41">
        <v>0.15110000000000001</v>
      </c>
      <c r="F3921" s="59">
        <v>21.954499999999999</v>
      </c>
      <c r="G3921" s="59">
        <f t="shared" si="67"/>
        <v>3.3173249500000002</v>
      </c>
      <c r="H3921" s="62"/>
      <c r="I3921" s="63"/>
      <c r="J3921" s="34">
        <v>0</v>
      </c>
    </row>
    <row r="3922" spans="1:10" ht="15.75" hidden="1" thickBot="1" x14ac:dyDescent="0.3">
      <c r="A3922" s="262"/>
      <c r="B3922" s="252"/>
      <c r="C3922" s="40" t="s">
        <v>3760</v>
      </c>
      <c r="D3922" s="40" t="s">
        <v>3752</v>
      </c>
      <c r="E3922" s="41">
        <v>0.15110000000000001</v>
      </c>
      <c r="F3922" s="59">
        <v>28.385999999999999</v>
      </c>
      <c r="G3922" s="59">
        <f t="shared" si="67"/>
        <v>4.2891246000000001</v>
      </c>
      <c r="H3922" s="62"/>
      <c r="I3922" s="63"/>
      <c r="J3922" s="34">
        <v>0</v>
      </c>
    </row>
    <row r="3923" spans="1:10" ht="15.75" hidden="1" thickBot="1" x14ac:dyDescent="0.3">
      <c r="A3923" s="262"/>
      <c r="B3923" s="252"/>
      <c r="C3923" s="60"/>
      <c r="D3923" s="60"/>
      <c r="E3923" s="79"/>
      <c r="F3923" s="80" t="s">
        <v>23</v>
      </c>
      <c r="G3923" s="80" t="str">
        <f t="shared" si="67"/>
        <v/>
      </c>
      <c r="H3923" s="81"/>
      <c r="I3923" s="63"/>
      <c r="J3923" s="34">
        <v>0</v>
      </c>
    </row>
    <row r="3924" spans="1:10" ht="15.75" hidden="1" thickBot="1" x14ac:dyDescent="0.3">
      <c r="A3924" s="248" t="s">
        <v>965</v>
      </c>
      <c r="B3924" s="251" t="s">
        <v>2818</v>
      </c>
      <c r="C3924" s="28"/>
      <c r="D3924" s="29" t="s">
        <v>121</v>
      </c>
      <c r="E3924" s="30"/>
      <c r="F3924" s="51" t="s">
        <v>23</v>
      </c>
      <c r="G3924" s="31" t="str">
        <f t="shared" si="67"/>
        <v/>
      </c>
      <c r="H3924" s="32"/>
      <c r="I3924" s="33"/>
      <c r="J3924" s="34">
        <v>0</v>
      </c>
    </row>
    <row r="3925" spans="1:10" ht="15.75" hidden="1" thickBot="1" x14ac:dyDescent="0.3">
      <c r="A3925" s="262"/>
      <c r="B3925" s="252"/>
      <c r="C3925" s="36"/>
      <c r="D3925" s="36"/>
      <c r="E3925" s="37"/>
      <c r="F3925" s="59" t="s">
        <v>23</v>
      </c>
      <c r="G3925" s="59" t="str">
        <f t="shared" si="67"/>
        <v/>
      </c>
      <c r="H3925" s="62"/>
      <c r="I3925" s="63"/>
      <c r="J3925" s="34">
        <v>0</v>
      </c>
    </row>
    <row r="3926" spans="1:10" ht="15.75" hidden="1" thickBot="1" x14ac:dyDescent="0.3">
      <c r="A3926" s="262"/>
      <c r="B3926" s="252"/>
      <c r="C3926" s="40" t="s">
        <v>966</v>
      </c>
      <c r="D3926" s="40" t="s">
        <v>121</v>
      </c>
      <c r="E3926" s="41">
        <v>1.05</v>
      </c>
      <c r="F3926" s="59">
        <v>0</v>
      </c>
      <c r="G3926" s="59">
        <f t="shared" si="67"/>
        <v>0</v>
      </c>
      <c r="H3926" s="43">
        <f>SUM(G3926:G3928)</f>
        <v>50.340499999999999</v>
      </c>
      <c r="I3926" s="44"/>
      <c r="J3926" s="34">
        <v>0</v>
      </c>
    </row>
    <row r="3927" spans="1:10" ht="15.75" hidden="1" thickBot="1" x14ac:dyDescent="0.3">
      <c r="A3927" s="262"/>
      <c r="B3927" s="252"/>
      <c r="C3927" s="40" t="s">
        <v>3760</v>
      </c>
      <c r="D3927" s="40" t="s">
        <v>3752</v>
      </c>
      <c r="E3927" s="41">
        <v>1</v>
      </c>
      <c r="F3927" s="35">
        <v>28.385999999999999</v>
      </c>
      <c r="G3927" s="38">
        <f t="shared" si="67"/>
        <v>28.385999999999999</v>
      </c>
      <c r="H3927" s="62"/>
      <c r="I3927" s="63"/>
      <c r="J3927" s="34">
        <v>0</v>
      </c>
    </row>
    <row r="3928" spans="1:10" ht="15.75" hidden="1" thickBot="1" x14ac:dyDescent="0.3">
      <c r="A3928" s="262"/>
      <c r="B3928" s="252"/>
      <c r="C3928" s="40" t="s">
        <v>3770</v>
      </c>
      <c r="D3928" s="40" t="s">
        <v>3752</v>
      </c>
      <c r="E3928" s="41">
        <v>1</v>
      </c>
      <c r="F3928" s="35">
        <v>21.954499999999999</v>
      </c>
      <c r="G3928" s="38">
        <f t="shared" si="67"/>
        <v>21.954499999999999</v>
      </c>
      <c r="H3928" s="62"/>
      <c r="I3928" s="63"/>
      <c r="J3928" s="34">
        <v>0</v>
      </c>
    </row>
    <row r="3929" spans="1:10" ht="15.75" hidden="1" thickBot="1" x14ac:dyDescent="0.3">
      <c r="A3929" s="262"/>
      <c r="B3929" s="252"/>
      <c r="C3929" s="60"/>
      <c r="D3929" s="60"/>
      <c r="E3929" s="79"/>
      <c r="F3929" s="80" t="s">
        <v>23</v>
      </c>
      <c r="G3929" s="80" t="str">
        <f t="shared" si="67"/>
        <v/>
      </c>
      <c r="H3929" s="81"/>
      <c r="I3929" s="63"/>
      <c r="J3929" s="34">
        <v>0</v>
      </c>
    </row>
    <row r="3930" spans="1:10" ht="15.75" hidden="1" thickBot="1" x14ac:dyDescent="0.3">
      <c r="A3930" s="248" t="s">
        <v>967</v>
      </c>
      <c r="B3930" s="251" t="s">
        <v>2819</v>
      </c>
      <c r="C3930" s="28"/>
      <c r="D3930" s="29" t="s">
        <v>121</v>
      </c>
      <c r="E3930" s="30"/>
      <c r="F3930" s="51" t="s">
        <v>23</v>
      </c>
      <c r="G3930" s="31" t="str">
        <f t="shared" si="67"/>
        <v/>
      </c>
      <c r="H3930" s="32"/>
      <c r="I3930" s="33"/>
      <c r="J3930" s="34">
        <v>0</v>
      </c>
    </row>
    <row r="3931" spans="1:10" ht="15.75" hidden="1" thickBot="1" x14ac:dyDescent="0.3">
      <c r="A3931" s="262"/>
      <c r="B3931" s="252"/>
      <c r="C3931" s="36"/>
      <c r="D3931" s="36"/>
      <c r="E3931" s="37"/>
      <c r="F3931" s="59" t="s">
        <v>23</v>
      </c>
      <c r="G3931" s="59" t="str">
        <f t="shared" si="67"/>
        <v/>
      </c>
      <c r="H3931" s="62"/>
      <c r="I3931" s="63"/>
      <c r="J3931" s="34">
        <v>0</v>
      </c>
    </row>
    <row r="3932" spans="1:10" ht="26.25" hidden="1" thickBot="1" x14ac:dyDescent="0.3">
      <c r="A3932" s="262"/>
      <c r="B3932" s="252"/>
      <c r="C3932" s="40" t="s">
        <v>968</v>
      </c>
      <c r="D3932" s="40" t="s">
        <v>121</v>
      </c>
      <c r="E3932" s="41">
        <v>1</v>
      </c>
      <c r="F3932" s="59">
        <v>0</v>
      </c>
      <c r="G3932" s="59">
        <f t="shared" si="67"/>
        <v>0</v>
      </c>
      <c r="H3932" s="43">
        <f>SUM(G3932:G3934)</f>
        <v>32.74156</v>
      </c>
      <c r="I3932" s="44"/>
      <c r="J3932" s="34">
        <v>0</v>
      </c>
    </row>
    <row r="3933" spans="1:10" ht="15.75" hidden="1" thickBot="1" x14ac:dyDescent="0.3">
      <c r="A3933" s="262"/>
      <c r="B3933" s="252"/>
      <c r="C3933" s="40" t="s">
        <v>3757</v>
      </c>
      <c r="D3933" s="40" t="s">
        <v>3752</v>
      </c>
      <c r="E3933" s="41">
        <v>0.67</v>
      </c>
      <c r="F3933" s="59">
        <v>28.0535</v>
      </c>
      <c r="G3933" s="59">
        <f t="shared" si="67"/>
        <v>18.795845</v>
      </c>
      <c r="H3933" s="62"/>
      <c r="I3933" s="63"/>
      <c r="J3933" s="34">
        <v>0</v>
      </c>
    </row>
    <row r="3934" spans="1:10" ht="15.75" hidden="1" thickBot="1" x14ac:dyDescent="0.3">
      <c r="A3934" s="262"/>
      <c r="B3934" s="252"/>
      <c r="C3934" s="40" t="s">
        <v>3754</v>
      </c>
      <c r="D3934" s="40" t="s">
        <v>3752</v>
      </c>
      <c r="E3934" s="41">
        <v>0.67</v>
      </c>
      <c r="F3934" s="59">
        <v>20.814499999999999</v>
      </c>
      <c r="G3934" s="59">
        <f t="shared" si="67"/>
        <v>13.945715</v>
      </c>
      <c r="H3934" s="62"/>
      <c r="I3934" s="63"/>
      <c r="J3934" s="34">
        <v>0</v>
      </c>
    </row>
    <row r="3935" spans="1:10" ht="15.75" hidden="1" thickBot="1" x14ac:dyDescent="0.3">
      <c r="A3935" s="262"/>
      <c r="B3935" s="252"/>
      <c r="C3935" s="60"/>
      <c r="D3935" s="60"/>
      <c r="E3935" s="79"/>
      <c r="F3935" s="80" t="s">
        <v>23</v>
      </c>
      <c r="G3935" s="80" t="str">
        <f t="shared" si="67"/>
        <v/>
      </c>
      <c r="H3935" s="81"/>
      <c r="I3935" s="63"/>
      <c r="J3935" s="34">
        <v>0</v>
      </c>
    </row>
    <row r="3936" spans="1:10" ht="15.75" hidden="1" thickBot="1" x14ac:dyDescent="0.3">
      <c r="A3936" s="248" t="s">
        <v>969</v>
      </c>
      <c r="B3936" s="251" t="s">
        <v>2820</v>
      </c>
      <c r="C3936" s="28"/>
      <c r="D3936" s="29" t="s">
        <v>78</v>
      </c>
      <c r="E3936" s="30"/>
      <c r="F3936" s="51" t="s">
        <v>23</v>
      </c>
      <c r="G3936" s="31" t="str">
        <f t="shared" si="67"/>
        <v/>
      </c>
      <c r="H3936" s="32"/>
      <c r="I3936" s="33"/>
      <c r="J3936" s="34">
        <v>0</v>
      </c>
    </row>
    <row r="3937" spans="1:10" ht="15.75" hidden="1" thickBot="1" x14ac:dyDescent="0.3">
      <c r="A3937" s="262"/>
      <c r="B3937" s="252"/>
      <c r="C3937" s="36"/>
      <c r="D3937" s="36"/>
      <c r="E3937" s="37"/>
      <c r="F3937" s="59" t="s">
        <v>23</v>
      </c>
      <c r="G3937" s="59" t="str">
        <f t="shared" si="67"/>
        <v/>
      </c>
      <c r="H3937" s="62"/>
      <c r="I3937" s="63"/>
      <c r="J3937" s="34">
        <v>0</v>
      </c>
    </row>
    <row r="3938" spans="1:10" ht="26.25" hidden="1" thickBot="1" x14ac:dyDescent="0.3">
      <c r="A3938" s="262"/>
      <c r="B3938" s="252"/>
      <c r="C3938" s="40" t="s">
        <v>970</v>
      </c>
      <c r="D3938" s="40" t="s">
        <v>121</v>
      </c>
      <c r="E3938" s="41">
        <f>ROUND(1/0.15,4)</f>
        <v>6.6666999999999996</v>
      </c>
      <c r="F3938" s="59" t="s">
        <v>23</v>
      </c>
      <c r="G3938" s="59" t="str">
        <f t="shared" si="67"/>
        <v/>
      </c>
      <c r="H3938" s="43">
        <f>SUM(G3938:G3941)</f>
        <v>155.95837735000001</v>
      </c>
      <c r="I3938" s="44"/>
      <c r="J3938" s="34">
        <v>0</v>
      </c>
    </row>
    <row r="3939" spans="1:10" ht="15.75" hidden="1" thickBot="1" x14ac:dyDescent="0.3">
      <c r="A3939" s="262"/>
      <c r="B3939" s="252"/>
      <c r="C3939" s="40" t="s">
        <v>3852</v>
      </c>
      <c r="D3939" s="40" t="s">
        <v>1035</v>
      </c>
      <c r="E3939" s="41">
        <f>1.29/0.15</f>
        <v>8.6000000000000014</v>
      </c>
      <c r="F3939" s="59">
        <v>1.8904999999999998</v>
      </c>
      <c r="G3939" s="59">
        <f t="shared" si="67"/>
        <v>16.258300000000002</v>
      </c>
      <c r="H3939" s="62"/>
      <c r="I3939" s="63"/>
      <c r="J3939" s="34">
        <v>0</v>
      </c>
    </row>
    <row r="3940" spans="1:10" ht="15.75" hidden="1" thickBot="1" x14ac:dyDescent="0.3">
      <c r="A3940" s="262"/>
      <c r="B3940" s="252"/>
      <c r="C3940" s="40" t="s">
        <v>3826</v>
      </c>
      <c r="D3940" s="40" t="s">
        <v>3752</v>
      </c>
      <c r="E3940" s="41">
        <f>ROUND(0.547/0.15,4)</f>
        <v>3.6467000000000001</v>
      </c>
      <c r="F3940" s="59">
        <v>27.920500000000001</v>
      </c>
      <c r="G3940" s="59">
        <f t="shared" si="67"/>
        <v>101.81768735</v>
      </c>
      <c r="H3940" s="62"/>
      <c r="I3940" s="63"/>
      <c r="J3940" s="34">
        <v>0</v>
      </c>
    </row>
    <row r="3941" spans="1:10" ht="15.75" hidden="1" thickBot="1" x14ac:dyDescent="0.3">
      <c r="A3941" s="262"/>
      <c r="B3941" s="252"/>
      <c r="C3941" s="40" t="s">
        <v>3754</v>
      </c>
      <c r="D3941" s="40" t="s">
        <v>3752</v>
      </c>
      <c r="E3941" s="41">
        <f>0.273/0.15</f>
        <v>1.8200000000000003</v>
      </c>
      <c r="F3941" s="59">
        <v>20.814499999999999</v>
      </c>
      <c r="G3941" s="59">
        <f t="shared" si="67"/>
        <v>37.882390000000001</v>
      </c>
      <c r="H3941" s="62"/>
      <c r="I3941" s="63"/>
      <c r="J3941" s="34">
        <v>0</v>
      </c>
    </row>
    <row r="3942" spans="1:10" ht="15.75" hidden="1" thickBot="1" x14ac:dyDescent="0.3">
      <c r="A3942" s="262"/>
      <c r="B3942" s="252"/>
      <c r="C3942" s="40"/>
      <c r="D3942" s="40"/>
      <c r="E3942" s="41"/>
      <c r="F3942" s="59" t="s">
        <v>23</v>
      </c>
      <c r="G3942" s="59" t="str">
        <f t="shared" si="67"/>
        <v/>
      </c>
      <c r="H3942" s="62"/>
      <c r="I3942" s="63"/>
      <c r="J3942" s="34">
        <v>0</v>
      </c>
    </row>
    <row r="3943" spans="1:10" ht="15.75" hidden="1" thickBot="1" x14ac:dyDescent="0.3">
      <c r="A3943" s="248" t="s">
        <v>971</v>
      </c>
      <c r="B3943" s="251" t="s">
        <v>2821</v>
      </c>
      <c r="C3943" s="28"/>
      <c r="D3943" s="29" t="s">
        <v>28</v>
      </c>
      <c r="E3943" s="30"/>
      <c r="F3943" s="51" t="s">
        <v>23</v>
      </c>
      <c r="G3943" s="31" t="str">
        <f t="shared" si="67"/>
        <v/>
      </c>
      <c r="H3943" s="32"/>
      <c r="I3943" s="33"/>
      <c r="J3943" s="34">
        <v>0</v>
      </c>
    </row>
    <row r="3944" spans="1:10" ht="15.75" hidden="1" thickBot="1" x14ac:dyDescent="0.3">
      <c r="A3944" s="262"/>
      <c r="B3944" s="252"/>
      <c r="C3944" s="36"/>
      <c r="D3944" s="36"/>
      <c r="E3944" s="37"/>
      <c r="F3944" s="59" t="s">
        <v>23</v>
      </c>
      <c r="G3944" s="59" t="str">
        <f t="shared" si="67"/>
        <v/>
      </c>
      <c r="H3944" s="62"/>
      <c r="I3944" s="63"/>
      <c r="J3944" s="34">
        <v>0</v>
      </c>
    </row>
    <row r="3945" spans="1:10" ht="39" hidden="1" thickBot="1" x14ac:dyDescent="0.3">
      <c r="A3945" s="262"/>
      <c r="B3945" s="252"/>
      <c r="C3945" s="40" t="s">
        <v>972</v>
      </c>
      <c r="D3945" s="40" t="s">
        <v>102</v>
      </c>
      <c r="E3945" s="41">
        <v>1</v>
      </c>
      <c r="F3945" s="59" t="s">
        <v>23</v>
      </c>
      <c r="G3945" s="59" t="str">
        <f t="shared" si="67"/>
        <v/>
      </c>
      <c r="H3945" s="43">
        <f>SUM(G3945:G3950)</f>
        <v>36.759134600000003</v>
      </c>
      <c r="I3945" s="44"/>
      <c r="J3945" s="34">
        <v>0</v>
      </c>
    </row>
    <row r="3946" spans="1:10" ht="26.25" hidden="1" thickBot="1" x14ac:dyDescent="0.3">
      <c r="A3946" s="262"/>
      <c r="B3946" s="252"/>
      <c r="C3946" s="40" t="s">
        <v>424</v>
      </c>
      <c r="D3946" s="40" t="s">
        <v>121</v>
      </c>
      <c r="E3946" s="41">
        <v>1.5</v>
      </c>
      <c r="F3946" s="59">
        <v>8.08</v>
      </c>
      <c r="G3946" s="59">
        <f t="shared" si="67"/>
        <v>12.120000000000001</v>
      </c>
      <c r="H3946" s="62"/>
      <c r="I3946" s="63"/>
      <c r="J3946" s="34">
        <v>0</v>
      </c>
    </row>
    <row r="3947" spans="1:10" ht="15.75" hidden="1" thickBot="1" x14ac:dyDescent="0.3">
      <c r="A3947" s="262"/>
      <c r="B3947" s="252"/>
      <c r="C3947" s="40" t="s">
        <v>425</v>
      </c>
      <c r="D3947" s="40" t="s">
        <v>102</v>
      </c>
      <c r="E3947" s="41">
        <v>1</v>
      </c>
      <c r="F3947" s="59">
        <v>5.62</v>
      </c>
      <c r="G3947" s="59">
        <f t="shared" si="67"/>
        <v>5.62</v>
      </c>
      <c r="H3947" s="62"/>
      <c r="I3947" s="63"/>
      <c r="J3947" s="34">
        <v>0</v>
      </c>
    </row>
    <row r="3948" spans="1:10" ht="15.75" hidden="1" thickBot="1" x14ac:dyDescent="0.3">
      <c r="A3948" s="262"/>
      <c r="B3948" s="252"/>
      <c r="C3948" s="40" t="s">
        <v>426</v>
      </c>
      <c r="D3948" s="40" t="s">
        <v>102</v>
      </c>
      <c r="E3948" s="41">
        <v>1</v>
      </c>
      <c r="F3948" s="59">
        <v>5.69</v>
      </c>
      <c r="G3948" s="59">
        <f t="shared" si="67"/>
        <v>5.69</v>
      </c>
      <c r="H3948" s="62"/>
      <c r="I3948" s="63"/>
      <c r="J3948" s="34">
        <v>0</v>
      </c>
    </row>
    <row r="3949" spans="1:10" ht="15.75" hidden="1" thickBot="1" x14ac:dyDescent="0.3">
      <c r="A3949" s="262"/>
      <c r="B3949" s="252"/>
      <c r="C3949" s="40" t="s">
        <v>3770</v>
      </c>
      <c r="D3949" s="40" t="s">
        <v>3752</v>
      </c>
      <c r="E3949" s="41">
        <v>0.14799999999999999</v>
      </c>
      <c r="F3949" s="59">
        <v>21.954499999999999</v>
      </c>
      <c r="G3949" s="59">
        <f t="shared" si="67"/>
        <v>3.2492659999999995</v>
      </c>
      <c r="H3949" s="62"/>
      <c r="I3949" s="63"/>
      <c r="J3949" s="34">
        <v>0</v>
      </c>
    </row>
    <row r="3950" spans="1:10" ht="15.75" hidden="1" thickBot="1" x14ac:dyDescent="0.3">
      <c r="A3950" s="262"/>
      <c r="B3950" s="252"/>
      <c r="C3950" s="40" t="s">
        <v>3760</v>
      </c>
      <c r="D3950" s="40" t="s">
        <v>3752</v>
      </c>
      <c r="E3950" s="41">
        <v>0.35510000000000003</v>
      </c>
      <c r="F3950" s="59">
        <v>28.385999999999999</v>
      </c>
      <c r="G3950" s="59">
        <f t="shared" si="67"/>
        <v>10.079868600000001</v>
      </c>
      <c r="H3950" s="62"/>
      <c r="I3950" s="63"/>
      <c r="J3950" s="34">
        <v>0</v>
      </c>
    </row>
    <row r="3951" spans="1:10" ht="15.75" hidden="1" thickBot="1" x14ac:dyDescent="0.3">
      <c r="A3951" s="262"/>
      <c r="B3951" s="252"/>
      <c r="C3951" s="40"/>
      <c r="D3951" s="53"/>
      <c r="E3951" s="41"/>
      <c r="F3951" s="59" t="s">
        <v>23</v>
      </c>
      <c r="G3951" s="59" t="str">
        <f t="shared" si="67"/>
        <v/>
      </c>
      <c r="H3951" s="62"/>
      <c r="I3951" s="63"/>
      <c r="J3951" s="34">
        <v>0</v>
      </c>
    </row>
    <row r="3952" spans="1:10" ht="15.75" hidden="1" thickBot="1" x14ac:dyDescent="0.3">
      <c r="A3952" s="248" t="s">
        <v>973</v>
      </c>
      <c r="B3952" s="251" t="s">
        <v>2822</v>
      </c>
      <c r="C3952" s="28"/>
      <c r="D3952" s="29" t="s">
        <v>121</v>
      </c>
      <c r="E3952" s="30"/>
      <c r="F3952" s="51" t="s">
        <v>23</v>
      </c>
      <c r="G3952" s="31" t="str">
        <f t="shared" si="67"/>
        <v/>
      </c>
      <c r="H3952" s="32"/>
      <c r="I3952" s="33"/>
      <c r="J3952" s="34">
        <v>0</v>
      </c>
    </row>
    <row r="3953" spans="1:10" ht="15.75" hidden="1" thickBot="1" x14ac:dyDescent="0.3">
      <c r="A3953" s="262"/>
      <c r="B3953" s="252"/>
      <c r="C3953" s="36"/>
      <c r="D3953" s="36"/>
      <c r="E3953" s="37"/>
      <c r="F3953" s="59" t="s">
        <v>23</v>
      </c>
      <c r="G3953" s="59" t="str">
        <f t="shared" si="67"/>
        <v/>
      </c>
      <c r="H3953" s="62"/>
      <c r="I3953" s="63"/>
      <c r="J3953" s="34">
        <v>0</v>
      </c>
    </row>
    <row r="3954" spans="1:10" ht="15.75" hidden="1" thickBot="1" x14ac:dyDescent="0.3">
      <c r="A3954" s="262"/>
      <c r="B3954" s="252"/>
      <c r="C3954" s="40" t="s">
        <v>3759</v>
      </c>
      <c r="D3954" s="40" t="s">
        <v>1035</v>
      </c>
      <c r="E3954" s="41">
        <v>0.24</v>
      </c>
      <c r="F3954" s="59">
        <v>0.627</v>
      </c>
      <c r="G3954" s="59">
        <f t="shared" si="67"/>
        <v>0.15048</v>
      </c>
      <c r="H3954" s="43">
        <f>SUM(G3954:G3958)</f>
        <v>142.96287799999999</v>
      </c>
      <c r="I3954" s="44"/>
      <c r="J3954" s="34">
        <v>0</v>
      </c>
    </row>
    <row r="3955" spans="1:10" ht="15.75" hidden="1" thickBot="1" x14ac:dyDescent="0.3">
      <c r="A3955" s="262"/>
      <c r="B3955" s="252"/>
      <c r="C3955" s="40" t="s">
        <v>3852</v>
      </c>
      <c r="D3955" s="40" t="s">
        <v>1035</v>
      </c>
      <c r="E3955" s="41">
        <v>1.2150000000000001</v>
      </c>
      <c r="F3955" s="59">
        <v>1.8904999999999998</v>
      </c>
      <c r="G3955" s="59">
        <f t="shared" si="67"/>
        <v>2.2969575</v>
      </c>
      <c r="H3955" s="62"/>
      <c r="I3955" s="63"/>
      <c r="J3955" s="34">
        <v>0</v>
      </c>
    </row>
    <row r="3956" spans="1:10" ht="26.25" hidden="1" thickBot="1" x14ac:dyDescent="0.3">
      <c r="A3956" s="262"/>
      <c r="B3956" s="252"/>
      <c r="C3956" s="40" t="s">
        <v>4080</v>
      </c>
      <c r="D3956" s="40" t="s">
        <v>177</v>
      </c>
      <c r="E3956" s="41">
        <v>0.25</v>
      </c>
      <c r="F3956" s="59">
        <v>494.87399999999991</v>
      </c>
      <c r="G3956" s="59">
        <f t="shared" si="67"/>
        <v>123.71849999999998</v>
      </c>
      <c r="H3956" s="62"/>
      <c r="I3956" s="63"/>
      <c r="J3956" s="34">
        <v>0</v>
      </c>
    </row>
    <row r="3957" spans="1:10" ht="15.75" hidden="1" thickBot="1" x14ac:dyDescent="0.3">
      <c r="A3957" s="262"/>
      <c r="B3957" s="252"/>
      <c r="C3957" s="40" t="s">
        <v>3757</v>
      </c>
      <c r="D3957" s="40" t="s">
        <v>3752</v>
      </c>
      <c r="E3957" s="41">
        <v>0.437</v>
      </c>
      <c r="F3957" s="59">
        <v>28.0535</v>
      </c>
      <c r="G3957" s="59">
        <f t="shared" si="67"/>
        <v>12.2593795</v>
      </c>
      <c r="H3957" s="62"/>
      <c r="I3957" s="63"/>
      <c r="J3957" s="34">
        <v>0</v>
      </c>
    </row>
    <row r="3958" spans="1:10" ht="15.75" hidden="1" thickBot="1" x14ac:dyDescent="0.3">
      <c r="A3958" s="262"/>
      <c r="B3958" s="252"/>
      <c r="C3958" s="40" t="s">
        <v>3754</v>
      </c>
      <c r="D3958" s="40" t="s">
        <v>3752</v>
      </c>
      <c r="E3958" s="41">
        <v>0.218</v>
      </c>
      <c r="F3958" s="59">
        <v>20.814499999999999</v>
      </c>
      <c r="G3958" s="59">
        <f t="shared" si="67"/>
        <v>4.5375610000000002</v>
      </c>
      <c r="H3958" s="62"/>
      <c r="I3958" s="63"/>
      <c r="J3958" s="34">
        <v>0</v>
      </c>
    </row>
    <row r="3959" spans="1:10" ht="15.75" hidden="1" thickBot="1" x14ac:dyDescent="0.3">
      <c r="A3959" s="262"/>
      <c r="B3959" s="252"/>
      <c r="C3959" s="60"/>
      <c r="D3959" s="60"/>
      <c r="E3959" s="79"/>
      <c r="F3959" s="80" t="s">
        <v>23</v>
      </c>
      <c r="G3959" s="80" t="str">
        <f t="shared" si="67"/>
        <v/>
      </c>
      <c r="H3959" s="81"/>
      <c r="I3959" s="63"/>
      <c r="J3959" s="34">
        <v>0</v>
      </c>
    </row>
    <row r="3960" spans="1:10" ht="15.75" hidden="1" thickBot="1" x14ac:dyDescent="0.3">
      <c r="A3960" s="248" t="s">
        <v>974</v>
      </c>
      <c r="B3960" s="251" t="s">
        <v>2823</v>
      </c>
      <c r="C3960" s="28"/>
      <c r="D3960" s="29" t="s">
        <v>78</v>
      </c>
      <c r="E3960" s="30"/>
      <c r="F3960" s="51" t="s">
        <v>23</v>
      </c>
      <c r="G3960" s="31" t="str">
        <f t="shared" si="67"/>
        <v/>
      </c>
      <c r="H3960" s="32"/>
      <c r="I3960" s="33"/>
      <c r="J3960" s="34">
        <v>0</v>
      </c>
    </row>
    <row r="3961" spans="1:10" ht="15.75" hidden="1" thickBot="1" x14ac:dyDescent="0.3">
      <c r="A3961" s="262"/>
      <c r="B3961" s="252"/>
      <c r="C3961" s="36"/>
      <c r="D3961" s="36"/>
      <c r="E3961" s="37"/>
      <c r="F3961" s="59" t="s">
        <v>23</v>
      </c>
      <c r="G3961" s="59" t="str">
        <f t="shared" si="67"/>
        <v/>
      </c>
      <c r="H3961" s="62"/>
      <c r="I3961" s="63"/>
      <c r="J3961" s="34">
        <v>0</v>
      </c>
    </row>
    <row r="3962" spans="1:10" ht="26.25" hidden="1" thickBot="1" x14ac:dyDescent="0.3">
      <c r="A3962" s="262"/>
      <c r="B3962" s="252"/>
      <c r="C3962" s="40" t="s">
        <v>3818</v>
      </c>
      <c r="D3962" s="40" t="s">
        <v>1035</v>
      </c>
      <c r="E3962" s="41">
        <v>0.53</v>
      </c>
      <c r="F3962" s="59">
        <v>52.259499999999996</v>
      </c>
      <c r="G3962" s="59">
        <f t="shared" si="67"/>
        <v>27.697534999999998</v>
      </c>
      <c r="H3962" s="43">
        <f>SUM(G3962:G3968)</f>
        <v>114.60263249999998</v>
      </c>
      <c r="I3962" s="44"/>
      <c r="J3962" s="34">
        <v>0</v>
      </c>
    </row>
    <row r="3963" spans="1:10" ht="39" hidden="1" thickBot="1" x14ac:dyDescent="0.3">
      <c r="A3963" s="262"/>
      <c r="B3963" s="252"/>
      <c r="C3963" s="40" t="s">
        <v>975</v>
      </c>
      <c r="D3963" s="40" t="s">
        <v>177</v>
      </c>
      <c r="E3963" s="41">
        <v>1.05</v>
      </c>
      <c r="F3963" s="59" t="s">
        <v>23</v>
      </c>
      <c r="G3963" s="59" t="str">
        <f t="shared" si="67"/>
        <v/>
      </c>
      <c r="H3963" s="62"/>
      <c r="I3963" s="63"/>
      <c r="J3963" s="34">
        <v>0</v>
      </c>
    </row>
    <row r="3964" spans="1:10" ht="15.75" hidden="1" thickBot="1" x14ac:dyDescent="0.3">
      <c r="A3964" s="262"/>
      <c r="B3964" s="252"/>
      <c r="C3964" s="40" t="s">
        <v>4006</v>
      </c>
      <c r="D3964" s="40" t="s">
        <v>1035</v>
      </c>
      <c r="E3964" s="41">
        <v>0.97</v>
      </c>
      <c r="F3964" s="59">
        <v>2.1755</v>
      </c>
      <c r="G3964" s="59">
        <f t="shared" si="67"/>
        <v>2.1102349999999999</v>
      </c>
      <c r="H3964" s="62"/>
      <c r="I3964" s="63"/>
      <c r="J3964" s="34">
        <v>0</v>
      </c>
    </row>
    <row r="3965" spans="1:10" ht="15.75" hidden="1" thickBot="1" x14ac:dyDescent="0.3">
      <c r="A3965" s="262"/>
      <c r="B3965" s="252"/>
      <c r="C3965" s="40" t="s">
        <v>3826</v>
      </c>
      <c r="D3965" s="40" t="s">
        <v>3752</v>
      </c>
      <c r="E3965" s="41">
        <v>1.405</v>
      </c>
      <c r="F3965" s="59">
        <v>27.920500000000001</v>
      </c>
      <c r="G3965" s="59">
        <f t="shared" si="67"/>
        <v>39.228302499999998</v>
      </c>
      <c r="H3965" s="62"/>
      <c r="I3965" s="63"/>
      <c r="J3965" s="34">
        <v>0</v>
      </c>
    </row>
    <row r="3966" spans="1:10" ht="15.75" hidden="1" thickBot="1" x14ac:dyDescent="0.3">
      <c r="A3966" s="262"/>
      <c r="B3966" s="252"/>
      <c r="C3966" s="40" t="s">
        <v>3754</v>
      </c>
      <c r="D3966" s="40" t="s">
        <v>3752</v>
      </c>
      <c r="E3966" s="41">
        <v>0.70199999999999996</v>
      </c>
      <c r="F3966" s="59">
        <v>20.814499999999999</v>
      </c>
      <c r="G3966" s="59">
        <f t="shared" si="67"/>
        <v>14.611778999999999</v>
      </c>
      <c r="H3966" s="62"/>
      <c r="I3966" s="63"/>
      <c r="J3966" s="34">
        <v>0</v>
      </c>
    </row>
    <row r="3967" spans="1:10" ht="26.25" hidden="1" thickBot="1" x14ac:dyDescent="0.3">
      <c r="A3967" s="262"/>
      <c r="B3967" s="252"/>
      <c r="C3967" s="40" t="s">
        <v>4168</v>
      </c>
      <c r="D3967" s="40" t="s">
        <v>1041</v>
      </c>
      <c r="E3967" s="41">
        <v>8.8999999999999996E-2</v>
      </c>
      <c r="F3967" s="59">
        <v>22.895</v>
      </c>
      <c r="G3967" s="59">
        <f t="shared" si="67"/>
        <v>2.037655</v>
      </c>
      <c r="H3967" s="62"/>
      <c r="I3967" s="63"/>
      <c r="J3967" s="34">
        <v>0</v>
      </c>
    </row>
    <row r="3968" spans="1:10" ht="26.25" hidden="1" thickBot="1" x14ac:dyDescent="0.3">
      <c r="A3968" s="262"/>
      <c r="B3968" s="252"/>
      <c r="C3968" s="40" t="s">
        <v>4120</v>
      </c>
      <c r="D3968" s="40" t="s">
        <v>1052</v>
      </c>
      <c r="E3968" s="41">
        <v>1.3160000000000001</v>
      </c>
      <c r="F3968" s="59">
        <v>21.973499999999998</v>
      </c>
      <c r="G3968" s="59">
        <f t="shared" si="67"/>
        <v>28.917126</v>
      </c>
      <c r="H3968" s="62"/>
      <c r="I3968" s="63"/>
      <c r="J3968" s="34">
        <v>0</v>
      </c>
    </row>
    <row r="3969" spans="1:10" ht="15.75" hidden="1" thickBot="1" x14ac:dyDescent="0.3">
      <c r="A3969" s="262"/>
      <c r="B3969" s="252"/>
      <c r="C3969" s="40"/>
      <c r="D3969" s="40"/>
      <c r="E3969" s="41"/>
      <c r="F3969" s="59" t="s">
        <v>23</v>
      </c>
      <c r="G3969" s="59" t="str">
        <f t="shared" si="67"/>
        <v/>
      </c>
      <c r="H3969" s="62"/>
      <c r="I3969" s="63"/>
      <c r="J3969" s="34">
        <v>0</v>
      </c>
    </row>
    <row r="3970" spans="1:10" ht="15.75" hidden="1" thickBot="1" x14ac:dyDescent="0.3">
      <c r="A3970" s="248" t="s">
        <v>976</v>
      </c>
      <c r="B3970" s="251" t="s">
        <v>2824</v>
      </c>
      <c r="C3970" s="28"/>
      <c r="D3970" s="29" t="s">
        <v>28</v>
      </c>
      <c r="E3970" s="30"/>
      <c r="F3970" s="51" t="s">
        <v>23</v>
      </c>
      <c r="G3970" s="31" t="str">
        <f t="shared" si="67"/>
        <v/>
      </c>
      <c r="H3970" s="32"/>
      <c r="I3970" s="33"/>
      <c r="J3970" s="34">
        <v>0</v>
      </c>
    </row>
    <row r="3971" spans="1:10" ht="15.75" hidden="1" thickBot="1" x14ac:dyDescent="0.3">
      <c r="A3971" s="262"/>
      <c r="B3971" s="252"/>
      <c r="C3971" s="36"/>
      <c r="D3971" s="36"/>
      <c r="E3971" s="37"/>
      <c r="F3971" s="59" t="s">
        <v>23</v>
      </c>
      <c r="G3971" s="59" t="str">
        <f t="shared" si="67"/>
        <v/>
      </c>
      <c r="H3971" s="62"/>
      <c r="I3971" s="63"/>
      <c r="J3971" s="34">
        <v>0</v>
      </c>
    </row>
    <row r="3972" spans="1:10" ht="26.25" hidden="1" thickBot="1" x14ac:dyDescent="0.3">
      <c r="A3972" s="262"/>
      <c r="B3972" s="252"/>
      <c r="C3972" s="40" t="s">
        <v>4081</v>
      </c>
      <c r="D3972" s="40" t="s">
        <v>291</v>
      </c>
      <c r="E3972" s="41">
        <v>1</v>
      </c>
      <c r="F3972" s="59">
        <v>94.268500000000003</v>
      </c>
      <c r="G3972" s="59">
        <f t="shared" si="67"/>
        <v>94.268500000000003</v>
      </c>
      <c r="H3972" s="43">
        <f>SUM(G3972:G3975)</f>
        <v>141.972876657325</v>
      </c>
      <c r="I3972" s="44"/>
      <c r="J3972" s="34">
        <v>0</v>
      </c>
    </row>
    <row r="3973" spans="1:10" ht="26.25" hidden="1" thickBot="1" x14ac:dyDescent="0.3">
      <c r="A3973" s="262"/>
      <c r="B3973" s="252"/>
      <c r="C3973" s="40" t="s">
        <v>4739</v>
      </c>
      <c r="D3973" s="40" t="s">
        <v>3764</v>
      </c>
      <c r="E3973" s="41">
        <v>4.4000000000000003E-3</v>
      </c>
      <c r="F3973" s="59">
        <v>659.4423539375</v>
      </c>
      <c r="G3973" s="59">
        <f t="shared" si="67"/>
        <v>2.901546357325</v>
      </c>
      <c r="H3973" s="62"/>
      <c r="I3973" s="63"/>
      <c r="J3973" s="34">
        <v>0</v>
      </c>
    </row>
    <row r="3974" spans="1:10" ht="15.75" hidden="1" thickBot="1" x14ac:dyDescent="0.3">
      <c r="A3974" s="262"/>
      <c r="B3974" s="252"/>
      <c r="C3974" s="40" t="s">
        <v>3757</v>
      </c>
      <c r="D3974" s="40" t="s">
        <v>3752</v>
      </c>
      <c r="E3974" s="41">
        <v>1.0088999999999999</v>
      </c>
      <c r="F3974" s="59">
        <v>28.0535</v>
      </c>
      <c r="G3974" s="59">
        <f t="shared" si="67"/>
        <v>28.303176149999999</v>
      </c>
      <c r="H3974" s="62"/>
      <c r="I3974" s="63"/>
      <c r="J3974" s="34">
        <v>0</v>
      </c>
    </row>
    <row r="3975" spans="1:10" ht="15.75" hidden="1" thickBot="1" x14ac:dyDescent="0.3">
      <c r="A3975" s="262"/>
      <c r="B3975" s="252"/>
      <c r="C3975" s="40" t="s">
        <v>3754</v>
      </c>
      <c r="D3975" s="40" t="s">
        <v>3752</v>
      </c>
      <c r="E3975" s="41">
        <v>0.79269999999999996</v>
      </c>
      <c r="F3975" s="59">
        <v>20.814499999999999</v>
      </c>
      <c r="G3975" s="59">
        <f t="shared" si="67"/>
        <v>16.499654149999998</v>
      </c>
      <c r="H3975" s="62"/>
      <c r="I3975" s="63"/>
      <c r="J3975" s="34">
        <v>0</v>
      </c>
    </row>
    <row r="3976" spans="1:10" ht="15.75" hidden="1" thickBot="1" x14ac:dyDescent="0.3">
      <c r="A3976" s="262"/>
      <c r="B3976" s="252"/>
      <c r="C3976" s="60"/>
      <c r="D3976" s="60"/>
      <c r="E3976" s="79"/>
      <c r="F3976" s="80" t="s">
        <v>23</v>
      </c>
      <c r="G3976" s="80" t="str">
        <f t="shared" si="67"/>
        <v/>
      </c>
      <c r="H3976" s="81"/>
      <c r="I3976" s="63"/>
      <c r="J3976" s="34">
        <v>0</v>
      </c>
    </row>
    <row r="3977" spans="1:10" ht="15.75" hidden="1" thickBot="1" x14ac:dyDescent="0.3">
      <c r="A3977" s="248" t="s">
        <v>977</v>
      </c>
      <c r="B3977" s="251" t="s">
        <v>2827</v>
      </c>
      <c r="C3977" s="28"/>
      <c r="D3977" s="29" t="s">
        <v>78</v>
      </c>
      <c r="E3977" s="30"/>
      <c r="F3977" s="51" t="s">
        <v>23</v>
      </c>
      <c r="G3977" s="31" t="str">
        <f t="shared" si="67"/>
        <v/>
      </c>
      <c r="H3977" s="32"/>
      <c r="I3977" s="33"/>
      <c r="J3977" s="34">
        <v>0</v>
      </c>
    </row>
    <row r="3978" spans="1:10" ht="15.75" hidden="1" thickBot="1" x14ac:dyDescent="0.3">
      <c r="A3978" s="262"/>
      <c r="B3978" s="252"/>
      <c r="C3978" s="36"/>
      <c r="D3978" s="36"/>
      <c r="E3978" s="37"/>
      <c r="F3978" s="59" t="s">
        <v>23</v>
      </c>
      <c r="G3978" s="59" t="str">
        <f t="shared" si="67"/>
        <v/>
      </c>
      <c r="H3978" s="62"/>
      <c r="I3978" s="63"/>
      <c r="J3978" s="34">
        <v>0</v>
      </c>
    </row>
    <row r="3979" spans="1:10" ht="26.25" hidden="1" thickBot="1" x14ac:dyDescent="0.3">
      <c r="A3979" s="262"/>
      <c r="B3979" s="252"/>
      <c r="C3979" s="40" t="s">
        <v>978</v>
      </c>
      <c r="D3979" s="40" t="s">
        <v>78</v>
      </c>
      <c r="E3979" s="41">
        <v>1.0798000000000001</v>
      </c>
      <c r="F3979" s="59" t="s">
        <v>23</v>
      </c>
      <c r="G3979" s="59" t="str">
        <f t="shared" si="67"/>
        <v/>
      </c>
      <c r="H3979" s="43">
        <f>SUM(G3979:G3983)</f>
        <v>34.669782599999998</v>
      </c>
      <c r="I3979" s="44"/>
      <c r="J3979" s="34">
        <v>0</v>
      </c>
    </row>
    <row r="3980" spans="1:10" ht="15.75" hidden="1" thickBot="1" x14ac:dyDescent="0.3">
      <c r="A3980" s="262"/>
      <c r="B3980" s="252"/>
      <c r="C3980" s="40" t="s">
        <v>3854</v>
      </c>
      <c r="D3980" s="40" t="s">
        <v>1035</v>
      </c>
      <c r="E3980" s="41">
        <v>6.85</v>
      </c>
      <c r="F3980" s="59">
        <v>1.1495</v>
      </c>
      <c r="G3980" s="59">
        <f t="shared" si="67"/>
        <v>7.8740749999999995</v>
      </c>
      <c r="H3980" s="62"/>
      <c r="I3980" s="63"/>
      <c r="J3980" s="34">
        <v>0</v>
      </c>
    </row>
    <row r="3981" spans="1:10" ht="15.75" hidden="1" thickBot="1" x14ac:dyDescent="0.3">
      <c r="A3981" s="262"/>
      <c r="B3981" s="252"/>
      <c r="C3981" s="40" t="s">
        <v>4013</v>
      </c>
      <c r="D3981" s="40" t="s">
        <v>1035</v>
      </c>
      <c r="E3981" s="41">
        <v>0.222</v>
      </c>
      <c r="F3981" s="59">
        <v>3.6194999999999999</v>
      </c>
      <c r="G3981" s="59">
        <f t="shared" si="67"/>
        <v>0.80352900000000005</v>
      </c>
      <c r="H3981" s="62"/>
      <c r="I3981" s="63"/>
      <c r="J3981" s="34">
        <v>0</v>
      </c>
    </row>
    <row r="3982" spans="1:10" ht="15.75" hidden="1" thickBot="1" x14ac:dyDescent="0.3">
      <c r="A3982" s="262"/>
      <c r="B3982" s="252"/>
      <c r="C3982" s="40" t="s">
        <v>3808</v>
      </c>
      <c r="D3982" s="40" t="s">
        <v>3752</v>
      </c>
      <c r="E3982" s="41">
        <v>0.69699999999999995</v>
      </c>
      <c r="F3982" s="59">
        <v>27.920500000000001</v>
      </c>
      <c r="G3982" s="59">
        <f t="shared" si="67"/>
        <v>19.4605885</v>
      </c>
      <c r="H3982" s="62"/>
      <c r="I3982" s="63"/>
      <c r="J3982" s="34">
        <v>0</v>
      </c>
    </row>
    <row r="3983" spans="1:10" ht="15.75" hidden="1" thickBot="1" x14ac:dyDescent="0.3">
      <c r="A3983" s="262"/>
      <c r="B3983" s="252"/>
      <c r="C3983" s="40" t="s">
        <v>3754</v>
      </c>
      <c r="D3983" s="40" t="s">
        <v>3752</v>
      </c>
      <c r="E3983" s="41">
        <v>0.31380000000000002</v>
      </c>
      <c r="F3983" s="59">
        <v>20.814499999999999</v>
      </c>
      <c r="G3983" s="59">
        <f t="shared" si="67"/>
        <v>6.5315900999999998</v>
      </c>
      <c r="H3983" s="62"/>
      <c r="I3983" s="63"/>
      <c r="J3983" s="34">
        <v>0</v>
      </c>
    </row>
    <row r="3984" spans="1:10" ht="15.75" hidden="1" thickBot="1" x14ac:dyDescent="0.3">
      <c r="A3984" s="262"/>
      <c r="B3984" s="252"/>
      <c r="C3984" s="40"/>
      <c r="D3984" s="53"/>
      <c r="E3984" s="41"/>
      <c r="F3984" s="59" t="s">
        <v>23</v>
      </c>
      <c r="G3984" s="59" t="str">
        <f t="shared" ref="G3984:G4047" si="68">IF(ISNUMBER(F3984),E3984*F3984,"")</f>
        <v/>
      </c>
      <c r="H3984" s="62"/>
      <c r="I3984" s="63"/>
      <c r="J3984" s="34">
        <v>0</v>
      </c>
    </row>
    <row r="3985" spans="1:10" ht="15.75" hidden="1" thickBot="1" x14ac:dyDescent="0.3">
      <c r="A3985" s="248" t="s">
        <v>979</v>
      </c>
      <c r="B3985" s="251" t="s">
        <v>2828</v>
      </c>
      <c r="C3985" s="28"/>
      <c r="D3985" s="29" t="s">
        <v>1748</v>
      </c>
      <c r="E3985" s="30"/>
      <c r="F3985" s="51" t="s">
        <v>23</v>
      </c>
      <c r="G3985" s="31" t="str">
        <f t="shared" si="68"/>
        <v/>
      </c>
      <c r="H3985" s="32"/>
      <c r="I3985" s="33"/>
      <c r="J3985" s="34">
        <v>0</v>
      </c>
    </row>
    <row r="3986" spans="1:10" ht="15.75" hidden="1" thickBot="1" x14ac:dyDescent="0.3">
      <c r="A3986" s="262"/>
      <c r="B3986" s="252"/>
      <c r="C3986" s="36"/>
      <c r="D3986" s="36"/>
      <c r="E3986" s="37"/>
      <c r="F3986" s="59" t="s">
        <v>23</v>
      </c>
      <c r="G3986" s="59" t="str">
        <f t="shared" si="68"/>
        <v/>
      </c>
      <c r="H3986" s="62"/>
      <c r="I3986" s="63"/>
      <c r="J3986" s="34">
        <v>0</v>
      </c>
    </row>
    <row r="3987" spans="1:10" ht="26.25" hidden="1" thickBot="1" x14ac:dyDescent="0.3">
      <c r="A3987" s="262"/>
      <c r="B3987" s="252"/>
      <c r="C3987" s="40" t="s">
        <v>4082</v>
      </c>
      <c r="D3987" s="40" t="s">
        <v>3764</v>
      </c>
      <c r="E3987" s="41">
        <v>1.25</v>
      </c>
      <c r="F3987" s="59">
        <v>102.1155</v>
      </c>
      <c r="G3987" s="59">
        <f t="shared" si="68"/>
        <v>127.644375</v>
      </c>
      <c r="H3987" s="43">
        <f>SUM(G3987:G3994)</f>
        <v>231.51161206250001</v>
      </c>
      <c r="I3987" s="44"/>
      <c r="J3987" s="34">
        <v>0</v>
      </c>
    </row>
    <row r="3988" spans="1:10" ht="51.75" hidden="1" thickBot="1" x14ac:dyDescent="0.3">
      <c r="A3988" s="262"/>
      <c r="B3988" s="252"/>
      <c r="C3988" s="40" t="s">
        <v>4020</v>
      </c>
      <c r="D3988" s="40" t="s">
        <v>1041</v>
      </c>
      <c r="E3988" s="41">
        <v>6.0000000000000001E-3</v>
      </c>
      <c r="F3988" s="59">
        <v>276.74450000000002</v>
      </c>
      <c r="G3988" s="59">
        <f t="shared" si="68"/>
        <v>1.6604670000000001</v>
      </c>
      <c r="H3988" s="62"/>
      <c r="I3988" s="63"/>
      <c r="J3988" s="34">
        <v>0</v>
      </c>
    </row>
    <row r="3989" spans="1:10" ht="51.75" hidden="1" thickBot="1" x14ac:dyDescent="0.3">
      <c r="A3989" s="262"/>
      <c r="B3989" s="252"/>
      <c r="C3989" s="40" t="s">
        <v>4021</v>
      </c>
      <c r="D3989" s="40" t="s">
        <v>1052</v>
      </c>
      <c r="E3989" s="41">
        <v>3.0000000000000001E-3</v>
      </c>
      <c r="F3989" s="59">
        <v>62.243999999999993</v>
      </c>
      <c r="G3989" s="59">
        <f t="shared" si="68"/>
        <v>0.18673199999999998</v>
      </c>
      <c r="H3989" s="62"/>
      <c r="I3989" s="63"/>
      <c r="J3989" s="34">
        <v>0</v>
      </c>
    </row>
    <row r="3990" spans="1:10" ht="15.75" hidden="1" thickBot="1" x14ac:dyDescent="0.3">
      <c r="A3990" s="262"/>
      <c r="B3990" s="252"/>
      <c r="C3990" s="40" t="s">
        <v>3754</v>
      </c>
      <c r="D3990" s="40" t="s">
        <v>3752</v>
      </c>
      <c r="E3990" s="41">
        <v>0.65900000000000003</v>
      </c>
      <c r="F3990" s="59">
        <v>20.814499999999999</v>
      </c>
      <c r="G3990" s="59">
        <f t="shared" si="68"/>
        <v>13.7167555</v>
      </c>
      <c r="H3990" s="62"/>
      <c r="I3990" s="63"/>
      <c r="J3990" s="34">
        <v>0</v>
      </c>
    </row>
    <row r="3991" spans="1:10" ht="26.25" hidden="1" thickBot="1" x14ac:dyDescent="0.3">
      <c r="A3991" s="262"/>
      <c r="B3991" s="252"/>
      <c r="C3991" s="40" t="s">
        <v>4018</v>
      </c>
      <c r="D3991" s="40" t="s">
        <v>1041</v>
      </c>
      <c r="E3991" s="41">
        <v>0.27400000000000002</v>
      </c>
      <c r="F3991" s="59">
        <v>29.012999999999998</v>
      </c>
      <c r="G3991" s="59">
        <f t="shared" si="68"/>
        <v>7.9495620000000002</v>
      </c>
      <c r="H3991" s="62"/>
      <c r="I3991" s="63"/>
      <c r="J3991" s="34">
        <v>0</v>
      </c>
    </row>
    <row r="3992" spans="1:10" ht="26.25" hidden="1" thickBot="1" x14ac:dyDescent="0.3">
      <c r="A3992" s="262"/>
      <c r="B3992" s="252"/>
      <c r="C3992" s="40" t="s">
        <v>4019</v>
      </c>
      <c r="D3992" s="40" t="s">
        <v>1052</v>
      </c>
      <c r="E3992" s="41">
        <v>0.254</v>
      </c>
      <c r="F3992" s="59">
        <v>22.685999999999996</v>
      </c>
      <c r="G3992" s="59">
        <f t="shared" si="68"/>
        <v>5.762243999999999</v>
      </c>
      <c r="H3992" s="62"/>
      <c r="I3992" s="63"/>
      <c r="J3992" s="34">
        <v>0</v>
      </c>
    </row>
    <row r="3993" spans="1:10" ht="51.75" hidden="1" thickBot="1" x14ac:dyDescent="0.3">
      <c r="A3993" s="262"/>
      <c r="B3993" s="252"/>
      <c r="C3993" s="40" t="s">
        <v>4752</v>
      </c>
      <c r="D3993" s="40" t="s">
        <v>3764</v>
      </c>
      <c r="E3993" s="41">
        <f>1*E3987</f>
        <v>1.25</v>
      </c>
      <c r="F3993" s="38">
        <v>7.75243225</v>
      </c>
      <c r="G3993" s="38">
        <f t="shared" si="68"/>
        <v>9.6905403124999996</v>
      </c>
      <c r="H3993" s="39"/>
      <c r="I3993" s="35"/>
      <c r="J3993" s="34">
        <v>0</v>
      </c>
    </row>
    <row r="3994" spans="1:10" ht="39" hidden="1" thickBot="1" x14ac:dyDescent="0.3">
      <c r="A3994" s="262"/>
      <c r="B3994" s="252"/>
      <c r="C3994" s="40" t="s">
        <v>4749</v>
      </c>
      <c r="D3994" s="40" t="s">
        <v>4744</v>
      </c>
      <c r="E3994" s="41">
        <f>E3987*20</f>
        <v>25</v>
      </c>
      <c r="F3994" s="59">
        <v>2.5960374499999999</v>
      </c>
      <c r="G3994" s="59">
        <f t="shared" si="68"/>
        <v>64.900936250000001</v>
      </c>
      <c r="H3994" s="62"/>
      <c r="I3994" s="63"/>
      <c r="J3994" s="34">
        <v>0</v>
      </c>
    </row>
    <row r="3995" spans="1:10" ht="15.75" hidden="1" thickBot="1" x14ac:dyDescent="0.3">
      <c r="A3995" s="262"/>
      <c r="B3995" s="252"/>
      <c r="C3995" s="52"/>
      <c r="D3995" s="53"/>
      <c r="E3995" s="41"/>
      <c r="F3995" s="59" t="s">
        <v>23</v>
      </c>
      <c r="G3995" s="59" t="str">
        <f t="shared" si="68"/>
        <v/>
      </c>
      <c r="H3995" s="62"/>
      <c r="I3995" s="63"/>
      <c r="J3995" s="34">
        <v>0</v>
      </c>
    </row>
    <row r="3996" spans="1:10" ht="15.75" hidden="1" thickBot="1" x14ac:dyDescent="0.3">
      <c r="A3996" s="262"/>
      <c r="B3996" s="252"/>
      <c r="C3996" s="50" t="s">
        <v>646</v>
      </c>
      <c r="D3996" s="53"/>
      <c r="E3996" s="41"/>
      <c r="F3996" s="59" t="s">
        <v>23</v>
      </c>
      <c r="G3996" s="59" t="str">
        <f t="shared" si="68"/>
        <v/>
      </c>
      <c r="H3996" s="62"/>
      <c r="I3996" s="63"/>
      <c r="J3996" s="34">
        <v>0</v>
      </c>
    </row>
    <row r="3997" spans="1:10" ht="15.75" hidden="1" thickBot="1" x14ac:dyDescent="0.3">
      <c r="A3997" s="262"/>
      <c r="B3997" s="252"/>
      <c r="C3997" s="60"/>
      <c r="D3997" s="60"/>
      <c r="E3997" s="79"/>
      <c r="F3997" s="80" t="s">
        <v>23</v>
      </c>
      <c r="G3997" s="80" t="str">
        <f t="shared" si="68"/>
        <v/>
      </c>
      <c r="H3997" s="81"/>
      <c r="I3997" s="63"/>
      <c r="J3997" s="34">
        <v>0</v>
      </c>
    </row>
    <row r="3998" spans="1:10" ht="15.75" hidden="1" thickBot="1" x14ac:dyDescent="0.3">
      <c r="A3998" s="248" t="s">
        <v>980</v>
      </c>
      <c r="B3998" s="251" t="s">
        <v>2829</v>
      </c>
      <c r="C3998" s="28"/>
      <c r="D3998" s="29" t="s">
        <v>121</v>
      </c>
      <c r="E3998" s="30"/>
      <c r="F3998" s="51" t="s">
        <v>23</v>
      </c>
      <c r="G3998" s="31" t="str">
        <f t="shared" si="68"/>
        <v/>
      </c>
      <c r="H3998" s="32"/>
      <c r="I3998" s="33"/>
      <c r="J3998" s="34">
        <v>0</v>
      </c>
    </row>
    <row r="3999" spans="1:10" ht="15.75" hidden="1" thickBot="1" x14ac:dyDescent="0.3">
      <c r="A3999" s="262"/>
      <c r="B3999" s="252"/>
      <c r="C3999" s="36"/>
      <c r="D3999" s="36"/>
      <c r="E3999" s="37"/>
      <c r="F3999" s="59" t="s">
        <v>23</v>
      </c>
      <c r="G3999" s="59" t="str">
        <f t="shared" si="68"/>
        <v/>
      </c>
      <c r="H3999" s="62"/>
      <c r="I3999" s="63"/>
      <c r="J3999" s="34">
        <v>0</v>
      </c>
    </row>
    <row r="4000" spans="1:10" ht="15.75" hidden="1" thickBot="1" x14ac:dyDescent="0.3">
      <c r="A4000" s="262"/>
      <c r="B4000" s="252"/>
      <c r="C4000" s="40" t="s">
        <v>4083</v>
      </c>
      <c r="D4000" s="40" t="s">
        <v>1035</v>
      </c>
      <c r="E4000" s="41">
        <v>1.4</v>
      </c>
      <c r="F4000" s="59">
        <v>10.307499999999999</v>
      </c>
      <c r="G4000" s="59">
        <f t="shared" si="68"/>
        <v>14.430499999999999</v>
      </c>
      <c r="H4000" s="43">
        <f>SUM(G4000:G4009)</f>
        <v>673.42982499999994</v>
      </c>
      <c r="I4000" s="44"/>
      <c r="J4000" s="34">
        <v>0</v>
      </c>
    </row>
    <row r="4001" spans="1:10" ht="15.75" hidden="1" thickBot="1" x14ac:dyDescent="0.3">
      <c r="A4001" s="262"/>
      <c r="B4001" s="252"/>
      <c r="C4001" s="40" t="s">
        <v>4084</v>
      </c>
      <c r="D4001" s="40" t="s">
        <v>1035</v>
      </c>
      <c r="E4001" s="41">
        <v>3.0000000000000001E-3</v>
      </c>
      <c r="F4001" s="59">
        <v>36.489499999999992</v>
      </c>
      <c r="G4001" s="59">
        <f t="shared" si="68"/>
        <v>0.10946849999999998</v>
      </c>
      <c r="H4001" s="62"/>
      <c r="I4001" s="63"/>
      <c r="J4001" s="34">
        <v>0</v>
      </c>
    </row>
    <row r="4002" spans="1:10" ht="26.25" hidden="1" thickBot="1" x14ac:dyDescent="0.3">
      <c r="A4002" s="262"/>
      <c r="B4002" s="252"/>
      <c r="C4002" s="40" t="s">
        <v>4035</v>
      </c>
      <c r="D4002" s="40" t="s">
        <v>291</v>
      </c>
      <c r="E4002" s="41">
        <v>3.3330000000000002</v>
      </c>
      <c r="F4002" s="59">
        <v>2.4224999999999999</v>
      </c>
      <c r="G4002" s="59">
        <f t="shared" si="68"/>
        <v>8.0741925000000005</v>
      </c>
      <c r="H4002" s="62"/>
      <c r="I4002" s="63"/>
      <c r="J4002" s="34">
        <v>0</v>
      </c>
    </row>
    <row r="4003" spans="1:10" ht="39" hidden="1" thickBot="1" x14ac:dyDescent="0.3">
      <c r="A4003" s="262"/>
      <c r="B4003" s="252"/>
      <c r="C4003" s="40" t="s">
        <v>4085</v>
      </c>
      <c r="D4003" s="40" t="s">
        <v>291</v>
      </c>
      <c r="E4003" s="41">
        <v>5</v>
      </c>
      <c r="F4003" s="59">
        <v>0.45599999999999996</v>
      </c>
      <c r="G4003" s="59">
        <f t="shared" si="68"/>
        <v>2.2799999999999998</v>
      </c>
      <c r="H4003" s="62"/>
      <c r="I4003" s="63"/>
      <c r="J4003" s="34">
        <v>0</v>
      </c>
    </row>
    <row r="4004" spans="1:10" ht="26.25" hidden="1" thickBot="1" x14ac:dyDescent="0.3">
      <c r="A4004" s="262"/>
      <c r="B4004" s="252"/>
      <c r="C4004" s="40" t="s">
        <v>3991</v>
      </c>
      <c r="D4004" s="40" t="s">
        <v>1286</v>
      </c>
      <c r="E4004" s="41">
        <v>3.149</v>
      </c>
      <c r="F4004" s="59">
        <v>14.25</v>
      </c>
      <c r="G4004" s="59">
        <f t="shared" si="68"/>
        <v>44.873249999999999</v>
      </c>
      <c r="H4004" s="62"/>
      <c r="I4004" s="63"/>
      <c r="J4004" s="34">
        <v>0</v>
      </c>
    </row>
    <row r="4005" spans="1:10" ht="15.75" hidden="1" thickBot="1" x14ac:dyDescent="0.3">
      <c r="A4005" s="262"/>
      <c r="B4005" s="252"/>
      <c r="C4005" s="40" t="s">
        <v>3834</v>
      </c>
      <c r="D4005" s="40" t="s">
        <v>1035</v>
      </c>
      <c r="E4005" s="41">
        <v>3.4089999999999998</v>
      </c>
      <c r="F4005" s="59">
        <v>37.619999999999997</v>
      </c>
      <c r="G4005" s="59">
        <f t="shared" si="68"/>
        <v>128.24657999999999</v>
      </c>
      <c r="H4005" s="62"/>
      <c r="I4005" s="63"/>
      <c r="J4005" s="34">
        <v>0</v>
      </c>
    </row>
    <row r="4006" spans="1:10" ht="26.25" hidden="1" thickBot="1" x14ac:dyDescent="0.3">
      <c r="A4006" s="262"/>
      <c r="B4006" s="252"/>
      <c r="C4006" s="40" t="s">
        <v>3847</v>
      </c>
      <c r="D4006" s="40" t="s">
        <v>177</v>
      </c>
      <c r="E4006" s="41">
        <v>0.998</v>
      </c>
      <c r="F4006" s="59">
        <v>299.40199999999999</v>
      </c>
      <c r="G4006" s="59">
        <f t="shared" si="68"/>
        <v>298.80319600000001</v>
      </c>
      <c r="H4006" s="62"/>
      <c r="I4006" s="63"/>
      <c r="J4006" s="34">
        <v>0</v>
      </c>
    </row>
    <row r="4007" spans="1:10" ht="15.75" hidden="1" thickBot="1" x14ac:dyDescent="0.3">
      <c r="A4007" s="262"/>
      <c r="B4007" s="252"/>
      <c r="C4007" s="40" t="s">
        <v>3831</v>
      </c>
      <c r="D4007" s="40" t="s">
        <v>291</v>
      </c>
      <c r="E4007" s="41">
        <v>0.85499999999999998</v>
      </c>
      <c r="F4007" s="59">
        <v>26.125</v>
      </c>
      <c r="G4007" s="59">
        <f t="shared" si="68"/>
        <v>22.336874999999999</v>
      </c>
      <c r="H4007" s="62"/>
      <c r="I4007" s="63"/>
      <c r="J4007" s="34">
        <v>0</v>
      </c>
    </row>
    <row r="4008" spans="1:10" ht="15.75" hidden="1" thickBot="1" x14ac:dyDescent="0.3">
      <c r="A4008" s="262"/>
      <c r="B4008" s="252"/>
      <c r="C4008" s="40" t="s">
        <v>3967</v>
      </c>
      <c r="D4008" s="40" t="s">
        <v>3752</v>
      </c>
      <c r="E4008" s="41">
        <v>2.754</v>
      </c>
      <c r="F4008" s="59">
        <v>22.106499999999997</v>
      </c>
      <c r="G4008" s="59">
        <f t="shared" si="68"/>
        <v>60.881300999999993</v>
      </c>
      <c r="H4008" s="62"/>
      <c r="I4008" s="63"/>
      <c r="J4008" s="34">
        <v>0</v>
      </c>
    </row>
    <row r="4009" spans="1:10" ht="15.75" hidden="1" thickBot="1" x14ac:dyDescent="0.3">
      <c r="A4009" s="262"/>
      <c r="B4009" s="252"/>
      <c r="C4009" s="40" t="s">
        <v>3968</v>
      </c>
      <c r="D4009" s="40" t="s">
        <v>3752</v>
      </c>
      <c r="E4009" s="41">
        <v>3.3530000000000002</v>
      </c>
      <c r="F4009" s="59">
        <v>27.853999999999999</v>
      </c>
      <c r="G4009" s="59">
        <f t="shared" si="68"/>
        <v>93.394462000000004</v>
      </c>
      <c r="H4009" s="62"/>
      <c r="I4009" s="63"/>
      <c r="J4009" s="34">
        <v>0</v>
      </c>
    </row>
    <row r="4010" spans="1:10" ht="15.75" hidden="1" thickBot="1" x14ac:dyDescent="0.3">
      <c r="A4010" s="263"/>
      <c r="B4010" s="253"/>
      <c r="C4010" s="60"/>
      <c r="D4010" s="60"/>
      <c r="E4010" s="79"/>
      <c r="F4010" s="80" t="s">
        <v>23</v>
      </c>
      <c r="G4010" s="80" t="str">
        <f t="shared" si="68"/>
        <v/>
      </c>
      <c r="H4010" s="81"/>
      <c r="I4010" s="63"/>
      <c r="J4010" s="34">
        <v>0</v>
      </c>
    </row>
    <row r="4011" spans="1:10" ht="15.75" hidden="1" thickBot="1" x14ac:dyDescent="0.3">
      <c r="A4011" s="248" t="s">
        <v>981</v>
      </c>
      <c r="B4011" s="251" t="s">
        <v>2830</v>
      </c>
      <c r="C4011" s="28"/>
      <c r="D4011" s="29" t="s">
        <v>121</v>
      </c>
      <c r="E4011" s="30"/>
      <c r="F4011" s="45" t="s">
        <v>23</v>
      </c>
      <c r="G4011" s="31" t="str">
        <f t="shared" si="68"/>
        <v/>
      </c>
      <c r="H4011" s="32"/>
      <c r="I4011" s="33"/>
      <c r="J4011" s="34">
        <v>0</v>
      </c>
    </row>
    <row r="4012" spans="1:10" ht="15.75" hidden="1" thickBot="1" x14ac:dyDescent="0.3">
      <c r="A4012" s="262"/>
      <c r="B4012" s="252"/>
      <c r="C4012" s="36"/>
      <c r="D4012" s="36"/>
      <c r="E4012" s="37"/>
      <c r="F4012" s="46" t="s">
        <v>23</v>
      </c>
      <c r="G4012" s="35" t="str">
        <f t="shared" si="68"/>
        <v/>
      </c>
      <c r="H4012" s="39"/>
      <c r="I4012" s="35"/>
      <c r="J4012" s="34">
        <v>0</v>
      </c>
    </row>
    <row r="4013" spans="1:10" ht="15.75" hidden="1" thickBot="1" x14ac:dyDescent="0.3">
      <c r="A4013" s="262"/>
      <c r="B4013" s="252"/>
      <c r="C4013" s="40" t="s">
        <v>3767</v>
      </c>
      <c r="D4013" s="40" t="s">
        <v>3752</v>
      </c>
      <c r="E4013" s="41">
        <f>1/10</f>
        <v>0.1</v>
      </c>
      <c r="F4013" s="35">
        <v>25.877999999999997</v>
      </c>
      <c r="G4013" s="38">
        <f t="shared" si="68"/>
        <v>2.5877999999999997</v>
      </c>
      <c r="H4013" s="43">
        <f>SUM(G4013:G4014)</f>
        <v>2.5877999999999997</v>
      </c>
      <c r="I4013" s="44"/>
      <c r="J4013" s="34">
        <v>0</v>
      </c>
    </row>
    <row r="4014" spans="1:10" ht="15.75" hidden="1" thickBot="1" x14ac:dyDescent="0.3">
      <c r="A4014" s="262"/>
      <c r="B4014" s="252"/>
      <c r="C4014" s="40" t="s">
        <v>982</v>
      </c>
      <c r="D4014" s="53" t="s">
        <v>121</v>
      </c>
      <c r="E4014" s="41">
        <v>1.05</v>
      </c>
      <c r="F4014" s="38" t="s">
        <v>23</v>
      </c>
      <c r="G4014" s="38" t="str">
        <f t="shared" si="68"/>
        <v/>
      </c>
      <c r="H4014" s="39"/>
      <c r="I4014" s="35"/>
      <c r="J4014" s="34">
        <v>0</v>
      </c>
    </row>
    <row r="4015" spans="1:10" ht="15.75" hidden="1" thickBot="1" x14ac:dyDescent="0.3">
      <c r="A4015" s="263"/>
      <c r="B4015" s="253"/>
      <c r="C4015" s="40"/>
      <c r="D4015" s="53"/>
      <c r="E4015" s="41"/>
      <c r="F4015" s="38" t="s">
        <v>23</v>
      </c>
      <c r="G4015" s="38" t="str">
        <f t="shared" si="68"/>
        <v/>
      </c>
      <c r="H4015" s="39"/>
      <c r="I4015" s="35"/>
      <c r="J4015" s="34">
        <v>0</v>
      </c>
    </row>
    <row r="4016" spans="1:10" ht="15.75" hidden="1" thickBot="1" x14ac:dyDescent="0.3">
      <c r="A4016" s="248" t="s">
        <v>983</v>
      </c>
      <c r="B4016" s="251" t="s">
        <v>2831</v>
      </c>
      <c r="C4016" s="28"/>
      <c r="D4016" s="29" t="s">
        <v>97</v>
      </c>
      <c r="E4016" s="30"/>
      <c r="F4016" s="51" t="s">
        <v>23</v>
      </c>
      <c r="G4016" s="31" t="str">
        <f t="shared" si="68"/>
        <v/>
      </c>
      <c r="H4016" s="32"/>
      <c r="I4016" s="33"/>
      <c r="J4016" s="34">
        <v>0</v>
      </c>
    </row>
    <row r="4017" spans="1:10" ht="15.75" hidden="1" thickBot="1" x14ac:dyDescent="0.3">
      <c r="A4017" s="262"/>
      <c r="B4017" s="252"/>
      <c r="C4017" s="36"/>
      <c r="D4017" s="36"/>
      <c r="E4017" s="37"/>
      <c r="F4017" s="59" t="s">
        <v>23</v>
      </c>
      <c r="G4017" s="59" t="str">
        <f t="shared" si="68"/>
        <v/>
      </c>
      <c r="H4017" s="62"/>
      <c r="I4017" s="63"/>
      <c r="J4017" s="34">
        <v>0</v>
      </c>
    </row>
    <row r="4018" spans="1:10" ht="26.25" hidden="1" thickBot="1" x14ac:dyDescent="0.3">
      <c r="A4018" s="262"/>
      <c r="B4018" s="252"/>
      <c r="C4018" s="40" t="s">
        <v>4086</v>
      </c>
      <c r="D4018" s="40" t="s">
        <v>3752</v>
      </c>
      <c r="E4018" s="41">
        <v>1</v>
      </c>
      <c r="F4018" s="59">
        <v>3.1254999999999997</v>
      </c>
      <c r="G4018" s="59">
        <f t="shared" si="68"/>
        <v>3.1254999999999997</v>
      </c>
      <c r="H4018" s="43">
        <f>SUM(G4018:G4018)</f>
        <v>3.1254999999999997</v>
      </c>
      <c r="I4018" s="44"/>
      <c r="J4018" s="34">
        <v>0</v>
      </c>
    </row>
    <row r="4019" spans="1:10" ht="15.75" hidden="1" thickBot="1" x14ac:dyDescent="0.3">
      <c r="A4019" s="262"/>
      <c r="B4019" s="252"/>
      <c r="C4019" s="60"/>
      <c r="D4019" s="60"/>
      <c r="E4019" s="79"/>
      <c r="F4019" s="80" t="s">
        <v>23</v>
      </c>
      <c r="G4019" s="80" t="str">
        <f t="shared" si="68"/>
        <v/>
      </c>
      <c r="H4019" s="81"/>
      <c r="I4019" s="63"/>
      <c r="J4019" s="34">
        <v>0</v>
      </c>
    </row>
    <row r="4020" spans="1:10" ht="15.75" hidden="1" thickBot="1" x14ac:dyDescent="0.3">
      <c r="A4020" s="248" t="s">
        <v>984</v>
      </c>
      <c r="B4020" s="251" t="s">
        <v>2832</v>
      </c>
      <c r="C4020" s="28"/>
      <c r="D4020" s="29" t="s">
        <v>97</v>
      </c>
      <c r="E4020" s="30"/>
      <c r="F4020" s="51" t="s">
        <v>23</v>
      </c>
      <c r="G4020" s="31" t="str">
        <f t="shared" si="68"/>
        <v/>
      </c>
      <c r="H4020" s="32"/>
      <c r="I4020" s="33"/>
      <c r="J4020" s="34">
        <v>0</v>
      </c>
    </row>
    <row r="4021" spans="1:10" ht="15.75" hidden="1" thickBot="1" x14ac:dyDescent="0.3">
      <c r="A4021" s="262"/>
      <c r="B4021" s="252"/>
      <c r="C4021" s="36"/>
      <c r="D4021" s="36"/>
      <c r="E4021" s="37"/>
      <c r="F4021" s="59" t="s">
        <v>23</v>
      </c>
      <c r="G4021" s="59" t="str">
        <f t="shared" si="68"/>
        <v/>
      </c>
      <c r="H4021" s="62"/>
      <c r="I4021" s="63"/>
      <c r="J4021" s="34">
        <v>0</v>
      </c>
    </row>
    <row r="4022" spans="1:10" ht="26.25" hidden="1" thickBot="1" x14ac:dyDescent="0.3">
      <c r="A4022" s="262"/>
      <c r="B4022" s="252"/>
      <c r="C4022" s="40" t="s">
        <v>4087</v>
      </c>
      <c r="D4022" s="40" t="s">
        <v>3752</v>
      </c>
      <c r="E4022" s="41">
        <v>1</v>
      </c>
      <c r="F4022" s="59">
        <v>1.4249999999999998</v>
      </c>
      <c r="G4022" s="59">
        <f t="shared" si="68"/>
        <v>1.4249999999999998</v>
      </c>
      <c r="H4022" s="43">
        <f>SUM(G4022:G4022)</f>
        <v>1.4249999999999998</v>
      </c>
      <c r="I4022" s="44"/>
      <c r="J4022" s="34">
        <v>0</v>
      </c>
    </row>
    <row r="4023" spans="1:10" ht="15.75" hidden="1" thickBot="1" x14ac:dyDescent="0.3">
      <c r="A4023" s="263"/>
      <c r="B4023" s="253"/>
      <c r="C4023" s="60"/>
      <c r="D4023" s="60"/>
      <c r="E4023" s="79"/>
      <c r="F4023" s="80" t="s">
        <v>23</v>
      </c>
      <c r="G4023" s="80" t="str">
        <f t="shared" si="68"/>
        <v/>
      </c>
      <c r="H4023" s="81"/>
      <c r="I4023" s="63"/>
      <c r="J4023" s="34">
        <v>0</v>
      </c>
    </row>
    <row r="4024" spans="1:10" ht="15.75" hidden="1" thickBot="1" x14ac:dyDescent="0.3">
      <c r="A4024" s="248" t="s">
        <v>985</v>
      </c>
      <c r="B4024" s="251" t="s">
        <v>2835</v>
      </c>
      <c r="C4024" s="28"/>
      <c r="D4024" s="29" t="s">
        <v>28</v>
      </c>
      <c r="E4024" s="30"/>
      <c r="F4024" s="51" t="s">
        <v>23</v>
      </c>
      <c r="G4024" s="31" t="str">
        <f t="shared" si="68"/>
        <v/>
      </c>
      <c r="H4024" s="32"/>
      <c r="I4024" s="33"/>
      <c r="J4024" s="34">
        <v>0</v>
      </c>
    </row>
    <row r="4025" spans="1:10" ht="15.75" hidden="1" thickBot="1" x14ac:dyDescent="0.3">
      <c r="A4025" s="262"/>
      <c r="B4025" s="252"/>
      <c r="C4025" s="36"/>
      <c r="D4025" s="36"/>
      <c r="E4025" s="37"/>
      <c r="F4025" s="59" t="s">
        <v>23</v>
      </c>
      <c r="G4025" s="59" t="str">
        <f t="shared" si="68"/>
        <v/>
      </c>
      <c r="H4025" s="62"/>
      <c r="I4025" s="63"/>
      <c r="J4025" s="34">
        <v>0</v>
      </c>
    </row>
    <row r="4026" spans="1:10" ht="26.25" hidden="1" thickBot="1" x14ac:dyDescent="0.3">
      <c r="A4026" s="262"/>
      <c r="B4026" s="252"/>
      <c r="C4026" s="40" t="s">
        <v>4088</v>
      </c>
      <c r="D4026" s="40" t="s">
        <v>291</v>
      </c>
      <c r="E4026" s="41">
        <v>1</v>
      </c>
      <c r="F4026" s="59">
        <v>42.445999999999998</v>
      </c>
      <c r="G4026" s="59">
        <f t="shared" si="68"/>
        <v>42.445999999999998</v>
      </c>
      <c r="H4026" s="43">
        <f>SUM(G4026:G4031)</f>
        <v>52.419688049999998</v>
      </c>
      <c r="I4026" s="44"/>
      <c r="J4026" s="34">
        <v>0</v>
      </c>
    </row>
    <row r="4027" spans="1:10" ht="26.25" hidden="1" thickBot="1" x14ac:dyDescent="0.3">
      <c r="A4027" s="262"/>
      <c r="B4027" s="252"/>
      <c r="C4027" s="40" t="s">
        <v>4089</v>
      </c>
      <c r="D4027" s="40" t="s">
        <v>291</v>
      </c>
      <c r="E4027" s="41">
        <v>8.3999999999999995E-3</v>
      </c>
      <c r="F4027" s="59">
        <v>313.55699999999996</v>
      </c>
      <c r="G4027" s="59">
        <f t="shared" si="68"/>
        <v>2.6338787999999993</v>
      </c>
      <c r="H4027" s="62"/>
      <c r="I4027" s="63"/>
      <c r="J4027" s="34">
        <v>0</v>
      </c>
    </row>
    <row r="4028" spans="1:10" ht="15.75" hidden="1" thickBot="1" x14ac:dyDescent="0.3">
      <c r="A4028" s="262"/>
      <c r="B4028" s="252"/>
      <c r="C4028" s="40" t="s">
        <v>4498</v>
      </c>
      <c r="D4028" s="40" t="s">
        <v>291</v>
      </c>
      <c r="E4028" s="41">
        <v>6.4399999999999999E-2</v>
      </c>
      <c r="F4028" s="59">
        <v>2.1564999999999999</v>
      </c>
      <c r="G4028" s="59">
        <f t="shared" si="68"/>
        <v>0.13887859999999999</v>
      </c>
      <c r="H4028" s="62"/>
      <c r="I4028" s="63"/>
      <c r="J4028" s="34">
        <v>0</v>
      </c>
    </row>
    <row r="4029" spans="1:10" ht="26.25" hidden="1" thickBot="1" x14ac:dyDescent="0.3">
      <c r="A4029" s="262"/>
      <c r="B4029" s="252"/>
      <c r="C4029" s="40" t="s">
        <v>4090</v>
      </c>
      <c r="D4029" s="40" t="s">
        <v>291</v>
      </c>
      <c r="E4029" s="41">
        <v>2.0999999999999999E-3</v>
      </c>
      <c r="F4029" s="59">
        <v>57.484499999999997</v>
      </c>
      <c r="G4029" s="59">
        <f t="shared" si="68"/>
        <v>0.12071744999999999</v>
      </c>
      <c r="H4029" s="62"/>
      <c r="I4029" s="63"/>
      <c r="J4029" s="34">
        <v>0</v>
      </c>
    </row>
    <row r="4030" spans="1:10" ht="26.25" hidden="1" thickBot="1" x14ac:dyDescent="0.3">
      <c r="A4030" s="262"/>
      <c r="B4030" s="252"/>
      <c r="C4030" s="40" t="s">
        <v>4119</v>
      </c>
      <c r="D4030" s="40" t="s">
        <v>3752</v>
      </c>
      <c r="E4030" s="41">
        <v>0.14480000000000001</v>
      </c>
      <c r="F4030" s="59">
        <v>21.555499999999999</v>
      </c>
      <c r="G4030" s="59">
        <f t="shared" si="68"/>
        <v>3.1212363999999999</v>
      </c>
      <c r="H4030" s="62"/>
      <c r="I4030" s="63"/>
      <c r="J4030" s="34">
        <v>0</v>
      </c>
    </row>
    <row r="4031" spans="1:10" ht="26.25" hidden="1" thickBot="1" x14ac:dyDescent="0.3">
      <c r="A4031" s="262"/>
      <c r="B4031" s="252"/>
      <c r="C4031" s="40" t="s">
        <v>4110</v>
      </c>
      <c r="D4031" s="40" t="s">
        <v>3752</v>
      </c>
      <c r="E4031" s="41">
        <v>0.14480000000000001</v>
      </c>
      <c r="F4031" s="59">
        <v>27.341000000000001</v>
      </c>
      <c r="G4031" s="59">
        <f t="shared" si="68"/>
        <v>3.9589768000000003</v>
      </c>
      <c r="H4031" s="62"/>
      <c r="I4031" s="63"/>
      <c r="J4031" s="34">
        <v>0</v>
      </c>
    </row>
    <row r="4032" spans="1:10" ht="15.75" hidden="1" thickBot="1" x14ac:dyDescent="0.3">
      <c r="A4032" s="263"/>
      <c r="B4032" s="253"/>
      <c r="C4032" s="60"/>
      <c r="D4032" s="60"/>
      <c r="E4032" s="79"/>
      <c r="F4032" s="80" t="s">
        <v>23</v>
      </c>
      <c r="G4032" s="80" t="str">
        <f t="shared" si="68"/>
        <v/>
      </c>
      <c r="H4032" s="81"/>
      <c r="I4032" s="63"/>
      <c r="J4032" s="34">
        <v>0</v>
      </c>
    </row>
    <row r="4033" spans="1:10" ht="15.75" hidden="1" thickBot="1" x14ac:dyDescent="0.3">
      <c r="A4033" s="248" t="s">
        <v>986</v>
      </c>
      <c r="B4033" s="251" t="s">
        <v>2836</v>
      </c>
      <c r="C4033" s="28"/>
      <c r="D4033" s="29" t="s">
        <v>28</v>
      </c>
      <c r="E4033" s="30"/>
      <c r="F4033" s="51" t="s">
        <v>23</v>
      </c>
      <c r="G4033" s="31" t="str">
        <f t="shared" si="68"/>
        <v/>
      </c>
      <c r="H4033" s="32"/>
      <c r="I4033" s="33"/>
      <c r="J4033" s="34">
        <v>0</v>
      </c>
    </row>
    <row r="4034" spans="1:10" ht="15.75" hidden="1" thickBot="1" x14ac:dyDescent="0.3">
      <c r="A4034" s="262"/>
      <c r="B4034" s="252"/>
      <c r="C4034" s="36"/>
      <c r="D4034" s="36"/>
      <c r="E4034" s="37"/>
      <c r="F4034" s="59" t="s">
        <v>23</v>
      </c>
      <c r="G4034" s="59" t="str">
        <f t="shared" si="68"/>
        <v/>
      </c>
      <c r="H4034" s="62"/>
      <c r="I4034" s="63"/>
      <c r="J4034" s="34">
        <v>0</v>
      </c>
    </row>
    <row r="4035" spans="1:10" ht="26.25" hidden="1" thickBot="1" x14ac:dyDescent="0.3">
      <c r="A4035" s="262"/>
      <c r="B4035" s="252"/>
      <c r="C4035" s="40" t="s">
        <v>4091</v>
      </c>
      <c r="D4035" s="40" t="s">
        <v>291</v>
      </c>
      <c r="E4035" s="41">
        <v>1</v>
      </c>
      <c r="F4035" s="59">
        <v>65.150999999999996</v>
      </c>
      <c r="G4035" s="59">
        <f t="shared" si="68"/>
        <v>65.150999999999996</v>
      </c>
      <c r="H4035" s="43">
        <f>SUM(G4035:G4040)</f>
        <v>79.642308549999996</v>
      </c>
      <c r="I4035" s="44"/>
      <c r="J4035" s="34">
        <v>0</v>
      </c>
    </row>
    <row r="4036" spans="1:10" ht="26.25" hidden="1" thickBot="1" x14ac:dyDescent="0.3">
      <c r="A4036" s="262"/>
      <c r="B4036" s="252"/>
      <c r="C4036" s="40" t="s">
        <v>4089</v>
      </c>
      <c r="D4036" s="40" t="s">
        <v>291</v>
      </c>
      <c r="E4036" s="41">
        <v>1.7600000000000001E-2</v>
      </c>
      <c r="F4036" s="59">
        <v>313.55699999999996</v>
      </c>
      <c r="G4036" s="59">
        <f t="shared" si="68"/>
        <v>5.5186031999999994</v>
      </c>
      <c r="H4036" s="62"/>
      <c r="I4036" s="63"/>
      <c r="J4036" s="34">
        <v>0</v>
      </c>
    </row>
    <row r="4037" spans="1:10" ht="15.75" hidden="1" thickBot="1" x14ac:dyDescent="0.3">
      <c r="A4037" s="262"/>
      <c r="B4037" s="252"/>
      <c r="C4037" s="40" t="s">
        <v>4498</v>
      </c>
      <c r="D4037" s="40" t="s">
        <v>291</v>
      </c>
      <c r="E4037" s="41">
        <v>7.7799999999999994E-2</v>
      </c>
      <c r="F4037" s="59">
        <v>2.1564999999999999</v>
      </c>
      <c r="G4037" s="59">
        <f t="shared" si="68"/>
        <v>0.16777569999999997</v>
      </c>
      <c r="H4037" s="62"/>
      <c r="I4037" s="63"/>
      <c r="J4037" s="34">
        <v>0</v>
      </c>
    </row>
    <row r="4038" spans="1:10" ht="26.25" hidden="1" thickBot="1" x14ac:dyDescent="0.3">
      <c r="A4038" s="262"/>
      <c r="B4038" s="252"/>
      <c r="C4038" s="40" t="s">
        <v>4090</v>
      </c>
      <c r="D4038" s="40" t="s">
        <v>291</v>
      </c>
      <c r="E4038" s="41">
        <v>4.4000000000000003E-3</v>
      </c>
      <c r="F4038" s="59">
        <v>57.484499999999997</v>
      </c>
      <c r="G4038" s="59">
        <f t="shared" si="68"/>
        <v>0.25293179999999998</v>
      </c>
      <c r="H4038" s="62"/>
      <c r="I4038" s="63"/>
      <c r="J4038" s="34">
        <v>0</v>
      </c>
    </row>
    <row r="4039" spans="1:10" ht="26.25" hidden="1" thickBot="1" x14ac:dyDescent="0.3">
      <c r="A4039" s="262"/>
      <c r="B4039" s="252"/>
      <c r="C4039" s="40" t="s">
        <v>4119</v>
      </c>
      <c r="D4039" s="40" t="s">
        <v>3752</v>
      </c>
      <c r="E4039" s="41">
        <v>0.1749</v>
      </c>
      <c r="F4039" s="59">
        <v>21.555499999999999</v>
      </c>
      <c r="G4039" s="59">
        <f t="shared" si="68"/>
        <v>3.7700569499999999</v>
      </c>
      <c r="H4039" s="62"/>
      <c r="I4039" s="63"/>
      <c r="J4039" s="34">
        <v>0</v>
      </c>
    </row>
    <row r="4040" spans="1:10" ht="26.25" hidden="1" thickBot="1" x14ac:dyDescent="0.3">
      <c r="A4040" s="262"/>
      <c r="B4040" s="252"/>
      <c r="C4040" s="40" t="s">
        <v>4110</v>
      </c>
      <c r="D4040" s="40" t="s">
        <v>3752</v>
      </c>
      <c r="E4040" s="41">
        <v>0.1749</v>
      </c>
      <c r="F4040" s="59">
        <v>27.341000000000001</v>
      </c>
      <c r="G4040" s="59">
        <f t="shared" si="68"/>
        <v>4.7819409000000004</v>
      </c>
      <c r="H4040" s="62"/>
      <c r="I4040" s="63"/>
      <c r="J4040" s="34">
        <v>0</v>
      </c>
    </row>
    <row r="4041" spans="1:10" ht="15.75" hidden="1" thickBot="1" x14ac:dyDescent="0.3">
      <c r="A4041" s="263"/>
      <c r="B4041" s="253"/>
      <c r="C4041" s="60"/>
      <c r="D4041" s="60"/>
      <c r="E4041" s="79"/>
      <c r="F4041" s="80" t="s">
        <v>23</v>
      </c>
      <c r="G4041" s="80" t="str">
        <f t="shared" si="68"/>
        <v/>
      </c>
      <c r="H4041" s="81"/>
      <c r="I4041" s="63"/>
      <c r="J4041" s="34">
        <v>0</v>
      </c>
    </row>
    <row r="4042" spans="1:10" ht="15.75" hidden="1" thickBot="1" x14ac:dyDescent="0.3">
      <c r="A4042" s="248" t="s">
        <v>987</v>
      </c>
      <c r="B4042" s="251" t="s">
        <v>2837</v>
      </c>
      <c r="C4042" s="28"/>
      <c r="D4042" s="29" t="s">
        <v>28</v>
      </c>
      <c r="E4042" s="30"/>
      <c r="F4042" s="51" t="s">
        <v>23</v>
      </c>
      <c r="G4042" s="31" t="str">
        <f t="shared" si="68"/>
        <v/>
      </c>
      <c r="H4042" s="32"/>
      <c r="I4042" s="33"/>
      <c r="J4042" s="34">
        <v>0</v>
      </c>
    </row>
    <row r="4043" spans="1:10" ht="15.75" hidden="1" thickBot="1" x14ac:dyDescent="0.3">
      <c r="A4043" s="262"/>
      <c r="B4043" s="252"/>
      <c r="C4043" s="36"/>
      <c r="D4043" s="36"/>
      <c r="E4043" s="37"/>
      <c r="F4043" s="59" t="s">
        <v>23</v>
      </c>
      <c r="G4043" s="59" t="str">
        <f t="shared" si="68"/>
        <v/>
      </c>
      <c r="H4043" s="62"/>
      <c r="I4043" s="63"/>
      <c r="J4043" s="34">
        <v>0</v>
      </c>
    </row>
    <row r="4044" spans="1:10" ht="26.25" hidden="1" thickBot="1" x14ac:dyDescent="0.3">
      <c r="A4044" s="262"/>
      <c r="B4044" s="252"/>
      <c r="C4044" s="40" t="s">
        <v>4092</v>
      </c>
      <c r="D4044" s="40" t="s">
        <v>291</v>
      </c>
      <c r="E4044" s="41">
        <v>1</v>
      </c>
      <c r="F4044" s="59">
        <v>12.5685</v>
      </c>
      <c r="G4044" s="59">
        <f t="shared" si="68"/>
        <v>12.5685</v>
      </c>
      <c r="H4044" s="43">
        <f>SUM(G4044:G4049)</f>
        <v>18.57952525</v>
      </c>
      <c r="I4044" s="44"/>
      <c r="J4044" s="34">
        <v>0</v>
      </c>
    </row>
    <row r="4045" spans="1:10" ht="26.25" hidden="1" thickBot="1" x14ac:dyDescent="0.3">
      <c r="A4045" s="262"/>
      <c r="B4045" s="252"/>
      <c r="C4045" s="40" t="s">
        <v>4089</v>
      </c>
      <c r="D4045" s="40" t="s">
        <v>291</v>
      </c>
      <c r="E4045" s="41">
        <v>4.7999999999999996E-3</v>
      </c>
      <c r="F4045" s="59">
        <v>313.55699999999996</v>
      </c>
      <c r="G4045" s="59">
        <f t="shared" si="68"/>
        <v>1.5050735999999996</v>
      </c>
      <c r="H4045" s="62"/>
      <c r="I4045" s="63"/>
      <c r="J4045" s="34">
        <v>0</v>
      </c>
    </row>
    <row r="4046" spans="1:10" ht="15.75" hidden="1" thickBot="1" x14ac:dyDescent="0.3">
      <c r="A4046" s="262"/>
      <c r="B4046" s="252"/>
      <c r="C4046" s="40" t="s">
        <v>4498</v>
      </c>
      <c r="D4046" s="40" t="s">
        <v>291</v>
      </c>
      <c r="E4046" s="41">
        <v>3.95E-2</v>
      </c>
      <c r="F4046" s="59">
        <v>2.1564999999999999</v>
      </c>
      <c r="G4046" s="59">
        <f t="shared" si="68"/>
        <v>8.5181750000000001E-2</v>
      </c>
      <c r="H4046" s="62"/>
      <c r="I4046" s="63"/>
      <c r="J4046" s="34">
        <v>0</v>
      </c>
    </row>
    <row r="4047" spans="1:10" ht="26.25" hidden="1" thickBot="1" x14ac:dyDescent="0.3">
      <c r="A4047" s="262"/>
      <c r="B4047" s="252"/>
      <c r="C4047" s="40" t="s">
        <v>4090</v>
      </c>
      <c r="D4047" s="40" t="s">
        <v>291</v>
      </c>
      <c r="E4047" s="41">
        <v>1.1999999999999999E-3</v>
      </c>
      <c r="F4047" s="59">
        <v>57.484499999999997</v>
      </c>
      <c r="G4047" s="59">
        <f t="shared" si="68"/>
        <v>6.8981399999999984E-2</v>
      </c>
      <c r="H4047" s="62"/>
      <c r="I4047" s="63"/>
      <c r="J4047" s="34">
        <v>0</v>
      </c>
    </row>
    <row r="4048" spans="1:10" ht="26.25" hidden="1" thickBot="1" x14ac:dyDescent="0.3">
      <c r="A4048" s="262"/>
      <c r="B4048" s="252"/>
      <c r="C4048" s="40" t="s">
        <v>4119</v>
      </c>
      <c r="D4048" s="40" t="s">
        <v>3752</v>
      </c>
      <c r="E4048" s="41">
        <v>8.8999999999999996E-2</v>
      </c>
      <c r="F4048" s="59">
        <v>21.555499999999999</v>
      </c>
      <c r="G4048" s="59">
        <f t="shared" ref="G4048:G4111" si="69">IF(ISNUMBER(F4048),E4048*F4048,"")</f>
        <v>1.9184394999999999</v>
      </c>
      <c r="H4048" s="62"/>
      <c r="I4048" s="63"/>
      <c r="J4048" s="34">
        <v>0</v>
      </c>
    </row>
    <row r="4049" spans="1:10" ht="26.25" hidden="1" thickBot="1" x14ac:dyDescent="0.3">
      <c r="A4049" s="262"/>
      <c r="B4049" s="252"/>
      <c r="C4049" s="40" t="s">
        <v>4110</v>
      </c>
      <c r="D4049" s="40" t="s">
        <v>3752</v>
      </c>
      <c r="E4049" s="41">
        <v>8.8999999999999996E-2</v>
      </c>
      <c r="F4049" s="59">
        <v>27.341000000000001</v>
      </c>
      <c r="G4049" s="59">
        <f t="shared" si="69"/>
        <v>2.4333489999999998</v>
      </c>
      <c r="H4049" s="62"/>
      <c r="I4049" s="63"/>
      <c r="J4049" s="34">
        <v>0</v>
      </c>
    </row>
    <row r="4050" spans="1:10" ht="15.75" hidden="1" thickBot="1" x14ac:dyDescent="0.3">
      <c r="A4050" s="263"/>
      <c r="B4050" s="253"/>
      <c r="C4050" s="60"/>
      <c r="D4050" s="60"/>
      <c r="E4050" s="79"/>
      <c r="F4050" s="80" t="s">
        <v>23</v>
      </c>
      <c r="G4050" s="80" t="str">
        <f t="shared" si="69"/>
        <v/>
      </c>
      <c r="H4050" s="81"/>
      <c r="I4050" s="63"/>
      <c r="J4050" s="34">
        <v>0</v>
      </c>
    </row>
    <row r="4051" spans="1:10" ht="15.75" hidden="1" thickBot="1" x14ac:dyDescent="0.3">
      <c r="A4051" s="248" t="s">
        <v>988</v>
      </c>
      <c r="B4051" s="251" t="s">
        <v>2838</v>
      </c>
      <c r="C4051" s="28"/>
      <c r="D4051" s="29" t="s">
        <v>28</v>
      </c>
      <c r="E4051" s="30"/>
      <c r="F4051" s="51" t="s">
        <v>23</v>
      </c>
      <c r="G4051" s="31" t="str">
        <f t="shared" si="69"/>
        <v/>
      </c>
      <c r="H4051" s="32"/>
      <c r="I4051" s="33"/>
      <c r="J4051" s="34">
        <v>0</v>
      </c>
    </row>
    <row r="4052" spans="1:10" ht="15.75" hidden="1" thickBot="1" x14ac:dyDescent="0.3">
      <c r="A4052" s="262"/>
      <c r="B4052" s="252"/>
      <c r="C4052" s="36"/>
      <c r="D4052" s="36"/>
      <c r="E4052" s="37"/>
      <c r="F4052" s="59" t="s">
        <v>23</v>
      </c>
      <c r="G4052" s="59" t="str">
        <f t="shared" si="69"/>
        <v/>
      </c>
      <c r="H4052" s="62"/>
      <c r="I4052" s="63"/>
      <c r="J4052" s="34">
        <v>0</v>
      </c>
    </row>
    <row r="4053" spans="1:10" ht="26.25" hidden="1" thickBot="1" x14ac:dyDescent="0.3">
      <c r="A4053" s="262"/>
      <c r="B4053" s="252"/>
      <c r="C4053" s="40" t="s">
        <v>4093</v>
      </c>
      <c r="D4053" s="40" t="s">
        <v>291</v>
      </c>
      <c r="E4053" s="41">
        <v>1</v>
      </c>
      <c r="F4053" s="59">
        <v>26.372</v>
      </c>
      <c r="G4053" s="59">
        <f t="shared" si="69"/>
        <v>26.372</v>
      </c>
      <c r="H4053" s="43">
        <f>SUM(G4053:G4058)</f>
        <v>33.988876750000003</v>
      </c>
      <c r="I4053" s="44"/>
      <c r="J4053" s="34">
        <v>0</v>
      </c>
    </row>
    <row r="4054" spans="1:10" ht="26.25" hidden="1" thickBot="1" x14ac:dyDescent="0.3">
      <c r="A4054" s="262"/>
      <c r="B4054" s="252"/>
      <c r="C4054" s="40" t="s">
        <v>4089</v>
      </c>
      <c r="D4054" s="40" t="s">
        <v>291</v>
      </c>
      <c r="E4054" s="41">
        <v>8.3999999999999995E-3</v>
      </c>
      <c r="F4054" s="59">
        <v>313.55699999999996</v>
      </c>
      <c r="G4054" s="59">
        <f t="shared" si="69"/>
        <v>2.6338787999999993</v>
      </c>
      <c r="H4054" s="62"/>
      <c r="I4054" s="63"/>
      <c r="J4054" s="34">
        <v>0</v>
      </c>
    </row>
    <row r="4055" spans="1:10" ht="15.75" hidden="1" thickBot="1" x14ac:dyDescent="0.3">
      <c r="A4055" s="262"/>
      <c r="B4055" s="252"/>
      <c r="C4055" s="40" t="s">
        <v>4498</v>
      </c>
      <c r="D4055" s="40" t="s">
        <v>291</v>
      </c>
      <c r="E4055" s="41">
        <v>6.4399999999999999E-2</v>
      </c>
      <c r="F4055" s="59">
        <v>2.1564999999999999</v>
      </c>
      <c r="G4055" s="59">
        <f t="shared" si="69"/>
        <v>0.13887859999999999</v>
      </c>
      <c r="H4055" s="62"/>
      <c r="I4055" s="63"/>
      <c r="J4055" s="34">
        <v>0</v>
      </c>
    </row>
    <row r="4056" spans="1:10" ht="26.25" hidden="1" thickBot="1" x14ac:dyDescent="0.3">
      <c r="A4056" s="262"/>
      <c r="B4056" s="252"/>
      <c r="C4056" s="40" t="s">
        <v>4090</v>
      </c>
      <c r="D4056" s="40" t="s">
        <v>291</v>
      </c>
      <c r="E4056" s="41">
        <v>2.0999999999999999E-3</v>
      </c>
      <c r="F4056" s="59">
        <v>57.484499999999997</v>
      </c>
      <c r="G4056" s="59">
        <f t="shared" si="69"/>
        <v>0.12071744999999999</v>
      </c>
      <c r="H4056" s="62"/>
      <c r="I4056" s="63"/>
      <c r="J4056" s="34">
        <v>0</v>
      </c>
    </row>
    <row r="4057" spans="1:10" ht="26.25" hidden="1" thickBot="1" x14ac:dyDescent="0.3">
      <c r="A4057" s="262"/>
      <c r="B4057" s="252"/>
      <c r="C4057" s="40" t="s">
        <v>4119</v>
      </c>
      <c r="D4057" s="40" t="s">
        <v>3752</v>
      </c>
      <c r="E4057" s="41">
        <v>9.6600000000000005E-2</v>
      </c>
      <c r="F4057" s="59">
        <v>21.555499999999999</v>
      </c>
      <c r="G4057" s="59">
        <f t="shared" si="69"/>
        <v>2.0822612999999999</v>
      </c>
      <c r="H4057" s="62"/>
      <c r="I4057" s="63"/>
      <c r="J4057" s="34">
        <v>0</v>
      </c>
    </row>
    <row r="4058" spans="1:10" ht="26.25" hidden="1" thickBot="1" x14ac:dyDescent="0.3">
      <c r="A4058" s="262"/>
      <c r="B4058" s="252"/>
      <c r="C4058" s="40" t="s">
        <v>4110</v>
      </c>
      <c r="D4058" s="40" t="s">
        <v>3752</v>
      </c>
      <c r="E4058" s="41">
        <v>9.6600000000000005E-2</v>
      </c>
      <c r="F4058" s="59">
        <v>27.341000000000001</v>
      </c>
      <c r="G4058" s="59">
        <f t="shared" si="69"/>
        <v>2.6411406000000004</v>
      </c>
      <c r="H4058" s="62"/>
      <c r="I4058" s="63"/>
      <c r="J4058" s="34">
        <v>0</v>
      </c>
    </row>
    <row r="4059" spans="1:10" ht="15.75" hidden="1" thickBot="1" x14ac:dyDescent="0.3">
      <c r="A4059" s="263"/>
      <c r="B4059" s="253"/>
      <c r="C4059" s="60"/>
      <c r="D4059" s="60"/>
      <c r="E4059" s="79"/>
      <c r="F4059" s="80" t="s">
        <v>23</v>
      </c>
      <c r="G4059" s="80" t="str">
        <f t="shared" si="69"/>
        <v/>
      </c>
      <c r="H4059" s="81"/>
      <c r="I4059" s="63"/>
      <c r="J4059" s="34">
        <v>0</v>
      </c>
    </row>
    <row r="4060" spans="1:10" ht="15.75" hidden="1" thickBot="1" x14ac:dyDescent="0.3">
      <c r="A4060" s="248" t="s">
        <v>989</v>
      </c>
      <c r="B4060" s="251" t="s">
        <v>2839</v>
      </c>
      <c r="C4060" s="28"/>
      <c r="D4060" s="29" t="s">
        <v>28</v>
      </c>
      <c r="E4060" s="30"/>
      <c r="F4060" s="51" t="s">
        <v>23</v>
      </c>
      <c r="G4060" s="31" t="str">
        <f t="shared" si="69"/>
        <v/>
      </c>
      <c r="H4060" s="32"/>
      <c r="I4060" s="33"/>
      <c r="J4060" s="34">
        <v>0</v>
      </c>
    </row>
    <row r="4061" spans="1:10" ht="15.75" hidden="1" thickBot="1" x14ac:dyDescent="0.3">
      <c r="A4061" s="262"/>
      <c r="B4061" s="252"/>
      <c r="C4061" s="36"/>
      <c r="D4061" s="36"/>
      <c r="E4061" s="37"/>
      <c r="F4061" s="59" t="s">
        <v>23</v>
      </c>
      <c r="G4061" s="59" t="str">
        <f t="shared" si="69"/>
        <v/>
      </c>
      <c r="H4061" s="62"/>
      <c r="I4061" s="63"/>
      <c r="J4061" s="34">
        <v>0</v>
      </c>
    </row>
    <row r="4062" spans="1:10" ht="26.25" hidden="1" thickBot="1" x14ac:dyDescent="0.3">
      <c r="A4062" s="262"/>
      <c r="B4062" s="252"/>
      <c r="C4062" s="40" t="s">
        <v>4094</v>
      </c>
      <c r="D4062" s="40" t="s">
        <v>291</v>
      </c>
      <c r="E4062" s="41">
        <v>1</v>
      </c>
      <c r="F4062" s="59">
        <v>33.44</v>
      </c>
      <c r="G4062" s="59">
        <f t="shared" si="69"/>
        <v>33.44</v>
      </c>
      <c r="H4062" s="43">
        <f>SUM(G4062:G4067)</f>
        <v>45.080642599999997</v>
      </c>
      <c r="I4062" s="44"/>
      <c r="J4062" s="34">
        <v>0</v>
      </c>
    </row>
    <row r="4063" spans="1:10" ht="26.25" hidden="1" thickBot="1" x14ac:dyDescent="0.3">
      <c r="A4063" s="262"/>
      <c r="B4063" s="252"/>
      <c r="C4063" s="40" t="s">
        <v>4089</v>
      </c>
      <c r="D4063" s="40" t="s">
        <v>291</v>
      </c>
      <c r="E4063" s="41">
        <v>1.7600000000000001E-2</v>
      </c>
      <c r="F4063" s="59">
        <v>313.55699999999996</v>
      </c>
      <c r="G4063" s="59">
        <f t="shared" si="69"/>
        <v>5.5186031999999994</v>
      </c>
      <c r="H4063" s="62"/>
      <c r="I4063" s="63"/>
      <c r="J4063" s="34">
        <v>0</v>
      </c>
    </row>
    <row r="4064" spans="1:10" ht="15.75" hidden="1" thickBot="1" x14ac:dyDescent="0.3">
      <c r="A4064" s="262"/>
      <c r="B4064" s="252"/>
      <c r="C4064" s="40" t="s">
        <v>4498</v>
      </c>
      <c r="D4064" s="40" t="s">
        <v>291</v>
      </c>
      <c r="E4064" s="41">
        <v>7.7799999999999994E-2</v>
      </c>
      <c r="F4064" s="59">
        <v>2.1564999999999999</v>
      </c>
      <c r="G4064" s="59">
        <f t="shared" si="69"/>
        <v>0.16777569999999997</v>
      </c>
      <c r="H4064" s="62"/>
      <c r="I4064" s="63"/>
      <c r="J4064" s="34">
        <v>0</v>
      </c>
    </row>
    <row r="4065" spans="1:10" ht="26.25" hidden="1" thickBot="1" x14ac:dyDescent="0.3">
      <c r="A4065" s="262"/>
      <c r="B4065" s="252"/>
      <c r="C4065" s="40" t="s">
        <v>4090</v>
      </c>
      <c r="D4065" s="40" t="s">
        <v>291</v>
      </c>
      <c r="E4065" s="41">
        <v>4.4000000000000003E-3</v>
      </c>
      <c r="F4065" s="59">
        <v>57.484499999999997</v>
      </c>
      <c r="G4065" s="59">
        <f t="shared" si="69"/>
        <v>0.25293179999999998</v>
      </c>
      <c r="H4065" s="62"/>
      <c r="I4065" s="63"/>
      <c r="J4065" s="34">
        <v>0</v>
      </c>
    </row>
    <row r="4066" spans="1:10" ht="26.25" hidden="1" thickBot="1" x14ac:dyDescent="0.3">
      <c r="A4066" s="262"/>
      <c r="B4066" s="252"/>
      <c r="C4066" s="40" t="s">
        <v>4119</v>
      </c>
      <c r="D4066" s="40" t="s">
        <v>3752</v>
      </c>
      <c r="E4066" s="41">
        <v>0.1166</v>
      </c>
      <c r="F4066" s="59">
        <v>21.555499999999999</v>
      </c>
      <c r="G4066" s="59">
        <f t="shared" si="69"/>
        <v>2.5133712999999998</v>
      </c>
      <c r="H4066" s="62"/>
      <c r="I4066" s="63"/>
      <c r="J4066" s="34">
        <v>0</v>
      </c>
    </row>
    <row r="4067" spans="1:10" ht="26.25" hidden="1" thickBot="1" x14ac:dyDescent="0.3">
      <c r="A4067" s="262"/>
      <c r="B4067" s="252"/>
      <c r="C4067" s="40" t="s">
        <v>4110</v>
      </c>
      <c r="D4067" s="40" t="s">
        <v>3752</v>
      </c>
      <c r="E4067" s="41">
        <v>0.1166</v>
      </c>
      <c r="F4067" s="59">
        <v>27.341000000000001</v>
      </c>
      <c r="G4067" s="59">
        <f t="shared" si="69"/>
        <v>3.1879605999999998</v>
      </c>
      <c r="H4067" s="62"/>
      <c r="I4067" s="63"/>
      <c r="J4067" s="34">
        <v>0</v>
      </c>
    </row>
    <row r="4068" spans="1:10" ht="15.75" hidden="1" thickBot="1" x14ac:dyDescent="0.3">
      <c r="A4068" s="263"/>
      <c r="B4068" s="253"/>
      <c r="C4068" s="60"/>
      <c r="D4068" s="60"/>
      <c r="E4068" s="79"/>
      <c r="F4068" s="80" t="s">
        <v>23</v>
      </c>
      <c r="G4068" s="80" t="str">
        <f t="shared" si="69"/>
        <v/>
      </c>
      <c r="H4068" s="81"/>
      <c r="I4068" s="63"/>
      <c r="J4068" s="34">
        <v>0</v>
      </c>
    </row>
    <row r="4069" spans="1:10" ht="15.75" hidden="1" thickBot="1" x14ac:dyDescent="0.3">
      <c r="A4069" s="248" t="s">
        <v>990</v>
      </c>
      <c r="B4069" s="251" t="s">
        <v>2840</v>
      </c>
      <c r="C4069" s="28"/>
      <c r="D4069" s="29" t="s">
        <v>28</v>
      </c>
      <c r="E4069" s="30"/>
      <c r="F4069" s="51" t="s">
        <v>23</v>
      </c>
      <c r="G4069" s="31" t="str">
        <f t="shared" si="69"/>
        <v/>
      </c>
      <c r="H4069" s="32"/>
      <c r="I4069" s="33"/>
      <c r="J4069" s="34">
        <v>0</v>
      </c>
    </row>
    <row r="4070" spans="1:10" ht="15.75" hidden="1" thickBot="1" x14ac:dyDescent="0.3">
      <c r="A4070" s="262"/>
      <c r="B4070" s="252"/>
      <c r="C4070" s="36"/>
      <c r="D4070" s="36"/>
      <c r="E4070" s="37"/>
      <c r="F4070" s="59" t="s">
        <v>23</v>
      </c>
      <c r="G4070" s="59" t="str">
        <f t="shared" si="69"/>
        <v/>
      </c>
      <c r="H4070" s="62"/>
      <c r="I4070" s="63"/>
      <c r="J4070" s="34">
        <v>0</v>
      </c>
    </row>
    <row r="4071" spans="1:10" ht="26.25" hidden="1" thickBot="1" x14ac:dyDescent="0.3">
      <c r="A4071" s="262"/>
      <c r="B4071" s="252"/>
      <c r="C4071" s="40" t="s">
        <v>4095</v>
      </c>
      <c r="D4071" s="40" t="s">
        <v>291</v>
      </c>
      <c r="E4071" s="41">
        <v>1</v>
      </c>
      <c r="F4071" s="59">
        <v>5.9564999999999992</v>
      </c>
      <c r="G4071" s="59">
        <f t="shared" si="69"/>
        <v>5.9564999999999992</v>
      </c>
      <c r="H4071" s="43">
        <f>SUM(G4071:G4076)</f>
        <v>10.515299199999999</v>
      </c>
      <c r="I4071" s="44"/>
      <c r="J4071" s="34">
        <v>0</v>
      </c>
    </row>
    <row r="4072" spans="1:10" ht="26.25" hidden="1" thickBot="1" x14ac:dyDescent="0.3">
      <c r="A4072" s="262"/>
      <c r="B4072" s="252"/>
      <c r="C4072" s="40" t="s">
        <v>4089</v>
      </c>
      <c r="D4072" s="40" t="s">
        <v>291</v>
      </c>
      <c r="E4072" s="41">
        <v>4.7999999999999996E-3</v>
      </c>
      <c r="F4072" s="59">
        <v>313.55699999999996</v>
      </c>
      <c r="G4072" s="59">
        <f t="shared" si="69"/>
        <v>1.5050735999999996</v>
      </c>
      <c r="H4072" s="62"/>
      <c r="I4072" s="63"/>
      <c r="J4072" s="34">
        <v>0</v>
      </c>
    </row>
    <row r="4073" spans="1:10" ht="15.75" hidden="1" thickBot="1" x14ac:dyDescent="0.3">
      <c r="A4073" s="262"/>
      <c r="B4073" s="252"/>
      <c r="C4073" s="40" t="s">
        <v>4498</v>
      </c>
      <c r="D4073" s="40" t="s">
        <v>291</v>
      </c>
      <c r="E4073" s="41">
        <v>3.95E-2</v>
      </c>
      <c r="F4073" s="59">
        <v>2.1564999999999999</v>
      </c>
      <c r="G4073" s="59">
        <f t="shared" si="69"/>
        <v>8.5181750000000001E-2</v>
      </c>
      <c r="H4073" s="62"/>
      <c r="I4073" s="63"/>
      <c r="J4073" s="34">
        <v>0</v>
      </c>
    </row>
    <row r="4074" spans="1:10" ht="26.25" hidden="1" thickBot="1" x14ac:dyDescent="0.3">
      <c r="A4074" s="262"/>
      <c r="B4074" s="252"/>
      <c r="C4074" s="40" t="s">
        <v>4090</v>
      </c>
      <c r="D4074" s="40" t="s">
        <v>291</v>
      </c>
      <c r="E4074" s="41">
        <v>1.1999999999999999E-3</v>
      </c>
      <c r="F4074" s="59">
        <v>57.484499999999997</v>
      </c>
      <c r="G4074" s="59">
        <f t="shared" si="69"/>
        <v>6.8981399999999984E-2</v>
      </c>
      <c r="H4074" s="62"/>
      <c r="I4074" s="63"/>
      <c r="J4074" s="34">
        <v>0</v>
      </c>
    </row>
    <row r="4075" spans="1:10" ht="26.25" hidden="1" thickBot="1" x14ac:dyDescent="0.3">
      <c r="A4075" s="262"/>
      <c r="B4075" s="252"/>
      <c r="C4075" s="40" t="s">
        <v>4119</v>
      </c>
      <c r="D4075" s="40" t="s">
        <v>3752</v>
      </c>
      <c r="E4075" s="41">
        <v>5.9299999999999999E-2</v>
      </c>
      <c r="F4075" s="59">
        <v>21.555499999999999</v>
      </c>
      <c r="G4075" s="59">
        <f t="shared" si="69"/>
        <v>1.2782411499999999</v>
      </c>
      <c r="H4075" s="62"/>
      <c r="I4075" s="63"/>
      <c r="J4075" s="34">
        <v>0</v>
      </c>
    </row>
    <row r="4076" spans="1:10" ht="26.25" hidden="1" thickBot="1" x14ac:dyDescent="0.3">
      <c r="A4076" s="262"/>
      <c r="B4076" s="252"/>
      <c r="C4076" s="40" t="s">
        <v>4110</v>
      </c>
      <c r="D4076" s="40" t="s">
        <v>3752</v>
      </c>
      <c r="E4076" s="41">
        <v>5.9299999999999999E-2</v>
      </c>
      <c r="F4076" s="59">
        <v>27.341000000000001</v>
      </c>
      <c r="G4076" s="59">
        <f t="shared" si="69"/>
        <v>1.6213213</v>
      </c>
      <c r="H4076" s="62"/>
      <c r="I4076" s="63"/>
      <c r="J4076" s="34">
        <v>0</v>
      </c>
    </row>
    <row r="4077" spans="1:10" ht="15.75" hidden="1" thickBot="1" x14ac:dyDescent="0.3">
      <c r="A4077" s="263"/>
      <c r="B4077" s="253"/>
      <c r="C4077" s="60"/>
      <c r="D4077" s="60"/>
      <c r="E4077" s="79"/>
      <c r="F4077" s="80" t="s">
        <v>23</v>
      </c>
      <c r="G4077" s="80" t="str">
        <f t="shared" si="69"/>
        <v/>
      </c>
      <c r="H4077" s="81"/>
      <c r="I4077" s="63"/>
      <c r="J4077" s="34">
        <v>0</v>
      </c>
    </row>
    <row r="4078" spans="1:10" ht="15.75" hidden="1" thickBot="1" x14ac:dyDescent="0.3">
      <c r="A4078" s="248" t="s">
        <v>991</v>
      </c>
      <c r="B4078" s="251" t="s">
        <v>2841</v>
      </c>
      <c r="C4078" s="28"/>
      <c r="D4078" s="29" t="s">
        <v>121</v>
      </c>
      <c r="E4078" s="30"/>
      <c r="F4078" s="51" t="s">
        <v>23</v>
      </c>
      <c r="G4078" s="31" t="str">
        <f t="shared" si="69"/>
        <v/>
      </c>
      <c r="H4078" s="32"/>
      <c r="I4078" s="33"/>
      <c r="J4078" s="34">
        <v>0</v>
      </c>
    </row>
    <row r="4079" spans="1:10" ht="15.75" hidden="1" thickBot="1" x14ac:dyDescent="0.3">
      <c r="A4079" s="262"/>
      <c r="B4079" s="252"/>
      <c r="C4079" s="36"/>
      <c r="D4079" s="36"/>
      <c r="E4079" s="37"/>
      <c r="F4079" s="59" t="s">
        <v>23</v>
      </c>
      <c r="G4079" s="59" t="str">
        <f t="shared" si="69"/>
        <v/>
      </c>
      <c r="H4079" s="62"/>
      <c r="I4079" s="63"/>
      <c r="J4079" s="34">
        <v>0</v>
      </c>
    </row>
    <row r="4080" spans="1:10" ht="39" hidden="1" thickBot="1" x14ac:dyDescent="0.3">
      <c r="A4080" s="262"/>
      <c r="B4080" s="252"/>
      <c r="C4080" s="40" t="s">
        <v>4096</v>
      </c>
      <c r="D4080" s="40" t="s">
        <v>1286</v>
      </c>
      <c r="E4080" s="41">
        <v>1.0225</v>
      </c>
      <c r="F4080" s="59">
        <v>159.6285</v>
      </c>
      <c r="G4080" s="59">
        <f t="shared" si="69"/>
        <v>163.22014124999998</v>
      </c>
      <c r="H4080" s="43">
        <f>SUM(G4080:G4082)</f>
        <v>166.71624099999997</v>
      </c>
      <c r="I4080" s="44"/>
      <c r="J4080" s="34">
        <v>0</v>
      </c>
    </row>
    <row r="4081" spans="1:10" ht="26.25" hidden="1" thickBot="1" x14ac:dyDescent="0.3">
      <c r="A4081" s="262"/>
      <c r="B4081" s="252"/>
      <c r="C4081" s="40" t="s">
        <v>4119</v>
      </c>
      <c r="D4081" s="40" t="s">
        <v>3752</v>
      </c>
      <c r="E4081" s="41">
        <v>7.1499999999999994E-2</v>
      </c>
      <c r="F4081" s="59">
        <v>21.555499999999999</v>
      </c>
      <c r="G4081" s="59">
        <f t="shared" si="69"/>
        <v>1.5412182499999998</v>
      </c>
      <c r="H4081" s="62"/>
      <c r="I4081" s="63"/>
      <c r="J4081" s="34">
        <v>0</v>
      </c>
    </row>
    <row r="4082" spans="1:10" ht="26.25" hidden="1" thickBot="1" x14ac:dyDescent="0.3">
      <c r="A4082" s="262"/>
      <c r="B4082" s="252"/>
      <c r="C4082" s="40" t="s">
        <v>4110</v>
      </c>
      <c r="D4082" s="40" t="s">
        <v>3752</v>
      </c>
      <c r="E4082" s="41">
        <v>7.1499999999999994E-2</v>
      </c>
      <c r="F4082" s="59">
        <v>27.341000000000001</v>
      </c>
      <c r="G4082" s="59">
        <f t="shared" si="69"/>
        <v>1.9548814999999999</v>
      </c>
      <c r="H4082" s="62"/>
      <c r="I4082" s="63"/>
      <c r="J4082" s="34">
        <v>0</v>
      </c>
    </row>
    <row r="4083" spans="1:10" ht="15.75" hidden="1" thickBot="1" x14ac:dyDescent="0.3">
      <c r="A4083" s="262"/>
      <c r="B4083" s="252"/>
      <c r="C4083" s="60"/>
      <c r="D4083" s="60"/>
      <c r="E4083" s="79"/>
      <c r="F4083" s="80" t="s">
        <v>23</v>
      </c>
      <c r="G4083" s="80" t="str">
        <f t="shared" si="69"/>
        <v/>
      </c>
      <c r="H4083" s="81"/>
      <c r="I4083" s="63"/>
      <c r="J4083" s="34">
        <v>0</v>
      </c>
    </row>
    <row r="4084" spans="1:10" ht="15.75" hidden="1" thickBot="1" x14ac:dyDescent="0.3">
      <c r="A4084" s="248" t="s">
        <v>992</v>
      </c>
      <c r="B4084" s="251" t="s">
        <v>2842</v>
      </c>
      <c r="C4084" s="28"/>
      <c r="D4084" s="29" t="s">
        <v>121</v>
      </c>
      <c r="E4084" s="30"/>
      <c r="F4084" s="51" t="s">
        <v>23</v>
      </c>
      <c r="G4084" s="31" t="str">
        <f t="shared" si="69"/>
        <v/>
      </c>
      <c r="H4084" s="32"/>
      <c r="I4084" s="33"/>
      <c r="J4084" s="34">
        <v>0</v>
      </c>
    </row>
    <row r="4085" spans="1:10" ht="15.75" hidden="1" thickBot="1" x14ac:dyDescent="0.3">
      <c r="A4085" s="262"/>
      <c r="B4085" s="252"/>
      <c r="C4085" s="36"/>
      <c r="D4085" s="36"/>
      <c r="E4085" s="37"/>
      <c r="F4085" s="59" t="s">
        <v>23</v>
      </c>
      <c r="G4085" s="59" t="str">
        <f t="shared" si="69"/>
        <v/>
      </c>
      <c r="H4085" s="62"/>
      <c r="I4085" s="63"/>
      <c r="J4085" s="34">
        <v>0</v>
      </c>
    </row>
    <row r="4086" spans="1:10" ht="39" hidden="1" thickBot="1" x14ac:dyDescent="0.3">
      <c r="A4086" s="262"/>
      <c r="B4086" s="252"/>
      <c r="C4086" s="40" t="s">
        <v>4097</v>
      </c>
      <c r="D4086" s="40" t="s">
        <v>1286</v>
      </c>
      <c r="E4086" s="41">
        <v>1.0225</v>
      </c>
      <c r="F4086" s="59">
        <v>192.05199999999999</v>
      </c>
      <c r="G4086" s="59">
        <f t="shared" si="69"/>
        <v>196.37316999999999</v>
      </c>
      <c r="H4086" s="43">
        <f>SUM(G4086:G4088)</f>
        <v>200.59782759999999</v>
      </c>
      <c r="I4086" s="44"/>
      <c r="J4086" s="34">
        <v>0</v>
      </c>
    </row>
    <row r="4087" spans="1:10" ht="26.25" hidden="1" thickBot="1" x14ac:dyDescent="0.3">
      <c r="A4087" s="262"/>
      <c r="B4087" s="252"/>
      <c r="C4087" s="40" t="s">
        <v>4119</v>
      </c>
      <c r="D4087" s="40" t="s">
        <v>3752</v>
      </c>
      <c r="E4087" s="41">
        <v>8.6400000000000005E-2</v>
      </c>
      <c r="F4087" s="59">
        <v>21.555499999999999</v>
      </c>
      <c r="G4087" s="59">
        <f t="shared" si="69"/>
        <v>1.8623951999999999</v>
      </c>
      <c r="H4087" s="62"/>
      <c r="I4087" s="63"/>
      <c r="J4087" s="34">
        <v>0</v>
      </c>
    </row>
    <row r="4088" spans="1:10" ht="26.25" hidden="1" thickBot="1" x14ac:dyDescent="0.3">
      <c r="A4088" s="262"/>
      <c r="B4088" s="252"/>
      <c r="C4088" s="40" t="s">
        <v>4110</v>
      </c>
      <c r="D4088" s="40" t="s">
        <v>3752</v>
      </c>
      <c r="E4088" s="41">
        <v>8.6400000000000005E-2</v>
      </c>
      <c r="F4088" s="59">
        <v>27.341000000000001</v>
      </c>
      <c r="G4088" s="59">
        <f t="shared" si="69"/>
        <v>2.3622624000000001</v>
      </c>
      <c r="H4088" s="62"/>
      <c r="I4088" s="63"/>
      <c r="J4088" s="34">
        <v>0</v>
      </c>
    </row>
    <row r="4089" spans="1:10" ht="15.75" hidden="1" thickBot="1" x14ac:dyDescent="0.3">
      <c r="A4089" s="262"/>
      <c r="B4089" s="252"/>
      <c r="C4089" s="60"/>
      <c r="D4089" s="60"/>
      <c r="E4089" s="79"/>
      <c r="F4089" s="80" t="s">
        <v>23</v>
      </c>
      <c r="G4089" s="80" t="str">
        <f t="shared" si="69"/>
        <v/>
      </c>
      <c r="H4089" s="81"/>
      <c r="I4089" s="63"/>
      <c r="J4089" s="34">
        <v>0</v>
      </c>
    </row>
    <row r="4090" spans="1:10" ht="15.75" hidden="1" thickBot="1" x14ac:dyDescent="0.3">
      <c r="A4090" s="248" t="s">
        <v>993</v>
      </c>
      <c r="B4090" s="251" t="s">
        <v>2843</v>
      </c>
      <c r="C4090" s="28"/>
      <c r="D4090" s="29" t="s">
        <v>121</v>
      </c>
      <c r="E4090" s="30"/>
      <c r="F4090" s="51" t="s">
        <v>23</v>
      </c>
      <c r="G4090" s="31" t="str">
        <f t="shared" si="69"/>
        <v/>
      </c>
      <c r="H4090" s="32"/>
      <c r="I4090" s="33"/>
      <c r="J4090" s="34">
        <v>0</v>
      </c>
    </row>
    <row r="4091" spans="1:10" ht="15.75" hidden="1" thickBot="1" x14ac:dyDescent="0.3">
      <c r="A4091" s="262"/>
      <c r="B4091" s="252"/>
      <c r="C4091" s="36"/>
      <c r="D4091" s="36"/>
      <c r="E4091" s="37"/>
      <c r="F4091" s="59" t="s">
        <v>23</v>
      </c>
      <c r="G4091" s="59" t="str">
        <f t="shared" si="69"/>
        <v/>
      </c>
      <c r="H4091" s="62"/>
      <c r="I4091" s="63"/>
      <c r="J4091" s="34">
        <v>0</v>
      </c>
    </row>
    <row r="4092" spans="1:10" ht="39" hidden="1" thickBot="1" x14ac:dyDescent="0.3">
      <c r="A4092" s="262"/>
      <c r="B4092" s="252"/>
      <c r="C4092" s="40" t="s">
        <v>4098</v>
      </c>
      <c r="D4092" s="40" t="s">
        <v>1286</v>
      </c>
      <c r="E4092" s="41">
        <v>1.1000000000000001</v>
      </c>
      <c r="F4092" s="59">
        <v>26.847000000000001</v>
      </c>
      <c r="G4092" s="59">
        <f t="shared" si="69"/>
        <v>29.531700000000004</v>
      </c>
      <c r="H4092" s="43">
        <f>SUM(G4092:G4095)</f>
        <v>34.758745350000005</v>
      </c>
      <c r="I4092" s="44"/>
      <c r="J4092" s="34">
        <v>0</v>
      </c>
    </row>
    <row r="4093" spans="1:10" ht="26.25" hidden="1" thickBot="1" x14ac:dyDescent="0.3">
      <c r="A4093" s="262"/>
      <c r="B4093" s="252"/>
      <c r="C4093" s="40" t="s">
        <v>4033</v>
      </c>
      <c r="D4093" s="40" t="s">
        <v>1035</v>
      </c>
      <c r="E4093" s="41">
        <v>2.3E-3</v>
      </c>
      <c r="F4093" s="59">
        <v>18.249500000000001</v>
      </c>
      <c r="G4093" s="59">
        <f t="shared" si="69"/>
        <v>4.197385E-2</v>
      </c>
      <c r="H4093" s="62"/>
      <c r="I4093" s="63"/>
      <c r="J4093" s="34">
        <v>0</v>
      </c>
    </row>
    <row r="4094" spans="1:10" ht="15.75" hidden="1" thickBot="1" x14ac:dyDescent="0.3">
      <c r="A4094" s="262"/>
      <c r="B4094" s="252"/>
      <c r="C4094" s="40" t="s">
        <v>3770</v>
      </c>
      <c r="D4094" s="40" t="s">
        <v>3752</v>
      </c>
      <c r="E4094" s="41">
        <v>0.10299999999999999</v>
      </c>
      <c r="F4094" s="59">
        <v>21.954499999999999</v>
      </c>
      <c r="G4094" s="59">
        <f t="shared" si="69"/>
        <v>2.2613135</v>
      </c>
      <c r="H4094" s="62"/>
      <c r="I4094" s="63"/>
      <c r="J4094" s="34">
        <v>0</v>
      </c>
    </row>
    <row r="4095" spans="1:10" ht="15.75" hidden="1" thickBot="1" x14ac:dyDescent="0.3">
      <c r="A4095" s="262"/>
      <c r="B4095" s="252"/>
      <c r="C4095" s="40" t="s">
        <v>3760</v>
      </c>
      <c r="D4095" s="40" t="s">
        <v>3752</v>
      </c>
      <c r="E4095" s="41">
        <v>0.10299999999999999</v>
      </c>
      <c r="F4095" s="59">
        <v>28.385999999999999</v>
      </c>
      <c r="G4095" s="59">
        <f t="shared" si="69"/>
        <v>2.9237579999999999</v>
      </c>
      <c r="H4095" s="62"/>
      <c r="I4095" s="63"/>
      <c r="J4095" s="34">
        <v>0</v>
      </c>
    </row>
    <row r="4096" spans="1:10" ht="15.75" hidden="1" thickBot="1" x14ac:dyDescent="0.3">
      <c r="A4096" s="262"/>
      <c r="B4096" s="252"/>
      <c r="C4096" s="60"/>
      <c r="D4096" s="60"/>
      <c r="E4096" s="79"/>
      <c r="F4096" s="80" t="s">
        <v>23</v>
      </c>
      <c r="G4096" s="80" t="str">
        <f t="shared" si="69"/>
        <v/>
      </c>
      <c r="H4096" s="81"/>
      <c r="I4096" s="63"/>
      <c r="J4096" s="34">
        <v>0</v>
      </c>
    </row>
    <row r="4097" spans="1:10" ht="15.75" hidden="1" thickBot="1" x14ac:dyDescent="0.3">
      <c r="A4097" s="248" t="s">
        <v>5</v>
      </c>
      <c r="B4097" s="251" t="s">
        <v>2844</v>
      </c>
      <c r="C4097" s="28"/>
      <c r="D4097" s="29" t="s">
        <v>2</v>
      </c>
      <c r="E4097" s="30"/>
      <c r="F4097" s="51" t="s">
        <v>23</v>
      </c>
      <c r="G4097" s="31" t="str">
        <f t="shared" si="69"/>
        <v/>
      </c>
      <c r="H4097" s="32"/>
      <c r="I4097" s="33"/>
      <c r="J4097" s="34">
        <v>0</v>
      </c>
    </row>
    <row r="4098" spans="1:10" ht="15.75" hidden="1" thickBot="1" x14ac:dyDescent="0.3">
      <c r="A4098" s="262"/>
      <c r="B4098" s="252"/>
      <c r="C4098" s="36"/>
      <c r="D4098" s="36"/>
      <c r="E4098" s="37"/>
      <c r="F4098" s="59" t="s">
        <v>23</v>
      </c>
      <c r="G4098" s="59" t="str">
        <f t="shared" si="69"/>
        <v/>
      </c>
      <c r="H4098" s="62"/>
      <c r="I4098" s="63"/>
      <c r="J4098" s="34">
        <v>0</v>
      </c>
    </row>
    <row r="4099" spans="1:10" ht="15.75" hidden="1" thickBot="1" x14ac:dyDescent="0.3">
      <c r="A4099" s="262"/>
      <c r="B4099" s="252"/>
      <c r="C4099" s="40" t="s">
        <v>3777</v>
      </c>
      <c r="D4099" s="40" t="s">
        <v>3778</v>
      </c>
      <c r="E4099" s="41" t="e">
        <f>IF(#REF!="Desonerado",ROUND(1/(1+47.14%),4),ROUND(1/(1+70.4%),4))</f>
        <v>#REF!</v>
      </c>
      <c r="F4099" s="59">
        <v>3214.6194999999998</v>
      </c>
      <c r="G4099" s="59" t="e">
        <f t="shared" si="69"/>
        <v>#REF!</v>
      </c>
      <c r="H4099" s="43" t="e">
        <f>SUM(G4099:G4099)</f>
        <v>#REF!</v>
      </c>
      <c r="I4099" s="44"/>
      <c r="J4099" s="34">
        <v>0</v>
      </c>
    </row>
    <row r="4100" spans="1:10" ht="15.75" hidden="1" thickBot="1" x14ac:dyDescent="0.3">
      <c r="A4100" s="262"/>
      <c r="B4100" s="252"/>
      <c r="C4100" s="40"/>
      <c r="D4100" s="53"/>
      <c r="E4100" s="41"/>
      <c r="F4100" s="59" t="s">
        <v>23</v>
      </c>
      <c r="G4100" s="59" t="str">
        <f t="shared" si="69"/>
        <v/>
      </c>
      <c r="H4100" s="62"/>
      <c r="I4100" s="63"/>
      <c r="J4100" s="34">
        <v>0</v>
      </c>
    </row>
    <row r="4101" spans="1:10" ht="26.25" hidden="1" thickBot="1" x14ac:dyDescent="0.3">
      <c r="A4101" s="262"/>
      <c r="B4101" s="252"/>
      <c r="C4101" s="50" t="s">
        <v>668</v>
      </c>
      <c r="D4101" s="53"/>
      <c r="E4101" s="41"/>
      <c r="F4101" s="59" t="s">
        <v>23</v>
      </c>
      <c r="G4101" s="59" t="str">
        <f t="shared" si="69"/>
        <v/>
      </c>
      <c r="H4101" s="62"/>
      <c r="I4101" s="63"/>
      <c r="J4101" s="34">
        <v>0</v>
      </c>
    </row>
    <row r="4102" spans="1:10" ht="15.75" hidden="1" thickBot="1" x14ac:dyDescent="0.3">
      <c r="A4102" s="262"/>
      <c r="B4102" s="252"/>
      <c r="C4102" s="60"/>
      <c r="D4102" s="60"/>
      <c r="E4102" s="79"/>
      <c r="F4102" s="80" t="s">
        <v>23</v>
      </c>
      <c r="G4102" s="80" t="str">
        <f t="shared" si="69"/>
        <v/>
      </c>
      <c r="H4102" s="81"/>
      <c r="I4102" s="63"/>
      <c r="J4102" s="34">
        <v>0</v>
      </c>
    </row>
    <row r="4103" spans="1:10" ht="15.75" thickBot="1" x14ac:dyDescent="0.3">
      <c r="A4103" s="248" t="s">
        <v>994</v>
      </c>
      <c r="B4103" s="251" t="s">
        <v>2847</v>
      </c>
      <c r="C4103" s="28"/>
      <c r="D4103" s="29" t="s">
        <v>78</v>
      </c>
      <c r="E4103" s="30"/>
      <c r="F4103" s="51" t="s">
        <v>23</v>
      </c>
      <c r="G4103" s="31" t="str">
        <f t="shared" si="69"/>
        <v/>
      </c>
      <c r="H4103" s="32"/>
      <c r="I4103" s="33"/>
      <c r="J4103" s="34">
        <v>20000</v>
      </c>
    </row>
    <row r="4104" spans="1:10" x14ac:dyDescent="0.25">
      <c r="A4104" s="262"/>
      <c r="B4104" s="252"/>
      <c r="C4104" s="36"/>
      <c r="D4104" s="36"/>
      <c r="E4104" s="37"/>
      <c r="F4104" s="59" t="s">
        <v>23</v>
      </c>
      <c r="G4104" s="59" t="str">
        <f t="shared" si="69"/>
        <v/>
      </c>
      <c r="H4104" s="62"/>
      <c r="I4104" s="63"/>
      <c r="J4104" s="34">
        <v>20000</v>
      </c>
    </row>
    <row r="4105" spans="1:10" x14ac:dyDescent="0.25">
      <c r="A4105" s="262"/>
      <c r="B4105" s="252"/>
      <c r="C4105" s="40" t="s">
        <v>3806</v>
      </c>
      <c r="D4105" s="40" t="s">
        <v>3752</v>
      </c>
      <c r="E4105" s="41">
        <f>ROUND(1/10,4)</f>
        <v>0.1</v>
      </c>
      <c r="F4105" s="59">
        <v>120.06099999999999</v>
      </c>
      <c r="G4105" s="59">
        <f t="shared" si="69"/>
        <v>12.0061</v>
      </c>
      <c r="H4105" s="43">
        <f>SUM(G4105:G4105)</f>
        <v>12.0061</v>
      </c>
      <c r="I4105" s="44"/>
      <c r="J4105" s="34">
        <v>20000</v>
      </c>
    </row>
    <row r="4106" spans="1:10" ht="15.75" thickBot="1" x14ac:dyDescent="0.3">
      <c r="A4106" s="262"/>
      <c r="B4106" s="252"/>
      <c r="C4106" s="40"/>
      <c r="D4106" s="53"/>
      <c r="E4106" s="41"/>
      <c r="F4106" s="59" t="s">
        <v>23</v>
      </c>
      <c r="G4106" s="59" t="str">
        <f t="shared" si="69"/>
        <v/>
      </c>
      <c r="H4106" s="62"/>
      <c r="I4106" s="63"/>
      <c r="J4106" s="34">
        <v>20000</v>
      </c>
    </row>
    <row r="4107" spans="1:10" ht="15.75" thickBot="1" x14ac:dyDescent="0.3">
      <c r="A4107" s="248" t="s">
        <v>995</v>
      </c>
      <c r="B4107" s="251" t="s">
        <v>2848</v>
      </c>
      <c r="C4107" s="28"/>
      <c r="D4107" s="29" t="s">
        <v>78</v>
      </c>
      <c r="E4107" s="30"/>
      <c r="F4107" s="51" t="s">
        <v>23</v>
      </c>
      <c r="G4107" s="31" t="str">
        <f t="shared" si="69"/>
        <v/>
      </c>
      <c r="H4107" s="32"/>
      <c r="I4107" s="33"/>
      <c r="J4107" s="34">
        <v>1010</v>
      </c>
    </row>
    <row r="4108" spans="1:10" x14ac:dyDescent="0.25">
      <c r="A4108" s="262"/>
      <c r="B4108" s="252"/>
      <c r="C4108" s="36"/>
      <c r="D4108" s="36"/>
      <c r="E4108" s="37"/>
      <c r="F4108" s="59" t="s">
        <v>23</v>
      </c>
      <c r="G4108" s="59" t="str">
        <f t="shared" si="69"/>
        <v/>
      </c>
      <c r="H4108" s="62"/>
      <c r="I4108" s="63"/>
      <c r="J4108" s="34">
        <v>1010</v>
      </c>
    </row>
    <row r="4109" spans="1:10" x14ac:dyDescent="0.25">
      <c r="A4109" s="262"/>
      <c r="B4109" s="252"/>
      <c r="C4109" s="40" t="s">
        <v>3754</v>
      </c>
      <c r="D4109" s="40" t="s">
        <v>3752</v>
      </c>
      <c r="E4109" s="41">
        <v>0.18</v>
      </c>
      <c r="F4109" s="59">
        <v>20.814499999999999</v>
      </c>
      <c r="G4109" s="59">
        <f t="shared" si="69"/>
        <v>3.7466099999999996</v>
      </c>
      <c r="H4109" s="43">
        <f>SUM(G4109:G4112)</f>
        <v>194.52390000000003</v>
      </c>
      <c r="I4109" s="44"/>
      <c r="J4109" s="34">
        <v>1010</v>
      </c>
    </row>
    <row r="4110" spans="1:10" x14ac:dyDescent="0.25">
      <c r="A4110" s="262"/>
      <c r="B4110" s="252"/>
      <c r="C4110" s="40" t="s">
        <v>3978</v>
      </c>
      <c r="D4110" s="40" t="s">
        <v>3752</v>
      </c>
      <c r="E4110" s="41">
        <v>0.18</v>
      </c>
      <c r="F4110" s="59">
        <v>27.683</v>
      </c>
      <c r="G4110" s="59">
        <f t="shared" si="69"/>
        <v>4.9829400000000001</v>
      </c>
      <c r="H4110" s="62"/>
      <c r="I4110" s="63"/>
      <c r="J4110" s="34">
        <v>1010</v>
      </c>
    </row>
    <row r="4111" spans="1:10" ht="25.5" x14ac:dyDescent="0.25">
      <c r="A4111" s="262"/>
      <c r="B4111" s="252"/>
      <c r="C4111" s="40" t="s">
        <v>3998</v>
      </c>
      <c r="D4111" s="40" t="s">
        <v>1035</v>
      </c>
      <c r="E4111" s="41">
        <v>0.9</v>
      </c>
      <c r="F4111" s="59">
        <v>59.184999999999995</v>
      </c>
      <c r="G4111" s="59">
        <f t="shared" si="69"/>
        <v>53.266499999999994</v>
      </c>
      <c r="H4111" s="62"/>
      <c r="I4111" s="63"/>
      <c r="J4111" s="34">
        <v>1010</v>
      </c>
    </row>
    <row r="4112" spans="1:10" x14ac:dyDescent="0.25">
      <c r="A4112" s="262"/>
      <c r="B4112" s="252"/>
      <c r="C4112" s="40" t="s">
        <v>996</v>
      </c>
      <c r="D4112" s="40" t="s">
        <v>78</v>
      </c>
      <c r="E4112" s="41">
        <v>1.05</v>
      </c>
      <c r="F4112" s="59">
        <v>126.21700000000001</v>
      </c>
      <c r="G4112" s="59">
        <f t="shared" ref="G4112:G4156" si="70">IF(ISNUMBER(F4112),E4112*F4112,"")</f>
        <v>132.52785000000003</v>
      </c>
      <c r="H4112" s="62"/>
      <c r="I4112" s="63"/>
      <c r="J4112" s="34">
        <v>1010</v>
      </c>
    </row>
    <row r="4113" spans="1:10" ht="15.75" thickBot="1" x14ac:dyDescent="0.3">
      <c r="A4113" s="262"/>
      <c r="B4113" s="252"/>
      <c r="C4113" s="60"/>
      <c r="D4113" s="60"/>
      <c r="E4113" s="79"/>
      <c r="F4113" s="80" t="s">
        <v>23</v>
      </c>
      <c r="G4113" s="80" t="str">
        <f t="shared" si="70"/>
        <v/>
      </c>
      <c r="H4113" s="81"/>
      <c r="I4113" s="63"/>
      <c r="J4113" s="34">
        <v>1010</v>
      </c>
    </row>
    <row r="4114" spans="1:10" ht="15.75" thickBot="1" x14ac:dyDescent="0.3">
      <c r="A4114" s="248" t="s">
        <v>997</v>
      </c>
      <c r="B4114" s="251" t="s">
        <v>2849</v>
      </c>
      <c r="C4114" s="28"/>
      <c r="D4114" s="29" t="s">
        <v>78</v>
      </c>
      <c r="E4114" s="30"/>
      <c r="F4114" s="45" t="s">
        <v>23</v>
      </c>
      <c r="G4114" s="31" t="str">
        <f t="shared" si="70"/>
        <v/>
      </c>
      <c r="H4114" s="32"/>
      <c r="I4114" s="33"/>
      <c r="J4114" s="34">
        <v>400</v>
      </c>
    </row>
    <row r="4115" spans="1:10" x14ac:dyDescent="0.25">
      <c r="A4115" s="249"/>
      <c r="B4115" s="252"/>
      <c r="C4115" s="36"/>
      <c r="D4115" s="36"/>
      <c r="E4115" s="37"/>
      <c r="F4115" s="46" t="s">
        <v>23</v>
      </c>
      <c r="G4115" s="35" t="str">
        <f t="shared" si="70"/>
        <v/>
      </c>
      <c r="H4115" s="39"/>
      <c r="I4115" s="35"/>
      <c r="J4115" s="34">
        <v>400</v>
      </c>
    </row>
    <row r="4116" spans="1:10" x14ac:dyDescent="0.25">
      <c r="A4116" s="249"/>
      <c r="B4116" s="252"/>
      <c r="C4116" s="40" t="s">
        <v>3852</v>
      </c>
      <c r="D4116" s="40" t="s">
        <v>1035</v>
      </c>
      <c r="E4116" s="41">
        <v>8.6199999999999992</v>
      </c>
      <c r="F4116" s="38">
        <v>1.8904999999999998</v>
      </c>
      <c r="G4116" s="38">
        <f t="shared" si="70"/>
        <v>16.296109999999999</v>
      </c>
      <c r="H4116" s="43">
        <f>SUM(G4116:G4120)</f>
        <v>733.97620699999993</v>
      </c>
      <c r="I4116" s="44"/>
      <c r="J4116" s="34">
        <v>400</v>
      </c>
    </row>
    <row r="4117" spans="1:10" x14ac:dyDescent="0.25">
      <c r="A4117" s="249"/>
      <c r="B4117" s="252"/>
      <c r="C4117" s="40" t="s">
        <v>3826</v>
      </c>
      <c r="D4117" s="40" t="s">
        <v>3752</v>
      </c>
      <c r="E4117" s="41">
        <v>1.1879999999999999</v>
      </c>
      <c r="F4117" s="35">
        <v>27.920500000000001</v>
      </c>
      <c r="G4117" s="38">
        <f t="shared" si="70"/>
        <v>33.169553999999998</v>
      </c>
      <c r="H4117" s="39"/>
      <c r="I4117" s="35"/>
      <c r="J4117" s="34">
        <v>400</v>
      </c>
    </row>
    <row r="4118" spans="1:10" x14ac:dyDescent="0.25">
      <c r="A4118" s="249"/>
      <c r="B4118" s="252"/>
      <c r="C4118" s="40" t="s">
        <v>3754</v>
      </c>
      <c r="D4118" s="40" t="s">
        <v>3752</v>
      </c>
      <c r="E4118" s="41">
        <v>0.59399999999999997</v>
      </c>
      <c r="F4118" s="35">
        <v>20.814499999999999</v>
      </c>
      <c r="G4118" s="38">
        <f t="shared" si="70"/>
        <v>12.363812999999999</v>
      </c>
      <c r="H4118" s="39"/>
      <c r="I4118" s="35"/>
      <c r="J4118" s="34">
        <v>400</v>
      </c>
    </row>
    <row r="4119" spans="1:10" x14ac:dyDescent="0.25">
      <c r="A4119" s="249"/>
      <c r="B4119" s="252"/>
      <c r="C4119" s="40" t="s">
        <v>4013</v>
      </c>
      <c r="D4119" s="40" t="s">
        <v>1035</v>
      </c>
      <c r="E4119" s="41">
        <v>0.14000000000000001</v>
      </c>
      <c r="F4119" s="38">
        <v>3.6194999999999999</v>
      </c>
      <c r="G4119" s="38">
        <f t="shared" si="70"/>
        <v>0.50673000000000001</v>
      </c>
      <c r="H4119" s="39"/>
      <c r="I4119" s="35"/>
      <c r="J4119" s="34">
        <v>400</v>
      </c>
    </row>
    <row r="4120" spans="1:10" x14ac:dyDescent="0.25">
      <c r="A4120" s="249"/>
      <c r="B4120" s="252"/>
      <c r="C4120" s="40" t="s">
        <v>998</v>
      </c>
      <c r="D4120" s="40" t="s">
        <v>78</v>
      </c>
      <c r="E4120" s="41">
        <v>1.1599999999999999</v>
      </c>
      <c r="F4120" s="38">
        <v>579</v>
      </c>
      <c r="G4120" s="59">
        <f t="shared" si="70"/>
        <v>671.64</v>
      </c>
      <c r="H4120" s="39"/>
      <c r="I4120" s="35"/>
      <c r="J4120" s="34">
        <v>400</v>
      </c>
    </row>
    <row r="4121" spans="1:10" ht="15.75" thickBot="1" x14ac:dyDescent="0.3">
      <c r="A4121" s="250"/>
      <c r="B4121" s="253"/>
      <c r="C4121" s="40"/>
      <c r="D4121" s="40"/>
      <c r="E4121" s="41"/>
      <c r="F4121" s="35" t="s">
        <v>23</v>
      </c>
      <c r="G4121" s="35" t="str">
        <f t="shared" si="70"/>
        <v/>
      </c>
      <c r="H4121" s="39"/>
      <c r="I4121" s="35"/>
      <c r="J4121" s="34">
        <v>400</v>
      </c>
    </row>
    <row r="4122" spans="1:10" ht="15.75" thickBot="1" x14ac:dyDescent="0.3">
      <c r="A4122" s="248" t="s">
        <v>999</v>
      </c>
      <c r="B4122" s="251" t="s">
        <v>2850</v>
      </c>
      <c r="C4122" s="28"/>
      <c r="D4122" s="29" t="s">
        <v>78</v>
      </c>
      <c r="E4122" s="30"/>
      <c r="F4122" s="45" t="s">
        <v>23</v>
      </c>
      <c r="G4122" s="31" t="str">
        <f t="shared" si="70"/>
        <v/>
      </c>
      <c r="H4122" s="32"/>
      <c r="I4122" s="33"/>
      <c r="J4122" s="34">
        <v>100</v>
      </c>
    </row>
    <row r="4123" spans="1:10" x14ac:dyDescent="0.25">
      <c r="A4123" s="249"/>
      <c r="B4123" s="252"/>
      <c r="C4123" s="36"/>
      <c r="D4123" s="36"/>
      <c r="E4123" s="37"/>
      <c r="F4123" s="46" t="s">
        <v>23</v>
      </c>
      <c r="G4123" s="35" t="str">
        <f t="shared" si="70"/>
        <v/>
      </c>
      <c r="H4123" s="39"/>
      <c r="I4123" s="35"/>
      <c r="J4123" s="34">
        <v>100</v>
      </c>
    </row>
    <row r="4124" spans="1:10" x14ac:dyDescent="0.25">
      <c r="A4124" s="249"/>
      <c r="B4124" s="252"/>
      <c r="C4124" s="40" t="s">
        <v>3852</v>
      </c>
      <c r="D4124" s="40" t="s">
        <v>1035</v>
      </c>
      <c r="E4124" s="41">
        <v>8.6199999999999992</v>
      </c>
      <c r="F4124" s="38">
        <v>1.8904999999999998</v>
      </c>
      <c r="G4124" s="38">
        <f t="shared" si="70"/>
        <v>16.296109999999999</v>
      </c>
      <c r="H4124" s="43">
        <f>SUM(G4124:G4128)</f>
        <v>385.97620699999999</v>
      </c>
      <c r="I4124" s="44"/>
      <c r="J4124" s="34">
        <v>100</v>
      </c>
    </row>
    <row r="4125" spans="1:10" x14ac:dyDescent="0.25">
      <c r="A4125" s="249"/>
      <c r="B4125" s="252"/>
      <c r="C4125" s="40" t="s">
        <v>3826</v>
      </c>
      <c r="D4125" s="40" t="s">
        <v>3752</v>
      </c>
      <c r="E4125" s="41">
        <v>1.1879999999999999</v>
      </c>
      <c r="F4125" s="35">
        <v>27.920500000000001</v>
      </c>
      <c r="G4125" s="38">
        <f t="shared" si="70"/>
        <v>33.169553999999998</v>
      </c>
      <c r="H4125" s="39"/>
      <c r="I4125" s="35"/>
      <c r="J4125" s="34">
        <v>100</v>
      </c>
    </row>
    <row r="4126" spans="1:10" x14ac:dyDescent="0.25">
      <c r="A4126" s="249"/>
      <c r="B4126" s="252"/>
      <c r="C4126" s="40" t="s">
        <v>3754</v>
      </c>
      <c r="D4126" s="40" t="s">
        <v>3752</v>
      </c>
      <c r="E4126" s="41">
        <v>0.59399999999999997</v>
      </c>
      <c r="F4126" s="35">
        <v>20.814499999999999</v>
      </c>
      <c r="G4126" s="38">
        <f t="shared" si="70"/>
        <v>12.363812999999999</v>
      </c>
      <c r="H4126" s="39"/>
      <c r="I4126" s="35"/>
      <c r="J4126" s="34">
        <v>100</v>
      </c>
    </row>
    <row r="4127" spans="1:10" x14ac:dyDescent="0.25">
      <c r="A4127" s="249"/>
      <c r="B4127" s="252"/>
      <c r="C4127" s="40" t="s">
        <v>4013</v>
      </c>
      <c r="D4127" s="40" t="s">
        <v>1035</v>
      </c>
      <c r="E4127" s="41">
        <v>0.14000000000000001</v>
      </c>
      <c r="F4127" s="38">
        <v>3.6194999999999999</v>
      </c>
      <c r="G4127" s="38">
        <f t="shared" si="70"/>
        <v>0.50673000000000001</v>
      </c>
      <c r="H4127" s="39"/>
      <c r="I4127" s="35"/>
      <c r="J4127" s="34">
        <v>100</v>
      </c>
    </row>
    <row r="4128" spans="1:10" x14ac:dyDescent="0.25">
      <c r="A4128" s="249"/>
      <c r="B4128" s="252"/>
      <c r="C4128" s="40" t="s">
        <v>1000</v>
      </c>
      <c r="D4128" s="40" t="s">
        <v>78</v>
      </c>
      <c r="E4128" s="41">
        <v>1.1599999999999999</v>
      </c>
      <c r="F4128" s="38">
        <v>279</v>
      </c>
      <c r="G4128" s="59">
        <f t="shared" si="70"/>
        <v>323.64</v>
      </c>
      <c r="H4128" s="39"/>
      <c r="I4128" s="35"/>
      <c r="J4128" s="34">
        <v>100</v>
      </c>
    </row>
    <row r="4129" spans="1:10" ht="15.75" thickBot="1" x14ac:dyDescent="0.3">
      <c r="A4129" s="250"/>
      <c r="B4129" s="253"/>
      <c r="C4129" s="40"/>
      <c r="D4129" s="40"/>
      <c r="E4129" s="41"/>
      <c r="F4129" s="35" t="s">
        <v>23</v>
      </c>
      <c r="G4129" s="35" t="str">
        <f t="shared" si="70"/>
        <v/>
      </c>
      <c r="H4129" s="39"/>
      <c r="I4129" s="35"/>
      <c r="J4129" s="34">
        <v>100</v>
      </c>
    </row>
    <row r="4130" spans="1:10" ht="15.75" thickBot="1" x14ac:dyDescent="0.3">
      <c r="A4130" s="248" t="s">
        <v>1001</v>
      </c>
      <c r="B4130" s="251" t="s">
        <v>2851</v>
      </c>
      <c r="C4130" s="28"/>
      <c r="D4130" s="29" t="s">
        <v>78</v>
      </c>
      <c r="E4130" s="30"/>
      <c r="F4130" s="51" t="s">
        <v>23</v>
      </c>
      <c r="G4130" s="31" t="str">
        <f t="shared" si="70"/>
        <v/>
      </c>
      <c r="H4130" s="32"/>
      <c r="I4130" s="33"/>
      <c r="J4130" s="34">
        <v>2000</v>
      </c>
    </row>
    <row r="4131" spans="1:10" x14ac:dyDescent="0.25">
      <c r="A4131" s="262"/>
      <c r="B4131" s="252"/>
      <c r="C4131" s="36"/>
      <c r="D4131" s="36"/>
      <c r="E4131" s="37"/>
      <c r="F4131" s="59" t="s">
        <v>23</v>
      </c>
      <c r="G4131" s="59" t="str">
        <f t="shared" si="70"/>
        <v/>
      </c>
      <c r="H4131" s="62"/>
      <c r="I4131" s="63"/>
      <c r="J4131" s="34">
        <v>2000</v>
      </c>
    </row>
    <row r="4132" spans="1:10" ht="25.5" x14ac:dyDescent="0.25">
      <c r="A4132" s="262"/>
      <c r="B4132" s="252"/>
      <c r="C4132" s="40" t="s">
        <v>3897</v>
      </c>
      <c r="D4132" s="40" t="s">
        <v>177</v>
      </c>
      <c r="E4132" s="41">
        <v>1.0717000000000001</v>
      </c>
      <c r="F4132" s="59">
        <v>74.593999999999994</v>
      </c>
      <c r="G4132" s="59">
        <f t="shared" si="70"/>
        <v>79.942389800000001</v>
      </c>
      <c r="H4132" s="43">
        <f>SUM(G4132:G4136)</f>
        <v>122.8246583</v>
      </c>
      <c r="I4132" s="44"/>
      <c r="J4132" s="34">
        <v>2000</v>
      </c>
    </row>
    <row r="4133" spans="1:10" x14ac:dyDescent="0.25">
      <c r="A4133" s="262"/>
      <c r="B4133" s="252"/>
      <c r="C4133" s="40" t="s">
        <v>4013</v>
      </c>
      <c r="D4133" s="40" t="s">
        <v>1035</v>
      </c>
      <c r="E4133" s="41">
        <v>0.188</v>
      </c>
      <c r="F4133" s="59">
        <v>3.6194999999999999</v>
      </c>
      <c r="G4133" s="59">
        <f t="shared" si="70"/>
        <v>0.68046600000000002</v>
      </c>
      <c r="H4133" s="62"/>
      <c r="I4133" s="63"/>
      <c r="J4133" s="34">
        <v>2000</v>
      </c>
    </row>
    <row r="4134" spans="1:10" x14ac:dyDescent="0.25">
      <c r="A4134" s="262"/>
      <c r="B4134" s="252"/>
      <c r="C4134" s="40" t="s">
        <v>3852</v>
      </c>
      <c r="D4134" s="40" t="s">
        <v>1035</v>
      </c>
      <c r="E4134" s="41">
        <v>9.1300000000000008</v>
      </c>
      <c r="F4134" s="59">
        <v>1.8904999999999998</v>
      </c>
      <c r="G4134" s="59">
        <f t="shared" si="70"/>
        <v>17.260265</v>
      </c>
      <c r="H4134" s="62"/>
      <c r="I4134" s="63"/>
      <c r="J4134" s="34">
        <v>2000</v>
      </c>
    </row>
    <row r="4135" spans="1:10" x14ac:dyDescent="0.25">
      <c r="A4135" s="262"/>
      <c r="B4135" s="252"/>
      <c r="C4135" s="40" t="s">
        <v>3808</v>
      </c>
      <c r="D4135" s="40" t="s">
        <v>3752</v>
      </c>
      <c r="E4135" s="41">
        <v>0.74539999999999995</v>
      </c>
      <c r="F4135" s="59">
        <v>27.920500000000001</v>
      </c>
      <c r="G4135" s="59">
        <f t="shared" si="70"/>
        <v>20.811940699999997</v>
      </c>
      <c r="H4135" s="62"/>
      <c r="I4135" s="63"/>
      <c r="J4135" s="34">
        <v>2000</v>
      </c>
    </row>
    <row r="4136" spans="1:10" x14ac:dyDescent="0.25">
      <c r="A4136" s="262"/>
      <c r="B4136" s="252"/>
      <c r="C4136" s="40" t="s">
        <v>3754</v>
      </c>
      <c r="D4136" s="40" t="s">
        <v>3752</v>
      </c>
      <c r="E4136" s="41">
        <v>0.19839999999999999</v>
      </c>
      <c r="F4136" s="59">
        <v>20.814499999999999</v>
      </c>
      <c r="G4136" s="59">
        <f t="shared" si="70"/>
        <v>4.1295967999999998</v>
      </c>
      <c r="H4136" s="62"/>
      <c r="I4136" s="63"/>
      <c r="J4136" s="34">
        <v>2000</v>
      </c>
    </row>
    <row r="4137" spans="1:10" ht="15.75" thickBot="1" x14ac:dyDescent="0.3">
      <c r="A4137" s="262"/>
      <c r="B4137" s="252"/>
      <c r="C4137" s="40"/>
      <c r="D4137" s="53"/>
      <c r="E4137" s="41"/>
      <c r="F4137" s="59" t="s">
        <v>23</v>
      </c>
      <c r="G4137" s="59" t="str">
        <f t="shared" si="70"/>
        <v/>
      </c>
      <c r="H4137" s="62"/>
      <c r="I4137" s="63"/>
      <c r="J4137" s="34">
        <v>2000</v>
      </c>
    </row>
    <row r="4138" spans="1:10" ht="15.75" thickBot="1" x14ac:dyDescent="0.3">
      <c r="A4138" s="248" t="s">
        <v>1002</v>
      </c>
      <c r="B4138" s="251" t="s">
        <v>2852</v>
      </c>
      <c r="C4138" s="28"/>
      <c r="D4138" s="29" t="s">
        <v>78</v>
      </c>
      <c r="E4138" s="30"/>
      <c r="F4138" s="51" t="s">
        <v>23</v>
      </c>
      <c r="G4138" s="31" t="str">
        <f t="shared" si="70"/>
        <v/>
      </c>
      <c r="H4138" s="32"/>
      <c r="I4138" s="33"/>
      <c r="J4138" s="34">
        <v>1000</v>
      </c>
    </row>
    <row r="4139" spans="1:10" x14ac:dyDescent="0.25">
      <c r="A4139" s="262"/>
      <c r="B4139" s="252"/>
      <c r="C4139" s="36"/>
      <c r="D4139" s="36"/>
      <c r="E4139" s="37"/>
      <c r="F4139" s="59" t="s">
        <v>23</v>
      </c>
      <c r="G4139" s="59" t="str">
        <f t="shared" si="70"/>
        <v/>
      </c>
      <c r="H4139" s="62"/>
      <c r="I4139" s="63"/>
      <c r="J4139" s="34">
        <v>1000</v>
      </c>
    </row>
    <row r="4140" spans="1:10" ht="25.5" x14ac:dyDescent="0.25">
      <c r="A4140" s="262"/>
      <c r="B4140" s="252"/>
      <c r="C4140" s="40" t="s">
        <v>3969</v>
      </c>
      <c r="D4140" s="40" t="s">
        <v>177</v>
      </c>
      <c r="E4140" s="41">
        <v>1</v>
      </c>
      <c r="F4140" s="59">
        <v>114</v>
      </c>
      <c r="G4140" s="59">
        <f t="shared" si="70"/>
        <v>114</v>
      </c>
      <c r="H4140" s="43">
        <f>SUM(G4140:G4140)</f>
        <v>114</v>
      </c>
      <c r="I4140" s="44"/>
      <c r="J4140" s="34">
        <v>1000</v>
      </c>
    </row>
    <row r="4141" spans="1:10" ht="15.75" thickBot="1" x14ac:dyDescent="0.3">
      <c r="A4141" s="262"/>
      <c r="B4141" s="252"/>
      <c r="C4141" s="40"/>
      <c r="D4141" s="53"/>
      <c r="E4141" s="41"/>
      <c r="F4141" s="59" t="s">
        <v>23</v>
      </c>
      <c r="G4141" s="59" t="str">
        <f t="shared" si="70"/>
        <v/>
      </c>
      <c r="H4141" s="62"/>
      <c r="I4141" s="63"/>
      <c r="J4141" s="34">
        <v>1000</v>
      </c>
    </row>
    <row r="4142" spans="1:10" ht="15.75" thickBot="1" x14ac:dyDescent="0.3">
      <c r="A4142" s="248" t="s">
        <v>1003</v>
      </c>
      <c r="B4142" s="251" t="s">
        <v>2853</v>
      </c>
      <c r="C4142" s="28"/>
      <c r="D4142" s="29" t="s">
        <v>78</v>
      </c>
      <c r="E4142" s="30"/>
      <c r="F4142" s="51" t="s">
        <v>23</v>
      </c>
      <c r="G4142" s="31" t="str">
        <f t="shared" si="70"/>
        <v/>
      </c>
      <c r="H4142" s="32"/>
      <c r="I4142" s="33"/>
      <c r="J4142" s="34">
        <v>430</v>
      </c>
    </row>
    <row r="4143" spans="1:10" x14ac:dyDescent="0.25">
      <c r="A4143" s="262"/>
      <c r="B4143" s="252"/>
      <c r="C4143" s="36"/>
      <c r="D4143" s="36"/>
      <c r="E4143" s="37"/>
      <c r="F4143" s="59" t="s">
        <v>23</v>
      </c>
      <c r="G4143" s="59" t="str">
        <f t="shared" si="70"/>
        <v/>
      </c>
      <c r="H4143" s="62"/>
      <c r="I4143" s="63"/>
      <c r="J4143" s="34">
        <v>430</v>
      </c>
    </row>
    <row r="4144" spans="1:10" x14ac:dyDescent="0.25">
      <c r="A4144" s="262"/>
      <c r="B4144" s="252"/>
      <c r="C4144" s="40" t="s">
        <v>1004</v>
      </c>
      <c r="D4144" s="53" t="s">
        <v>78</v>
      </c>
      <c r="E4144" s="41">
        <v>1.05</v>
      </c>
      <c r="F4144" s="59">
        <v>300</v>
      </c>
      <c r="G4144" s="59">
        <f t="shared" si="70"/>
        <v>315</v>
      </c>
      <c r="H4144" s="43">
        <f>SUM(G4144:G4148)</f>
        <v>354.49355000000003</v>
      </c>
      <c r="I4144" s="44"/>
      <c r="J4144" s="34">
        <v>430</v>
      </c>
    </row>
    <row r="4145" spans="1:10" x14ac:dyDescent="0.25">
      <c r="A4145" s="262"/>
      <c r="B4145" s="252"/>
      <c r="C4145" s="40" t="s">
        <v>1005</v>
      </c>
      <c r="D4145" s="53" t="s">
        <v>82</v>
      </c>
      <c r="E4145" s="41">
        <v>1.7</v>
      </c>
      <c r="F4145" s="59">
        <v>6.35</v>
      </c>
      <c r="G4145" s="59">
        <f t="shared" si="70"/>
        <v>10.795</v>
      </c>
      <c r="H4145" s="62"/>
      <c r="I4145" s="63"/>
      <c r="J4145" s="34">
        <v>430</v>
      </c>
    </row>
    <row r="4146" spans="1:10" x14ac:dyDescent="0.25">
      <c r="A4146" s="262"/>
      <c r="B4146" s="252"/>
      <c r="C4146" s="40" t="s">
        <v>3947</v>
      </c>
      <c r="D4146" s="40" t="s">
        <v>1035</v>
      </c>
      <c r="E4146" s="41">
        <v>0.35</v>
      </c>
      <c r="F4146" s="59">
        <v>49.029499999999999</v>
      </c>
      <c r="G4146" s="59">
        <f t="shared" si="70"/>
        <v>17.160324999999997</v>
      </c>
      <c r="H4146" s="62"/>
      <c r="I4146" s="63"/>
      <c r="J4146" s="34">
        <v>430</v>
      </c>
    </row>
    <row r="4147" spans="1:10" x14ac:dyDescent="0.25">
      <c r="A4147" s="262"/>
      <c r="B4147" s="252"/>
      <c r="C4147" s="40" t="s">
        <v>3757</v>
      </c>
      <c r="D4147" s="40" t="s">
        <v>3752</v>
      </c>
      <c r="E4147" s="41">
        <f>0.15*2</f>
        <v>0.3</v>
      </c>
      <c r="F4147" s="59">
        <v>28.0535</v>
      </c>
      <c r="G4147" s="59">
        <f t="shared" si="70"/>
        <v>8.4160500000000003</v>
      </c>
      <c r="H4147" s="62"/>
      <c r="I4147" s="63"/>
      <c r="J4147" s="34">
        <v>430</v>
      </c>
    </row>
    <row r="4148" spans="1:10" x14ac:dyDescent="0.25">
      <c r="A4148" s="262"/>
      <c r="B4148" s="252"/>
      <c r="C4148" s="40" t="s">
        <v>3754</v>
      </c>
      <c r="D4148" s="40" t="s">
        <v>3752</v>
      </c>
      <c r="E4148" s="41">
        <v>0.15</v>
      </c>
      <c r="F4148" s="59">
        <v>20.814499999999999</v>
      </c>
      <c r="G4148" s="59">
        <f t="shared" si="70"/>
        <v>3.1221749999999999</v>
      </c>
      <c r="H4148" s="62"/>
      <c r="I4148" s="63"/>
      <c r="J4148" s="34">
        <v>430</v>
      </c>
    </row>
    <row r="4149" spans="1:10" ht="15.75" thickBot="1" x14ac:dyDescent="0.3">
      <c r="A4149" s="262"/>
      <c r="B4149" s="252"/>
      <c r="C4149" s="60"/>
      <c r="D4149" s="60"/>
      <c r="E4149" s="79"/>
      <c r="F4149" s="80" t="s">
        <v>23</v>
      </c>
      <c r="G4149" s="80" t="str">
        <f t="shared" si="70"/>
        <v/>
      </c>
      <c r="H4149" s="81"/>
      <c r="I4149" s="63"/>
      <c r="J4149" s="34">
        <v>430</v>
      </c>
    </row>
    <row r="4150" spans="1:10" ht="15.75" thickBot="1" x14ac:dyDescent="0.3">
      <c r="A4150" s="248" t="s">
        <v>1006</v>
      </c>
      <c r="B4150" s="251" t="s">
        <v>2854</v>
      </c>
      <c r="C4150" s="28"/>
      <c r="D4150" s="29" t="s">
        <v>121</v>
      </c>
      <c r="E4150" s="30"/>
      <c r="F4150" s="51" t="s">
        <v>23</v>
      </c>
      <c r="G4150" s="31" t="str">
        <f t="shared" si="70"/>
        <v/>
      </c>
      <c r="H4150" s="32"/>
      <c r="I4150" s="33"/>
      <c r="J4150" s="34">
        <v>14670</v>
      </c>
    </row>
    <row r="4151" spans="1:10" x14ac:dyDescent="0.25">
      <c r="A4151" s="262"/>
      <c r="B4151" s="252"/>
      <c r="C4151" s="36"/>
      <c r="D4151" s="36"/>
      <c r="E4151" s="37"/>
      <c r="F4151" s="59" t="s">
        <v>23</v>
      </c>
      <c r="G4151" s="59" t="str">
        <f t="shared" si="70"/>
        <v/>
      </c>
      <c r="H4151" s="62"/>
      <c r="I4151" s="63"/>
      <c r="J4151" s="34">
        <v>14670</v>
      </c>
    </row>
    <row r="4152" spans="1:10" x14ac:dyDescent="0.25">
      <c r="A4152" s="262"/>
      <c r="B4152" s="252"/>
      <c r="C4152" s="40" t="s">
        <v>3757</v>
      </c>
      <c r="D4152" s="40" t="s">
        <v>3752</v>
      </c>
      <c r="E4152" s="41">
        <v>0.35</v>
      </c>
      <c r="F4152" s="59">
        <v>28.0535</v>
      </c>
      <c r="G4152" s="59">
        <f t="shared" si="70"/>
        <v>9.8187249999999988</v>
      </c>
      <c r="H4152" s="43">
        <f>SUM(G4152:G4156)</f>
        <v>72.518820000000005</v>
      </c>
      <c r="I4152" s="44"/>
      <c r="J4152" s="34">
        <v>14670</v>
      </c>
    </row>
    <row r="4153" spans="1:10" x14ac:dyDescent="0.25">
      <c r="A4153" s="262"/>
      <c r="B4153" s="252"/>
      <c r="C4153" s="40" t="s">
        <v>3754</v>
      </c>
      <c r="D4153" s="40" t="s">
        <v>3752</v>
      </c>
      <c r="E4153" s="41">
        <v>0.35</v>
      </c>
      <c r="F4153" s="59">
        <v>20.814499999999999</v>
      </c>
      <c r="G4153" s="59">
        <f t="shared" si="70"/>
        <v>7.2850749999999991</v>
      </c>
      <c r="H4153" s="62"/>
      <c r="I4153" s="63"/>
      <c r="J4153" s="34">
        <v>14670</v>
      </c>
    </row>
    <row r="4154" spans="1:10" ht="25.5" x14ac:dyDescent="0.25">
      <c r="A4154" s="262"/>
      <c r="B4154" s="252"/>
      <c r="C4154" s="40" t="s">
        <v>3810</v>
      </c>
      <c r="D4154" s="40" t="s">
        <v>80</v>
      </c>
      <c r="E4154" s="41">
        <v>0.2</v>
      </c>
      <c r="F4154" s="59">
        <v>179.63550000000001</v>
      </c>
      <c r="G4154" s="59">
        <f t="shared" si="70"/>
        <v>35.927100000000003</v>
      </c>
      <c r="H4154" s="62"/>
      <c r="I4154" s="63"/>
      <c r="J4154" s="34">
        <v>14670</v>
      </c>
    </row>
    <row r="4155" spans="1:10" x14ac:dyDescent="0.25">
      <c r="A4155" s="262"/>
      <c r="B4155" s="252"/>
      <c r="C4155" s="40" t="s">
        <v>1007</v>
      </c>
      <c r="D4155" s="40" t="s">
        <v>121</v>
      </c>
      <c r="E4155" s="41">
        <v>1</v>
      </c>
      <c r="F4155" s="59">
        <v>0.67449999999999999</v>
      </c>
      <c r="G4155" s="59">
        <f t="shared" si="70"/>
        <v>0.67449999999999999</v>
      </c>
      <c r="H4155" s="62"/>
      <c r="I4155" s="63"/>
      <c r="J4155" s="34">
        <v>14670</v>
      </c>
    </row>
    <row r="4156" spans="1:10" ht="25.5" x14ac:dyDescent="0.25">
      <c r="A4156" s="262"/>
      <c r="B4156" s="252"/>
      <c r="C4156" s="40" t="s">
        <v>3818</v>
      </c>
      <c r="D4156" s="40" t="s">
        <v>1035</v>
      </c>
      <c r="E4156" s="41">
        <f>1.8*1*(0.01+0.01)*10</f>
        <v>0.36000000000000004</v>
      </c>
      <c r="F4156" s="59">
        <v>52.259499999999996</v>
      </c>
      <c r="G4156" s="59">
        <f t="shared" si="70"/>
        <v>18.813420000000001</v>
      </c>
      <c r="H4156" s="62"/>
      <c r="I4156" s="63"/>
      <c r="J4156" s="34">
        <v>14670</v>
      </c>
    </row>
    <row r="4157" spans="1:10" x14ac:dyDescent="0.25">
      <c r="A4157" s="262"/>
      <c r="B4157" s="252"/>
      <c r="C4157" s="40"/>
      <c r="D4157" s="40"/>
      <c r="E4157" s="41"/>
      <c r="F4157" s="59" t="s">
        <v>23</v>
      </c>
      <c r="G4157" s="59"/>
      <c r="H4157" s="62"/>
      <c r="I4157" s="63"/>
      <c r="J4157" s="34">
        <v>14670</v>
      </c>
    </row>
    <row r="4158" spans="1:10" x14ac:dyDescent="0.25">
      <c r="A4158" s="262"/>
      <c r="B4158" s="252"/>
      <c r="C4158" s="50" t="s">
        <v>1008</v>
      </c>
      <c r="D4158" s="40"/>
      <c r="E4158" s="41"/>
      <c r="F4158" s="59" t="s">
        <v>23</v>
      </c>
      <c r="G4158" s="59"/>
      <c r="H4158" s="62"/>
      <c r="I4158" s="63"/>
      <c r="J4158" s="34">
        <v>14670</v>
      </c>
    </row>
    <row r="4159" spans="1:10" x14ac:dyDescent="0.25">
      <c r="A4159" s="262"/>
      <c r="B4159" s="252"/>
      <c r="C4159" s="50" t="s">
        <v>1009</v>
      </c>
      <c r="D4159" s="40"/>
      <c r="E4159" s="41"/>
      <c r="F4159" s="59" t="s">
        <v>23</v>
      </c>
      <c r="G4159" s="59"/>
      <c r="H4159" s="62"/>
      <c r="I4159" s="63"/>
      <c r="J4159" s="34">
        <v>14670</v>
      </c>
    </row>
    <row r="4160" spans="1:10" ht="15.75" thickBot="1" x14ac:dyDescent="0.3">
      <c r="A4160" s="263"/>
      <c r="B4160" s="253"/>
      <c r="C4160" s="60"/>
      <c r="D4160" s="60"/>
      <c r="E4160" s="79"/>
      <c r="F4160" s="80" t="s">
        <v>23</v>
      </c>
      <c r="G4160" s="80" t="str">
        <f t="shared" ref="G4160:G4223" si="71">IF(ISNUMBER(F4160),E4160*F4160,"")</f>
        <v/>
      </c>
      <c r="H4160" s="81"/>
      <c r="I4160" s="63"/>
      <c r="J4160" s="34">
        <v>14670</v>
      </c>
    </row>
    <row r="4161" spans="1:10" ht="15.75" thickBot="1" x14ac:dyDescent="0.3">
      <c r="A4161" s="248" t="s">
        <v>1010</v>
      </c>
      <c r="B4161" s="251" t="s">
        <v>2855</v>
      </c>
      <c r="C4161" s="28"/>
      <c r="D4161" s="29" t="s">
        <v>78</v>
      </c>
      <c r="E4161" s="30"/>
      <c r="F4161" s="51" t="s">
        <v>23</v>
      </c>
      <c r="G4161" s="31" t="str">
        <f t="shared" si="71"/>
        <v/>
      </c>
      <c r="H4161" s="32"/>
      <c r="I4161" s="33"/>
      <c r="J4161" s="34">
        <v>2180</v>
      </c>
    </row>
    <row r="4162" spans="1:10" x14ac:dyDescent="0.25">
      <c r="A4162" s="262"/>
      <c r="B4162" s="252"/>
      <c r="C4162" s="36"/>
      <c r="D4162" s="36"/>
      <c r="E4162" s="37"/>
      <c r="F4162" s="59" t="s">
        <v>23</v>
      </c>
      <c r="G4162" s="59" t="str">
        <f t="shared" si="71"/>
        <v/>
      </c>
      <c r="H4162" s="62"/>
      <c r="I4162" s="63"/>
      <c r="J4162" s="34">
        <v>2180</v>
      </c>
    </row>
    <row r="4163" spans="1:10" x14ac:dyDescent="0.25">
      <c r="A4163" s="262"/>
      <c r="B4163" s="252"/>
      <c r="C4163" s="40" t="s">
        <v>3757</v>
      </c>
      <c r="D4163" s="40" t="s">
        <v>3752</v>
      </c>
      <c r="E4163" s="41">
        <v>0.3</v>
      </c>
      <c r="F4163" s="59">
        <v>28.0535</v>
      </c>
      <c r="G4163" s="59">
        <f t="shared" si="71"/>
        <v>8.4160500000000003</v>
      </c>
      <c r="H4163" s="43">
        <f>SUM(G4163:G4168)</f>
        <v>132.90627499999999</v>
      </c>
      <c r="I4163" s="44"/>
      <c r="J4163" s="34">
        <v>2180</v>
      </c>
    </row>
    <row r="4164" spans="1:10" x14ac:dyDescent="0.25">
      <c r="A4164" s="262"/>
      <c r="B4164" s="252"/>
      <c r="C4164" s="40" t="s">
        <v>3754</v>
      </c>
      <c r="D4164" s="40" t="s">
        <v>3752</v>
      </c>
      <c r="E4164" s="41">
        <f>0.3+0.25</f>
        <v>0.55000000000000004</v>
      </c>
      <c r="F4164" s="59">
        <v>20.814499999999999</v>
      </c>
      <c r="G4164" s="59">
        <f t="shared" si="71"/>
        <v>11.447975</v>
      </c>
      <c r="H4164" s="62"/>
      <c r="I4164" s="63"/>
      <c r="J4164" s="34">
        <v>2180</v>
      </c>
    </row>
    <row r="4165" spans="1:10" x14ac:dyDescent="0.25">
      <c r="A4165" s="262"/>
      <c r="B4165" s="252"/>
      <c r="C4165" s="40" t="s">
        <v>1011</v>
      </c>
      <c r="D4165" s="40" t="s">
        <v>82</v>
      </c>
      <c r="E4165" s="41">
        <v>5</v>
      </c>
      <c r="F4165" s="59">
        <v>18.97</v>
      </c>
      <c r="G4165" s="59">
        <f t="shared" si="71"/>
        <v>94.85</v>
      </c>
      <c r="H4165" s="62"/>
      <c r="I4165" s="63"/>
      <c r="J4165" s="34">
        <v>2180</v>
      </c>
    </row>
    <row r="4166" spans="1:10" x14ac:dyDescent="0.25">
      <c r="A4166" s="262"/>
      <c r="B4166" s="252"/>
      <c r="C4166" s="40" t="s">
        <v>1012</v>
      </c>
      <c r="D4166" s="40" t="s">
        <v>82</v>
      </c>
      <c r="E4166" s="41">
        <v>0.5</v>
      </c>
      <c r="F4166" s="59">
        <v>25</v>
      </c>
      <c r="G4166" s="59">
        <f t="shared" si="71"/>
        <v>12.5</v>
      </c>
      <c r="H4166" s="62"/>
      <c r="I4166" s="63"/>
      <c r="J4166" s="34">
        <v>2180</v>
      </c>
    </row>
    <row r="4167" spans="1:10" x14ac:dyDescent="0.25">
      <c r="A4167" s="262"/>
      <c r="B4167" s="252"/>
      <c r="C4167" s="40" t="s">
        <v>1013</v>
      </c>
      <c r="D4167" s="40" t="s">
        <v>82</v>
      </c>
      <c r="E4167" s="41">
        <v>0.1</v>
      </c>
      <c r="F4167" s="59">
        <v>41.2</v>
      </c>
      <c r="G4167" s="59">
        <f t="shared" si="71"/>
        <v>4.12</v>
      </c>
      <c r="H4167" s="62"/>
      <c r="I4167" s="63"/>
      <c r="J4167" s="34">
        <v>2180</v>
      </c>
    </row>
    <row r="4168" spans="1:10" x14ac:dyDescent="0.25">
      <c r="A4168" s="262"/>
      <c r="B4168" s="252"/>
      <c r="C4168" s="40" t="s">
        <v>1014</v>
      </c>
      <c r="D4168" s="40" t="s">
        <v>291</v>
      </c>
      <c r="E4168" s="41">
        <v>0.5</v>
      </c>
      <c r="F4168" s="59">
        <v>3.1444999999999999</v>
      </c>
      <c r="G4168" s="59">
        <f t="shared" si="71"/>
        <v>1.5722499999999999</v>
      </c>
      <c r="H4168" s="62"/>
      <c r="I4168" s="63"/>
      <c r="J4168" s="34">
        <v>2180</v>
      </c>
    </row>
    <row r="4169" spans="1:10" x14ac:dyDescent="0.25">
      <c r="A4169" s="262"/>
      <c r="B4169" s="252"/>
      <c r="C4169" s="40"/>
      <c r="D4169" s="40"/>
      <c r="E4169" s="41"/>
      <c r="F4169" s="59" t="s">
        <v>23</v>
      </c>
      <c r="G4169" s="59" t="str">
        <f t="shared" si="71"/>
        <v/>
      </c>
      <c r="H4169" s="62"/>
      <c r="I4169" s="63"/>
      <c r="J4169" s="34">
        <v>2180</v>
      </c>
    </row>
    <row r="4170" spans="1:10" x14ac:dyDescent="0.25">
      <c r="A4170" s="262"/>
      <c r="B4170" s="252"/>
      <c r="C4170" s="50" t="s">
        <v>1015</v>
      </c>
      <c r="D4170" s="40"/>
      <c r="E4170" s="41"/>
      <c r="F4170" s="59" t="s">
        <v>23</v>
      </c>
      <c r="G4170" s="59" t="str">
        <f t="shared" si="71"/>
        <v/>
      </c>
      <c r="H4170" s="62"/>
      <c r="I4170" s="63"/>
      <c r="J4170" s="34">
        <v>2180</v>
      </c>
    </row>
    <row r="4171" spans="1:10" ht="15.75" thickBot="1" x14ac:dyDescent="0.3">
      <c r="A4171" s="263"/>
      <c r="B4171" s="253"/>
      <c r="C4171" s="60"/>
      <c r="D4171" s="60"/>
      <c r="E4171" s="79"/>
      <c r="F4171" s="59" t="s">
        <v>23</v>
      </c>
      <c r="G4171" s="59" t="str">
        <f t="shared" si="71"/>
        <v/>
      </c>
      <c r="H4171" s="81"/>
      <c r="I4171" s="63"/>
      <c r="J4171" s="34">
        <v>2180</v>
      </c>
    </row>
    <row r="4172" spans="1:10" ht="15.75" thickBot="1" x14ac:dyDescent="0.3">
      <c r="A4172" s="248" t="s">
        <v>1016</v>
      </c>
      <c r="B4172" s="251" t="s">
        <v>2856</v>
      </c>
      <c r="C4172" s="28"/>
      <c r="D4172" s="29" t="s">
        <v>78</v>
      </c>
      <c r="E4172" s="30"/>
      <c r="F4172" s="51" t="s">
        <v>23</v>
      </c>
      <c r="G4172" s="31" t="str">
        <f t="shared" si="71"/>
        <v/>
      </c>
      <c r="H4172" s="32"/>
      <c r="I4172" s="33"/>
      <c r="J4172" s="34">
        <v>10610</v>
      </c>
    </row>
    <row r="4173" spans="1:10" x14ac:dyDescent="0.25">
      <c r="A4173" s="262"/>
      <c r="B4173" s="252"/>
      <c r="C4173" s="36"/>
      <c r="D4173" s="36"/>
      <c r="E4173" s="37"/>
      <c r="F4173" s="59" t="s">
        <v>23</v>
      </c>
      <c r="G4173" s="59" t="str">
        <f t="shared" si="71"/>
        <v/>
      </c>
      <c r="H4173" s="62"/>
      <c r="I4173" s="63"/>
      <c r="J4173" s="34">
        <v>10610</v>
      </c>
    </row>
    <row r="4174" spans="1:10" ht="25.5" x14ac:dyDescent="0.25">
      <c r="A4174" s="262"/>
      <c r="B4174" s="252"/>
      <c r="C4174" s="40" t="s">
        <v>1017</v>
      </c>
      <c r="D4174" s="40" t="s">
        <v>78</v>
      </c>
      <c r="E4174" s="41">
        <v>1</v>
      </c>
      <c r="F4174" s="59">
        <v>49.523499999999999</v>
      </c>
      <c r="G4174" s="59">
        <f t="shared" si="71"/>
        <v>49.523499999999999</v>
      </c>
      <c r="H4174" s="43">
        <f>SUM(G4174:G4174)</f>
        <v>49.523499999999999</v>
      </c>
      <c r="I4174" s="44"/>
      <c r="J4174" s="34">
        <v>10610</v>
      </c>
    </row>
    <row r="4175" spans="1:10" ht="15.75" thickBot="1" x14ac:dyDescent="0.3">
      <c r="A4175" s="263"/>
      <c r="B4175" s="253"/>
      <c r="C4175" s="60"/>
      <c r="D4175" s="60"/>
      <c r="E4175" s="79"/>
      <c r="F4175" s="80" t="s">
        <v>23</v>
      </c>
      <c r="G4175" s="80" t="str">
        <f t="shared" si="71"/>
        <v/>
      </c>
      <c r="H4175" s="81"/>
      <c r="I4175" s="63"/>
      <c r="J4175" s="34">
        <v>10610</v>
      </c>
    </row>
    <row r="4176" spans="1:10" ht="15.75" thickBot="1" x14ac:dyDescent="0.3">
      <c r="A4176" s="248" t="s">
        <v>1018</v>
      </c>
      <c r="B4176" s="251" t="s">
        <v>2857</v>
      </c>
      <c r="C4176" s="28"/>
      <c r="D4176" s="29" t="s">
        <v>78</v>
      </c>
      <c r="E4176" s="30"/>
      <c r="F4176" s="51" t="s">
        <v>23</v>
      </c>
      <c r="G4176" s="31" t="str">
        <f t="shared" si="71"/>
        <v/>
      </c>
      <c r="H4176" s="32"/>
      <c r="I4176" s="33"/>
      <c r="J4176" s="34">
        <v>1010</v>
      </c>
    </row>
    <row r="4177" spans="1:10" x14ac:dyDescent="0.25">
      <c r="A4177" s="262"/>
      <c r="B4177" s="252"/>
      <c r="C4177" s="36"/>
      <c r="D4177" s="36"/>
      <c r="E4177" s="37"/>
      <c r="F4177" s="59" t="s">
        <v>23</v>
      </c>
      <c r="G4177" s="59" t="str">
        <f t="shared" si="71"/>
        <v/>
      </c>
      <c r="H4177" s="62"/>
      <c r="I4177" s="63"/>
      <c r="J4177" s="34">
        <v>1010</v>
      </c>
    </row>
    <row r="4178" spans="1:10" ht="25.5" x14ac:dyDescent="0.25">
      <c r="A4178" s="262"/>
      <c r="B4178" s="252"/>
      <c r="C4178" s="40" t="s">
        <v>3853</v>
      </c>
      <c r="D4178" s="40" t="s">
        <v>177</v>
      </c>
      <c r="E4178" s="41">
        <v>1.05</v>
      </c>
      <c r="F4178" s="59">
        <v>179.1985</v>
      </c>
      <c r="G4178" s="59">
        <f t="shared" si="71"/>
        <v>188.15842499999999</v>
      </c>
      <c r="H4178" s="43">
        <f>SUM(G4178:G4181)</f>
        <v>234.57702574999999</v>
      </c>
      <c r="I4178" s="44"/>
      <c r="J4178" s="34">
        <v>1010</v>
      </c>
    </row>
    <row r="4179" spans="1:10" x14ac:dyDescent="0.25">
      <c r="A4179" s="262"/>
      <c r="B4179" s="252"/>
      <c r="C4179" s="40" t="s">
        <v>4031</v>
      </c>
      <c r="D4179" s="40" t="s">
        <v>1035</v>
      </c>
      <c r="E4179" s="41">
        <v>0.57499999999999996</v>
      </c>
      <c r="F4179" s="59">
        <v>44.317499999999995</v>
      </c>
      <c r="G4179" s="59">
        <f t="shared" si="71"/>
        <v>25.482562499999997</v>
      </c>
      <c r="H4179" s="62"/>
      <c r="I4179" s="63"/>
      <c r="J4179" s="34">
        <v>1010</v>
      </c>
    </row>
    <row r="4180" spans="1:10" x14ac:dyDescent="0.25">
      <c r="A4180" s="262"/>
      <c r="B4180" s="252"/>
      <c r="C4180" s="40" t="s">
        <v>3754</v>
      </c>
      <c r="D4180" s="40" t="s">
        <v>3752</v>
      </c>
      <c r="E4180" s="41">
        <v>0.2399</v>
      </c>
      <c r="F4180" s="59">
        <v>20.814499999999999</v>
      </c>
      <c r="G4180" s="59">
        <f t="shared" si="71"/>
        <v>4.9933985500000002</v>
      </c>
      <c r="H4180" s="62"/>
      <c r="I4180" s="63"/>
      <c r="J4180" s="34">
        <v>1010</v>
      </c>
    </row>
    <row r="4181" spans="1:10" x14ac:dyDescent="0.25">
      <c r="A4181" s="262"/>
      <c r="B4181" s="252"/>
      <c r="C4181" s="40" t="s">
        <v>3978</v>
      </c>
      <c r="D4181" s="40" t="s">
        <v>3752</v>
      </c>
      <c r="E4181" s="41">
        <v>0.57589999999999997</v>
      </c>
      <c r="F4181" s="59">
        <v>27.683</v>
      </c>
      <c r="G4181" s="59">
        <f t="shared" si="71"/>
        <v>15.942639699999999</v>
      </c>
      <c r="H4181" s="62"/>
      <c r="I4181" s="63"/>
      <c r="J4181" s="34">
        <v>1010</v>
      </c>
    </row>
    <row r="4182" spans="1:10" ht="15.75" thickBot="1" x14ac:dyDescent="0.3">
      <c r="A4182" s="262"/>
      <c r="B4182" s="252"/>
      <c r="C4182" s="60"/>
      <c r="D4182" s="60"/>
      <c r="E4182" s="79"/>
      <c r="F4182" s="80" t="s">
        <v>23</v>
      </c>
      <c r="G4182" s="80" t="str">
        <f t="shared" si="71"/>
        <v/>
      </c>
      <c r="H4182" s="81"/>
      <c r="I4182" s="63"/>
      <c r="J4182" s="34">
        <v>1010</v>
      </c>
    </row>
    <row r="4183" spans="1:10" ht="15.75" thickBot="1" x14ac:dyDescent="0.3">
      <c r="A4183" s="248" t="s">
        <v>1019</v>
      </c>
      <c r="B4183" s="251" t="s">
        <v>2858</v>
      </c>
      <c r="C4183" s="28"/>
      <c r="D4183" s="29" t="s">
        <v>78</v>
      </c>
      <c r="E4183" s="30"/>
      <c r="F4183" s="51" t="s">
        <v>23</v>
      </c>
      <c r="G4183" s="31" t="str">
        <f t="shared" si="71"/>
        <v/>
      </c>
      <c r="H4183" s="32"/>
      <c r="I4183" s="33"/>
      <c r="J4183" s="34">
        <v>1610</v>
      </c>
    </row>
    <row r="4184" spans="1:10" x14ac:dyDescent="0.25">
      <c r="A4184" s="262"/>
      <c r="B4184" s="252"/>
      <c r="C4184" s="36"/>
      <c r="D4184" s="36"/>
      <c r="E4184" s="37"/>
      <c r="F4184" s="59" t="s">
        <v>23</v>
      </c>
      <c r="G4184" s="59" t="str">
        <f t="shared" si="71"/>
        <v/>
      </c>
      <c r="H4184" s="62"/>
      <c r="I4184" s="63"/>
      <c r="J4184" s="34">
        <v>1610</v>
      </c>
    </row>
    <row r="4185" spans="1:10" x14ac:dyDescent="0.25">
      <c r="A4185" s="262"/>
      <c r="B4185" s="252"/>
      <c r="C4185" s="40" t="s">
        <v>3947</v>
      </c>
      <c r="D4185" s="40" t="s">
        <v>1035</v>
      </c>
      <c r="E4185" s="41">
        <v>0.56369999999999998</v>
      </c>
      <c r="F4185" s="59">
        <v>49.029499999999999</v>
      </c>
      <c r="G4185" s="59">
        <f t="shared" si="71"/>
        <v>27.637929149999998</v>
      </c>
      <c r="H4185" s="43">
        <f>SUM(G4185:G4188)</f>
        <v>98.407203499999994</v>
      </c>
      <c r="I4185" s="44"/>
      <c r="J4185" s="34">
        <v>1610</v>
      </c>
    </row>
    <row r="4186" spans="1:10" ht="25.5" x14ac:dyDescent="0.25">
      <c r="A4186" s="262"/>
      <c r="B4186" s="252"/>
      <c r="C4186" s="40" t="s">
        <v>3979</v>
      </c>
      <c r="D4186" s="40" t="s">
        <v>177</v>
      </c>
      <c r="E4186" s="41">
        <v>1.06</v>
      </c>
      <c r="F4186" s="59">
        <v>50.007999999999996</v>
      </c>
      <c r="G4186" s="59">
        <f t="shared" si="71"/>
        <v>53.008479999999999</v>
      </c>
      <c r="H4186" s="62"/>
      <c r="I4186" s="63"/>
      <c r="J4186" s="34">
        <v>1610</v>
      </c>
    </row>
    <row r="4187" spans="1:10" x14ac:dyDescent="0.25">
      <c r="A4187" s="262"/>
      <c r="B4187" s="252"/>
      <c r="C4187" s="40" t="s">
        <v>3757</v>
      </c>
      <c r="D4187" s="40" t="s">
        <v>3752</v>
      </c>
      <c r="E4187" s="41">
        <v>0.48359999999999997</v>
      </c>
      <c r="F4187" s="59">
        <v>28.0535</v>
      </c>
      <c r="G4187" s="59">
        <f t="shared" si="71"/>
        <v>13.566672599999999</v>
      </c>
      <c r="H4187" s="62"/>
      <c r="I4187" s="63"/>
      <c r="J4187" s="34">
        <v>1610</v>
      </c>
    </row>
    <row r="4188" spans="1:10" x14ac:dyDescent="0.25">
      <c r="A4188" s="262"/>
      <c r="B4188" s="252"/>
      <c r="C4188" s="40" t="s">
        <v>3754</v>
      </c>
      <c r="D4188" s="40" t="s">
        <v>3752</v>
      </c>
      <c r="E4188" s="41">
        <v>0.20150000000000001</v>
      </c>
      <c r="F4188" s="59">
        <v>20.814499999999999</v>
      </c>
      <c r="G4188" s="59">
        <f t="shared" si="71"/>
        <v>4.1941217499999999</v>
      </c>
      <c r="H4188" s="62"/>
      <c r="I4188" s="63"/>
      <c r="J4188" s="34">
        <v>1610</v>
      </c>
    </row>
    <row r="4189" spans="1:10" ht="15.75" thickBot="1" x14ac:dyDescent="0.3">
      <c r="A4189" s="262"/>
      <c r="B4189" s="252"/>
      <c r="C4189" s="60"/>
      <c r="D4189" s="60"/>
      <c r="E4189" s="79"/>
      <c r="F4189" s="80" t="s">
        <v>23</v>
      </c>
      <c r="G4189" s="80" t="str">
        <f t="shared" si="71"/>
        <v/>
      </c>
      <c r="H4189" s="81"/>
      <c r="I4189" s="63"/>
      <c r="J4189" s="34">
        <v>1610</v>
      </c>
    </row>
    <row r="4190" spans="1:10" ht="15.75" thickBot="1" x14ac:dyDescent="0.3">
      <c r="A4190" s="248" t="s">
        <v>1020</v>
      </c>
      <c r="B4190" s="251" t="s">
        <v>2859</v>
      </c>
      <c r="C4190" s="28"/>
      <c r="D4190" s="29" t="s">
        <v>78</v>
      </c>
      <c r="E4190" s="30"/>
      <c r="F4190" s="51" t="s">
        <v>23</v>
      </c>
      <c r="G4190" s="31" t="str">
        <f t="shared" si="71"/>
        <v/>
      </c>
      <c r="H4190" s="32"/>
      <c r="I4190" s="33"/>
      <c r="J4190" s="34">
        <v>2970</v>
      </c>
    </row>
    <row r="4191" spans="1:10" x14ac:dyDescent="0.25">
      <c r="A4191" s="262"/>
      <c r="B4191" s="252"/>
      <c r="C4191" s="36"/>
      <c r="D4191" s="36"/>
      <c r="E4191" s="37"/>
      <c r="F4191" s="59" t="s">
        <v>23</v>
      </c>
      <c r="G4191" s="59" t="str">
        <f t="shared" si="71"/>
        <v/>
      </c>
      <c r="H4191" s="62"/>
      <c r="I4191" s="63"/>
      <c r="J4191" s="34">
        <v>2970</v>
      </c>
    </row>
    <row r="4192" spans="1:10" ht="25.5" x14ac:dyDescent="0.25">
      <c r="A4192" s="262"/>
      <c r="B4192" s="252"/>
      <c r="C4192" s="40" t="s">
        <v>1021</v>
      </c>
      <c r="D4192" s="53" t="s">
        <v>177</v>
      </c>
      <c r="E4192" s="41">
        <v>1.05</v>
      </c>
      <c r="F4192" s="59">
        <v>73.92</v>
      </c>
      <c r="G4192" s="59">
        <f t="shared" si="71"/>
        <v>77.616</v>
      </c>
      <c r="H4192" s="43">
        <f>SUM(G4192:G4194)</f>
        <v>93.769246339999995</v>
      </c>
      <c r="I4192" s="44"/>
      <c r="J4192" s="34">
        <v>2970</v>
      </c>
    </row>
    <row r="4193" spans="1:10" x14ac:dyDescent="0.25">
      <c r="A4193" s="262"/>
      <c r="B4193" s="252"/>
      <c r="C4193" s="40" t="s">
        <v>3754</v>
      </c>
      <c r="D4193" s="40" t="s">
        <v>3752</v>
      </c>
      <c r="E4193" s="41">
        <v>0.2399</v>
      </c>
      <c r="F4193" s="59">
        <v>20.814499999999999</v>
      </c>
      <c r="G4193" s="59">
        <f t="shared" si="71"/>
        <v>4.9933985500000002</v>
      </c>
      <c r="H4193" s="62"/>
      <c r="I4193" s="63"/>
      <c r="J4193" s="34">
        <v>2970</v>
      </c>
    </row>
    <row r="4194" spans="1:10" x14ac:dyDescent="0.25">
      <c r="A4194" s="262"/>
      <c r="B4194" s="252"/>
      <c r="C4194" s="40" t="s">
        <v>3978</v>
      </c>
      <c r="D4194" s="40" t="s">
        <v>3752</v>
      </c>
      <c r="E4194" s="41">
        <f>0.5759*0.7</f>
        <v>0.40312999999999993</v>
      </c>
      <c r="F4194" s="59">
        <v>27.683</v>
      </c>
      <c r="G4194" s="59">
        <f t="shared" si="71"/>
        <v>11.159847789999999</v>
      </c>
      <c r="H4194" s="62"/>
      <c r="I4194" s="63"/>
      <c r="J4194" s="34">
        <v>2970</v>
      </c>
    </row>
    <row r="4195" spans="1:10" ht="15.75" thickBot="1" x14ac:dyDescent="0.3">
      <c r="A4195" s="262"/>
      <c r="B4195" s="252"/>
      <c r="C4195" s="60"/>
      <c r="D4195" s="60"/>
      <c r="E4195" s="79"/>
      <c r="F4195" s="80" t="s">
        <v>23</v>
      </c>
      <c r="G4195" s="80" t="str">
        <f t="shared" si="71"/>
        <v/>
      </c>
      <c r="H4195" s="81"/>
      <c r="I4195" s="63"/>
      <c r="J4195" s="34">
        <v>2970</v>
      </c>
    </row>
    <row r="4196" spans="1:10" ht="15.75" thickBot="1" x14ac:dyDescent="0.3">
      <c r="A4196" s="248" t="s">
        <v>1022</v>
      </c>
      <c r="B4196" s="251" t="s">
        <v>2860</v>
      </c>
      <c r="C4196" s="28"/>
      <c r="D4196" s="29" t="s">
        <v>78</v>
      </c>
      <c r="E4196" s="30"/>
      <c r="F4196" s="51" t="s">
        <v>23</v>
      </c>
      <c r="G4196" s="31" t="str">
        <f t="shared" si="71"/>
        <v/>
      </c>
      <c r="H4196" s="32"/>
      <c r="I4196" s="33"/>
      <c r="J4196" s="34">
        <v>900</v>
      </c>
    </row>
    <row r="4197" spans="1:10" x14ac:dyDescent="0.25">
      <c r="A4197" s="262"/>
      <c r="B4197" s="252"/>
      <c r="C4197" s="36"/>
      <c r="D4197" s="36"/>
      <c r="E4197" s="37"/>
      <c r="F4197" s="59" t="s">
        <v>23</v>
      </c>
      <c r="G4197" s="59" t="str">
        <f t="shared" si="71"/>
        <v/>
      </c>
      <c r="H4197" s="62"/>
      <c r="I4197" s="63"/>
      <c r="J4197" s="34">
        <v>900</v>
      </c>
    </row>
    <row r="4198" spans="1:10" ht="25.5" x14ac:dyDescent="0.25">
      <c r="A4198" s="262"/>
      <c r="B4198" s="252"/>
      <c r="C4198" s="40" t="s">
        <v>1023</v>
      </c>
      <c r="D4198" s="40" t="s">
        <v>78</v>
      </c>
      <c r="E4198" s="41">
        <v>1.05</v>
      </c>
      <c r="F4198" s="59">
        <v>241.62</v>
      </c>
      <c r="G4198" s="59">
        <f t="shared" si="71"/>
        <v>253.70100000000002</v>
      </c>
      <c r="H4198" s="43">
        <f>SUM(G4198:G4200)</f>
        <v>266.18846500000001</v>
      </c>
      <c r="I4198" s="44"/>
      <c r="J4198" s="34">
        <v>900</v>
      </c>
    </row>
    <row r="4199" spans="1:10" x14ac:dyDescent="0.25">
      <c r="A4199" s="262"/>
      <c r="B4199" s="252"/>
      <c r="C4199" s="40" t="s">
        <v>3978</v>
      </c>
      <c r="D4199" s="40" t="s">
        <v>3752</v>
      </c>
      <c r="E4199" s="41">
        <v>0.15</v>
      </c>
      <c r="F4199" s="59">
        <v>27.683</v>
      </c>
      <c r="G4199" s="59">
        <f t="shared" si="71"/>
        <v>4.15245</v>
      </c>
      <c r="H4199" s="62"/>
      <c r="I4199" s="63"/>
      <c r="J4199" s="34">
        <v>900</v>
      </c>
    </row>
    <row r="4200" spans="1:10" x14ac:dyDescent="0.25">
      <c r="A4200" s="262"/>
      <c r="B4200" s="252"/>
      <c r="C4200" s="40" t="s">
        <v>3947</v>
      </c>
      <c r="D4200" s="40" t="s">
        <v>1035</v>
      </c>
      <c r="E4200" s="41">
        <v>0.17</v>
      </c>
      <c r="F4200" s="59">
        <v>49.029499999999999</v>
      </c>
      <c r="G4200" s="59">
        <f t="shared" si="71"/>
        <v>8.3350150000000003</v>
      </c>
      <c r="H4200" s="62"/>
      <c r="I4200" s="63"/>
      <c r="J4200" s="34">
        <v>900</v>
      </c>
    </row>
    <row r="4201" spans="1:10" ht="15.75" thickBot="1" x14ac:dyDescent="0.3">
      <c r="A4201" s="262"/>
      <c r="B4201" s="252"/>
      <c r="C4201" s="60"/>
      <c r="D4201" s="60"/>
      <c r="E4201" s="79"/>
      <c r="F4201" s="80" t="s">
        <v>23</v>
      </c>
      <c r="G4201" s="80" t="str">
        <f t="shared" si="71"/>
        <v/>
      </c>
      <c r="H4201" s="81"/>
      <c r="I4201" s="63"/>
      <c r="J4201" s="34">
        <v>900</v>
      </c>
    </row>
    <row r="4202" spans="1:10" ht="15.75" thickBot="1" x14ac:dyDescent="0.3">
      <c r="A4202" s="248" t="s">
        <v>1024</v>
      </c>
      <c r="B4202" s="251" t="s">
        <v>2861</v>
      </c>
      <c r="C4202" s="28"/>
      <c r="D4202" s="29" t="s">
        <v>78</v>
      </c>
      <c r="E4202" s="30"/>
      <c r="F4202" s="51" t="s">
        <v>23</v>
      </c>
      <c r="G4202" s="31" t="str">
        <f t="shared" si="71"/>
        <v/>
      </c>
      <c r="H4202" s="32"/>
      <c r="I4202" s="33"/>
      <c r="J4202" s="34">
        <v>900</v>
      </c>
    </row>
    <row r="4203" spans="1:10" x14ac:dyDescent="0.25">
      <c r="A4203" s="262"/>
      <c r="B4203" s="252"/>
      <c r="C4203" s="36"/>
      <c r="D4203" s="36"/>
      <c r="E4203" s="37"/>
      <c r="F4203" s="59" t="s">
        <v>23</v>
      </c>
      <c r="G4203" s="59" t="str">
        <f t="shared" si="71"/>
        <v/>
      </c>
      <c r="H4203" s="62"/>
      <c r="I4203" s="63"/>
      <c r="J4203" s="34">
        <v>900</v>
      </c>
    </row>
    <row r="4204" spans="1:10" ht="25.5" x14ac:dyDescent="0.25">
      <c r="A4204" s="262"/>
      <c r="B4204" s="252"/>
      <c r="C4204" s="40" t="s">
        <v>1025</v>
      </c>
      <c r="D4204" s="40" t="s">
        <v>78</v>
      </c>
      <c r="E4204" s="41">
        <v>1.05</v>
      </c>
      <c r="F4204" s="59">
        <v>314.2</v>
      </c>
      <c r="G4204" s="59">
        <f t="shared" si="71"/>
        <v>329.91</v>
      </c>
      <c r="H4204" s="43">
        <f>SUM(G4204:G4206)</f>
        <v>342.39746500000001</v>
      </c>
      <c r="I4204" s="44"/>
      <c r="J4204" s="34">
        <v>900</v>
      </c>
    </row>
    <row r="4205" spans="1:10" x14ac:dyDescent="0.25">
      <c r="A4205" s="262"/>
      <c r="B4205" s="252"/>
      <c r="C4205" s="40" t="s">
        <v>3978</v>
      </c>
      <c r="D4205" s="40" t="s">
        <v>3752</v>
      </c>
      <c r="E4205" s="41">
        <v>0.15</v>
      </c>
      <c r="F4205" s="59">
        <v>27.683</v>
      </c>
      <c r="G4205" s="59">
        <f t="shared" si="71"/>
        <v>4.15245</v>
      </c>
      <c r="H4205" s="62"/>
      <c r="I4205" s="63"/>
      <c r="J4205" s="34">
        <v>900</v>
      </c>
    </row>
    <row r="4206" spans="1:10" x14ac:dyDescent="0.25">
      <c r="A4206" s="262"/>
      <c r="B4206" s="252"/>
      <c r="C4206" s="40" t="s">
        <v>3947</v>
      </c>
      <c r="D4206" s="40" t="s">
        <v>1035</v>
      </c>
      <c r="E4206" s="41">
        <v>0.17</v>
      </c>
      <c r="F4206" s="59">
        <v>49.029499999999999</v>
      </c>
      <c r="G4206" s="59">
        <f t="shared" si="71"/>
        <v>8.3350150000000003</v>
      </c>
      <c r="H4206" s="62"/>
      <c r="I4206" s="63"/>
      <c r="J4206" s="34">
        <v>900</v>
      </c>
    </row>
    <row r="4207" spans="1:10" ht="15.75" thickBot="1" x14ac:dyDescent="0.3">
      <c r="A4207" s="262"/>
      <c r="B4207" s="252"/>
      <c r="C4207" s="60"/>
      <c r="D4207" s="60"/>
      <c r="E4207" s="79"/>
      <c r="F4207" s="80" t="s">
        <v>23</v>
      </c>
      <c r="G4207" s="80" t="str">
        <f t="shared" si="71"/>
        <v/>
      </c>
      <c r="H4207" s="81"/>
      <c r="I4207" s="63"/>
      <c r="J4207" s="34">
        <v>900</v>
      </c>
    </row>
    <row r="4208" spans="1:10" ht="15.75" thickBot="1" x14ac:dyDescent="0.3">
      <c r="A4208" s="248" t="s">
        <v>1026</v>
      </c>
      <c r="B4208" s="251" t="s">
        <v>2862</v>
      </c>
      <c r="C4208" s="28"/>
      <c r="D4208" s="29" t="s">
        <v>78</v>
      </c>
      <c r="E4208" s="30"/>
      <c r="F4208" s="51" t="s">
        <v>23</v>
      </c>
      <c r="G4208" s="31" t="str">
        <f t="shared" si="71"/>
        <v/>
      </c>
      <c r="H4208" s="32"/>
      <c r="I4208" s="33"/>
      <c r="J4208" s="34">
        <v>270</v>
      </c>
    </row>
    <row r="4209" spans="1:10" x14ac:dyDescent="0.25">
      <c r="A4209" s="262"/>
      <c r="B4209" s="252"/>
      <c r="C4209" s="36"/>
      <c r="D4209" s="36"/>
      <c r="E4209" s="37"/>
      <c r="F4209" s="59" t="s">
        <v>23</v>
      </c>
      <c r="G4209" s="59" t="str">
        <f t="shared" si="71"/>
        <v/>
      </c>
      <c r="H4209" s="62"/>
      <c r="I4209" s="63"/>
      <c r="J4209" s="34">
        <v>270</v>
      </c>
    </row>
    <row r="4210" spans="1:10" x14ac:dyDescent="0.25">
      <c r="A4210" s="262"/>
      <c r="B4210" s="252"/>
      <c r="C4210" s="40" t="s">
        <v>4648</v>
      </c>
      <c r="D4210" s="40" t="s">
        <v>1035</v>
      </c>
      <c r="E4210" s="41">
        <v>2.5000000000000001E-2</v>
      </c>
      <c r="F4210" s="59">
        <v>26.029999999999998</v>
      </c>
      <c r="G4210" s="59">
        <f t="shared" si="71"/>
        <v>0.65074999999999994</v>
      </c>
      <c r="H4210" s="43">
        <f>SUM(G4210:G4216)</f>
        <v>42.319388749999995</v>
      </c>
      <c r="I4210" s="44"/>
      <c r="J4210" s="34">
        <v>270</v>
      </c>
    </row>
    <row r="4211" spans="1:10" ht="25.5" x14ac:dyDescent="0.25">
      <c r="A4211" s="262"/>
      <c r="B4211" s="252"/>
      <c r="C4211" s="40" t="s">
        <v>4132</v>
      </c>
      <c r="D4211" s="40" t="s">
        <v>1035</v>
      </c>
      <c r="E4211" s="41">
        <v>0.99639999999999995</v>
      </c>
      <c r="F4211" s="59">
        <v>0.65549999999999997</v>
      </c>
      <c r="G4211" s="59">
        <f t="shared" si="71"/>
        <v>0.65314019999999995</v>
      </c>
      <c r="H4211" s="62"/>
      <c r="I4211" s="63"/>
      <c r="J4211" s="34">
        <v>270</v>
      </c>
    </row>
    <row r="4212" spans="1:10" ht="25.5" x14ac:dyDescent="0.25">
      <c r="A4212" s="262"/>
      <c r="B4212" s="252"/>
      <c r="C4212" s="40" t="s">
        <v>4156</v>
      </c>
      <c r="D4212" s="40" t="s">
        <v>177</v>
      </c>
      <c r="E4212" s="41">
        <v>1.0293000000000001</v>
      </c>
      <c r="F4212" s="59">
        <v>9.234</v>
      </c>
      <c r="G4212" s="59">
        <f t="shared" si="71"/>
        <v>9.5045562000000015</v>
      </c>
      <c r="H4212" s="62"/>
      <c r="I4212" s="63"/>
      <c r="J4212" s="34">
        <v>270</v>
      </c>
    </row>
    <row r="4213" spans="1:10" x14ac:dyDescent="0.25">
      <c r="A4213" s="262"/>
      <c r="B4213" s="252"/>
      <c r="C4213" s="40" t="s">
        <v>4658</v>
      </c>
      <c r="D4213" s="40" t="s">
        <v>1035</v>
      </c>
      <c r="E4213" s="41">
        <v>7.7999999999999996E-3</v>
      </c>
      <c r="F4213" s="59">
        <v>19</v>
      </c>
      <c r="G4213" s="59">
        <f t="shared" si="71"/>
        <v>0.1482</v>
      </c>
      <c r="H4213" s="62"/>
      <c r="I4213" s="63"/>
      <c r="J4213" s="34">
        <v>270</v>
      </c>
    </row>
    <row r="4214" spans="1:10" ht="25.5" x14ac:dyDescent="0.25">
      <c r="A4214" s="262"/>
      <c r="B4214" s="252"/>
      <c r="C4214" s="40" t="s">
        <v>4127</v>
      </c>
      <c r="D4214" s="40" t="s">
        <v>3799</v>
      </c>
      <c r="E4214" s="41">
        <v>3.0800000000000001E-2</v>
      </c>
      <c r="F4214" s="59">
        <v>27.701999999999998</v>
      </c>
      <c r="G4214" s="59">
        <f t="shared" si="71"/>
        <v>0.85322160000000002</v>
      </c>
      <c r="H4214" s="62"/>
      <c r="I4214" s="63"/>
      <c r="J4214" s="34">
        <v>270</v>
      </c>
    </row>
    <row r="4215" spans="1:10" x14ac:dyDescent="0.25">
      <c r="A4215" s="262"/>
      <c r="B4215" s="252"/>
      <c r="C4215" s="40" t="s">
        <v>3824</v>
      </c>
      <c r="D4215" s="40" t="s">
        <v>3752</v>
      </c>
      <c r="E4215" s="41">
        <v>0.7974</v>
      </c>
      <c r="F4215" s="59">
        <v>27.853999999999999</v>
      </c>
      <c r="G4215" s="59">
        <f t="shared" si="71"/>
        <v>22.210779599999999</v>
      </c>
      <c r="H4215" s="62"/>
      <c r="I4215" s="63"/>
      <c r="J4215" s="34">
        <v>270</v>
      </c>
    </row>
    <row r="4216" spans="1:10" x14ac:dyDescent="0.25">
      <c r="A4216" s="262"/>
      <c r="B4216" s="252"/>
      <c r="C4216" s="40" t="s">
        <v>3754</v>
      </c>
      <c r="D4216" s="40" t="s">
        <v>3752</v>
      </c>
      <c r="E4216" s="41">
        <v>0.3987</v>
      </c>
      <c r="F4216" s="59">
        <v>20.814499999999999</v>
      </c>
      <c r="G4216" s="59">
        <f t="shared" si="71"/>
        <v>8.2987411499999997</v>
      </c>
      <c r="H4216" s="62"/>
      <c r="I4216" s="63"/>
      <c r="J4216" s="34">
        <v>270</v>
      </c>
    </row>
    <row r="4217" spans="1:10" ht="15.75" thickBot="1" x14ac:dyDescent="0.3">
      <c r="A4217" s="262"/>
      <c r="B4217" s="252"/>
      <c r="C4217" s="60"/>
      <c r="D4217" s="60"/>
      <c r="E4217" s="79"/>
      <c r="F4217" s="80" t="s">
        <v>23</v>
      </c>
      <c r="G4217" s="80" t="str">
        <f t="shared" si="71"/>
        <v/>
      </c>
      <c r="H4217" s="81"/>
      <c r="I4217" s="63"/>
      <c r="J4217" s="34">
        <v>270</v>
      </c>
    </row>
    <row r="4218" spans="1:10" ht="15.75" thickBot="1" x14ac:dyDescent="0.3">
      <c r="A4218" s="248" t="s">
        <v>1027</v>
      </c>
      <c r="B4218" s="251" t="s">
        <v>2863</v>
      </c>
      <c r="C4218" s="28"/>
      <c r="D4218" s="29" t="s">
        <v>78</v>
      </c>
      <c r="E4218" s="30"/>
      <c r="F4218" s="51" t="s">
        <v>23</v>
      </c>
      <c r="G4218" s="31" t="str">
        <f t="shared" si="71"/>
        <v/>
      </c>
      <c r="H4218" s="32"/>
      <c r="I4218" s="33"/>
      <c r="J4218" s="34">
        <v>17170</v>
      </c>
    </row>
    <row r="4219" spans="1:10" x14ac:dyDescent="0.25">
      <c r="A4219" s="262"/>
      <c r="B4219" s="252"/>
      <c r="C4219" s="36"/>
      <c r="D4219" s="36"/>
      <c r="E4219" s="37"/>
      <c r="F4219" s="59" t="s">
        <v>23</v>
      </c>
      <c r="G4219" s="59" t="str">
        <f t="shared" si="71"/>
        <v/>
      </c>
      <c r="H4219" s="62"/>
      <c r="I4219" s="63"/>
      <c r="J4219" s="34">
        <v>17170</v>
      </c>
    </row>
    <row r="4220" spans="1:10" ht="25.5" x14ac:dyDescent="0.25">
      <c r="A4220" s="262"/>
      <c r="B4220" s="252"/>
      <c r="C4220" s="40" t="s">
        <v>3964</v>
      </c>
      <c r="D4220" s="40" t="s">
        <v>1035</v>
      </c>
      <c r="E4220" s="41">
        <v>1.1073999999999999</v>
      </c>
      <c r="F4220" s="59">
        <v>6.6025</v>
      </c>
      <c r="G4220" s="59">
        <f t="shared" si="71"/>
        <v>7.3116084999999993</v>
      </c>
      <c r="H4220" s="43">
        <f>SUM(G4220:G4222)</f>
        <v>12.881656099999997</v>
      </c>
      <c r="I4220" s="44"/>
      <c r="J4220" s="34">
        <v>17170</v>
      </c>
    </row>
    <row r="4221" spans="1:10" x14ac:dyDescent="0.25">
      <c r="A4221" s="262"/>
      <c r="B4221" s="252"/>
      <c r="C4221" s="40" t="s">
        <v>3753</v>
      </c>
      <c r="D4221" s="40" t="s">
        <v>3752</v>
      </c>
      <c r="E4221" s="41">
        <v>0.15409999999999999</v>
      </c>
      <c r="F4221" s="59">
        <v>29.202999999999996</v>
      </c>
      <c r="G4221" s="59">
        <f t="shared" si="71"/>
        <v>4.5001822999999987</v>
      </c>
      <c r="H4221" s="62"/>
      <c r="I4221" s="63"/>
      <c r="J4221" s="34">
        <v>17170</v>
      </c>
    </row>
    <row r="4222" spans="1:10" x14ac:dyDescent="0.25">
      <c r="A4222" s="262"/>
      <c r="B4222" s="252"/>
      <c r="C4222" s="40" t="s">
        <v>3754</v>
      </c>
      <c r="D4222" s="40" t="s">
        <v>3752</v>
      </c>
      <c r="E4222" s="41">
        <v>5.1400000000000001E-2</v>
      </c>
      <c r="F4222" s="59">
        <v>20.814499999999999</v>
      </c>
      <c r="G4222" s="59">
        <f t="shared" si="71"/>
        <v>1.0698653</v>
      </c>
      <c r="H4222" s="62"/>
      <c r="I4222" s="63"/>
      <c r="J4222" s="34">
        <v>17170</v>
      </c>
    </row>
    <row r="4223" spans="1:10" ht="15.75" thickBot="1" x14ac:dyDescent="0.3">
      <c r="A4223" s="262"/>
      <c r="B4223" s="252"/>
      <c r="C4223" s="60"/>
      <c r="D4223" s="60"/>
      <c r="E4223" s="79"/>
      <c r="F4223" s="80" t="s">
        <v>23</v>
      </c>
      <c r="G4223" s="80" t="str">
        <f t="shared" si="71"/>
        <v/>
      </c>
      <c r="H4223" s="81"/>
      <c r="I4223" s="63"/>
      <c r="J4223" s="34">
        <v>17170</v>
      </c>
    </row>
    <row r="4224" spans="1:10" ht="15.75" thickBot="1" x14ac:dyDescent="0.3">
      <c r="A4224" s="248" t="s">
        <v>1028</v>
      </c>
      <c r="B4224" s="251" t="s">
        <v>2864</v>
      </c>
      <c r="C4224" s="28"/>
      <c r="D4224" s="29" t="s">
        <v>78</v>
      </c>
      <c r="E4224" s="30"/>
      <c r="F4224" s="51" t="s">
        <v>23</v>
      </c>
      <c r="G4224" s="31" t="str">
        <f t="shared" ref="G4224:G4287" si="72">IF(ISNUMBER(F4224),E4224*F4224,"")</f>
        <v/>
      </c>
      <c r="H4224" s="32"/>
      <c r="I4224" s="33"/>
      <c r="J4224" s="34">
        <v>21140</v>
      </c>
    </row>
    <row r="4225" spans="1:10" x14ac:dyDescent="0.25">
      <c r="A4225" s="262"/>
      <c r="B4225" s="252"/>
      <c r="C4225" s="36"/>
      <c r="D4225" s="36"/>
      <c r="E4225" s="37"/>
      <c r="F4225" s="59" t="s">
        <v>23</v>
      </c>
      <c r="G4225" s="59" t="str">
        <f t="shared" si="72"/>
        <v/>
      </c>
      <c r="H4225" s="62"/>
      <c r="I4225" s="63"/>
      <c r="J4225" s="34">
        <v>21140</v>
      </c>
    </row>
    <row r="4226" spans="1:10" x14ac:dyDescent="0.25">
      <c r="A4226" s="262"/>
      <c r="B4226" s="252"/>
      <c r="C4226" s="40" t="s">
        <v>3755</v>
      </c>
      <c r="D4226" s="40" t="s">
        <v>80</v>
      </c>
      <c r="E4226" s="41">
        <f>ROUND(0.2285*1.15,4)</f>
        <v>0.26279999999999998</v>
      </c>
      <c r="F4226" s="59">
        <v>27.663999999999998</v>
      </c>
      <c r="G4226" s="59">
        <f t="shared" si="72"/>
        <v>7.2700991999999989</v>
      </c>
      <c r="H4226" s="43">
        <f>SUM(G4226:G4228)</f>
        <v>13.165417299999998</v>
      </c>
      <c r="I4226" s="44"/>
      <c r="J4226" s="34">
        <v>21140</v>
      </c>
    </row>
    <row r="4227" spans="1:10" x14ac:dyDescent="0.25">
      <c r="A4227" s="262"/>
      <c r="B4227" s="252"/>
      <c r="C4227" s="40" t="s">
        <v>3753</v>
      </c>
      <c r="D4227" s="40" t="s">
        <v>3752</v>
      </c>
      <c r="E4227" s="41">
        <v>0.16309999999999999</v>
      </c>
      <c r="F4227" s="59">
        <v>29.202999999999996</v>
      </c>
      <c r="G4227" s="59">
        <f t="shared" si="72"/>
        <v>4.7630092999999993</v>
      </c>
      <c r="H4227" s="62"/>
      <c r="I4227" s="63"/>
      <c r="J4227" s="34">
        <v>21140</v>
      </c>
    </row>
    <row r="4228" spans="1:10" x14ac:dyDescent="0.25">
      <c r="A4228" s="262"/>
      <c r="B4228" s="252"/>
      <c r="C4228" s="40" t="s">
        <v>3754</v>
      </c>
      <c r="D4228" s="40" t="s">
        <v>3752</v>
      </c>
      <c r="E4228" s="41">
        <v>5.4399999999999997E-2</v>
      </c>
      <c r="F4228" s="59">
        <v>20.814499999999999</v>
      </c>
      <c r="G4228" s="59">
        <f t="shared" si="72"/>
        <v>1.1323087999999999</v>
      </c>
      <c r="H4228" s="62"/>
      <c r="I4228" s="63"/>
      <c r="J4228" s="34">
        <v>21140</v>
      </c>
    </row>
    <row r="4229" spans="1:10" x14ac:dyDescent="0.25">
      <c r="A4229" s="262"/>
      <c r="B4229" s="252"/>
      <c r="C4229" s="40"/>
      <c r="D4229" s="40"/>
      <c r="E4229" s="41"/>
      <c r="F4229" s="59" t="s">
        <v>23</v>
      </c>
      <c r="G4229" s="59" t="str">
        <f t="shared" si="72"/>
        <v/>
      </c>
      <c r="H4229" s="62"/>
      <c r="I4229" s="63"/>
      <c r="J4229" s="34">
        <v>21140</v>
      </c>
    </row>
    <row r="4230" spans="1:10" ht="25.5" x14ac:dyDescent="0.25">
      <c r="A4230" s="262"/>
      <c r="B4230" s="252"/>
      <c r="C4230" s="40" t="s">
        <v>1029</v>
      </c>
      <c r="D4230" s="40"/>
      <c r="E4230" s="41"/>
      <c r="F4230" s="59" t="s">
        <v>23</v>
      </c>
      <c r="G4230" s="59" t="str">
        <f t="shared" si="72"/>
        <v/>
      </c>
      <c r="H4230" s="62"/>
      <c r="I4230" s="63"/>
      <c r="J4230" s="34">
        <v>21140</v>
      </c>
    </row>
    <row r="4231" spans="1:10" ht="15.75" thickBot="1" x14ac:dyDescent="0.3">
      <c r="A4231" s="262"/>
      <c r="B4231" s="252"/>
      <c r="C4231" s="60"/>
      <c r="D4231" s="60"/>
      <c r="E4231" s="79"/>
      <c r="F4231" s="80" t="s">
        <v>23</v>
      </c>
      <c r="G4231" s="80" t="str">
        <f t="shared" si="72"/>
        <v/>
      </c>
      <c r="H4231" s="81"/>
      <c r="I4231" s="63"/>
      <c r="J4231" s="34">
        <v>21140</v>
      </c>
    </row>
    <row r="4232" spans="1:10" ht="15.75" thickBot="1" x14ac:dyDescent="0.3">
      <c r="A4232" s="248" t="s">
        <v>1030</v>
      </c>
      <c r="B4232" s="251" t="s">
        <v>2867</v>
      </c>
      <c r="C4232" s="28"/>
      <c r="D4232" s="29" t="s">
        <v>78</v>
      </c>
      <c r="E4232" s="30"/>
      <c r="F4232" s="51" t="s">
        <v>23</v>
      </c>
      <c r="G4232" s="31" t="str">
        <f t="shared" si="72"/>
        <v/>
      </c>
      <c r="H4232" s="32"/>
      <c r="I4232" s="33"/>
      <c r="J4232" s="34">
        <v>140330</v>
      </c>
    </row>
    <row r="4233" spans="1:10" x14ac:dyDescent="0.25">
      <c r="A4233" s="262"/>
      <c r="B4233" s="252"/>
      <c r="C4233" s="36"/>
      <c r="D4233" s="36"/>
      <c r="E4233" s="37"/>
      <c r="F4233" s="59" t="s">
        <v>23</v>
      </c>
      <c r="G4233" s="59" t="str">
        <f t="shared" si="72"/>
        <v/>
      </c>
      <c r="H4233" s="62"/>
      <c r="I4233" s="63"/>
      <c r="J4233" s="34">
        <v>140330</v>
      </c>
    </row>
    <row r="4234" spans="1:10" x14ac:dyDescent="0.25">
      <c r="A4234" s="262"/>
      <c r="B4234" s="252"/>
      <c r="C4234" s="40" t="s">
        <v>3838</v>
      </c>
      <c r="D4234" s="40" t="s">
        <v>80</v>
      </c>
      <c r="E4234" s="41">
        <v>0.16</v>
      </c>
      <c r="F4234" s="59">
        <v>11.381</v>
      </c>
      <c r="G4234" s="59">
        <f t="shared" si="72"/>
        <v>1.8209600000000001</v>
      </c>
      <c r="H4234" s="43">
        <f>SUM(G4234:G4238)</f>
        <v>24.146330499999998</v>
      </c>
      <c r="I4234" s="44"/>
      <c r="J4234" s="34">
        <v>140330</v>
      </c>
    </row>
    <row r="4235" spans="1:10" x14ac:dyDescent="0.25">
      <c r="A4235" s="262"/>
      <c r="B4235" s="252"/>
      <c r="C4235" s="40" t="s">
        <v>3755</v>
      </c>
      <c r="D4235" s="40" t="s">
        <v>80</v>
      </c>
      <c r="E4235" s="41">
        <v>0.42699999999999999</v>
      </c>
      <c r="F4235" s="59">
        <v>27.663999999999998</v>
      </c>
      <c r="G4235" s="59">
        <f t="shared" si="72"/>
        <v>11.812527999999999</v>
      </c>
      <c r="H4235" s="62"/>
      <c r="I4235" s="63"/>
      <c r="J4235" s="34">
        <v>140330</v>
      </c>
    </row>
    <row r="4236" spans="1:10" x14ac:dyDescent="0.25">
      <c r="A4236" s="262"/>
      <c r="B4236" s="252"/>
      <c r="C4236" s="40" t="s">
        <v>4060</v>
      </c>
      <c r="D4236" s="40" t="s">
        <v>291</v>
      </c>
      <c r="E4236" s="41">
        <v>0.01</v>
      </c>
      <c r="F4236" s="59">
        <v>8.8350000000000009</v>
      </c>
      <c r="G4236" s="59">
        <f t="shared" si="72"/>
        <v>8.8350000000000012E-2</v>
      </c>
      <c r="H4236" s="62"/>
      <c r="I4236" s="63"/>
      <c r="J4236" s="34">
        <v>140330</v>
      </c>
    </row>
    <row r="4237" spans="1:10" x14ac:dyDescent="0.25">
      <c r="A4237" s="262"/>
      <c r="B4237" s="252"/>
      <c r="C4237" s="40" t="s">
        <v>3753</v>
      </c>
      <c r="D4237" s="40" t="s">
        <v>3752</v>
      </c>
      <c r="E4237" s="41">
        <v>0.27500000000000002</v>
      </c>
      <c r="F4237" s="59">
        <v>29.202999999999996</v>
      </c>
      <c r="G4237" s="59">
        <f t="shared" si="72"/>
        <v>8.0308250000000001</v>
      </c>
      <c r="H4237" s="62"/>
      <c r="I4237" s="63"/>
      <c r="J4237" s="34">
        <v>140330</v>
      </c>
    </row>
    <row r="4238" spans="1:10" x14ac:dyDescent="0.25">
      <c r="A4238" s="262"/>
      <c r="B4238" s="252"/>
      <c r="C4238" s="40" t="s">
        <v>3754</v>
      </c>
      <c r="D4238" s="40" t="s">
        <v>3752</v>
      </c>
      <c r="E4238" s="41">
        <v>0.115</v>
      </c>
      <c r="F4238" s="59">
        <v>20.814499999999999</v>
      </c>
      <c r="G4238" s="59">
        <f t="shared" si="72"/>
        <v>2.3936674999999998</v>
      </c>
      <c r="H4238" s="62"/>
      <c r="I4238" s="63"/>
      <c r="J4238" s="34">
        <v>140330</v>
      </c>
    </row>
    <row r="4239" spans="1:10" ht="15.75" thickBot="1" x14ac:dyDescent="0.3">
      <c r="A4239" s="262"/>
      <c r="B4239" s="252"/>
      <c r="C4239" s="60"/>
      <c r="D4239" s="60"/>
      <c r="E4239" s="79"/>
      <c r="F4239" s="80" t="s">
        <v>23</v>
      </c>
      <c r="G4239" s="80" t="str">
        <f t="shared" si="72"/>
        <v/>
      </c>
      <c r="H4239" s="81"/>
      <c r="I4239" s="63"/>
      <c r="J4239" s="34">
        <v>140330</v>
      </c>
    </row>
    <row r="4240" spans="1:10" ht="15.75" thickBot="1" x14ac:dyDescent="0.3">
      <c r="A4240" s="248" t="s">
        <v>1031</v>
      </c>
      <c r="B4240" s="251" t="s">
        <v>2868</v>
      </c>
      <c r="C4240" s="28"/>
      <c r="D4240" s="29" t="s">
        <v>78</v>
      </c>
      <c r="E4240" s="30"/>
      <c r="F4240" s="51" t="s">
        <v>23</v>
      </c>
      <c r="G4240" s="31" t="str">
        <f t="shared" si="72"/>
        <v/>
      </c>
      <c r="H4240" s="32"/>
      <c r="I4240" s="33"/>
      <c r="J4240" s="34">
        <v>103460</v>
      </c>
    </row>
    <row r="4241" spans="1:10" x14ac:dyDescent="0.25">
      <c r="A4241" s="262"/>
      <c r="B4241" s="252"/>
      <c r="C4241" s="36"/>
      <c r="D4241" s="36"/>
      <c r="E4241" s="37"/>
      <c r="F4241" s="59" t="s">
        <v>23</v>
      </c>
      <c r="G4241" s="59" t="str">
        <f t="shared" si="72"/>
        <v/>
      </c>
      <c r="H4241" s="62"/>
      <c r="I4241" s="63"/>
      <c r="J4241" s="34">
        <v>103460</v>
      </c>
    </row>
    <row r="4242" spans="1:10" x14ac:dyDescent="0.25">
      <c r="A4242" s="262"/>
      <c r="B4242" s="252"/>
      <c r="C4242" s="40" t="s">
        <v>3839</v>
      </c>
      <c r="D4242" s="40" t="s">
        <v>80</v>
      </c>
      <c r="E4242" s="41">
        <v>6.4000000000000001E-2</v>
      </c>
      <c r="F4242" s="59">
        <v>38.256500000000003</v>
      </c>
      <c r="G4242" s="59">
        <f t="shared" si="72"/>
        <v>2.4484160000000004</v>
      </c>
      <c r="H4242" s="43">
        <f>SUM(G4242:G4247)</f>
        <v>62.332667299999997</v>
      </c>
      <c r="I4242" s="44"/>
      <c r="J4242" s="34">
        <v>103460</v>
      </c>
    </row>
    <row r="4243" spans="1:10" x14ac:dyDescent="0.25">
      <c r="A4243" s="262"/>
      <c r="B4243" s="252"/>
      <c r="C4243" s="40" t="s">
        <v>3768</v>
      </c>
      <c r="D4243" s="40" t="s">
        <v>80</v>
      </c>
      <c r="E4243" s="41">
        <v>0.32200000000000001</v>
      </c>
      <c r="F4243" s="59">
        <v>78.925999999999988</v>
      </c>
      <c r="G4243" s="59">
        <f t="shared" si="72"/>
        <v>25.414171999999997</v>
      </c>
      <c r="H4243" s="62"/>
      <c r="I4243" s="63"/>
      <c r="J4243" s="34">
        <v>103460</v>
      </c>
    </row>
    <row r="4244" spans="1:10" x14ac:dyDescent="0.25">
      <c r="A4244" s="262"/>
      <c r="B4244" s="252"/>
      <c r="C4244" s="40" t="s">
        <v>4060</v>
      </c>
      <c r="D4244" s="40" t="s">
        <v>291</v>
      </c>
      <c r="E4244" s="41">
        <v>0.01</v>
      </c>
      <c r="F4244" s="59">
        <v>8.8350000000000009</v>
      </c>
      <c r="G4244" s="59">
        <f t="shared" si="72"/>
        <v>8.8350000000000012E-2</v>
      </c>
      <c r="H4244" s="62"/>
      <c r="I4244" s="63"/>
      <c r="J4244" s="34">
        <v>103460</v>
      </c>
    </row>
    <row r="4245" spans="1:10" x14ac:dyDescent="0.25">
      <c r="A4245" s="262"/>
      <c r="B4245" s="252"/>
      <c r="C4245" s="40" t="s">
        <v>3769</v>
      </c>
      <c r="D4245" s="40" t="s">
        <v>80</v>
      </c>
      <c r="E4245" s="41">
        <v>0.2016</v>
      </c>
      <c r="F4245" s="59">
        <v>118.8355</v>
      </c>
      <c r="G4245" s="59">
        <f t="shared" si="72"/>
        <v>23.9572368</v>
      </c>
      <c r="H4245" s="62"/>
      <c r="I4245" s="63"/>
      <c r="J4245" s="34">
        <v>103460</v>
      </c>
    </row>
    <row r="4246" spans="1:10" x14ac:dyDescent="0.25">
      <c r="A4246" s="262"/>
      <c r="B4246" s="252"/>
      <c r="C4246" s="40" t="s">
        <v>3753</v>
      </c>
      <c r="D4246" s="40" t="s">
        <v>3752</v>
      </c>
      <c r="E4246" s="41">
        <v>0.27500000000000002</v>
      </c>
      <c r="F4246" s="59">
        <v>29.202999999999996</v>
      </c>
      <c r="G4246" s="59">
        <f t="shared" si="72"/>
        <v>8.0308250000000001</v>
      </c>
      <c r="H4246" s="62"/>
      <c r="I4246" s="63"/>
      <c r="J4246" s="34">
        <v>103460</v>
      </c>
    </row>
    <row r="4247" spans="1:10" x14ac:dyDescent="0.25">
      <c r="A4247" s="262"/>
      <c r="B4247" s="252"/>
      <c r="C4247" s="40" t="s">
        <v>3754</v>
      </c>
      <c r="D4247" s="40" t="s">
        <v>3752</v>
      </c>
      <c r="E4247" s="41">
        <v>0.115</v>
      </c>
      <c r="F4247" s="59">
        <v>20.814499999999999</v>
      </c>
      <c r="G4247" s="59">
        <f t="shared" si="72"/>
        <v>2.3936674999999998</v>
      </c>
      <c r="H4247" s="62"/>
      <c r="I4247" s="63"/>
      <c r="J4247" s="34">
        <v>103460</v>
      </c>
    </row>
    <row r="4248" spans="1:10" ht="15.75" thickBot="1" x14ac:dyDescent="0.3">
      <c r="A4248" s="262"/>
      <c r="B4248" s="252"/>
      <c r="C4248" s="60"/>
      <c r="D4248" s="60"/>
      <c r="E4248" s="79"/>
      <c r="F4248" s="80" t="s">
        <v>23</v>
      </c>
      <c r="G4248" s="80" t="str">
        <f t="shared" si="72"/>
        <v/>
      </c>
      <c r="H4248" s="81"/>
      <c r="I4248" s="63"/>
      <c r="J4248" s="34">
        <v>103460</v>
      </c>
    </row>
    <row r="4249" spans="1:10" ht="15.75" thickBot="1" x14ac:dyDescent="0.3">
      <c r="A4249" s="248" t="s">
        <v>1032</v>
      </c>
      <c r="B4249" s="251" t="s">
        <v>2869</v>
      </c>
      <c r="C4249" s="28"/>
      <c r="D4249" s="29" t="s">
        <v>78</v>
      </c>
      <c r="E4249" s="30"/>
      <c r="F4249" s="51" t="s">
        <v>23</v>
      </c>
      <c r="G4249" s="31" t="str">
        <f t="shared" si="72"/>
        <v/>
      </c>
      <c r="H4249" s="32"/>
      <c r="I4249" s="33"/>
      <c r="J4249" s="34">
        <v>69590</v>
      </c>
    </row>
    <row r="4250" spans="1:10" x14ac:dyDescent="0.25">
      <c r="A4250" s="262"/>
      <c r="B4250" s="252"/>
      <c r="C4250" s="36"/>
      <c r="D4250" s="36"/>
      <c r="E4250" s="37"/>
      <c r="F4250" s="59" t="s">
        <v>23</v>
      </c>
      <c r="G4250" s="59" t="str">
        <f t="shared" si="72"/>
        <v/>
      </c>
      <c r="H4250" s="62"/>
      <c r="I4250" s="63"/>
      <c r="J4250" s="34">
        <v>69590</v>
      </c>
    </row>
    <row r="4251" spans="1:10" x14ac:dyDescent="0.25">
      <c r="A4251" s="262"/>
      <c r="B4251" s="252"/>
      <c r="C4251" s="40" t="s">
        <v>1033</v>
      </c>
      <c r="D4251" s="40" t="s">
        <v>80</v>
      </c>
      <c r="E4251" s="41">
        <v>0.04</v>
      </c>
      <c r="F4251" s="59">
        <v>27.872999999999998</v>
      </c>
      <c r="G4251" s="59">
        <f t="shared" si="72"/>
        <v>1.1149199999999999</v>
      </c>
      <c r="H4251" s="43">
        <f>SUM(G4251:G4254)</f>
        <v>79.007509999999996</v>
      </c>
      <c r="I4251" s="44"/>
      <c r="J4251" s="34">
        <v>69590</v>
      </c>
    </row>
    <row r="4252" spans="1:10" x14ac:dyDescent="0.25">
      <c r="A4252" s="262"/>
      <c r="B4252" s="252"/>
      <c r="C4252" s="40" t="s">
        <v>1034</v>
      </c>
      <c r="D4252" s="40" t="s">
        <v>1035</v>
      </c>
      <c r="E4252" s="41">
        <v>0.36</v>
      </c>
      <c r="F4252" s="59">
        <v>150.1095</v>
      </c>
      <c r="G4252" s="59">
        <f t="shared" si="72"/>
        <v>54.03942</v>
      </c>
      <c r="H4252" s="62"/>
      <c r="I4252" s="63"/>
      <c r="J4252" s="34">
        <v>69590</v>
      </c>
    </row>
    <row r="4253" spans="1:10" x14ac:dyDescent="0.25">
      <c r="A4253" s="262"/>
      <c r="B4253" s="252"/>
      <c r="C4253" s="40" t="s">
        <v>3753</v>
      </c>
      <c r="D4253" s="40" t="s">
        <v>3752</v>
      </c>
      <c r="E4253" s="41">
        <v>0.66</v>
      </c>
      <c r="F4253" s="59">
        <v>29.202999999999996</v>
      </c>
      <c r="G4253" s="59">
        <f t="shared" si="72"/>
        <v>19.273979999999998</v>
      </c>
      <c r="H4253" s="62"/>
      <c r="I4253" s="63"/>
      <c r="J4253" s="34">
        <v>69590</v>
      </c>
    </row>
    <row r="4254" spans="1:10" x14ac:dyDescent="0.25">
      <c r="A4254" s="262"/>
      <c r="B4254" s="252"/>
      <c r="C4254" s="40" t="s">
        <v>3754</v>
      </c>
      <c r="D4254" s="40" t="s">
        <v>3752</v>
      </c>
      <c r="E4254" s="41">
        <v>0.22</v>
      </c>
      <c r="F4254" s="59">
        <v>20.814499999999999</v>
      </c>
      <c r="G4254" s="59">
        <f t="shared" si="72"/>
        <v>4.5791899999999996</v>
      </c>
      <c r="H4254" s="62"/>
      <c r="I4254" s="63"/>
      <c r="J4254" s="34">
        <v>69590</v>
      </c>
    </row>
    <row r="4255" spans="1:10" ht="15.75" thickBot="1" x14ac:dyDescent="0.3">
      <c r="A4255" s="263"/>
      <c r="B4255" s="253"/>
      <c r="C4255" s="60"/>
      <c r="D4255" s="60"/>
      <c r="E4255" s="79"/>
      <c r="F4255" s="80" t="s">
        <v>23</v>
      </c>
      <c r="G4255" s="80" t="str">
        <f t="shared" si="72"/>
        <v/>
      </c>
      <c r="H4255" s="81"/>
      <c r="I4255" s="63"/>
      <c r="J4255" s="34">
        <v>69590</v>
      </c>
    </row>
    <row r="4256" spans="1:10" ht="15.75" thickBot="1" x14ac:dyDescent="0.3">
      <c r="A4256" s="248" t="s">
        <v>1036</v>
      </c>
      <c r="B4256" s="251" t="s">
        <v>2870</v>
      </c>
      <c r="C4256" s="28"/>
      <c r="D4256" s="29" t="s">
        <v>78</v>
      </c>
      <c r="E4256" s="30"/>
      <c r="F4256" s="51" t="s">
        <v>23</v>
      </c>
      <c r="G4256" s="31" t="str">
        <f t="shared" si="72"/>
        <v/>
      </c>
      <c r="H4256" s="32"/>
      <c r="I4256" s="33"/>
      <c r="J4256" s="34">
        <v>24330</v>
      </c>
    </row>
    <row r="4257" spans="1:10" x14ac:dyDescent="0.25">
      <c r="A4257" s="262"/>
      <c r="B4257" s="252"/>
      <c r="C4257" s="36"/>
      <c r="D4257" s="36"/>
      <c r="E4257" s="37"/>
      <c r="F4257" s="59" t="s">
        <v>23</v>
      </c>
      <c r="G4257" s="59" t="str">
        <f t="shared" si="72"/>
        <v/>
      </c>
      <c r="H4257" s="62"/>
      <c r="I4257" s="63"/>
      <c r="J4257" s="34">
        <v>24330</v>
      </c>
    </row>
    <row r="4258" spans="1:10" ht="25.5" x14ac:dyDescent="0.25">
      <c r="A4258" s="262"/>
      <c r="B4258" s="252"/>
      <c r="C4258" s="40" t="s">
        <v>1037</v>
      </c>
      <c r="D4258" s="40" t="s">
        <v>1035</v>
      </c>
      <c r="E4258" s="41">
        <v>2</v>
      </c>
      <c r="F4258" s="59">
        <v>3.21</v>
      </c>
      <c r="G4258" s="59">
        <f t="shared" si="72"/>
        <v>6.42</v>
      </c>
      <c r="H4258" s="43">
        <f>SUM(G4258:G4259)</f>
        <v>7.8562004999999999</v>
      </c>
      <c r="I4258" s="44"/>
      <c r="J4258" s="34">
        <v>24330</v>
      </c>
    </row>
    <row r="4259" spans="1:10" x14ac:dyDescent="0.25">
      <c r="A4259" s="262"/>
      <c r="B4259" s="252"/>
      <c r="C4259" s="40" t="s">
        <v>3754</v>
      </c>
      <c r="D4259" s="40" t="s">
        <v>3752</v>
      </c>
      <c r="E4259" s="41">
        <v>6.9000000000000006E-2</v>
      </c>
      <c r="F4259" s="59">
        <v>20.814499999999999</v>
      </c>
      <c r="G4259" s="59">
        <f t="shared" si="72"/>
        <v>1.4362005</v>
      </c>
      <c r="H4259" s="62"/>
      <c r="I4259" s="63"/>
      <c r="J4259" s="34">
        <v>24330</v>
      </c>
    </row>
    <row r="4260" spans="1:10" ht="15.75" thickBot="1" x14ac:dyDescent="0.3">
      <c r="A4260" s="262"/>
      <c r="B4260" s="252"/>
      <c r="C4260" s="60"/>
      <c r="D4260" s="60"/>
      <c r="E4260" s="79"/>
      <c r="F4260" s="80" t="s">
        <v>23</v>
      </c>
      <c r="G4260" s="80" t="str">
        <f t="shared" si="72"/>
        <v/>
      </c>
      <c r="H4260" s="81"/>
      <c r="I4260" s="63"/>
      <c r="J4260" s="34">
        <v>24330</v>
      </c>
    </row>
    <row r="4261" spans="1:10" ht="15.75" thickBot="1" x14ac:dyDescent="0.3">
      <c r="A4261" s="248" t="s">
        <v>1038</v>
      </c>
      <c r="B4261" s="251" t="s">
        <v>2871</v>
      </c>
      <c r="C4261" s="28"/>
      <c r="D4261" s="29" t="s">
        <v>78</v>
      </c>
      <c r="E4261" s="30"/>
      <c r="F4261" s="51" t="s">
        <v>23</v>
      </c>
      <c r="G4261" s="31" t="str">
        <f t="shared" si="72"/>
        <v/>
      </c>
      <c r="H4261" s="32"/>
      <c r="I4261" s="33"/>
      <c r="J4261" s="34">
        <v>90</v>
      </c>
    </row>
    <row r="4262" spans="1:10" x14ac:dyDescent="0.25">
      <c r="A4262" s="262"/>
      <c r="B4262" s="252"/>
      <c r="C4262" s="36"/>
      <c r="D4262" s="36"/>
      <c r="E4262" s="37"/>
      <c r="F4262" s="59" t="s">
        <v>23</v>
      </c>
      <c r="G4262" s="59" t="str">
        <f t="shared" si="72"/>
        <v/>
      </c>
      <c r="H4262" s="62"/>
      <c r="I4262" s="63"/>
      <c r="J4262" s="34">
        <v>90</v>
      </c>
    </row>
    <row r="4263" spans="1:10" x14ac:dyDescent="0.25">
      <c r="A4263" s="262"/>
      <c r="B4263" s="252"/>
      <c r="C4263" s="40" t="s">
        <v>4175</v>
      </c>
      <c r="D4263" s="40" t="s">
        <v>80</v>
      </c>
      <c r="E4263" s="41">
        <v>6.1899999999999997E-2</v>
      </c>
      <c r="F4263" s="59">
        <v>16.7865</v>
      </c>
      <c r="G4263" s="59">
        <f t="shared" si="72"/>
        <v>1.03908435</v>
      </c>
      <c r="H4263" s="43">
        <f>SUM(G4263:G4267)</f>
        <v>34.831275949999991</v>
      </c>
      <c r="I4263" s="44"/>
      <c r="J4263" s="34">
        <v>90</v>
      </c>
    </row>
    <row r="4264" spans="1:10" x14ac:dyDescent="0.25">
      <c r="A4264" s="262"/>
      <c r="B4264" s="252"/>
      <c r="C4264" s="40" t="s">
        <v>4139</v>
      </c>
      <c r="D4264" s="40" t="s">
        <v>80</v>
      </c>
      <c r="E4264" s="41">
        <v>0.20699999999999999</v>
      </c>
      <c r="F4264" s="59">
        <v>41.267999999999994</v>
      </c>
      <c r="G4264" s="59">
        <f t="shared" si="72"/>
        <v>8.5424759999999988</v>
      </c>
      <c r="H4264" s="62"/>
      <c r="I4264" s="63"/>
      <c r="J4264" s="34">
        <v>90</v>
      </c>
    </row>
    <row r="4265" spans="1:10" x14ac:dyDescent="0.25">
      <c r="A4265" s="262"/>
      <c r="B4265" s="252"/>
      <c r="C4265" s="40" t="s">
        <v>3753</v>
      </c>
      <c r="D4265" s="40" t="s">
        <v>3752</v>
      </c>
      <c r="E4265" s="41">
        <v>0.52659999999999996</v>
      </c>
      <c r="F4265" s="59">
        <v>29.202999999999996</v>
      </c>
      <c r="G4265" s="59">
        <f t="shared" si="72"/>
        <v>15.378299799999997</v>
      </c>
      <c r="H4265" s="62"/>
      <c r="I4265" s="63"/>
      <c r="J4265" s="34">
        <v>90</v>
      </c>
    </row>
    <row r="4266" spans="1:10" x14ac:dyDescent="0.25">
      <c r="A4266" s="262"/>
      <c r="B4266" s="252"/>
      <c r="C4266" s="40" t="s">
        <v>4654</v>
      </c>
      <c r="D4266" s="40" t="s">
        <v>291</v>
      </c>
      <c r="E4266" s="41">
        <v>0.3</v>
      </c>
      <c r="F4266" s="59">
        <v>3.8379999999999996</v>
      </c>
      <c r="G4266" s="59">
        <f t="shared" si="72"/>
        <v>1.1513999999999998</v>
      </c>
      <c r="H4266" s="62"/>
      <c r="I4266" s="63"/>
      <c r="J4266" s="34">
        <v>90</v>
      </c>
    </row>
    <row r="4267" spans="1:10" x14ac:dyDescent="0.25">
      <c r="A4267" s="262"/>
      <c r="B4267" s="252"/>
      <c r="C4267" s="40" t="s">
        <v>3753</v>
      </c>
      <c r="D4267" s="40" t="s">
        <v>3752</v>
      </c>
      <c r="E4267" s="41">
        <v>0.29859999999999998</v>
      </c>
      <c r="F4267" s="59">
        <v>29.202999999999996</v>
      </c>
      <c r="G4267" s="59">
        <f t="shared" si="72"/>
        <v>8.7200157999999988</v>
      </c>
      <c r="H4267" s="62"/>
      <c r="I4267" s="63"/>
      <c r="J4267" s="34">
        <v>90</v>
      </c>
    </row>
    <row r="4268" spans="1:10" ht="15.75" thickBot="1" x14ac:dyDescent="0.3">
      <c r="A4268" s="263"/>
      <c r="B4268" s="253"/>
      <c r="C4268" s="60"/>
      <c r="D4268" s="60"/>
      <c r="E4268" s="79"/>
      <c r="F4268" s="80" t="s">
        <v>23</v>
      </c>
      <c r="G4268" s="80" t="str">
        <f t="shared" si="72"/>
        <v/>
      </c>
      <c r="H4268" s="81"/>
      <c r="I4268" s="63"/>
      <c r="J4268" s="34">
        <v>90</v>
      </c>
    </row>
    <row r="4269" spans="1:10" ht="15.75" thickBot="1" x14ac:dyDescent="0.3">
      <c r="A4269" s="248" t="s">
        <v>1039</v>
      </c>
      <c r="B4269" s="251" t="s">
        <v>2872</v>
      </c>
      <c r="C4269" s="28"/>
      <c r="D4269" s="29" t="s">
        <v>121</v>
      </c>
      <c r="E4269" s="30"/>
      <c r="F4269" s="51" t="s">
        <v>23</v>
      </c>
      <c r="G4269" s="31" t="str">
        <f t="shared" si="72"/>
        <v/>
      </c>
      <c r="H4269" s="32"/>
      <c r="I4269" s="33"/>
      <c r="J4269" s="34">
        <v>900</v>
      </c>
    </row>
    <row r="4270" spans="1:10" x14ac:dyDescent="0.25">
      <c r="A4270" s="262"/>
      <c r="B4270" s="252"/>
      <c r="C4270" s="36"/>
      <c r="D4270" s="36"/>
      <c r="E4270" s="37"/>
      <c r="F4270" s="59" t="s">
        <v>23</v>
      </c>
      <c r="G4270" s="59" t="str">
        <f t="shared" si="72"/>
        <v/>
      </c>
      <c r="H4270" s="62"/>
      <c r="I4270" s="63"/>
      <c r="J4270" s="34">
        <v>900</v>
      </c>
    </row>
    <row r="4271" spans="1:10" x14ac:dyDescent="0.25">
      <c r="A4271" s="262"/>
      <c r="B4271" s="252"/>
      <c r="C4271" s="40" t="s">
        <v>3754</v>
      </c>
      <c r="D4271" s="40" t="s">
        <v>3752</v>
      </c>
      <c r="E4271" s="41">
        <f>ROUND(4/37.58,4)</f>
        <v>0.10639999999999999</v>
      </c>
      <c r="F4271" s="59">
        <v>20.814499999999999</v>
      </c>
      <c r="G4271" s="59">
        <f t="shared" si="72"/>
        <v>2.2146627999999997</v>
      </c>
      <c r="H4271" s="43">
        <f>SUM(G4271:G4276)</f>
        <v>24.5549654</v>
      </c>
      <c r="I4271" s="44"/>
      <c r="J4271" s="34">
        <v>900</v>
      </c>
    </row>
    <row r="4272" spans="1:10" x14ac:dyDescent="0.25">
      <c r="A4272" s="262"/>
      <c r="B4272" s="252"/>
      <c r="C4272" s="40" t="s">
        <v>1040</v>
      </c>
      <c r="D4272" s="40" t="s">
        <v>1041</v>
      </c>
      <c r="E4272" s="41">
        <f>ROUND(1/37.58,4)</f>
        <v>2.6599999999999999E-2</v>
      </c>
      <c r="F4272" s="59">
        <v>26.096499999999999</v>
      </c>
      <c r="G4272" s="59">
        <f t="shared" si="72"/>
        <v>0.69416689999999992</v>
      </c>
      <c r="H4272" s="62"/>
      <c r="I4272" s="63"/>
      <c r="J4272" s="34">
        <v>900</v>
      </c>
    </row>
    <row r="4273" spans="1:10" x14ac:dyDescent="0.25">
      <c r="A4273" s="262"/>
      <c r="B4273" s="252"/>
      <c r="C4273" s="40" t="s">
        <v>1042</v>
      </c>
      <c r="D4273" s="40" t="s">
        <v>1041</v>
      </c>
      <c r="E4273" s="41">
        <f>ROUND(1/37.58,4)</f>
        <v>2.6599999999999999E-2</v>
      </c>
      <c r="F4273" s="59">
        <v>17.8125</v>
      </c>
      <c r="G4273" s="59">
        <f t="shared" si="72"/>
        <v>0.47381249999999997</v>
      </c>
      <c r="H4273" s="62"/>
      <c r="I4273" s="63"/>
      <c r="J4273" s="34">
        <v>900</v>
      </c>
    </row>
    <row r="4274" spans="1:10" x14ac:dyDescent="0.25">
      <c r="A4274" s="262"/>
      <c r="B4274" s="252"/>
      <c r="C4274" s="40" t="s">
        <v>1043</v>
      </c>
      <c r="D4274" s="40" t="s">
        <v>121</v>
      </c>
      <c r="E4274" s="41">
        <v>1</v>
      </c>
      <c r="F4274" s="59">
        <v>0.2185</v>
      </c>
      <c r="G4274" s="59">
        <f t="shared" si="72"/>
        <v>0.2185</v>
      </c>
      <c r="H4274" s="62"/>
      <c r="I4274" s="63"/>
      <c r="J4274" s="34">
        <v>900</v>
      </c>
    </row>
    <row r="4275" spans="1:10" x14ac:dyDescent="0.25">
      <c r="A4275" s="262"/>
      <c r="B4275" s="252"/>
      <c r="C4275" s="40" t="s">
        <v>1044</v>
      </c>
      <c r="D4275" s="40" t="s">
        <v>291</v>
      </c>
      <c r="E4275" s="41">
        <v>6.7000000000000002E-3</v>
      </c>
      <c r="F4275" s="59">
        <v>406.77100000000002</v>
      </c>
      <c r="G4275" s="59">
        <f t="shared" si="72"/>
        <v>2.7253657000000002</v>
      </c>
      <c r="H4275" s="62"/>
      <c r="I4275" s="63"/>
      <c r="J4275" s="34">
        <v>900</v>
      </c>
    </row>
    <row r="4276" spans="1:10" ht="25.5" x14ac:dyDescent="0.25">
      <c r="A4276" s="262"/>
      <c r="B4276" s="252"/>
      <c r="C4276" s="40" t="s">
        <v>4108</v>
      </c>
      <c r="D4276" s="40" t="s">
        <v>1035</v>
      </c>
      <c r="E4276" s="41">
        <v>0.2175</v>
      </c>
      <c r="F4276" s="59">
        <v>83.808999999999997</v>
      </c>
      <c r="G4276" s="59">
        <f t="shared" si="72"/>
        <v>18.228457500000001</v>
      </c>
      <c r="H4276" s="62"/>
      <c r="I4276" s="63"/>
      <c r="J4276" s="34">
        <v>900</v>
      </c>
    </row>
    <row r="4277" spans="1:10" ht="15.75" thickBot="1" x14ac:dyDescent="0.3">
      <c r="A4277" s="263"/>
      <c r="B4277" s="253"/>
      <c r="C4277" s="60"/>
      <c r="D4277" s="60"/>
      <c r="E4277" s="79"/>
      <c r="F4277" s="80" t="s">
        <v>23</v>
      </c>
      <c r="G4277" s="80" t="str">
        <f t="shared" si="72"/>
        <v/>
      </c>
      <c r="H4277" s="81"/>
      <c r="I4277" s="63"/>
      <c r="J4277" s="34">
        <v>900</v>
      </c>
    </row>
    <row r="4278" spans="1:10" ht="15.75" thickBot="1" x14ac:dyDescent="0.3">
      <c r="A4278" s="248" t="s">
        <v>1045</v>
      </c>
      <c r="B4278" s="251" t="s">
        <v>2873</v>
      </c>
      <c r="C4278" s="28"/>
      <c r="D4278" s="29" t="s">
        <v>78</v>
      </c>
      <c r="E4278" s="30"/>
      <c r="F4278" s="51" t="s">
        <v>23</v>
      </c>
      <c r="G4278" s="31" t="str">
        <f t="shared" si="72"/>
        <v/>
      </c>
      <c r="H4278" s="32"/>
      <c r="I4278" s="33"/>
      <c r="J4278" s="34">
        <v>990</v>
      </c>
    </row>
    <row r="4279" spans="1:10" x14ac:dyDescent="0.25">
      <c r="A4279" s="262"/>
      <c r="B4279" s="252"/>
      <c r="C4279" s="36"/>
      <c r="D4279" s="36"/>
      <c r="E4279" s="37"/>
      <c r="F4279" s="59" t="s">
        <v>23</v>
      </c>
      <c r="G4279" s="59" t="str">
        <f t="shared" si="72"/>
        <v/>
      </c>
      <c r="H4279" s="62"/>
      <c r="I4279" s="63"/>
      <c r="J4279" s="34">
        <v>990</v>
      </c>
    </row>
    <row r="4280" spans="1:10" ht="25.5" x14ac:dyDescent="0.25">
      <c r="A4280" s="262"/>
      <c r="B4280" s="252"/>
      <c r="C4280" s="40" t="s">
        <v>3763</v>
      </c>
      <c r="D4280" s="40" t="s">
        <v>3764</v>
      </c>
      <c r="E4280" s="41">
        <v>5.6800000000000003E-2</v>
      </c>
      <c r="F4280" s="59">
        <v>204.23099999999999</v>
      </c>
      <c r="G4280" s="59">
        <f t="shared" si="72"/>
        <v>11.6003208</v>
      </c>
      <c r="H4280" s="43">
        <f>SUM(G4280:G4290)</f>
        <v>79.276998447499992</v>
      </c>
      <c r="I4280" s="44"/>
      <c r="J4280" s="34">
        <v>990</v>
      </c>
    </row>
    <row r="4281" spans="1:10" x14ac:dyDescent="0.25">
      <c r="A4281" s="262"/>
      <c r="B4281" s="252"/>
      <c r="C4281" s="40" t="s">
        <v>4323</v>
      </c>
      <c r="D4281" s="40" t="s">
        <v>3764</v>
      </c>
      <c r="E4281" s="41">
        <v>3.5999999999999999E-3</v>
      </c>
      <c r="F4281" s="59">
        <v>160.68299999999999</v>
      </c>
      <c r="G4281" s="59">
        <f t="shared" si="72"/>
        <v>0.57845879999999994</v>
      </c>
      <c r="H4281" s="62"/>
      <c r="I4281" s="63"/>
      <c r="J4281" s="34">
        <v>990</v>
      </c>
    </row>
    <row r="4282" spans="1:10" ht="38.25" x14ac:dyDescent="0.25">
      <c r="A4282" s="262"/>
      <c r="B4282" s="252"/>
      <c r="C4282" s="40" t="s">
        <v>3996</v>
      </c>
      <c r="D4282" s="40" t="s">
        <v>177</v>
      </c>
      <c r="E4282" s="41">
        <v>1.0044999999999999</v>
      </c>
      <c r="F4282" s="59">
        <v>58.595999999999997</v>
      </c>
      <c r="G4282" s="59">
        <f t="shared" si="72"/>
        <v>58.859681999999992</v>
      </c>
      <c r="H4282" s="62"/>
      <c r="I4282" s="63"/>
      <c r="J4282" s="34">
        <v>990</v>
      </c>
    </row>
    <row r="4283" spans="1:10" x14ac:dyDescent="0.25">
      <c r="A4283" s="262"/>
      <c r="B4283" s="252"/>
      <c r="C4283" s="40" t="s">
        <v>3844</v>
      </c>
      <c r="D4283" s="40" t="s">
        <v>3752</v>
      </c>
      <c r="E4283" s="41">
        <v>9.6299999999999997E-2</v>
      </c>
      <c r="F4283" s="59">
        <v>25.934999999999999</v>
      </c>
      <c r="G4283" s="59">
        <f t="shared" si="72"/>
        <v>2.4975404999999999</v>
      </c>
      <c r="H4283" s="62"/>
      <c r="I4283" s="63"/>
      <c r="J4283" s="34">
        <v>990</v>
      </c>
    </row>
    <row r="4284" spans="1:10" x14ac:dyDescent="0.25">
      <c r="A4284" s="262"/>
      <c r="B4284" s="252"/>
      <c r="C4284" s="40" t="s">
        <v>3754</v>
      </c>
      <c r="D4284" s="40" t="s">
        <v>3752</v>
      </c>
      <c r="E4284" s="41">
        <v>9.6299999999999997E-2</v>
      </c>
      <c r="F4284" s="59">
        <v>20.814499999999999</v>
      </c>
      <c r="G4284" s="59">
        <f t="shared" si="72"/>
        <v>2.0044363499999998</v>
      </c>
      <c r="H4284" s="62"/>
      <c r="I4284" s="63"/>
      <c r="J4284" s="34">
        <v>990</v>
      </c>
    </row>
    <row r="4285" spans="1:10" ht="38.25" x14ac:dyDescent="0.25">
      <c r="A4285" s="262"/>
      <c r="B4285" s="252"/>
      <c r="C4285" s="40" t="s">
        <v>4663</v>
      </c>
      <c r="D4285" s="40" t="s">
        <v>1041</v>
      </c>
      <c r="E4285" s="41">
        <v>4.1000000000000003E-3</v>
      </c>
      <c r="F4285" s="59">
        <v>8.7590000000000003</v>
      </c>
      <c r="G4285" s="59">
        <f t="shared" si="72"/>
        <v>3.5911900000000004E-2</v>
      </c>
      <c r="H4285" s="62"/>
      <c r="I4285" s="63"/>
      <c r="J4285" s="34">
        <v>990</v>
      </c>
    </row>
    <row r="4286" spans="1:10" ht="38.25" x14ac:dyDescent="0.25">
      <c r="A4286" s="262"/>
      <c r="B4286" s="252"/>
      <c r="C4286" s="40" t="s">
        <v>4669</v>
      </c>
      <c r="D4286" s="40" t="s">
        <v>1052</v>
      </c>
      <c r="E4286" s="41">
        <v>4.41E-2</v>
      </c>
      <c r="F4286" s="59">
        <v>0.54149999999999998</v>
      </c>
      <c r="G4286" s="59">
        <f t="shared" si="72"/>
        <v>2.3880149999999999E-2</v>
      </c>
      <c r="H4286" s="62"/>
      <c r="I4286" s="63"/>
      <c r="J4286" s="34">
        <v>990</v>
      </c>
    </row>
    <row r="4287" spans="1:10" ht="51" x14ac:dyDescent="0.25">
      <c r="A4287" s="262"/>
      <c r="B4287" s="252"/>
      <c r="C4287" s="40" t="s">
        <v>4664</v>
      </c>
      <c r="D4287" s="40" t="s">
        <v>1041</v>
      </c>
      <c r="E4287" s="41">
        <v>3.8E-3</v>
      </c>
      <c r="F4287" s="59">
        <v>9.4239999999999995</v>
      </c>
      <c r="G4287" s="59">
        <f t="shared" si="72"/>
        <v>3.5811200000000001E-2</v>
      </c>
      <c r="H4287" s="62"/>
      <c r="I4287" s="63"/>
      <c r="J4287" s="34">
        <v>990</v>
      </c>
    </row>
    <row r="4288" spans="1:10" ht="51" x14ac:dyDescent="0.25">
      <c r="A4288" s="262"/>
      <c r="B4288" s="252"/>
      <c r="C4288" s="40" t="s">
        <v>4661</v>
      </c>
      <c r="D4288" s="40" t="s">
        <v>1052</v>
      </c>
      <c r="E4288" s="41">
        <v>4.4400000000000002E-2</v>
      </c>
      <c r="F4288" s="59">
        <v>0.82650000000000001</v>
      </c>
      <c r="G4288" s="59">
        <f t="shared" ref="G4288:G4351" si="73">IF(ISNUMBER(F4288),E4288*F4288,"")</f>
        <v>3.6696600000000003E-2</v>
      </c>
      <c r="H4288" s="62"/>
      <c r="I4288" s="63"/>
      <c r="J4288" s="34">
        <v>990</v>
      </c>
    </row>
    <row r="4289" spans="1:10" ht="51" x14ac:dyDescent="0.25">
      <c r="A4289" s="262"/>
      <c r="B4289" s="252"/>
      <c r="C4289" s="40" t="s">
        <v>4752</v>
      </c>
      <c r="D4289" s="40" t="s">
        <v>3764</v>
      </c>
      <c r="E4289" s="41">
        <f>1*(E4280+E4281)</f>
        <v>6.0400000000000002E-2</v>
      </c>
      <c r="F4289" s="38">
        <v>7.75243225</v>
      </c>
      <c r="G4289" s="38">
        <f t="shared" si="73"/>
        <v>0.46824690790000001</v>
      </c>
      <c r="H4289" s="39"/>
      <c r="I4289" s="35"/>
      <c r="J4289" s="34">
        <v>990</v>
      </c>
    </row>
    <row r="4290" spans="1:10" ht="38.25" x14ac:dyDescent="0.25">
      <c r="A4290" s="262"/>
      <c r="B4290" s="252"/>
      <c r="C4290" s="40" t="s">
        <v>4749</v>
      </c>
      <c r="D4290" s="40" t="s">
        <v>4744</v>
      </c>
      <c r="E4290" s="41">
        <f>20*(E4280+E4281)</f>
        <v>1.208</v>
      </c>
      <c r="F4290" s="59">
        <v>2.5960374499999999</v>
      </c>
      <c r="G4290" s="59">
        <f t="shared" si="73"/>
        <v>3.1360132395999996</v>
      </c>
      <c r="H4290" s="62"/>
      <c r="I4290" s="63"/>
      <c r="J4290" s="34">
        <v>990</v>
      </c>
    </row>
    <row r="4291" spans="1:10" x14ac:dyDescent="0.25">
      <c r="A4291" s="262"/>
      <c r="B4291" s="252"/>
      <c r="C4291" s="40"/>
      <c r="D4291" s="40"/>
      <c r="E4291" s="41"/>
      <c r="F4291" s="59" t="s">
        <v>23</v>
      </c>
      <c r="G4291" s="59" t="str">
        <f t="shared" si="73"/>
        <v/>
      </c>
      <c r="H4291" s="62"/>
      <c r="I4291" s="63"/>
      <c r="J4291" s="34">
        <v>990</v>
      </c>
    </row>
    <row r="4292" spans="1:10" ht="25.5" x14ac:dyDescent="0.25">
      <c r="A4292" s="262"/>
      <c r="B4292" s="252"/>
      <c r="C4292" s="50" t="s">
        <v>1046</v>
      </c>
      <c r="D4292" s="40"/>
      <c r="E4292" s="41"/>
      <c r="F4292" s="59" t="s">
        <v>23</v>
      </c>
      <c r="G4292" s="59" t="str">
        <f t="shared" si="73"/>
        <v/>
      </c>
      <c r="H4292" s="62"/>
      <c r="I4292" s="63"/>
      <c r="J4292" s="34">
        <v>990</v>
      </c>
    </row>
    <row r="4293" spans="1:10" ht="15.75" thickBot="1" x14ac:dyDescent="0.3">
      <c r="A4293" s="263"/>
      <c r="B4293" s="253"/>
      <c r="C4293" s="60"/>
      <c r="D4293" s="60"/>
      <c r="E4293" s="79"/>
      <c r="F4293" s="80" t="s">
        <v>23</v>
      </c>
      <c r="G4293" s="80" t="str">
        <f t="shared" si="73"/>
        <v/>
      </c>
      <c r="H4293" s="81"/>
      <c r="I4293" s="63"/>
      <c r="J4293" s="34">
        <v>990</v>
      </c>
    </row>
    <row r="4294" spans="1:10" ht="15.75" thickBot="1" x14ac:dyDescent="0.3">
      <c r="A4294" s="248" t="s">
        <v>1047</v>
      </c>
      <c r="B4294" s="251" t="s">
        <v>2874</v>
      </c>
      <c r="C4294" s="28"/>
      <c r="D4294" s="29" t="s">
        <v>1748</v>
      </c>
      <c r="E4294" s="30"/>
      <c r="F4294" s="51" t="s">
        <v>23</v>
      </c>
      <c r="G4294" s="31" t="str">
        <f t="shared" si="73"/>
        <v/>
      </c>
      <c r="H4294" s="32"/>
      <c r="I4294" s="33"/>
      <c r="J4294" s="34">
        <v>150</v>
      </c>
    </row>
    <row r="4295" spans="1:10" x14ac:dyDescent="0.25">
      <c r="A4295" s="262"/>
      <c r="B4295" s="252"/>
      <c r="C4295" s="36"/>
      <c r="D4295" s="36"/>
      <c r="E4295" s="37"/>
      <c r="F4295" s="59" t="s">
        <v>23</v>
      </c>
      <c r="G4295" s="59" t="str">
        <f t="shared" si="73"/>
        <v/>
      </c>
      <c r="H4295" s="62"/>
      <c r="I4295" s="63"/>
      <c r="J4295" s="34">
        <v>150</v>
      </c>
    </row>
    <row r="4296" spans="1:10" x14ac:dyDescent="0.25">
      <c r="A4296" s="262"/>
      <c r="B4296" s="252"/>
      <c r="C4296" s="40" t="s">
        <v>3754</v>
      </c>
      <c r="D4296" s="40" t="s">
        <v>3752</v>
      </c>
      <c r="E4296" s="41">
        <v>0.4</v>
      </c>
      <c r="F4296" s="59">
        <v>20.814499999999999</v>
      </c>
      <c r="G4296" s="59">
        <f t="shared" si="73"/>
        <v>8.3257999999999992</v>
      </c>
      <c r="H4296" s="43">
        <f>SUM(G4296:G4317)</f>
        <v>970.00665609999999</v>
      </c>
      <c r="I4296" s="44"/>
      <c r="J4296" s="34">
        <v>150</v>
      </c>
    </row>
    <row r="4297" spans="1:10" ht="38.25" x14ac:dyDescent="0.25">
      <c r="A4297" s="262"/>
      <c r="B4297" s="252"/>
      <c r="C4297" s="40" t="s">
        <v>4655</v>
      </c>
      <c r="D4297" s="40" t="s">
        <v>1052</v>
      </c>
      <c r="E4297" s="41">
        <v>6.0000000000000001E-3</v>
      </c>
      <c r="F4297" s="59">
        <v>82.972999999999999</v>
      </c>
      <c r="G4297" s="59">
        <f t="shared" si="73"/>
        <v>0.497838</v>
      </c>
      <c r="H4297" s="62"/>
      <c r="I4297" s="63"/>
      <c r="J4297" s="34">
        <v>150</v>
      </c>
    </row>
    <row r="4298" spans="1:10" ht="38.25" x14ac:dyDescent="0.25">
      <c r="A4298" s="262"/>
      <c r="B4298" s="252"/>
      <c r="C4298" s="40" t="s">
        <v>4489</v>
      </c>
      <c r="D4298" s="40" t="s">
        <v>1041</v>
      </c>
      <c r="E4298" s="41">
        <v>1.0699999999999999E-2</v>
      </c>
      <c r="F4298" s="59">
        <v>204.18350000000001</v>
      </c>
      <c r="G4298" s="59">
        <f t="shared" si="73"/>
        <v>2.1847634500000002</v>
      </c>
      <c r="H4298" s="62"/>
      <c r="I4298" s="63"/>
      <c r="J4298" s="34">
        <v>150</v>
      </c>
    </row>
    <row r="4299" spans="1:10" ht="38.25" x14ac:dyDescent="0.25">
      <c r="A4299" s="262"/>
      <c r="B4299" s="252"/>
      <c r="C4299" s="40" t="s">
        <v>4501</v>
      </c>
      <c r="D4299" s="40" t="s">
        <v>1041</v>
      </c>
      <c r="E4299" s="41">
        <v>6.1999999999999998E-3</v>
      </c>
      <c r="F4299" s="59">
        <v>213.1515</v>
      </c>
      <c r="G4299" s="59">
        <f t="shared" si="73"/>
        <v>1.3215393</v>
      </c>
      <c r="H4299" s="62"/>
      <c r="I4299" s="63"/>
      <c r="J4299" s="34">
        <v>150</v>
      </c>
    </row>
    <row r="4300" spans="1:10" ht="38.25" x14ac:dyDescent="0.25">
      <c r="A4300" s="262"/>
      <c r="B4300" s="252"/>
      <c r="C4300" s="40" t="s">
        <v>4652</v>
      </c>
      <c r="D4300" s="40" t="s">
        <v>1052</v>
      </c>
      <c r="E4300" s="41">
        <v>1.0500000000000001E-2</v>
      </c>
      <c r="F4300" s="59">
        <v>76.968999999999994</v>
      </c>
      <c r="G4300" s="59">
        <f t="shared" si="73"/>
        <v>0.80817450000000002</v>
      </c>
      <c r="H4300" s="62"/>
      <c r="I4300" s="63"/>
      <c r="J4300" s="34">
        <v>150</v>
      </c>
    </row>
    <row r="4301" spans="1:10" ht="25.5" x14ac:dyDescent="0.25">
      <c r="A4301" s="262"/>
      <c r="B4301" s="252"/>
      <c r="C4301" s="40" t="s">
        <v>4657</v>
      </c>
      <c r="D4301" s="40" t="s">
        <v>1052</v>
      </c>
      <c r="E4301" s="41">
        <v>1.2200000000000001E-2</v>
      </c>
      <c r="F4301" s="59">
        <v>37.705499999999994</v>
      </c>
      <c r="G4301" s="59">
        <f t="shared" si="73"/>
        <v>0.46000709999999995</v>
      </c>
      <c r="H4301" s="62"/>
      <c r="I4301" s="63"/>
      <c r="J4301" s="34">
        <v>150</v>
      </c>
    </row>
    <row r="4302" spans="1:10" ht="25.5" x14ac:dyDescent="0.25">
      <c r="A4302" s="262"/>
      <c r="B4302" s="252"/>
      <c r="C4302" s="40" t="s">
        <v>4656</v>
      </c>
      <c r="D4302" s="40" t="s">
        <v>1041</v>
      </c>
      <c r="E4302" s="41">
        <v>4.4999999999999997E-3</v>
      </c>
      <c r="F4302" s="59">
        <v>110.048</v>
      </c>
      <c r="G4302" s="59">
        <f t="shared" si="73"/>
        <v>0.49521599999999999</v>
      </c>
      <c r="H4302" s="62"/>
      <c r="I4302" s="63"/>
      <c r="J4302" s="34">
        <v>150</v>
      </c>
    </row>
    <row r="4303" spans="1:10" ht="25.5" x14ac:dyDescent="0.25">
      <c r="A4303" s="262"/>
      <c r="B4303" s="252"/>
      <c r="C4303" s="40" t="s">
        <v>4671</v>
      </c>
      <c r="D4303" s="40" t="s">
        <v>1052</v>
      </c>
      <c r="E4303" s="41">
        <v>1.2200000000000001E-2</v>
      </c>
      <c r="F4303" s="59">
        <v>4.6454999999999993</v>
      </c>
      <c r="G4303" s="59">
        <f t="shared" si="73"/>
        <v>5.6675099999999992E-2</v>
      </c>
      <c r="H4303" s="62"/>
      <c r="I4303" s="63"/>
      <c r="J4303" s="34">
        <v>150</v>
      </c>
    </row>
    <row r="4304" spans="1:10" ht="25.5" x14ac:dyDescent="0.25">
      <c r="A4304" s="262"/>
      <c r="B4304" s="252"/>
      <c r="C4304" s="40" t="s">
        <v>4672</v>
      </c>
      <c r="D4304" s="40" t="s">
        <v>1041</v>
      </c>
      <c r="E4304" s="41">
        <v>4.4999999999999997E-3</v>
      </c>
      <c r="F4304" s="59">
        <v>9.7659999999999982</v>
      </c>
      <c r="G4304" s="59">
        <f t="shared" si="73"/>
        <v>4.3946999999999986E-2</v>
      </c>
      <c r="H4304" s="62"/>
      <c r="I4304" s="63"/>
      <c r="J4304" s="34">
        <v>150</v>
      </c>
    </row>
    <row r="4305" spans="1:10" ht="38.25" x14ac:dyDescent="0.25">
      <c r="A4305" s="262"/>
      <c r="B4305" s="252"/>
      <c r="C4305" s="40" t="s">
        <v>4179</v>
      </c>
      <c r="D4305" s="40" t="s">
        <v>1041</v>
      </c>
      <c r="E4305" s="41">
        <v>1.67E-2</v>
      </c>
      <c r="F4305" s="59">
        <v>357.26649999999995</v>
      </c>
      <c r="G4305" s="59">
        <f t="shared" si="73"/>
        <v>5.9663505499999987</v>
      </c>
      <c r="H4305" s="62"/>
      <c r="I4305" s="63"/>
      <c r="J4305" s="34">
        <v>150</v>
      </c>
    </row>
    <row r="4306" spans="1:10" ht="38.25" x14ac:dyDescent="0.25">
      <c r="A4306" s="262"/>
      <c r="B4306" s="252"/>
      <c r="C4306" s="40" t="s">
        <v>4177</v>
      </c>
      <c r="D4306" s="40" t="s">
        <v>1041</v>
      </c>
      <c r="E4306" s="41">
        <v>2.7199999999999998E-2</v>
      </c>
      <c r="F4306" s="59">
        <v>242.90549999999999</v>
      </c>
      <c r="G4306" s="59">
        <f t="shared" si="73"/>
        <v>6.6070295999999997</v>
      </c>
      <c r="H4306" s="62"/>
      <c r="I4306" s="63"/>
      <c r="J4306" s="34">
        <v>150</v>
      </c>
    </row>
    <row r="4307" spans="1:10" x14ac:dyDescent="0.25">
      <c r="A4307" s="262"/>
      <c r="B4307" s="252"/>
      <c r="C4307" s="40" t="s">
        <v>3754</v>
      </c>
      <c r="D4307" s="40" t="s">
        <v>3752</v>
      </c>
      <c r="E4307" s="41">
        <v>0.3</v>
      </c>
      <c r="F4307" s="59">
        <v>20.814499999999999</v>
      </c>
      <c r="G4307" s="59">
        <f t="shared" si="73"/>
        <v>6.2443499999999998</v>
      </c>
      <c r="H4307" s="62"/>
      <c r="I4307" s="63"/>
      <c r="J4307" s="34">
        <v>150</v>
      </c>
    </row>
    <row r="4308" spans="1:10" ht="25.5" x14ac:dyDescent="0.25">
      <c r="A4308" s="262"/>
      <c r="B4308" s="252"/>
      <c r="C4308" s="40" t="s">
        <v>3845</v>
      </c>
      <c r="D4308" s="40" t="s">
        <v>3764</v>
      </c>
      <c r="E4308" s="41">
        <v>0.18</v>
      </c>
      <c r="F4308" s="59">
        <v>206.90049999999999</v>
      </c>
      <c r="G4308" s="59">
        <f t="shared" si="73"/>
        <v>37.242089999999997</v>
      </c>
      <c r="H4308" s="62"/>
      <c r="I4308" s="63"/>
      <c r="J4308" s="34">
        <v>150</v>
      </c>
    </row>
    <row r="4309" spans="1:10" ht="25.5" x14ac:dyDescent="0.25">
      <c r="A4309" s="262"/>
      <c r="B4309" s="252"/>
      <c r="C4309" s="40" t="s">
        <v>3841</v>
      </c>
      <c r="D4309" s="40" t="s">
        <v>3764</v>
      </c>
      <c r="E4309" s="41">
        <v>1.26</v>
      </c>
      <c r="F4309" s="59">
        <v>196.38399999999999</v>
      </c>
      <c r="G4309" s="59">
        <f t="shared" si="73"/>
        <v>247.44383999999999</v>
      </c>
      <c r="H4309" s="62"/>
      <c r="I4309" s="63"/>
      <c r="J4309" s="34">
        <v>150</v>
      </c>
    </row>
    <row r="4310" spans="1:10" x14ac:dyDescent="0.25">
      <c r="A4310" s="262"/>
      <c r="B4310" s="252"/>
      <c r="C4310" s="40" t="s">
        <v>1048</v>
      </c>
      <c r="D4310" s="40" t="s">
        <v>82</v>
      </c>
      <c r="E4310" s="41">
        <v>140</v>
      </c>
      <c r="F4310" s="59">
        <v>3.7049999999999996</v>
      </c>
      <c r="G4310" s="59">
        <f t="shared" si="73"/>
        <v>518.69999999999993</v>
      </c>
      <c r="H4310" s="62"/>
      <c r="I4310" s="63"/>
      <c r="J4310" s="34">
        <v>150</v>
      </c>
    </row>
    <row r="4311" spans="1:10" ht="25.5" x14ac:dyDescent="0.25">
      <c r="A4311" s="262"/>
      <c r="B4311" s="252"/>
      <c r="C4311" s="40" t="s">
        <v>4173</v>
      </c>
      <c r="D4311" s="40" t="s">
        <v>1041</v>
      </c>
      <c r="E4311" s="41">
        <v>0.05</v>
      </c>
      <c r="F4311" s="59">
        <v>147.43049999999999</v>
      </c>
      <c r="G4311" s="59">
        <f t="shared" si="73"/>
        <v>7.3715250000000001</v>
      </c>
      <c r="H4311" s="62"/>
      <c r="I4311" s="63"/>
      <c r="J4311" s="34">
        <v>150</v>
      </c>
    </row>
    <row r="4312" spans="1:10" ht="38.25" x14ac:dyDescent="0.25">
      <c r="A4312" s="262"/>
      <c r="B4312" s="252"/>
      <c r="C4312" s="40" t="s">
        <v>4186</v>
      </c>
      <c r="D4312" s="40" t="s">
        <v>1041</v>
      </c>
      <c r="E4312" s="41">
        <v>2.1000000000000001E-2</v>
      </c>
      <c r="F4312" s="59">
        <v>196.26999999999998</v>
      </c>
      <c r="G4312" s="59">
        <f t="shared" si="73"/>
        <v>4.1216699999999999</v>
      </c>
      <c r="H4312" s="62"/>
      <c r="I4312" s="63"/>
      <c r="J4312" s="34">
        <v>150</v>
      </c>
    </row>
    <row r="4313" spans="1:10" ht="38.25" x14ac:dyDescent="0.25">
      <c r="A4313" s="262"/>
      <c r="B4313" s="252"/>
      <c r="C4313" s="40" t="s">
        <v>4488</v>
      </c>
      <c r="D4313" s="40" t="s">
        <v>1052</v>
      </c>
      <c r="E4313" s="41">
        <v>2.9000000000000001E-2</v>
      </c>
      <c r="F4313" s="59">
        <v>77.605499999999992</v>
      </c>
      <c r="G4313" s="59">
        <f t="shared" si="73"/>
        <v>2.2505595</v>
      </c>
      <c r="H4313" s="62"/>
      <c r="I4313" s="63"/>
      <c r="J4313" s="34">
        <v>150</v>
      </c>
    </row>
    <row r="4314" spans="1:10" ht="25.5" x14ac:dyDescent="0.25">
      <c r="A4314" s="262"/>
      <c r="B4314" s="252"/>
      <c r="C4314" s="40" t="s">
        <v>4162</v>
      </c>
      <c r="D4314" s="40" t="s">
        <v>1041</v>
      </c>
      <c r="E4314" s="41">
        <v>0.05</v>
      </c>
      <c r="F4314" s="59">
        <v>219.82999999999998</v>
      </c>
      <c r="G4314" s="59">
        <f t="shared" si="73"/>
        <v>10.9915</v>
      </c>
      <c r="H4314" s="62"/>
      <c r="I4314" s="63"/>
      <c r="J4314" s="34">
        <v>150</v>
      </c>
    </row>
    <row r="4315" spans="1:10" ht="25.5" x14ac:dyDescent="0.25">
      <c r="A4315" s="262"/>
      <c r="B4315" s="252"/>
      <c r="C4315" s="40" t="s">
        <v>4147</v>
      </c>
      <c r="D4315" s="40" t="s">
        <v>1041</v>
      </c>
      <c r="E4315" s="41">
        <v>0.1</v>
      </c>
      <c r="F4315" s="59">
        <v>229.44399999999999</v>
      </c>
      <c r="G4315" s="59">
        <f t="shared" si="73"/>
        <v>22.944400000000002</v>
      </c>
      <c r="H4315" s="62"/>
      <c r="I4315" s="63"/>
      <c r="J4315" s="34">
        <v>150</v>
      </c>
    </row>
    <row r="4316" spans="1:10" ht="51" x14ac:dyDescent="0.25">
      <c r="A4316" s="262"/>
      <c r="B4316" s="252"/>
      <c r="C4316" s="40" t="s">
        <v>4752</v>
      </c>
      <c r="D4316" s="40" t="s">
        <v>3764</v>
      </c>
      <c r="E4316" s="41">
        <f>1*(E4308+E4309)</f>
        <v>1.44</v>
      </c>
      <c r="F4316" s="38">
        <v>7.75243225</v>
      </c>
      <c r="G4316" s="38">
        <f t="shared" si="73"/>
        <v>11.16350244</v>
      </c>
      <c r="H4316" s="39"/>
      <c r="I4316" s="35"/>
      <c r="J4316" s="34">
        <v>150</v>
      </c>
    </row>
    <row r="4317" spans="1:10" ht="38.25" x14ac:dyDescent="0.25">
      <c r="A4317" s="262"/>
      <c r="B4317" s="252"/>
      <c r="C4317" s="40" t="s">
        <v>4749</v>
      </c>
      <c r="D4317" s="40" t="s">
        <v>4744</v>
      </c>
      <c r="E4317" s="41">
        <f>20*(E4309+E4308)</f>
        <v>28.799999999999997</v>
      </c>
      <c r="F4317" s="59">
        <v>2.5960374499999999</v>
      </c>
      <c r="G4317" s="59">
        <f t="shared" si="73"/>
        <v>74.76587855999999</v>
      </c>
      <c r="H4317" s="62"/>
      <c r="I4317" s="63"/>
      <c r="J4317" s="34">
        <v>150</v>
      </c>
    </row>
    <row r="4318" spans="1:10" x14ac:dyDescent="0.25">
      <c r="A4318" s="262"/>
      <c r="B4318" s="252"/>
      <c r="C4318" s="40"/>
      <c r="D4318" s="40"/>
      <c r="E4318" s="41"/>
      <c r="F4318" s="59" t="s">
        <v>23</v>
      </c>
      <c r="G4318" s="59" t="str">
        <f t="shared" si="73"/>
        <v/>
      </c>
      <c r="H4318" s="62"/>
      <c r="I4318" s="63"/>
      <c r="J4318" s="34">
        <v>150</v>
      </c>
    </row>
    <row r="4319" spans="1:10" ht="25.5" x14ac:dyDescent="0.25">
      <c r="A4319" s="262"/>
      <c r="B4319" s="252"/>
      <c r="C4319" s="50" t="s">
        <v>1046</v>
      </c>
      <c r="D4319" s="40"/>
      <c r="E4319" s="41"/>
      <c r="F4319" s="59" t="s">
        <v>23</v>
      </c>
      <c r="G4319" s="59" t="str">
        <f t="shared" si="73"/>
        <v/>
      </c>
      <c r="H4319" s="62"/>
      <c r="I4319" s="63"/>
      <c r="J4319" s="34">
        <v>150</v>
      </c>
    </row>
    <row r="4320" spans="1:10" ht="15.75" thickBot="1" x14ac:dyDescent="0.3">
      <c r="A4320" s="263"/>
      <c r="B4320" s="253"/>
      <c r="C4320" s="60"/>
      <c r="D4320" s="60"/>
      <c r="E4320" s="79"/>
      <c r="F4320" s="80" t="s">
        <v>23</v>
      </c>
      <c r="G4320" s="80" t="str">
        <f t="shared" si="73"/>
        <v/>
      </c>
      <c r="H4320" s="81"/>
      <c r="I4320" s="63"/>
      <c r="J4320" s="34">
        <v>150</v>
      </c>
    </row>
    <row r="4321" spans="1:10" ht="15.75" thickBot="1" x14ac:dyDescent="0.3">
      <c r="A4321" s="248" t="s">
        <v>1049</v>
      </c>
      <c r="B4321" s="251" t="s">
        <v>2875</v>
      </c>
      <c r="C4321" s="28"/>
      <c r="D4321" s="29" t="s">
        <v>1748</v>
      </c>
      <c r="E4321" s="30"/>
      <c r="F4321" s="51" t="s">
        <v>23</v>
      </c>
      <c r="G4321" s="31" t="str">
        <f t="shared" si="73"/>
        <v/>
      </c>
      <c r="H4321" s="32"/>
      <c r="I4321" s="33"/>
      <c r="J4321" s="34">
        <v>190</v>
      </c>
    </row>
    <row r="4322" spans="1:10" x14ac:dyDescent="0.25">
      <c r="A4322" s="262"/>
      <c r="B4322" s="252"/>
      <c r="C4322" s="36"/>
      <c r="D4322" s="36"/>
      <c r="E4322" s="37"/>
      <c r="F4322" s="59" t="s">
        <v>23</v>
      </c>
      <c r="G4322" s="59" t="str">
        <f t="shared" si="73"/>
        <v/>
      </c>
      <c r="H4322" s="62"/>
      <c r="I4322" s="63"/>
      <c r="J4322" s="34">
        <v>190</v>
      </c>
    </row>
    <row r="4323" spans="1:10" x14ac:dyDescent="0.25">
      <c r="A4323" s="262"/>
      <c r="B4323" s="252"/>
      <c r="C4323" s="40" t="s">
        <v>3754</v>
      </c>
      <c r="D4323" s="40" t="s">
        <v>3752</v>
      </c>
      <c r="E4323" s="41">
        <f>6/0.5</f>
        <v>12</v>
      </c>
      <c r="F4323" s="59">
        <v>20.814499999999999</v>
      </c>
      <c r="G4323" s="59">
        <f t="shared" si="73"/>
        <v>249.774</v>
      </c>
      <c r="H4323" s="43">
        <f>SUM(G4323:G4326)</f>
        <v>3461.7629999999999</v>
      </c>
      <c r="I4323" s="44"/>
      <c r="J4323" s="34">
        <v>190</v>
      </c>
    </row>
    <row r="4324" spans="1:10" x14ac:dyDescent="0.25">
      <c r="A4324" s="262"/>
      <c r="B4324" s="252"/>
      <c r="C4324" s="40" t="s">
        <v>1050</v>
      </c>
      <c r="D4324" s="40" t="s">
        <v>1041</v>
      </c>
      <c r="E4324" s="41">
        <f>0.23/0.5</f>
        <v>0.46</v>
      </c>
      <c r="F4324" s="59">
        <v>5.9944999999999995</v>
      </c>
      <c r="G4324" s="59">
        <f t="shared" si="73"/>
        <v>2.7574700000000001</v>
      </c>
      <c r="H4324" s="62"/>
      <c r="I4324" s="63"/>
      <c r="J4324" s="34">
        <v>190</v>
      </c>
    </row>
    <row r="4325" spans="1:10" x14ac:dyDescent="0.25">
      <c r="A4325" s="262"/>
      <c r="B4325" s="252"/>
      <c r="C4325" s="40" t="s">
        <v>1051</v>
      </c>
      <c r="D4325" s="40" t="s">
        <v>1052</v>
      </c>
      <c r="E4325" s="41">
        <f>0.77/0.5</f>
        <v>1.54</v>
      </c>
      <c r="F4325" s="59">
        <v>5.9944999999999995</v>
      </c>
      <c r="G4325" s="59">
        <f t="shared" si="73"/>
        <v>9.2315299999999993</v>
      </c>
      <c r="H4325" s="62"/>
      <c r="I4325" s="63"/>
      <c r="J4325" s="34">
        <v>190</v>
      </c>
    </row>
    <row r="4326" spans="1:10" x14ac:dyDescent="0.25">
      <c r="A4326" s="262"/>
      <c r="B4326" s="252"/>
      <c r="C4326" s="40" t="s">
        <v>1053</v>
      </c>
      <c r="D4326" s="40" t="s">
        <v>82</v>
      </c>
      <c r="E4326" s="41">
        <v>2500</v>
      </c>
      <c r="F4326" s="59">
        <v>1.28</v>
      </c>
      <c r="G4326" s="59">
        <f t="shared" si="73"/>
        <v>3200</v>
      </c>
      <c r="H4326" s="62"/>
      <c r="I4326" s="63"/>
      <c r="J4326" s="34">
        <v>190</v>
      </c>
    </row>
    <row r="4327" spans="1:10" ht="15.75" thickBot="1" x14ac:dyDescent="0.3">
      <c r="A4327" s="263"/>
      <c r="B4327" s="253"/>
      <c r="C4327" s="60"/>
      <c r="D4327" s="60"/>
      <c r="E4327" s="79"/>
      <c r="F4327" s="80" t="s">
        <v>23</v>
      </c>
      <c r="G4327" s="80" t="str">
        <f t="shared" si="73"/>
        <v/>
      </c>
      <c r="H4327" s="81"/>
      <c r="I4327" s="63"/>
      <c r="J4327" s="34">
        <v>190</v>
      </c>
    </row>
    <row r="4328" spans="1:10" ht="15.75" thickBot="1" x14ac:dyDescent="0.3">
      <c r="A4328" s="248" t="s">
        <v>1054</v>
      </c>
      <c r="B4328" s="251" t="s">
        <v>2876</v>
      </c>
      <c r="C4328" s="28"/>
      <c r="D4328" s="29" t="s">
        <v>121</v>
      </c>
      <c r="E4328" s="30"/>
      <c r="F4328" s="51" t="s">
        <v>23</v>
      </c>
      <c r="G4328" s="31" t="str">
        <f t="shared" si="73"/>
        <v/>
      </c>
      <c r="H4328" s="32"/>
      <c r="I4328" s="33"/>
      <c r="J4328" s="34">
        <v>27840</v>
      </c>
    </row>
    <row r="4329" spans="1:10" x14ac:dyDescent="0.25">
      <c r="A4329" s="262"/>
      <c r="B4329" s="252"/>
      <c r="C4329" s="36"/>
      <c r="D4329" s="36"/>
      <c r="E4329" s="37"/>
      <c r="F4329" s="59" t="s">
        <v>23</v>
      </c>
      <c r="G4329" s="59" t="str">
        <f t="shared" si="73"/>
        <v/>
      </c>
      <c r="H4329" s="62"/>
      <c r="I4329" s="63"/>
      <c r="J4329" s="34">
        <v>27840</v>
      </c>
    </row>
    <row r="4330" spans="1:10" x14ac:dyDescent="0.25">
      <c r="A4330" s="262"/>
      <c r="B4330" s="252"/>
      <c r="C4330" s="40" t="s">
        <v>4175</v>
      </c>
      <c r="D4330" s="40" t="s">
        <v>80</v>
      </c>
      <c r="E4330" s="41">
        <v>2E-3</v>
      </c>
      <c r="F4330" s="59">
        <v>16.7865</v>
      </c>
      <c r="G4330" s="59">
        <f t="shared" si="73"/>
        <v>3.3572999999999999E-2</v>
      </c>
      <c r="H4330" s="43">
        <f>SUM(G4330:G4337)</f>
        <v>4.9856037999999998</v>
      </c>
      <c r="I4330" s="44"/>
      <c r="J4330" s="34">
        <v>27840</v>
      </c>
    </row>
    <row r="4331" spans="1:10" ht="25.5" x14ac:dyDescent="0.25">
      <c r="A4331" s="262"/>
      <c r="B4331" s="252"/>
      <c r="C4331" s="40" t="s">
        <v>4058</v>
      </c>
      <c r="D4331" s="40" t="s">
        <v>80</v>
      </c>
      <c r="E4331" s="41">
        <v>4.2999999999999997E-2</v>
      </c>
      <c r="F4331" s="59">
        <v>18.5915</v>
      </c>
      <c r="G4331" s="59">
        <f t="shared" si="73"/>
        <v>0.79943449999999994</v>
      </c>
      <c r="H4331" s="62"/>
      <c r="I4331" s="63"/>
      <c r="J4331" s="34">
        <v>27840</v>
      </c>
    </row>
    <row r="4332" spans="1:10" ht="25.5" x14ac:dyDescent="0.25">
      <c r="A4332" s="262"/>
      <c r="B4332" s="252"/>
      <c r="C4332" s="40" t="s">
        <v>4164</v>
      </c>
      <c r="D4332" s="40" t="s">
        <v>1035</v>
      </c>
      <c r="E4332" s="41">
        <v>1.0999999999999999E-2</v>
      </c>
      <c r="F4332" s="59">
        <v>5.2060000000000004</v>
      </c>
      <c r="G4332" s="59">
        <f t="shared" si="73"/>
        <v>5.7266000000000004E-2</v>
      </c>
      <c r="H4332" s="62"/>
      <c r="I4332" s="63"/>
      <c r="J4332" s="34">
        <v>27840</v>
      </c>
    </row>
    <row r="4333" spans="1:10" ht="25.5" x14ac:dyDescent="0.25">
      <c r="A4333" s="262"/>
      <c r="B4333" s="252"/>
      <c r="C4333" s="40" t="s">
        <v>4146</v>
      </c>
      <c r="D4333" s="40" t="s">
        <v>1035</v>
      </c>
      <c r="E4333" s="41">
        <v>2.5000000000000001E-2</v>
      </c>
      <c r="F4333" s="59">
        <v>5.2060000000000004</v>
      </c>
      <c r="G4333" s="59">
        <f t="shared" si="73"/>
        <v>0.13015000000000002</v>
      </c>
      <c r="H4333" s="62"/>
      <c r="I4333" s="63"/>
      <c r="J4333" s="34">
        <v>27840</v>
      </c>
    </row>
    <row r="4334" spans="1:10" x14ac:dyDescent="0.25">
      <c r="A4334" s="262"/>
      <c r="B4334" s="252"/>
      <c r="C4334" s="40" t="s">
        <v>3753</v>
      </c>
      <c r="D4334" s="40" t="s">
        <v>3752</v>
      </c>
      <c r="E4334" s="41">
        <v>3.4000000000000002E-2</v>
      </c>
      <c r="F4334" s="59">
        <v>29.202999999999996</v>
      </c>
      <c r="G4334" s="59">
        <f t="shared" si="73"/>
        <v>0.99290199999999995</v>
      </c>
      <c r="H4334" s="62"/>
      <c r="I4334" s="63"/>
      <c r="J4334" s="34">
        <v>27840</v>
      </c>
    </row>
    <row r="4335" spans="1:10" x14ac:dyDescent="0.25">
      <c r="A4335" s="262"/>
      <c r="B4335" s="252"/>
      <c r="C4335" s="40" t="s">
        <v>3754</v>
      </c>
      <c r="D4335" s="40" t="s">
        <v>3752</v>
      </c>
      <c r="E4335" s="41">
        <v>1.4E-2</v>
      </c>
      <c r="F4335" s="59">
        <v>20.814499999999999</v>
      </c>
      <c r="G4335" s="59">
        <f t="shared" si="73"/>
        <v>0.29140299999999997</v>
      </c>
      <c r="H4335" s="62"/>
      <c r="I4335" s="63"/>
      <c r="J4335" s="34">
        <v>27840</v>
      </c>
    </row>
    <row r="4336" spans="1:10" ht="25.5" x14ac:dyDescent="0.25">
      <c r="A4336" s="262"/>
      <c r="B4336" s="252"/>
      <c r="C4336" s="40" t="s">
        <v>4169</v>
      </c>
      <c r="D4336" s="40" t="s">
        <v>1041</v>
      </c>
      <c r="E4336" s="41">
        <v>2.9999999999999997E-4</v>
      </c>
      <c r="F4336" s="59">
        <v>159.73299999999998</v>
      </c>
      <c r="G4336" s="59">
        <f t="shared" si="73"/>
        <v>4.7919899999999988E-2</v>
      </c>
      <c r="H4336" s="62"/>
      <c r="I4336" s="63"/>
      <c r="J4336" s="34">
        <v>27840</v>
      </c>
    </row>
    <row r="4337" spans="1:10" ht="25.5" x14ac:dyDescent="0.25">
      <c r="A4337" s="262"/>
      <c r="B4337" s="252"/>
      <c r="C4337" s="40" t="s">
        <v>3985</v>
      </c>
      <c r="D4337" s="40" t="s">
        <v>1052</v>
      </c>
      <c r="E4337" s="41">
        <v>3.3399999999999999E-2</v>
      </c>
      <c r="F4337" s="59">
        <v>78.831000000000003</v>
      </c>
      <c r="G4337" s="59">
        <f t="shared" si="73"/>
        <v>2.6329554000000002</v>
      </c>
      <c r="H4337" s="62"/>
      <c r="I4337" s="63"/>
      <c r="J4337" s="34">
        <v>27840</v>
      </c>
    </row>
    <row r="4338" spans="1:10" ht="15.75" thickBot="1" x14ac:dyDescent="0.3">
      <c r="A4338" s="263"/>
      <c r="B4338" s="253"/>
      <c r="C4338" s="60"/>
      <c r="D4338" s="60"/>
      <c r="E4338" s="79"/>
      <c r="F4338" s="80" t="s">
        <v>23</v>
      </c>
      <c r="G4338" s="80" t="str">
        <f t="shared" si="73"/>
        <v/>
      </c>
      <c r="H4338" s="81"/>
      <c r="I4338" s="63"/>
      <c r="J4338" s="34">
        <v>27840</v>
      </c>
    </row>
    <row r="4339" spans="1:10" ht="15.75" thickBot="1" x14ac:dyDescent="0.3">
      <c r="A4339" s="248" t="s">
        <v>1055</v>
      </c>
      <c r="B4339" s="251" t="s">
        <v>2877</v>
      </c>
      <c r="C4339" s="28"/>
      <c r="D4339" s="29" t="s">
        <v>78</v>
      </c>
      <c r="E4339" s="30"/>
      <c r="F4339" s="51" t="s">
        <v>23</v>
      </c>
      <c r="G4339" s="31" t="str">
        <f t="shared" si="73"/>
        <v/>
      </c>
      <c r="H4339" s="32"/>
      <c r="I4339" s="33"/>
      <c r="J4339" s="34">
        <v>21780</v>
      </c>
    </row>
    <row r="4340" spans="1:10" x14ac:dyDescent="0.25">
      <c r="A4340" s="262"/>
      <c r="B4340" s="252"/>
      <c r="C4340" s="36"/>
      <c r="D4340" s="36"/>
      <c r="E4340" s="37"/>
      <c r="F4340" s="59" t="s">
        <v>23</v>
      </c>
      <c r="G4340" s="59" t="str">
        <f t="shared" si="73"/>
        <v/>
      </c>
      <c r="H4340" s="62"/>
      <c r="I4340" s="63"/>
      <c r="J4340" s="34">
        <v>21780</v>
      </c>
    </row>
    <row r="4341" spans="1:10" ht="38.25" x14ac:dyDescent="0.25">
      <c r="A4341" s="262"/>
      <c r="B4341" s="252"/>
      <c r="C4341" s="40" t="s">
        <v>3776</v>
      </c>
      <c r="D4341" s="40" t="s">
        <v>177</v>
      </c>
      <c r="E4341" s="41">
        <v>1.1659999999999999</v>
      </c>
      <c r="F4341" s="59">
        <v>62.224999999999994</v>
      </c>
      <c r="G4341" s="59">
        <f t="shared" si="73"/>
        <v>72.554349999999985</v>
      </c>
      <c r="H4341" s="43">
        <f>SUM(G4341:G4346)</f>
        <v>85.399778799999979</v>
      </c>
      <c r="I4341" s="44"/>
      <c r="J4341" s="34">
        <v>21780</v>
      </c>
    </row>
    <row r="4342" spans="1:10" ht="38.25" x14ac:dyDescent="0.25">
      <c r="A4342" s="262"/>
      <c r="B4342" s="252"/>
      <c r="C4342" s="40" t="s">
        <v>3813</v>
      </c>
      <c r="D4342" s="40" t="s">
        <v>3814</v>
      </c>
      <c r="E4342" s="41">
        <v>4.1500000000000004</v>
      </c>
      <c r="F4342" s="59">
        <v>1.9949999999999999</v>
      </c>
      <c r="G4342" s="59">
        <f t="shared" si="73"/>
        <v>8.2792500000000011</v>
      </c>
      <c r="H4342" s="62"/>
      <c r="I4342" s="63"/>
      <c r="J4342" s="34">
        <v>21780</v>
      </c>
    </row>
    <row r="4343" spans="1:10" x14ac:dyDescent="0.25">
      <c r="A4343" s="262"/>
      <c r="B4343" s="252"/>
      <c r="C4343" s="40" t="s">
        <v>3754</v>
      </c>
      <c r="D4343" s="40" t="s">
        <v>3752</v>
      </c>
      <c r="E4343" s="41">
        <v>9.7000000000000003E-2</v>
      </c>
      <c r="F4343" s="59">
        <v>20.814499999999999</v>
      </c>
      <c r="G4343" s="59">
        <f t="shared" si="73"/>
        <v>2.0190065000000001</v>
      </c>
      <c r="H4343" s="62"/>
      <c r="I4343" s="63"/>
      <c r="J4343" s="34">
        <v>21780</v>
      </c>
    </row>
    <row r="4344" spans="1:10" x14ac:dyDescent="0.25">
      <c r="A4344" s="262"/>
      <c r="B4344" s="252"/>
      <c r="C4344" s="40" t="s">
        <v>3816</v>
      </c>
      <c r="D4344" s="40" t="s">
        <v>3752</v>
      </c>
      <c r="E4344" s="41">
        <v>9.0999999999999998E-2</v>
      </c>
      <c r="F4344" s="59">
        <v>27.445499999999999</v>
      </c>
      <c r="G4344" s="59">
        <f t="shared" si="73"/>
        <v>2.4975404999999999</v>
      </c>
      <c r="H4344" s="62"/>
      <c r="I4344" s="63"/>
      <c r="J4344" s="34">
        <v>21780</v>
      </c>
    </row>
    <row r="4345" spans="1:10" ht="25.5" x14ac:dyDescent="0.25">
      <c r="A4345" s="262"/>
      <c r="B4345" s="252"/>
      <c r="C4345" s="40" t="s">
        <v>4123</v>
      </c>
      <c r="D4345" s="40" t="s">
        <v>1041</v>
      </c>
      <c r="E4345" s="41">
        <v>8.9999999999999998E-4</v>
      </c>
      <c r="F4345" s="59">
        <v>23.008999999999997</v>
      </c>
      <c r="G4345" s="59">
        <f t="shared" si="73"/>
        <v>2.0708099999999997E-2</v>
      </c>
      <c r="H4345" s="62"/>
      <c r="I4345" s="63"/>
      <c r="J4345" s="34">
        <v>21780</v>
      </c>
    </row>
    <row r="4346" spans="1:10" ht="25.5" x14ac:dyDescent="0.25">
      <c r="A4346" s="262"/>
      <c r="B4346" s="252"/>
      <c r="C4346" s="40" t="s">
        <v>4113</v>
      </c>
      <c r="D4346" s="40" t="s">
        <v>1052</v>
      </c>
      <c r="E4346" s="41">
        <v>1.2999999999999999E-3</v>
      </c>
      <c r="F4346" s="59">
        <v>22.249000000000002</v>
      </c>
      <c r="G4346" s="59">
        <f t="shared" si="73"/>
        <v>2.89237E-2</v>
      </c>
      <c r="H4346" s="62"/>
      <c r="I4346" s="63"/>
      <c r="J4346" s="34">
        <v>21780</v>
      </c>
    </row>
    <row r="4347" spans="1:10" ht="15.75" thickBot="1" x14ac:dyDescent="0.3">
      <c r="A4347" s="263"/>
      <c r="B4347" s="253"/>
      <c r="C4347" s="60"/>
      <c r="D4347" s="60"/>
      <c r="E4347" s="79"/>
      <c r="F4347" s="80" t="s">
        <v>23</v>
      </c>
      <c r="G4347" s="80" t="str">
        <f t="shared" si="73"/>
        <v/>
      </c>
      <c r="H4347" s="81"/>
      <c r="I4347" s="63"/>
      <c r="J4347" s="34">
        <v>21780</v>
      </c>
    </row>
    <row r="4348" spans="1:10" ht="15.75" thickBot="1" x14ac:dyDescent="0.3">
      <c r="A4348" s="248" t="s">
        <v>1056</v>
      </c>
      <c r="B4348" s="251" t="s">
        <v>2878</v>
      </c>
      <c r="C4348" s="28"/>
      <c r="D4348" s="29" t="s">
        <v>121</v>
      </c>
      <c r="E4348" s="30"/>
      <c r="F4348" s="51" t="s">
        <v>23</v>
      </c>
      <c r="G4348" s="31" t="str">
        <f t="shared" si="73"/>
        <v/>
      </c>
      <c r="H4348" s="32"/>
      <c r="I4348" s="33"/>
      <c r="J4348" s="34">
        <v>2220</v>
      </c>
    </row>
    <row r="4349" spans="1:10" x14ac:dyDescent="0.25">
      <c r="A4349" s="262"/>
      <c r="B4349" s="252"/>
      <c r="C4349" s="36"/>
      <c r="D4349" s="36"/>
      <c r="E4349" s="37"/>
      <c r="F4349" s="59" t="s">
        <v>23</v>
      </c>
      <c r="G4349" s="59" t="str">
        <f t="shared" si="73"/>
        <v/>
      </c>
      <c r="H4349" s="62"/>
      <c r="I4349" s="63"/>
      <c r="J4349" s="34">
        <v>2220</v>
      </c>
    </row>
    <row r="4350" spans="1:10" ht="38.25" x14ac:dyDescent="0.25">
      <c r="A4350" s="262"/>
      <c r="B4350" s="252"/>
      <c r="C4350" s="40" t="s">
        <v>3813</v>
      </c>
      <c r="D4350" s="40" t="s">
        <v>3814</v>
      </c>
      <c r="E4350" s="41">
        <v>4.1500000000000004</v>
      </c>
      <c r="F4350" s="59">
        <v>1.9949999999999999</v>
      </c>
      <c r="G4350" s="59">
        <f t="shared" si="73"/>
        <v>8.2792500000000011</v>
      </c>
      <c r="H4350" s="43">
        <f>SUM(G4350:G4355)</f>
        <v>76.999392100000009</v>
      </c>
      <c r="I4350" s="44"/>
      <c r="J4350" s="34">
        <v>2220</v>
      </c>
    </row>
    <row r="4351" spans="1:10" x14ac:dyDescent="0.25">
      <c r="A4351" s="262"/>
      <c r="B4351" s="252"/>
      <c r="C4351" s="40" t="s">
        <v>1057</v>
      </c>
      <c r="D4351" s="40" t="s">
        <v>121</v>
      </c>
      <c r="E4351" s="41">
        <v>1.0289999999999999</v>
      </c>
      <c r="F4351" s="59">
        <v>63.61</v>
      </c>
      <c r="G4351" s="59">
        <f t="shared" si="73"/>
        <v>65.454689999999999</v>
      </c>
      <c r="H4351" s="62"/>
      <c r="I4351" s="63"/>
      <c r="J4351" s="34">
        <v>2220</v>
      </c>
    </row>
    <row r="4352" spans="1:10" x14ac:dyDescent="0.25">
      <c r="A4352" s="262"/>
      <c r="B4352" s="252"/>
      <c r="C4352" s="40" t="s">
        <v>3754</v>
      </c>
      <c r="D4352" s="40" t="s">
        <v>3752</v>
      </c>
      <c r="E4352" s="41">
        <v>7.2999999999999995E-2</v>
      </c>
      <c r="F4352" s="59">
        <v>20.814499999999999</v>
      </c>
      <c r="G4352" s="59">
        <f t="shared" ref="G4352:G4415" si="74">IF(ISNUMBER(F4352),E4352*F4352,"")</f>
        <v>1.5194584999999998</v>
      </c>
      <c r="H4352" s="62"/>
      <c r="I4352" s="63"/>
      <c r="J4352" s="34">
        <v>2220</v>
      </c>
    </row>
    <row r="4353" spans="1:10" x14ac:dyDescent="0.25">
      <c r="A4353" s="262"/>
      <c r="B4353" s="252"/>
      <c r="C4353" s="40" t="s">
        <v>3816</v>
      </c>
      <c r="D4353" s="40" t="s">
        <v>3752</v>
      </c>
      <c r="E4353" s="41">
        <v>0.06</v>
      </c>
      <c r="F4353" s="59">
        <v>27.445499999999999</v>
      </c>
      <c r="G4353" s="59">
        <f t="shared" si="74"/>
        <v>1.6467299999999998</v>
      </c>
      <c r="H4353" s="62"/>
      <c r="I4353" s="63"/>
      <c r="J4353" s="34">
        <v>2220</v>
      </c>
    </row>
    <row r="4354" spans="1:10" ht="25.5" x14ac:dyDescent="0.25">
      <c r="A4354" s="262"/>
      <c r="B4354" s="252"/>
      <c r="C4354" s="40" t="s">
        <v>4123</v>
      </c>
      <c r="D4354" s="40" t="s">
        <v>1041</v>
      </c>
      <c r="E4354" s="41">
        <v>1.8E-3</v>
      </c>
      <c r="F4354" s="59">
        <v>23.008999999999997</v>
      </c>
      <c r="G4354" s="59">
        <f t="shared" si="74"/>
        <v>4.1416199999999993E-2</v>
      </c>
      <c r="H4354" s="62"/>
      <c r="I4354" s="63"/>
      <c r="J4354" s="34">
        <v>2220</v>
      </c>
    </row>
    <row r="4355" spans="1:10" ht="25.5" x14ac:dyDescent="0.25">
      <c r="A4355" s="262"/>
      <c r="B4355" s="252"/>
      <c r="C4355" s="40" t="s">
        <v>4113</v>
      </c>
      <c r="D4355" s="40" t="s">
        <v>1052</v>
      </c>
      <c r="E4355" s="41">
        <v>2.5999999999999999E-3</v>
      </c>
      <c r="F4355" s="59">
        <v>22.249000000000002</v>
      </c>
      <c r="G4355" s="59">
        <f t="shared" si="74"/>
        <v>5.78474E-2</v>
      </c>
      <c r="H4355" s="62"/>
      <c r="I4355" s="63"/>
      <c r="J4355" s="34">
        <v>2220</v>
      </c>
    </row>
    <row r="4356" spans="1:10" ht="15.75" thickBot="1" x14ac:dyDescent="0.3">
      <c r="A4356" s="263"/>
      <c r="B4356" s="253"/>
      <c r="C4356" s="60"/>
      <c r="D4356" s="60"/>
      <c r="E4356" s="79"/>
      <c r="F4356" s="80" t="s">
        <v>23</v>
      </c>
      <c r="G4356" s="80" t="str">
        <f t="shared" si="74"/>
        <v/>
      </c>
      <c r="H4356" s="81"/>
      <c r="I4356" s="63"/>
      <c r="J4356" s="34">
        <v>2220</v>
      </c>
    </row>
    <row r="4357" spans="1:10" ht="15.75" thickBot="1" x14ac:dyDescent="0.3">
      <c r="A4357" s="248" t="s">
        <v>1058</v>
      </c>
      <c r="B4357" s="251" t="s">
        <v>2879</v>
      </c>
      <c r="C4357" s="28"/>
      <c r="D4357" s="29" t="s">
        <v>78</v>
      </c>
      <c r="E4357" s="30"/>
      <c r="F4357" s="51" t="s">
        <v>23</v>
      </c>
      <c r="G4357" s="31" t="str">
        <f t="shared" si="74"/>
        <v/>
      </c>
      <c r="H4357" s="32"/>
      <c r="I4357" s="33"/>
      <c r="J4357" s="34">
        <v>27000</v>
      </c>
    </row>
    <row r="4358" spans="1:10" x14ac:dyDescent="0.25">
      <c r="A4358" s="262"/>
      <c r="B4358" s="252"/>
      <c r="C4358" s="36"/>
      <c r="D4358" s="36"/>
      <c r="E4358" s="37"/>
      <c r="F4358" s="59" t="s">
        <v>23</v>
      </c>
      <c r="G4358" s="59" t="str">
        <f t="shared" si="74"/>
        <v/>
      </c>
      <c r="H4358" s="62"/>
      <c r="I4358" s="63"/>
      <c r="J4358" s="34">
        <v>27000</v>
      </c>
    </row>
    <row r="4359" spans="1:10" ht="25.5" x14ac:dyDescent="0.25">
      <c r="A4359" s="262"/>
      <c r="B4359" s="252"/>
      <c r="C4359" s="40" t="s">
        <v>1059</v>
      </c>
      <c r="D4359" s="53" t="s">
        <v>177</v>
      </c>
      <c r="E4359" s="41">
        <v>1.1659999999999999</v>
      </c>
      <c r="F4359" s="59">
        <v>40.64</v>
      </c>
      <c r="G4359" s="59">
        <f t="shared" si="74"/>
        <v>47.386240000000001</v>
      </c>
      <c r="H4359" s="43">
        <f>SUM(G4359:G4364)</f>
        <v>60.231668800000008</v>
      </c>
      <c r="I4359" s="44"/>
      <c r="J4359" s="34">
        <v>27000</v>
      </c>
    </row>
    <row r="4360" spans="1:10" ht="38.25" x14ac:dyDescent="0.25">
      <c r="A4360" s="262"/>
      <c r="B4360" s="252"/>
      <c r="C4360" s="40" t="s">
        <v>3813</v>
      </c>
      <c r="D4360" s="40" t="s">
        <v>3814</v>
      </c>
      <c r="E4360" s="41">
        <v>4.1500000000000004</v>
      </c>
      <c r="F4360" s="59">
        <v>1.9949999999999999</v>
      </c>
      <c r="G4360" s="59">
        <f t="shared" si="74"/>
        <v>8.2792500000000011</v>
      </c>
      <c r="H4360" s="62"/>
      <c r="I4360" s="63"/>
      <c r="J4360" s="34">
        <v>27000</v>
      </c>
    </row>
    <row r="4361" spans="1:10" x14ac:dyDescent="0.25">
      <c r="A4361" s="262"/>
      <c r="B4361" s="252"/>
      <c r="C4361" s="40" t="s">
        <v>3754</v>
      </c>
      <c r="D4361" s="40" t="s">
        <v>3752</v>
      </c>
      <c r="E4361" s="41">
        <v>9.7000000000000003E-2</v>
      </c>
      <c r="F4361" s="59">
        <v>20.814499999999999</v>
      </c>
      <c r="G4361" s="59">
        <f t="shared" si="74"/>
        <v>2.0190065000000001</v>
      </c>
      <c r="H4361" s="62"/>
      <c r="I4361" s="63"/>
      <c r="J4361" s="34">
        <v>27000</v>
      </c>
    </row>
    <row r="4362" spans="1:10" x14ac:dyDescent="0.25">
      <c r="A4362" s="262"/>
      <c r="B4362" s="252"/>
      <c r="C4362" s="40" t="s">
        <v>3816</v>
      </c>
      <c r="D4362" s="40" t="s">
        <v>3752</v>
      </c>
      <c r="E4362" s="41">
        <v>9.0999999999999998E-2</v>
      </c>
      <c r="F4362" s="59">
        <v>27.445499999999999</v>
      </c>
      <c r="G4362" s="59">
        <f t="shared" si="74"/>
        <v>2.4975404999999999</v>
      </c>
      <c r="H4362" s="62"/>
      <c r="I4362" s="63"/>
      <c r="J4362" s="34">
        <v>27000</v>
      </c>
    </row>
    <row r="4363" spans="1:10" ht="25.5" x14ac:dyDescent="0.25">
      <c r="A4363" s="262"/>
      <c r="B4363" s="252"/>
      <c r="C4363" s="40" t="s">
        <v>4123</v>
      </c>
      <c r="D4363" s="40" t="s">
        <v>1041</v>
      </c>
      <c r="E4363" s="41">
        <v>8.9999999999999998E-4</v>
      </c>
      <c r="F4363" s="59">
        <v>23.008999999999997</v>
      </c>
      <c r="G4363" s="59">
        <f t="shared" si="74"/>
        <v>2.0708099999999997E-2</v>
      </c>
      <c r="H4363" s="62"/>
      <c r="I4363" s="63"/>
      <c r="J4363" s="34">
        <v>27000</v>
      </c>
    </row>
    <row r="4364" spans="1:10" ht="25.5" x14ac:dyDescent="0.25">
      <c r="A4364" s="262"/>
      <c r="B4364" s="252"/>
      <c r="C4364" s="40" t="s">
        <v>4113</v>
      </c>
      <c r="D4364" s="40" t="s">
        <v>1052</v>
      </c>
      <c r="E4364" s="41">
        <v>1.2999999999999999E-3</v>
      </c>
      <c r="F4364" s="59">
        <v>22.249000000000002</v>
      </c>
      <c r="G4364" s="59">
        <f t="shared" si="74"/>
        <v>2.89237E-2</v>
      </c>
      <c r="H4364" s="62"/>
      <c r="I4364" s="63"/>
      <c r="J4364" s="34">
        <v>27000</v>
      </c>
    </row>
    <row r="4365" spans="1:10" ht="15.75" thickBot="1" x14ac:dyDescent="0.3">
      <c r="A4365" s="263"/>
      <c r="B4365" s="253"/>
      <c r="C4365" s="60"/>
      <c r="D4365" s="60"/>
      <c r="E4365" s="79"/>
      <c r="F4365" s="80" t="s">
        <v>23</v>
      </c>
      <c r="G4365" s="80" t="str">
        <f t="shared" si="74"/>
        <v/>
      </c>
      <c r="H4365" s="81"/>
      <c r="I4365" s="63"/>
      <c r="J4365" s="34">
        <v>27000</v>
      </c>
    </row>
    <row r="4366" spans="1:10" ht="15.75" thickBot="1" x14ac:dyDescent="0.3">
      <c r="A4366" s="248" t="s">
        <v>1060</v>
      </c>
      <c r="B4366" s="251" t="s">
        <v>2880</v>
      </c>
      <c r="C4366" s="28"/>
      <c r="D4366" s="29" t="s">
        <v>121</v>
      </c>
      <c r="E4366" s="30"/>
      <c r="F4366" s="51" t="s">
        <v>23</v>
      </c>
      <c r="G4366" s="31" t="str">
        <f t="shared" si="74"/>
        <v/>
      </c>
      <c r="H4366" s="32"/>
      <c r="I4366" s="33"/>
      <c r="J4366" s="34">
        <v>2610</v>
      </c>
    </row>
    <row r="4367" spans="1:10" x14ac:dyDescent="0.25">
      <c r="A4367" s="262"/>
      <c r="B4367" s="252"/>
      <c r="C4367" s="36"/>
      <c r="D4367" s="36"/>
      <c r="E4367" s="37"/>
      <c r="F4367" s="59" t="s">
        <v>23</v>
      </c>
      <c r="G4367" s="59" t="str">
        <f t="shared" si="74"/>
        <v/>
      </c>
      <c r="H4367" s="62"/>
      <c r="I4367" s="63"/>
      <c r="J4367" s="34">
        <v>2610</v>
      </c>
    </row>
    <row r="4368" spans="1:10" ht="38.25" x14ac:dyDescent="0.25">
      <c r="A4368" s="262"/>
      <c r="B4368" s="252"/>
      <c r="C4368" s="40" t="s">
        <v>3813</v>
      </c>
      <c r="D4368" s="40" t="s">
        <v>3814</v>
      </c>
      <c r="E4368" s="41">
        <v>4.1500000000000004</v>
      </c>
      <c r="F4368" s="59">
        <v>1.9949999999999999</v>
      </c>
      <c r="G4368" s="59">
        <f t="shared" si="74"/>
        <v>8.2792500000000011</v>
      </c>
      <c r="H4368" s="43">
        <f>SUM(G4368:G4373)</f>
        <v>76.999392100000009</v>
      </c>
      <c r="I4368" s="44"/>
      <c r="J4368" s="34">
        <v>2610</v>
      </c>
    </row>
    <row r="4369" spans="1:10" x14ac:dyDescent="0.25">
      <c r="A4369" s="262"/>
      <c r="B4369" s="252"/>
      <c r="C4369" s="40" t="s">
        <v>1061</v>
      </c>
      <c r="D4369" s="40" t="s">
        <v>121</v>
      </c>
      <c r="E4369" s="41">
        <v>1.0289999999999999</v>
      </c>
      <c r="F4369" s="59">
        <v>63.61</v>
      </c>
      <c r="G4369" s="59">
        <f t="shared" si="74"/>
        <v>65.454689999999999</v>
      </c>
      <c r="H4369" s="62"/>
      <c r="I4369" s="63"/>
      <c r="J4369" s="34">
        <v>2610</v>
      </c>
    </row>
    <row r="4370" spans="1:10" x14ac:dyDescent="0.25">
      <c r="A4370" s="262"/>
      <c r="B4370" s="252"/>
      <c r="C4370" s="40" t="s">
        <v>3754</v>
      </c>
      <c r="D4370" s="40" t="s">
        <v>3752</v>
      </c>
      <c r="E4370" s="41">
        <v>7.2999999999999995E-2</v>
      </c>
      <c r="F4370" s="59">
        <v>20.814499999999999</v>
      </c>
      <c r="G4370" s="59">
        <f t="shared" si="74"/>
        <v>1.5194584999999998</v>
      </c>
      <c r="H4370" s="62"/>
      <c r="I4370" s="63"/>
      <c r="J4370" s="34">
        <v>2610</v>
      </c>
    </row>
    <row r="4371" spans="1:10" x14ac:dyDescent="0.25">
      <c r="A4371" s="262"/>
      <c r="B4371" s="252"/>
      <c r="C4371" s="40" t="s">
        <v>3816</v>
      </c>
      <c r="D4371" s="40" t="s">
        <v>3752</v>
      </c>
      <c r="E4371" s="41">
        <v>0.06</v>
      </c>
      <c r="F4371" s="59">
        <v>27.445499999999999</v>
      </c>
      <c r="G4371" s="59">
        <f t="shared" si="74"/>
        <v>1.6467299999999998</v>
      </c>
      <c r="H4371" s="62"/>
      <c r="I4371" s="63"/>
      <c r="J4371" s="34">
        <v>2610</v>
      </c>
    </row>
    <row r="4372" spans="1:10" ht="25.5" x14ac:dyDescent="0.25">
      <c r="A4372" s="262"/>
      <c r="B4372" s="252"/>
      <c r="C4372" s="40" t="s">
        <v>4123</v>
      </c>
      <c r="D4372" s="40" t="s">
        <v>1041</v>
      </c>
      <c r="E4372" s="41">
        <v>1.8E-3</v>
      </c>
      <c r="F4372" s="59">
        <v>23.008999999999997</v>
      </c>
      <c r="G4372" s="59">
        <f t="shared" si="74"/>
        <v>4.1416199999999993E-2</v>
      </c>
      <c r="H4372" s="62"/>
      <c r="I4372" s="63"/>
      <c r="J4372" s="34">
        <v>2610</v>
      </c>
    </row>
    <row r="4373" spans="1:10" ht="25.5" x14ac:dyDescent="0.25">
      <c r="A4373" s="262"/>
      <c r="B4373" s="252"/>
      <c r="C4373" s="40" t="s">
        <v>4113</v>
      </c>
      <c r="D4373" s="40" t="s">
        <v>1052</v>
      </c>
      <c r="E4373" s="41">
        <v>2.5999999999999999E-3</v>
      </c>
      <c r="F4373" s="59">
        <v>22.249000000000002</v>
      </c>
      <c r="G4373" s="59">
        <f t="shared" si="74"/>
        <v>5.78474E-2</v>
      </c>
      <c r="H4373" s="62"/>
      <c r="I4373" s="63"/>
      <c r="J4373" s="34">
        <v>2610</v>
      </c>
    </row>
    <row r="4374" spans="1:10" ht="15.75" thickBot="1" x14ac:dyDescent="0.3">
      <c r="A4374" s="263"/>
      <c r="B4374" s="253"/>
      <c r="C4374" s="60"/>
      <c r="D4374" s="60"/>
      <c r="E4374" s="79"/>
      <c r="F4374" s="80" t="s">
        <v>23</v>
      </c>
      <c r="G4374" s="80" t="str">
        <f t="shared" si="74"/>
        <v/>
      </c>
      <c r="H4374" s="81"/>
      <c r="I4374" s="63"/>
      <c r="J4374" s="34">
        <v>2610</v>
      </c>
    </row>
    <row r="4375" spans="1:10" ht="15.75" thickBot="1" x14ac:dyDescent="0.3">
      <c r="A4375" s="248" t="s">
        <v>1062</v>
      </c>
      <c r="B4375" s="251" t="s">
        <v>2881</v>
      </c>
      <c r="C4375" s="28"/>
      <c r="D4375" s="29" t="s">
        <v>78</v>
      </c>
      <c r="E4375" s="30"/>
      <c r="F4375" s="51" t="s">
        <v>23</v>
      </c>
      <c r="G4375" s="31" t="str">
        <f t="shared" si="74"/>
        <v/>
      </c>
      <c r="H4375" s="32"/>
      <c r="I4375" s="33"/>
      <c r="J4375" s="34">
        <v>580</v>
      </c>
    </row>
    <row r="4376" spans="1:10" x14ac:dyDescent="0.25">
      <c r="A4376" s="262"/>
      <c r="B4376" s="252"/>
      <c r="C4376" s="36"/>
      <c r="D4376" s="36"/>
      <c r="E4376" s="37"/>
      <c r="F4376" s="59" t="s">
        <v>23</v>
      </c>
      <c r="G4376" s="59" t="str">
        <f t="shared" si="74"/>
        <v/>
      </c>
      <c r="H4376" s="62"/>
      <c r="I4376" s="63"/>
      <c r="J4376" s="34">
        <v>580</v>
      </c>
    </row>
    <row r="4377" spans="1:10" x14ac:dyDescent="0.25">
      <c r="A4377" s="262"/>
      <c r="B4377" s="252"/>
      <c r="C4377" s="40" t="s">
        <v>3816</v>
      </c>
      <c r="D4377" s="40" t="s">
        <v>3752</v>
      </c>
      <c r="E4377" s="41">
        <v>0.3</v>
      </c>
      <c r="F4377" s="59">
        <v>27.445499999999999</v>
      </c>
      <c r="G4377" s="59">
        <f t="shared" si="74"/>
        <v>8.233649999999999</v>
      </c>
      <c r="H4377" s="43">
        <f>SUM(G4377:G4383)</f>
        <v>123.67071499999999</v>
      </c>
      <c r="I4377" s="44"/>
      <c r="J4377" s="34">
        <v>580</v>
      </c>
    </row>
    <row r="4378" spans="1:10" x14ac:dyDescent="0.25">
      <c r="A4378" s="262"/>
      <c r="B4378" s="252"/>
      <c r="C4378" s="40" t="s">
        <v>3754</v>
      </c>
      <c r="D4378" s="40" t="s">
        <v>3752</v>
      </c>
      <c r="E4378" s="41">
        <v>0.6</v>
      </c>
      <c r="F4378" s="59">
        <v>20.814499999999999</v>
      </c>
      <c r="G4378" s="59">
        <f t="shared" si="74"/>
        <v>12.4887</v>
      </c>
      <c r="H4378" s="62"/>
      <c r="I4378" s="63"/>
      <c r="J4378" s="34">
        <v>580</v>
      </c>
    </row>
    <row r="4379" spans="1:10" x14ac:dyDescent="0.25">
      <c r="A4379" s="262"/>
      <c r="B4379" s="252"/>
      <c r="C4379" s="40" t="s">
        <v>1063</v>
      </c>
      <c r="D4379" s="40" t="s">
        <v>291</v>
      </c>
      <c r="E4379" s="41">
        <v>1.1100000000000001</v>
      </c>
      <c r="F4379" s="59">
        <v>0.29449999999999998</v>
      </c>
      <c r="G4379" s="59">
        <f t="shared" si="74"/>
        <v>0.32689499999999999</v>
      </c>
      <c r="H4379" s="62"/>
      <c r="I4379" s="63"/>
      <c r="J4379" s="34">
        <v>580</v>
      </c>
    </row>
    <row r="4380" spans="1:10" x14ac:dyDescent="0.25">
      <c r="A4380" s="262"/>
      <c r="B4380" s="252"/>
      <c r="C4380" s="40" t="s">
        <v>1064</v>
      </c>
      <c r="D4380" s="40" t="s">
        <v>78</v>
      </c>
      <c r="E4380" s="41">
        <v>1.24</v>
      </c>
      <c r="F4380" s="59">
        <v>71.639499999999998</v>
      </c>
      <c r="G4380" s="59">
        <f t="shared" si="74"/>
        <v>88.832979999999992</v>
      </c>
      <c r="H4380" s="62"/>
      <c r="I4380" s="63"/>
      <c r="J4380" s="34">
        <v>580</v>
      </c>
    </row>
    <row r="4381" spans="1:10" ht="25.5" x14ac:dyDescent="0.25">
      <c r="A4381" s="262"/>
      <c r="B4381" s="252"/>
      <c r="C4381" s="40" t="s">
        <v>1065</v>
      </c>
      <c r="D4381" s="40" t="s">
        <v>291</v>
      </c>
      <c r="E4381" s="41">
        <v>1.1100000000000001</v>
      </c>
      <c r="F4381" s="59">
        <v>7.5714999999999995</v>
      </c>
      <c r="G4381" s="59">
        <f t="shared" si="74"/>
        <v>8.4043650000000003</v>
      </c>
      <c r="H4381" s="62"/>
      <c r="I4381" s="63"/>
      <c r="J4381" s="34">
        <v>580</v>
      </c>
    </row>
    <row r="4382" spans="1:10" x14ac:dyDescent="0.25">
      <c r="A4382" s="262"/>
      <c r="B4382" s="252"/>
      <c r="C4382" s="40" t="s">
        <v>1066</v>
      </c>
      <c r="D4382" s="40" t="s">
        <v>291</v>
      </c>
      <c r="E4382" s="41">
        <v>1</v>
      </c>
      <c r="F4382" s="59">
        <v>1.9569999999999999</v>
      </c>
      <c r="G4382" s="59">
        <f t="shared" si="74"/>
        <v>1.9569999999999999</v>
      </c>
      <c r="H4382" s="62"/>
      <c r="I4382" s="63"/>
      <c r="J4382" s="34">
        <v>580</v>
      </c>
    </row>
    <row r="4383" spans="1:10" x14ac:dyDescent="0.25">
      <c r="A4383" s="262"/>
      <c r="B4383" s="252"/>
      <c r="C4383" s="40" t="s">
        <v>1067</v>
      </c>
      <c r="D4383" s="40" t="s">
        <v>291</v>
      </c>
      <c r="E4383" s="41">
        <v>1.1100000000000001</v>
      </c>
      <c r="F4383" s="59">
        <v>3.0874999999999999</v>
      </c>
      <c r="G4383" s="59">
        <f t="shared" si="74"/>
        <v>3.4271250000000002</v>
      </c>
      <c r="H4383" s="62"/>
      <c r="I4383" s="63"/>
      <c r="J4383" s="34">
        <v>580</v>
      </c>
    </row>
    <row r="4384" spans="1:10" ht="15.75" thickBot="1" x14ac:dyDescent="0.3">
      <c r="A4384" s="263"/>
      <c r="B4384" s="253"/>
      <c r="C4384" s="60"/>
      <c r="D4384" s="60"/>
      <c r="E4384" s="79"/>
      <c r="F4384" s="80" t="s">
        <v>23</v>
      </c>
      <c r="G4384" s="80" t="str">
        <f t="shared" si="74"/>
        <v/>
      </c>
      <c r="H4384" s="81"/>
      <c r="I4384" s="63"/>
      <c r="J4384" s="34">
        <v>580</v>
      </c>
    </row>
    <row r="4385" spans="1:10" ht="15.75" thickBot="1" x14ac:dyDescent="0.3">
      <c r="A4385" s="248" t="s">
        <v>1068</v>
      </c>
      <c r="B4385" s="251" t="s">
        <v>2882</v>
      </c>
      <c r="C4385" s="28"/>
      <c r="D4385" s="29" t="s">
        <v>121</v>
      </c>
      <c r="E4385" s="30"/>
      <c r="F4385" s="51" t="s">
        <v>23</v>
      </c>
      <c r="G4385" s="31" t="str">
        <f t="shared" si="74"/>
        <v/>
      </c>
      <c r="H4385" s="32"/>
      <c r="I4385" s="33"/>
      <c r="J4385" s="34">
        <v>230</v>
      </c>
    </row>
    <row r="4386" spans="1:10" x14ac:dyDescent="0.25">
      <c r="A4386" s="262"/>
      <c r="B4386" s="252"/>
      <c r="C4386" s="36"/>
      <c r="D4386" s="36"/>
      <c r="E4386" s="37"/>
      <c r="F4386" s="59" t="s">
        <v>23</v>
      </c>
      <c r="G4386" s="59" t="str">
        <f t="shared" si="74"/>
        <v/>
      </c>
      <c r="H4386" s="62"/>
      <c r="I4386" s="63"/>
      <c r="J4386" s="34">
        <v>230</v>
      </c>
    </row>
    <row r="4387" spans="1:10" x14ac:dyDescent="0.25">
      <c r="A4387" s="262"/>
      <c r="B4387" s="252"/>
      <c r="C4387" s="40" t="s">
        <v>3816</v>
      </c>
      <c r="D4387" s="40" t="s">
        <v>3752</v>
      </c>
      <c r="E4387" s="41">
        <f>0.12/2</f>
        <v>0.06</v>
      </c>
      <c r="F4387" s="59">
        <v>27.445499999999999</v>
      </c>
      <c r="G4387" s="59">
        <f t="shared" si="74"/>
        <v>1.6467299999999998</v>
      </c>
      <c r="H4387" s="43">
        <f>SUM(G4387:G4391)</f>
        <v>93.230719999999991</v>
      </c>
      <c r="I4387" s="44"/>
      <c r="J4387" s="34">
        <v>230</v>
      </c>
    </row>
    <row r="4388" spans="1:10" x14ac:dyDescent="0.25">
      <c r="A4388" s="262"/>
      <c r="B4388" s="252"/>
      <c r="C4388" s="40" t="s">
        <v>3754</v>
      </c>
      <c r="D4388" s="40" t="s">
        <v>3752</v>
      </c>
      <c r="E4388" s="41">
        <f>0.12/2</f>
        <v>0.06</v>
      </c>
      <c r="F4388" s="59">
        <v>20.814499999999999</v>
      </c>
      <c r="G4388" s="59">
        <f t="shared" si="74"/>
        <v>1.2488699999999999</v>
      </c>
      <c r="H4388" s="62"/>
      <c r="I4388" s="63"/>
      <c r="J4388" s="34">
        <v>230</v>
      </c>
    </row>
    <row r="4389" spans="1:10" x14ac:dyDescent="0.25">
      <c r="A4389" s="262"/>
      <c r="B4389" s="252"/>
      <c r="C4389" s="40" t="s">
        <v>1063</v>
      </c>
      <c r="D4389" s="40" t="s">
        <v>291</v>
      </c>
      <c r="E4389" s="41">
        <f>4.12/2</f>
        <v>2.06</v>
      </c>
      <c r="F4389" s="59">
        <v>0.29449999999999998</v>
      </c>
      <c r="G4389" s="59">
        <f t="shared" si="74"/>
        <v>0.60666999999999993</v>
      </c>
      <c r="H4389" s="62"/>
      <c r="I4389" s="63"/>
      <c r="J4389" s="34">
        <v>230</v>
      </c>
    </row>
    <row r="4390" spans="1:10" ht="25.5" x14ac:dyDescent="0.25">
      <c r="A4390" s="262"/>
      <c r="B4390" s="252"/>
      <c r="C4390" s="40" t="s">
        <v>1069</v>
      </c>
      <c r="D4390" s="40" t="s">
        <v>291</v>
      </c>
      <c r="E4390" s="41">
        <v>2.06</v>
      </c>
      <c r="F4390" s="59">
        <v>40.47</v>
      </c>
      <c r="G4390" s="59">
        <f t="shared" si="74"/>
        <v>83.368200000000002</v>
      </c>
      <c r="H4390" s="62"/>
      <c r="I4390" s="63"/>
      <c r="J4390" s="34">
        <v>230</v>
      </c>
    </row>
    <row r="4391" spans="1:10" x14ac:dyDescent="0.25">
      <c r="A4391" s="262"/>
      <c r="B4391" s="252"/>
      <c r="C4391" s="40" t="s">
        <v>1067</v>
      </c>
      <c r="D4391" s="40" t="s">
        <v>291</v>
      </c>
      <c r="E4391" s="41">
        <f>4.12/2</f>
        <v>2.06</v>
      </c>
      <c r="F4391" s="59">
        <v>3.0874999999999999</v>
      </c>
      <c r="G4391" s="59">
        <f t="shared" si="74"/>
        <v>6.3602499999999997</v>
      </c>
      <c r="H4391" s="62"/>
      <c r="I4391" s="63"/>
      <c r="J4391" s="34">
        <v>230</v>
      </c>
    </row>
    <row r="4392" spans="1:10" ht="15.75" thickBot="1" x14ac:dyDescent="0.3">
      <c r="A4392" s="263"/>
      <c r="B4392" s="253"/>
      <c r="C4392" s="60"/>
      <c r="D4392" s="60"/>
      <c r="E4392" s="79"/>
      <c r="F4392" s="80" t="s">
        <v>23</v>
      </c>
      <c r="G4392" s="80" t="str">
        <f t="shared" si="74"/>
        <v/>
      </c>
      <c r="H4392" s="81"/>
      <c r="I4392" s="63"/>
      <c r="J4392" s="34">
        <v>230</v>
      </c>
    </row>
    <row r="4393" spans="1:10" ht="15.75" thickBot="1" x14ac:dyDescent="0.3">
      <c r="A4393" s="248" t="s">
        <v>1070</v>
      </c>
      <c r="B4393" s="251" t="s">
        <v>2883</v>
      </c>
      <c r="C4393" s="28"/>
      <c r="D4393" s="29" t="s">
        <v>121</v>
      </c>
      <c r="E4393" s="30"/>
      <c r="F4393" s="51" t="s">
        <v>23</v>
      </c>
      <c r="G4393" s="31" t="str">
        <f t="shared" si="74"/>
        <v/>
      </c>
      <c r="H4393" s="32"/>
      <c r="I4393" s="33"/>
      <c r="J4393" s="34">
        <v>230</v>
      </c>
    </row>
    <row r="4394" spans="1:10" x14ac:dyDescent="0.25">
      <c r="A4394" s="262"/>
      <c r="B4394" s="252"/>
      <c r="C4394" s="36"/>
      <c r="D4394" s="36"/>
      <c r="E4394" s="37"/>
      <c r="F4394" s="59" t="s">
        <v>23</v>
      </c>
      <c r="G4394" s="59" t="str">
        <f t="shared" si="74"/>
        <v/>
      </c>
      <c r="H4394" s="62"/>
      <c r="I4394" s="63"/>
      <c r="J4394" s="34">
        <v>230</v>
      </c>
    </row>
    <row r="4395" spans="1:10" x14ac:dyDescent="0.25">
      <c r="A4395" s="262"/>
      <c r="B4395" s="252"/>
      <c r="C4395" s="40" t="s">
        <v>3816</v>
      </c>
      <c r="D4395" s="40" t="s">
        <v>3752</v>
      </c>
      <c r="E4395" s="41">
        <f>0.12/2</f>
        <v>0.06</v>
      </c>
      <c r="F4395" s="59">
        <v>27.445499999999999</v>
      </c>
      <c r="G4395" s="59">
        <f t="shared" si="74"/>
        <v>1.6467299999999998</v>
      </c>
      <c r="H4395" s="43">
        <f>SUM(G4395:G4399)</f>
        <v>93.250289999999978</v>
      </c>
      <c r="I4395" s="44"/>
      <c r="J4395" s="34">
        <v>230</v>
      </c>
    </row>
    <row r="4396" spans="1:10" x14ac:dyDescent="0.25">
      <c r="A4396" s="262"/>
      <c r="B4396" s="252"/>
      <c r="C4396" s="40" t="s">
        <v>3754</v>
      </c>
      <c r="D4396" s="40" t="s">
        <v>3752</v>
      </c>
      <c r="E4396" s="41">
        <f>0.12/2</f>
        <v>0.06</v>
      </c>
      <c r="F4396" s="59">
        <v>20.814499999999999</v>
      </c>
      <c r="G4396" s="59">
        <f t="shared" si="74"/>
        <v>1.2488699999999999</v>
      </c>
      <c r="H4396" s="62"/>
      <c r="I4396" s="63"/>
      <c r="J4396" s="34">
        <v>230</v>
      </c>
    </row>
    <row r="4397" spans="1:10" x14ac:dyDescent="0.25">
      <c r="A4397" s="262"/>
      <c r="B4397" s="252"/>
      <c r="C4397" s="40" t="s">
        <v>1063</v>
      </c>
      <c r="D4397" s="40" t="s">
        <v>291</v>
      </c>
      <c r="E4397" s="41">
        <f>4.12/2</f>
        <v>2.06</v>
      </c>
      <c r="F4397" s="59">
        <v>0.29449999999999998</v>
      </c>
      <c r="G4397" s="59">
        <f t="shared" si="74"/>
        <v>0.60666999999999993</v>
      </c>
      <c r="H4397" s="62"/>
      <c r="I4397" s="63"/>
      <c r="J4397" s="34">
        <v>230</v>
      </c>
    </row>
    <row r="4398" spans="1:10" ht="25.5" x14ac:dyDescent="0.25">
      <c r="A4398" s="262"/>
      <c r="B4398" s="252"/>
      <c r="C4398" s="40" t="s">
        <v>1071</v>
      </c>
      <c r="D4398" s="40" t="s">
        <v>291</v>
      </c>
      <c r="E4398" s="41">
        <v>2.06</v>
      </c>
      <c r="F4398" s="59">
        <v>40.479499999999994</v>
      </c>
      <c r="G4398" s="59">
        <f t="shared" si="74"/>
        <v>83.387769999999989</v>
      </c>
      <c r="H4398" s="62"/>
      <c r="I4398" s="63"/>
      <c r="J4398" s="34">
        <v>230</v>
      </c>
    </row>
    <row r="4399" spans="1:10" x14ac:dyDescent="0.25">
      <c r="A4399" s="262"/>
      <c r="B4399" s="252"/>
      <c r="C4399" s="40" t="s">
        <v>1067</v>
      </c>
      <c r="D4399" s="40" t="s">
        <v>291</v>
      </c>
      <c r="E4399" s="41">
        <f>4.12/2</f>
        <v>2.06</v>
      </c>
      <c r="F4399" s="59">
        <v>3.0874999999999999</v>
      </c>
      <c r="G4399" s="59">
        <f t="shared" si="74"/>
        <v>6.3602499999999997</v>
      </c>
      <c r="H4399" s="62"/>
      <c r="I4399" s="63"/>
      <c r="J4399" s="34">
        <v>230</v>
      </c>
    </row>
    <row r="4400" spans="1:10" ht="15.75" thickBot="1" x14ac:dyDescent="0.3">
      <c r="A4400" s="263"/>
      <c r="B4400" s="253"/>
      <c r="C4400" s="60"/>
      <c r="D4400" s="60"/>
      <c r="E4400" s="79"/>
      <c r="F4400" s="80" t="s">
        <v>23</v>
      </c>
      <c r="G4400" s="80" t="str">
        <f t="shared" si="74"/>
        <v/>
      </c>
      <c r="H4400" s="81"/>
      <c r="I4400" s="63"/>
      <c r="J4400" s="34">
        <v>230</v>
      </c>
    </row>
    <row r="4401" spans="1:10" ht="15.75" thickBot="1" x14ac:dyDescent="0.3">
      <c r="A4401" s="248" t="s">
        <v>1072</v>
      </c>
      <c r="B4401" s="251" t="s">
        <v>2884</v>
      </c>
      <c r="C4401" s="28"/>
      <c r="D4401" s="29" t="s">
        <v>78</v>
      </c>
      <c r="E4401" s="30"/>
      <c r="F4401" s="51" t="s">
        <v>23</v>
      </c>
      <c r="G4401" s="31" t="str">
        <f t="shared" si="74"/>
        <v/>
      </c>
      <c r="H4401" s="32"/>
      <c r="I4401" s="33"/>
      <c r="J4401" s="34">
        <v>5050</v>
      </c>
    </row>
    <row r="4402" spans="1:10" x14ac:dyDescent="0.25">
      <c r="A4402" s="262"/>
      <c r="B4402" s="252"/>
      <c r="C4402" s="36"/>
      <c r="D4402" s="36"/>
      <c r="E4402" s="37"/>
      <c r="F4402" s="59" t="s">
        <v>23</v>
      </c>
      <c r="G4402" s="59" t="str">
        <f t="shared" si="74"/>
        <v/>
      </c>
      <c r="H4402" s="62"/>
      <c r="I4402" s="63"/>
      <c r="J4402" s="34">
        <v>5050</v>
      </c>
    </row>
    <row r="4403" spans="1:10" ht="38.25" x14ac:dyDescent="0.25">
      <c r="A4403" s="262"/>
      <c r="B4403" s="252"/>
      <c r="C4403" s="40" t="s">
        <v>4109</v>
      </c>
      <c r="D4403" s="40" t="s">
        <v>3814</v>
      </c>
      <c r="E4403" s="41">
        <v>1.27</v>
      </c>
      <c r="F4403" s="59">
        <v>0.26600000000000001</v>
      </c>
      <c r="G4403" s="59">
        <f t="shared" si="74"/>
        <v>0.33782000000000001</v>
      </c>
      <c r="H4403" s="43">
        <f>SUM(G4403:G4409)</f>
        <v>43.783503099999997</v>
      </c>
      <c r="I4403" s="44"/>
      <c r="J4403" s="34">
        <v>5050</v>
      </c>
    </row>
    <row r="4404" spans="1:10" ht="25.5" x14ac:dyDescent="0.25">
      <c r="A4404" s="262"/>
      <c r="B4404" s="252"/>
      <c r="C4404" s="40" t="s">
        <v>3846</v>
      </c>
      <c r="D4404" s="40" t="s">
        <v>291</v>
      </c>
      <c r="E4404" s="41">
        <v>1.27</v>
      </c>
      <c r="F4404" s="59">
        <v>4.0374999999999996</v>
      </c>
      <c r="G4404" s="59">
        <f t="shared" si="74"/>
        <v>5.1276249999999992</v>
      </c>
      <c r="H4404" s="62"/>
      <c r="I4404" s="63"/>
      <c r="J4404" s="34">
        <v>5050</v>
      </c>
    </row>
    <row r="4405" spans="1:10" ht="25.5" x14ac:dyDescent="0.25">
      <c r="A4405" s="262"/>
      <c r="B4405" s="252"/>
      <c r="C4405" s="40" t="s">
        <v>3891</v>
      </c>
      <c r="D4405" s="40" t="s">
        <v>177</v>
      </c>
      <c r="E4405" s="41">
        <v>1.2749999999999999</v>
      </c>
      <c r="F4405" s="59">
        <v>24.918499999999998</v>
      </c>
      <c r="G4405" s="59">
        <f t="shared" si="74"/>
        <v>31.771087499999997</v>
      </c>
      <c r="H4405" s="62"/>
      <c r="I4405" s="63"/>
      <c r="J4405" s="34">
        <v>5050</v>
      </c>
    </row>
    <row r="4406" spans="1:10" x14ac:dyDescent="0.25">
      <c r="A4406" s="262"/>
      <c r="B4406" s="252"/>
      <c r="C4406" s="40" t="s">
        <v>3754</v>
      </c>
      <c r="D4406" s="40" t="s">
        <v>3752</v>
      </c>
      <c r="E4406" s="41">
        <v>0.15</v>
      </c>
      <c r="F4406" s="59">
        <v>20.814499999999999</v>
      </c>
      <c r="G4406" s="59">
        <f t="shared" si="74"/>
        <v>3.1221749999999999</v>
      </c>
      <c r="H4406" s="62"/>
      <c r="I4406" s="63"/>
      <c r="J4406" s="34">
        <v>5050</v>
      </c>
    </row>
    <row r="4407" spans="1:10" x14ac:dyDescent="0.25">
      <c r="A4407" s="262"/>
      <c r="B4407" s="252"/>
      <c r="C4407" s="40" t="s">
        <v>3816</v>
      </c>
      <c r="D4407" s="40" t="s">
        <v>3752</v>
      </c>
      <c r="E4407" s="41">
        <v>0.115</v>
      </c>
      <c r="F4407" s="59">
        <v>27.445499999999999</v>
      </c>
      <c r="G4407" s="59">
        <f t="shared" si="74"/>
        <v>3.1562325000000002</v>
      </c>
      <c r="H4407" s="62"/>
      <c r="I4407" s="63"/>
      <c r="J4407" s="34">
        <v>5050</v>
      </c>
    </row>
    <row r="4408" spans="1:10" ht="25.5" x14ac:dyDescent="0.25">
      <c r="A4408" s="262"/>
      <c r="B4408" s="252"/>
      <c r="C4408" s="40" t="s">
        <v>4123</v>
      </c>
      <c r="D4408" s="40" t="s">
        <v>1041</v>
      </c>
      <c r="E4408" s="41">
        <v>5.0000000000000001E-3</v>
      </c>
      <c r="F4408" s="59">
        <v>23.008999999999997</v>
      </c>
      <c r="G4408" s="59">
        <f t="shared" si="74"/>
        <v>0.11504499999999998</v>
      </c>
      <c r="H4408" s="62"/>
      <c r="I4408" s="63"/>
      <c r="J4408" s="34">
        <v>5050</v>
      </c>
    </row>
    <row r="4409" spans="1:10" ht="25.5" x14ac:dyDescent="0.25">
      <c r="A4409" s="262"/>
      <c r="B4409" s="252"/>
      <c r="C4409" s="40" t="s">
        <v>4113</v>
      </c>
      <c r="D4409" s="40" t="s">
        <v>1052</v>
      </c>
      <c r="E4409" s="41">
        <v>6.8999999999999999E-3</v>
      </c>
      <c r="F4409" s="59">
        <v>22.249000000000002</v>
      </c>
      <c r="G4409" s="59">
        <f t="shared" si="74"/>
        <v>0.15351810000000002</v>
      </c>
      <c r="H4409" s="62"/>
      <c r="I4409" s="63"/>
      <c r="J4409" s="34">
        <v>5050</v>
      </c>
    </row>
    <row r="4410" spans="1:10" ht="15.75" thickBot="1" x14ac:dyDescent="0.3">
      <c r="A4410" s="263"/>
      <c r="B4410" s="253"/>
      <c r="C4410" s="60"/>
      <c r="D4410" s="60"/>
      <c r="E4410" s="79"/>
      <c r="F4410" s="80" t="s">
        <v>23</v>
      </c>
      <c r="G4410" s="80" t="str">
        <f t="shared" si="74"/>
        <v/>
      </c>
      <c r="H4410" s="81"/>
      <c r="I4410" s="63"/>
      <c r="J4410" s="34">
        <v>5050</v>
      </c>
    </row>
    <row r="4411" spans="1:10" ht="15.75" thickBot="1" x14ac:dyDescent="0.3">
      <c r="A4411" s="248" t="s">
        <v>1073</v>
      </c>
      <c r="B4411" s="251" t="s">
        <v>2885</v>
      </c>
      <c r="C4411" s="28"/>
      <c r="D4411" s="29" t="s">
        <v>121</v>
      </c>
      <c r="E4411" s="30"/>
      <c r="F4411" s="51" t="s">
        <v>23</v>
      </c>
      <c r="G4411" s="31" t="str">
        <f t="shared" si="74"/>
        <v/>
      </c>
      <c r="H4411" s="32"/>
      <c r="I4411" s="33"/>
      <c r="J4411" s="34">
        <v>900</v>
      </c>
    </row>
    <row r="4412" spans="1:10" x14ac:dyDescent="0.25">
      <c r="A4412" s="262"/>
      <c r="B4412" s="252"/>
      <c r="C4412" s="36"/>
      <c r="D4412" s="36"/>
      <c r="E4412" s="37"/>
      <c r="F4412" s="59" t="s">
        <v>23</v>
      </c>
      <c r="G4412" s="59" t="str">
        <f t="shared" si="74"/>
        <v/>
      </c>
      <c r="H4412" s="62"/>
      <c r="I4412" s="63"/>
      <c r="J4412" s="34">
        <v>900</v>
      </c>
    </row>
    <row r="4413" spans="1:10" ht="38.25" x14ac:dyDescent="0.25">
      <c r="A4413" s="262"/>
      <c r="B4413" s="252"/>
      <c r="C4413" s="40" t="s">
        <v>4109</v>
      </c>
      <c r="D4413" s="40" t="s">
        <v>3814</v>
      </c>
      <c r="E4413" s="41">
        <v>4.2</v>
      </c>
      <c r="F4413" s="59">
        <v>0.26600000000000001</v>
      </c>
      <c r="G4413" s="59">
        <f t="shared" si="74"/>
        <v>1.1172000000000002</v>
      </c>
      <c r="H4413" s="43">
        <f>SUM(G4413:G4419)</f>
        <v>75.584401600000007</v>
      </c>
      <c r="I4413" s="44"/>
      <c r="J4413" s="34">
        <v>900</v>
      </c>
    </row>
    <row r="4414" spans="1:10" ht="25.5" x14ac:dyDescent="0.25">
      <c r="A4414" s="262"/>
      <c r="B4414" s="252"/>
      <c r="C4414" s="40" t="s">
        <v>3846</v>
      </c>
      <c r="D4414" s="40" t="s">
        <v>291</v>
      </c>
      <c r="E4414" s="41">
        <v>4.2</v>
      </c>
      <c r="F4414" s="59">
        <v>4.0374999999999996</v>
      </c>
      <c r="G4414" s="59">
        <f t="shared" si="74"/>
        <v>16.9575</v>
      </c>
      <c r="H4414" s="62"/>
      <c r="I4414" s="63"/>
      <c r="J4414" s="34">
        <v>900</v>
      </c>
    </row>
    <row r="4415" spans="1:10" ht="25.5" x14ac:dyDescent="0.25">
      <c r="A4415" s="262"/>
      <c r="B4415" s="252"/>
      <c r="C4415" s="40" t="s">
        <v>4003</v>
      </c>
      <c r="D4415" s="40" t="s">
        <v>291</v>
      </c>
      <c r="E4415" s="41">
        <v>1.0289999999999999</v>
      </c>
      <c r="F4415" s="59">
        <v>52.715499999999999</v>
      </c>
      <c r="G4415" s="59">
        <f t="shared" si="74"/>
        <v>54.244249499999995</v>
      </c>
      <c r="H4415" s="62"/>
      <c r="I4415" s="63"/>
      <c r="J4415" s="34">
        <v>900</v>
      </c>
    </row>
    <row r="4416" spans="1:10" x14ac:dyDescent="0.25">
      <c r="A4416" s="262"/>
      <c r="B4416" s="252"/>
      <c r="C4416" s="40" t="s">
        <v>3754</v>
      </c>
      <c r="D4416" s="40" t="s">
        <v>3752</v>
      </c>
      <c r="E4416" s="41">
        <v>7.2999999999999995E-2</v>
      </c>
      <c r="F4416" s="59">
        <v>20.814499999999999</v>
      </c>
      <c r="G4416" s="59">
        <f t="shared" ref="G4416:G4479" si="75">IF(ISNUMBER(F4416),E4416*F4416,"")</f>
        <v>1.5194584999999998</v>
      </c>
      <c r="H4416" s="62"/>
      <c r="I4416" s="63"/>
      <c r="J4416" s="34">
        <v>900</v>
      </c>
    </row>
    <row r="4417" spans="1:10" x14ac:dyDescent="0.25">
      <c r="A4417" s="262"/>
      <c r="B4417" s="252"/>
      <c r="C4417" s="40" t="s">
        <v>3816</v>
      </c>
      <c r="D4417" s="40" t="s">
        <v>3752</v>
      </c>
      <c r="E4417" s="41">
        <v>0.06</v>
      </c>
      <c r="F4417" s="59">
        <v>27.445499999999999</v>
      </c>
      <c r="G4417" s="59">
        <f t="shared" si="75"/>
        <v>1.6467299999999998</v>
      </c>
      <c r="H4417" s="62"/>
      <c r="I4417" s="63"/>
      <c r="J4417" s="34">
        <v>900</v>
      </c>
    </row>
    <row r="4418" spans="1:10" ht="25.5" x14ac:dyDescent="0.25">
      <c r="A4418" s="262"/>
      <c r="B4418" s="252"/>
      <c r="C4418" s="40" t="s">
        <v>4123</v>
      </c>
      <c r="D4418" s="40" t="s">
        <v>1041</v>
      </c>
      <c r="E4418" s="41">
        <v>1.8E-3</v>
      </c>
      <c r="F4418" s="59">
        <v>23.008999999999997</v>
      </c>
      <c r="G4418" s="59">
        <f t="shared" si="75"/>
        <v>4.1416199999999993E-2</v>
      </c>
      <c r="H4418" s="62"/>
      <c r="I4418" s="63"/>
      <c r="J4418" s="34">
        <v>900</v>
      </c>
    </row>
    <row r="4419" spans="1:10" ht="25.5" x14ac:dyDescent="0.25">
      <c r="A4419" s="262"/>
      <c r="B4419" s="252"/>
      <c r="C4419" s="40" t="s">
        <v>4113</v>
      </c>
      <c r="D4419" s="40" t="s">
        <v>1052</v>
      </c>
      <c r="E4419" s="41">
        <v>2.5999999999999999E-3</v>
      </c>
      <c r="F4419" s="59">
        <v>22.249000000000002</v>
      </c>
      <c r="G4419" s="59">
        <f t="shared" si="75"/>
        <v>5.78474E-2</v>
      </c>
      <c r="H4419" s="62"/>
      <c r="I4419" s="63"/>
      <c r="J4419" s="34">
        <v>900</v>
      </c>
    </row>
    <row r="4420" spans="1:10" ht="15.75" thickBot="1" x14ac:dyDescent="0.3">
      <c r="A4420" s="263"/>
      <c r="B4420" s="253"/>
      <c r="C4420" s="60"/>
      <c r="D4420" s="60"/>
      <c r="E4420" s="79"/>
      <c r="F4420" s="80" t="s">
        <v>23</v>
      </c>
      <c r="G4420" s="80" t="str">
        <f t="shared" si="75"/>
        <v/>
      </c>
      <c r="H4420" s="81"/>
      <c r="I4420" s="63"/>
      <c r="J4420" s="34">
        <v>900</v>
      </c>
    </row>
    <row r="4421" spans="1:10" ht="15.75" thickBot="1" x14ac:dyDescent="0.3">
      <c r="A4421" s="248" t="s">
        <v>1074</v>
      </c>
      <c r="B4421" s="251" t="s">
        <v>2886</v>
      </c>
      <c r="C4421" s="28"/>
      <c r="D4421" s="29" t="s">
        <v>121</v>
      </c>
      <c r="E4421" s="30"/>
      <c r="F4421" s="51" t="s">
        <v>23</v>
      </c>
      <c r="G4421" s="31" t="str">
        <f t="shared" si="75"/>
        <v/>
      </c>
      <c r="H4421" s="32"/>
      <c r="I4421" s="33"/>
      <c r="J4421" s="34">
        <v>900</v>
      </c>
    </row>
    <row r="4422" spans="1:10" x14ac:dyDescent="0.25">
      <c r="A4422" s="262"/>
      <c r="B4422" s="252"/>
      <c r="C4422" s="36"/>
      <c r="D4422" s="36"/>
      <c r="E4422" s="37"/>
      <c r="F4422" s="59" t="s">
        <v>23</v>
      </c>
      <c r="G4422" s="59" t="str">
        <f t="shared" si="75"/>
        <v/>
      </c>
      <c r="H4422" s="62"/>
      <c r="I4422" s="63"/>
      <c r="J4422" s="34">
        <v>900</v>
      </c>
    </row>
    <row r="4423" spans="1:10" ht="38.25" x14ac:dyDescent="0.25">
      <c r="A4423" s="262"/>
      <c r="B4423" s="252"/>
      <c r="C4423" s="40" t="s">
        <v>4109</v>
      </c>
      <c r="D4423" s="40" t="s">
        <v>3814</v>
      </c>
      <c r="E4423" s="41">
        <v>4.2</v>
      </c>
      <c r="F4423" s="59">
        <v>0.26600000000000001</v>
      </c>
      <c r="G4423" s="59">
        <f t="shared" si="75"/>
        <v>1.1172000000000002</v>
      </c>
      <c r="H4423" s="43">
        <f>SUM(G4423:G4429)</f>
        <v>81.599554599999991</v>
      </c>
      <c r="I4423" s="44"/>
      <c r="J4423" s="34">
        <v>900</v>
      </c>
    </row>
    <row r="4424" spans="1:10" ht="25.5" x14ac:dyDescent="0.25">
      <c r="A4424" s="262"/>
      <c r="B4424" s="252"/>
      <c r="C4424" s="40" t="s">
        <v>3846</v>
      </c>
      <c r="D4424" s="40" t="s">
        <v>291</v>
      </c>
      <c r="E4424" s="41">
        <v>4.2</v>
      </c>
      <c r="F4424" s="59">
        <v>4.0374999999999996</v>
      </c>
      <c r="G4424" s="59">
        <f t="shared" si="75"/>
        <v>16.9575</v>
      </c>
      <c r="H4424" s="62"/>
      <c r="I4424" s="63"/>
      <c r="J4424" s="34">
        <v>900</v>
      </c>
    </row>
    <row r="4425" spans="1:10" ht="25.5" x14ac:dyDescent="0.25">
      <c r="A4425" s="262"/>
      <c r="B4425" s="252"/>
      <c r="C4425" s="40" t="s">
        <v>3997</v>
      </c>
      <c r="D4425" s="40" t="s">
        <v>291</v>
      </c>
      <c r="E4425" s="41">
        <v>1.0289999999999999</v>
      </c>
      <c r="F4425" s="59">
        <v>59.432000000000002</v>
      </c>
      <c r="G4425" s="59">
        <f t="shared" si="75"/>
        <v>61.155527999999997</v>
      </c>
      <c r="H4425" s="62"/>
      <c r="I4425" s="63"/>
      <c r="J4425" s="34">
        <v>900</v>
      </c>
    </row>
    <row r="4426" spans="1:10" x14ac:dyDescent="0.25">
      <c r="A4426" s="262"/>
      <c r="B4426" s="252"/>
      <c r="C4426" s="40" t="s">
        <v>3754</v>
      </c>
      <c r="D4426" s="40" t="s">
        <v>3752</v>
      </c>
      <c r="E4426" s="41">
        <v>5.5E-2</v>
      </c>
      <c r="F4426" s="59">
        <v>20.814499999999999</v>
      </c>
      <c r="G4426" s="59">
        <f t="shared" si="75"/>
        <v>1.1447974999999999</v>
      </c>
      <c r="H4426" s="62"/>
      <c r="I4426" s="63"/>
      <c r="J4426" s="34">
        <v>900</v>
      </c>
    </row>
    <row r="4427" spans="1:10" x14ac:dyDescent="0.25">
      <c r="A4427" s="262"/>
      <c r="B4427" s="252"/>
      <c r="C4427" s="40" t="s">
        <v>3816</v>
      </c>
      <c r="D4427" s="40" t="s">
        <v>3752</v>
      </c>
      <c r="E4427" s="41">
        <v>4.1000000000000002E-2</v>
      </c>
      <c r="F4427" s="59">
        <v>27.445499999999999</v>
      </c>
      <c r="G4427" s="59">
        <f t="shared" si="75"/>
        <v>1.1252655</v>
      </c>
      <c r="H4427" s="62"/>
      <c r="I4427" s="63"/>
      <c r="J4427" s="34">
        <v>900</v>
      </c>
    </row>
    <row r="4428" spans="1:10" ht="25.5" x14ac:dyDescent="0.25">
      <c r="A4428" s="262"/>
      <c r="B4428" s="252"/>
      <c r="C4428" s="40" t="s">
        <v>4123</v>
      </c>
      <c r="D4428" s="40" t="s">
        <v>1041</v>
      </c>
      <c r="E4428" s="41">
        <v>1.8E-3</v>
      </c>
      <c r="F4428" s="59">
        <v>23.008999999999997</v>
      </c>
      <c r="G4428" s="59">
        <f t="shared" si="75"/>
        <v>4.1416199999999993E-2</v>
      </c>
      <c r="H4428" s="62"/>
      <c r="I4428" s="63"/>
      <c r="J4428" s="34">
        <v>900</v>
      </c>
    </row>
    <row r="4429" spans="1:10" ht="25.5" x14ac:dyDescent="0.25">
      <c r="A4429" s="262"/>
      <c r="B4429" s="252"/>
      <c r="C4429" s="40" t="s">
        <v>4113</v>
      </c>
      <c r="D4429" s="40" t="s">
        <v>1052</v>
      </c>
      <c r="E4429" s="41">
        <v>2.5999999999999999E-3</v>
      </c>
      <c r="F4429" s="59">
        <v>22.249000000000002</v>
      </c>
      <c r="G4429" s="59">
        <f t="shared" si="75"/>
        <v>5.78474E-2</v>
      </c>
      <c r="H4429" s="62"/>
      <c r="I4429" s="63"/>
      <c r="J4429" s="34">
        <v>900</v>
      </c>
    </row>
    <row r="4430" spans="1:10" ht="15.75" thickBot="1" x14ac:dyDescent="0.3">
      <c r="A4430" s="263"/>
      <c r="B4430" s="253"/>
      <c r="C4430" s="60"/>
      <c r="D4430" s="60"/>
      <c r="E4430" s="79"/>
      <c r="F4430" s="80" t="s">
        <v>23</v>
      </c>
      <c r="G4430" s="80" t="str">
        <f t="shared" si="75"/>
        <v/>
      </c>
      <c r="H4430" s="81"/>
      <c r="I4430" s="63"/>
      <c r="J4430" s="34">
        <v>900</v>
      </c>
    </row>
    <row r="4431" spans="1:10" ht="15.75" thickBot="1" x14ac:dyDescent="0.3">
      <c r="A4431" s="248" t="s">
        <v>1075</v>
      </c>
      <c r="B4431" s="251" t="s">
        <v>2887</v>
      </c>
      <c r="C4431" s="28"/>
      <c r="D4431" s="29" t="s">
        <v>78</v>
      </c>
      <c r="E4431" s="30"/>
      <c r="F4431" s="51" t="s">
        <v>23</v>
      </c>
      <c r="G4431" s="31" t="str">
        <f t="shared" si="75"/>
        <v/>
      </c>
      <c r="H4431" s="32"/>
      <c r="I4431" s="33"/>
      <c r="J4431" s="34">
        <v>1090</v>
      </c>
    </row>
    <row r="4432" spans="1:10" x14ac:dyDescent="0.25">
      <c r="A4432" s="262"/>
      <c r="B4432" s="252"/>
      <c r="C4432" s="36"/>
      <c r="D4432" s="36"/>
      <c r="E4432" s="37"/>
      <c r="F4432" s="59" t="s">
        <v>23</v>
      </c>
      <c r="G4432" s="59" t="str">
        <f t="shared" si="75"/>
        <v/>
      </c>
      <c r="H4432" s="62"/>
      <c r="I4432" s="63"/>
      <c r="J4432" s="34">
        <v>1090</v>
      </c>
    </row>
    <row r="4433" spans="1:10" x14ac:dyDescent="0.25">
      <c r="A4433" s="262"/>
      <c r="B4433" s="252"/>
      <c r="C4433" s="40" t="s">
        <v>3816</v>
      </c>
      <c r="D4433" s="40" t="s">
        <v>3752</v>
      </c>
      <c r="E4433" s="41">
        <v>0.15</v>
      </c>
      <c r="F4433" s="59">
        <v>27.445499999999999</v>
      </c>
      <c r="G4433" s="59">
        <f t="shared" si="75"/>
        <v>4.1168249999999995</v>
      </c>
      <c r="H4433" s="43">
        <f>SUM(G4433:G4437)</f>
        <v>98.148110000000003</v>
      </c>
      <c r="I4433" s="44"/>
      <c r="J4433" s="34">
        <v>1090</v>
      </c>
    </row>
    <row r="4434" spans="1:10" x14ac:dyDescent="0.25">
      <c r="A4434" s="262"/>
      <c r="B4434" s="252"/>
      <c r="C4434" s="40" t="s">
        <v>3754</v>
      </c>
      <c r="D4434" s="40" t="s">
        <v>3752</v>
      </c>
      <c r="E4434" s="41">
        <v>0.15</v>
      </c>
      <c r="F4434" s="59">
        <v>20.814499999999999</v>
      </c>
      <c r="G4434" s="59">
        <f t="shared" si="75"/>
        <v>3.1221749999999999</v>
      </c>
      <c r="H4434" s="62"/>
      <c r="I4434" s="63"/>
      <c r="J4434" s="34">
        <v>1090</v>
      </c>
    </row>
    <row r="4435" spans="1:10" x14ac:dyDescent="0.25">
      <c r="A4435" s="262"/>
      <c r="B4435" s="252"/>
      <c r="C4435" s="40" t="s">
        <v>1063</v>
      </c>
      <c r="D4435" s="40" t="s">
        <v>291</v>
      </c>
      <c r="E4435" s="41">
        <v>4.12</v>
      </c>
      <c r="F4435" s="59">
        <v>0.29449999999999998</v>
      </c>
      <c r="G4435" s="59">
        <f t="shared" si="75"/>
        <v>1.2133399999999999</v>
      </c>
      <c r="H4435" s="62"/>
      <c r="I4435" s="63"/>
      <c r="J4435" s="34">
        <v>1090</v>
      </c>
    </row>
    <row r="4436" spans="1:10" x14ac:dyDescent="0.25">
      <c r="A4436" s="262"/>
      <c r="B4436" s="252"/>
      <c r="C4436" s="40" t="s">
        <v>1076</v>
      </c>
      <c r="D4436" s="40" t="s">
        <v>78</v>
      </c>
      <c r="E4436" s="41">
        <v>1.06</v>
      </c>
      <c r="F4436" s="59">
        <v>69.036500000000004</v>
      </c>
      <c r="G4436" s="59">
        <f t="shared" si="75"/>
        <v>73.178690000000003</v>
      </c>
      <c r="H4436" s="62"/>
      <c r="I4436" s="63"/>
      <c r="J4436" s="34">
        <v>1090</v>
      </c>
    </row>
    <row r="4437" spans="1:10" x14ac:dyDescent="0.25">
      <c r="A4437" s="262"/>
      <c r="B4437" s="252"/>
      <c r="C4437" s="40" t="s">
        <v>1077</v>
      </c>
      <c r="D4437" s="40" t="s">
        <v>291</v>
      </c>
      <c r="E4437" s="41">
        <v>4.12</v>
      </c>
      <c r="F4437" s="59">
        <v>4.0089999999999995</v>
      </c>
      <c r="G4437" s="59">
        <f t="shared" si="75"/>
        <v>16.517079999999996</v>
      </c>
      <c r="H4437" s="62"/>
      <c r="I4437" s="63"/>
      <c r="J4437" s="34">
        <v>1090</v>
      </c>
    </row>
    <row r="4438" spans="1:10" ht="15.75" thickBot="1" x14ac:dyDescent="0.3">
      <c r="A4438" s="263"/>
      <c r="B4438" s="253"/>
      <c r="C4438" s="60"/>
      <c r="D4438" s="60"/>
      <c r="E4438" s="79"/>
      <c r="F4438" s="80" t="s">
        <v>23</v>
      </c>
      <c r="G4438" s="80" t="str">
        <f t="shared" si="75"/>
        <v/>
      </c>
      <c r="H4438" s="81"/>
      <c r="I4438" s="63"/>
      <c r="J4438" s="34">
        <v>1090</v>
      </c>
    </row>
    <row r="4439" spans="1:10" ht="15.75" thickBot="1" x14ac:dyDescent="0.3">
      <c r="A4439" s="256" t="s">
        <v>1078</v>
      </c>
      <c r="B4439" s="259" t="s">
        <v>2895</v>
      </c>
      <c r="C4439" s="28"/>
      <c r="D4439" s="29" t="s">
        <v>121</v>
      </c>
      <c r="E4439" s="30"/>
      <c r="F4439" s="51" t="s">
        <v>23</v>
      </c>
      <c r="G4439" s="31" t="str">
        <f t="shared" si="75"/>
        <v/>
      </c>
      <c r="H4439" s="32"/>
      <c r="I4439" s="33"/>
      <c r="J4439" s="34">
        <v>530</v>
      </c>
    </row>
    <row r="4440" spans="1:10" x14ac:dyDescent="0.25">
      <c r="A4440" s="264"/>
      <c r="B4440" s="260"/>
      <c r="C4440" s="36"/>
      <c r="D4440" s="36"/>
      <c r="E4440" s="37"/>
      <c r="F4440" s="59" t="s">
        <v>23</v>
      </c>
      <c r="G4440" s="59" t="str">
        <f t="shared" si="75"/>
        <v/>
      </c>
      <c r="H4440" s="62"/>
      <c r="I4440" s="63"/>
      <c r="J4440" s="34">
        <v>530</v>
      </c>
    </row>
    <row r="4441" spans="1:10" x14ac:dyDescent="0.25">
      <c r="A4441" s="264"/>
      <c r="B4441" s="260"/>
      <c r="C4441" s="40" t="s">
        <v>3984</v>
      </c>
      <c r="D4441" s="40" t="s">
        <v>1035</v>
      </c>
      <c r="E4441" s="41">
        <v>5.18</v>
      </c>
      <c r="F4441" s="59">
        <v>8.7684999999999995</v>
      </c>
      <c r="G4441" s="59">
        <f t="shared" si="75"/>
        <v>45.420829999999995</v>
      </c>
      <c r="H4441" s="43">
        <f>SUM(G4441:G4452)</f>
        <v>356.0249479598437</v>
      </c>
      <c r="I4441" s="44"/>
      <c r="J4441" s="34">
        <v>530</v>
      </c>
    </row>
    <row r="4442" spans="1:10" x14ac:dyDescent="0.25">
      <c r="A4442" s="264"/>
      <c r="B4442" s="260"/>
      <c r="C4442" s="40" t="s">
        <v>4139</v>
      </c>
      <c r="D4442" s="40" t="s">
        <v>80</v>
      </c>
      <c r="E4442" s="41">
        <v>0.15</v>
      </c>
      <c r="F4442" s="59">
        <v>41.267999999999994</v>
      </c>
      <c r="G4442" s="59">
        <f t="shared" si="75"/>
        <v>6.190199999999999</v>
      </c>
      <c r="H4442" s="62"/>
      <c r="I4442" s="63"/>
      <c r="J4442" s="34">
        <v>530</v>
      </c>
    </row>
    <row r="4443" spans="1:10" x14ac:dyDescent="0.25">
      <c r="A4443" s="264"/>
      <c r="B4443" s="260"/>
      <c r="C4443" s="40" t="s">
        <v>3753</v>
      </c>
      <c r="D4443" s="40" t="s">
        <v>3752</v>
      </c>
      <c r="E4443" s="41">
        <f>0.4298*0.05/0.16*3</f>
        <v>0.4029375</v>
      </c>
      <c r="F4443" s="59">
        <v>29.202999999999996</v>
      </c>
      <c r="G4443" s="59">
        <f t="shared" si="75"/>
        <v>11.766983812499998</v>
      </c>
      <c r="H4443" s="62"/>
      <c r="I4443" s="63"/>
      <c r="J4443" s="34">
        <v>530</v>
      </c>
    </row>
    <row r="4444" spans="1:10" x14ac:dyDescent="0.25">
      <c r="A4444" s="264"/>
      <c r="B4444" s="260"/>
      <c r="C4444" s="40" t="s">
        <v>3757</v>
      </c>
      <c r="D4444" s="40" t="s">
        <v>3752</v>
      </c>
      <c r="E4444" s="41">
        <v>0.4</v>
      </c>
      <c r="F4444" s="59">
        <v>28.0535</v>
      </c>
      <c r="G4444" s="59">
        <f t="shared" si="75"/>
        <v>11.221400000000001</v>
      </c>
      <c r="H4444" s="62"/>
      <c r="I4444" s="63"/>
      <c r="J4444" s="34">
        <v>530</v>
      </c>
    </row>
    <row r="4445" spans="1:10" x14ac:dyDescent="0.25">
      <c r="A4445" s="264"/>
      <c r="B4445" s="260"/>
      <c r="C4445" s="40" t="s">
        <v>3754</v>
      </c>
      <c r="D4445" s="40" t="s">
        <v>3752</v>
      </c>
      <c r="E4445" s="41">
        <v>0.8</v>
      </c>
      <c r="F4445" s="59">
        <v>20.814499999999999</v>
      </c>
      <c r="G4445" s="59">
        <f t="shared" si="75"/>
        <v>16.651599999999998</v>
      </c>
      <c r="H4445" s="62"/>
      <c r="I4445" s="63"/>
      <c r="J4445" s="34">
        <v>530</v>
      </c>
    </row>
    <row r="4446" spans="1:10" ht="25.5" x14ac:dyDescent="0.25">
      <c r="A4446" s="264"/>
      <c r="B4446" s="260"/>
      <c r="C4446" s="40" t="s">
        <v>4740</v>
      </c>
      <c r="D4446" s="40" t="s">
        <v>3764</v>
      </c>
      <c r="E4446" s="41">
        <v>2.5000000000000001E-3</v>
      </c>
      <c r="F4446" s="59">
        <v>763.57365893749989</v>
      </c>
      <c r="G4446" s="59">
        <f t="shared" si="75"/>
        <v>1.9089341473437498</v>
      </c>
      <c r="H4446" s="62"/>
      <c r="I4446" s="63"/>
      <c r="J4446" s="34">
        <v>530</v>
      </c>
    </row>
    <row r="4447" spans="1:10" x14ac:dyDescent="0.25">
      <c r="A4447" s="264"/>
      <c r="B4447" s="260"/>
      <c r="C4447" s="40" t="s">
        <v>3984</v>
      </c>
      <c r="D4447" s="40" t="s">
        <v>1035</v>
      </c>
      <c r="E4447" s="41">
        <v>3</v>
      </c>
      <c r="F4447" s="59">
        <v>8.7684999999999995</v>
      </c>
      <c r="G4447" s="59">
        <f t="shared" si="75"/>
        <v>26.305499999999999</v>
      </c>
      <c r="H4447" s="62"/>
      <c r="I4447" s="63"/>
      <c r="J4447" s="34">
        <v>530</v>
      </c>
    </row>
    <row r="4448" spans="1:10" ht="25.5" x14ac:dyDescent="0.25">
      <c r="A4448" s="264"/>
      <c r="B4448" s="260"/>
      <c r="C4448" s="40" t="s">
        <v>3981</v>
      </c>
      <c r="D4448" s="40" t="s">
        <v>1035</v>
      </c>
      <c r="E4448" s="41">
        <v>15</v>
      </c>
      <c r="F4448" s="59">
        <v>9.5854999999999997</v>
      </c>
      <c r="G4448" s="59">
        <f t="shared" si="75"/>
        <v>143.7825</v>
      </c>
      <c r="H4448" s="62"/>
      <c r="I4448" s="63"/>
      <c r="J4448" s="34">
        <v>530</v>
      </c>
    </row>
    <row r="4449" spans="1:10" x14ac:dyDescent="0.25">
      <c r="A4449" s="264"/>
      <c r="B4449" s="260"/>
      <c r="C4449" s="40" t="s">
        <v>3757</v>
      </c>
      <c r="D4449" s="40" t="s">
        <v>3752</v>
      </c>
      <c r="E4449" s="41">
        <v>0.4</v>
      </c>
      <c r="F4449" s="59">
        <v>28.0535</v>
      </c>
      <c r="G4449" s="59">
        <f t="shared" si="75"/>
        <v>11.221400000000001</v>
      </c>
      <c r="H4449" s="62"/>
      <c r="I4449" s="63"/>
      <c r="J4449" s="34">
        <v>530</v>
      </c>
    </row>
    <row r="4450" spans="1:10" x14ac:dyDescent="0.25">
      <c r="A4450" s="264"/>
      <c r="B4450" s="260"/>
      <c r="C4450" s="40" t="s">
        <v>3754</v>
      </c>
      <c r="D4450" s="40" t="s">
        <v>3752</v>
      </c>
      <c r="E4450" s="41">
        <v>0.8</v>
      </c>
      <c r="F4450" s="59">
        <v>20.814499999999999</v>
      </c>
      <c r="G4450" s="59">
        <f t="shared" si="75"/>
        <v>16.651599999999998</v>
      </c>
      <c r="H4450" s="62"/>
      <c r="I4450" s="63"/>
      <c r="J4450" s="34">
        <v>530</v>
      </c>
    </row>
    <row r="4451" spans="1:10" x14ac:dyDescent="0.25">
      <c r="A4451" s="264"/>
      <c r="B4451" s="260"/>
      <c r="C4451" s="40" t="s">
        <v>4017</v>
      </c>
      <c r="D4451" s="40" t="s">
        <v>3752</v>
      </c>
      <c r="E4451" s="41">
        <v>2</v>
      </c>
      <c r="F4451" s="59">
        <v>28.651999999999997</v>
      </c>
      <c r="G4451" s="59">
        <f t="shared" si="75"/>
        <v>57.303999999999995</v>
      </c>
      <c r="H4451" s="62"/>
      <c r="I4451" s="63"/>
      <c r="J4451" s="34">
        <v>530</v>
      </c>
    </row>
    <row r="4452" spans="1:10" x14ac:dyDescent="0.25">
      <c r="A4452" s="264"/>
      <c r="B4452" s="260"/>
      <c r="C4452" s="40" t="s">
        <v>4141</v>
      </c>
      <c r="D4452" s="40" t="s">
        <v>1035</v>
      </c>
      <c r="E4452" s="41">
        <v>0.2</v>
      </c>
      <c r="F4452" s="59">
        <v>38</v>
      </c>
      <c r="G4452" s="59">
        <f t="shared" si="75"/>
        <v>7.6000000000000005</v>
      </c>
      <c r="H4452" s="62"/>
      <c r="I4452" s="63"/>
      <c r="J4452" s="34">
        <v>530</v>
      </c>
    </row>
    <row r="4453" spans="1:10" ht="15.75" thickBot="1" x14ac:dyDescent="0.3">
      <c r="A4453" s="265"/>
      <c r="B4453" s="261"/>
      <c r="C4453" s="60"/>
      <c r="D4453" s="60"/>
      <c r="E4453" s="79"/>
      <c r="F4453" s="80" t="s">
        <v>23</v>
      </c>
      <c r="G4453" s="80" t="str">
        <f t="shared" si="75"/>
        <v/>
      </c>
      <c r="H4453" s="81"/>
      <c r="I4453" s="63"/>
      <c r="J4453" s="34">
        <v>530</v>
      </c>
    </row>
    <row r="4454" spans="1:10" ht="15.75" thickBot="1" x14ac:dyDescent="0.3">
      <c r="A4454" s="256" t="s">
        <v>1079</v>
      </c>
      <c r="B4454" s="259" t="s">
        <v>2896</v>
      </c>
      <c r="C4454" s="28"/>
      <c r="D4454" s="29" t="s">
        <v>121</v>
      </c>
      <c r="E4454" s="30"/>
      <c r="F4454" s="51" t="s">
        <v>23</v>
      </c>
      <c r="G4454" s="31" t="str">
        <f t="shared" si="75"/>
        <v/>
      </c>
      <c r="H4454" s="32"/>
      <c r="I4454" s="33"/>
      <c r="J4454" s="34">
        <v>310</v>
      </c>
    </row>
    <row r="4455" spans="1:10" x14ac:dyDescent="0.25">
      <c r="A4455" s="264"/>
      <c r="B4455" s="260"/>
      <c r="C4455" s="36"/>
      <c r="D4455" s="36"/>
      <c r="E4455" s="37"/>
      <c r="F4455" s="59" t="s">
        <v>23</v>
      </c>
      <c r="G4455" s="59" t="str">
        <f t="shared" si="75"/>
        <v/>
      </c>
      <c r="H4455" s="62"/>
      <c r="I4455" s="63"/>
      <c r="J4455" s="34">
        <v>310</v>
      </c>
    </row>
    <row r="4456" spans="1:10" x14ac:dyDescent="0.25">
      <c r="A4456" s="264"/>
      <c r="B4456" s="260"/>
      <c r="C4456" s="40" t="s">
        <v>3984</v>
      </c>
      <c r="D4456" s="40" t="s">
        <v>1035</v>
      </c>
      <c r="E4456" s="41">
        <v>5.18</v>
      </c>
      <c r="F4456" s="59">
        <v>8.7684999999999995</v>
      </c>
      <c r="G4456" s="59">
        <f t="shared" si="75"/>
        <v>45.420829999999995</v>
      </c>
      <c r="H4456" s="43">
        <f>SUM(G4456:G4461)</f>
        <v>81.188492084843745</v>
      </c>
      <c r="I4456" s="44"/>
      <c r="J4456" s="34">
        <v>310</v>
      </c>
    </row>
    <row r="4457" spans="1:10" x14ac:dyDescent="0.25">
      <c r="A4457" s="264"/>
      <c r="B4457" s="260"/>
      <c r="C4457" s="40" t="s">
        <v>4139</v>
      </c>
      <c r="D4457" s="40" t="s">
        <v>80</v>
      </c>
      <c r="E4457" s="41">
        <v>0.05</v>
      </c>
      <c r="F4457" s="59">
        <v>41.267999999999994</v>
      </c>
      <c r="G4457" s="59">
        <f t="shared" si="75"/>
        <v>2.0633999999999997</v>
      </c>
      <c r="H4457" s="62"/>
      <c r="I4457" s="63"/>
      <c r="J4457" s="34">
        <v>310</v>
      </c>
    </row>
    <row r="4458" spans="1:10" x14ac:dyDescent="0.25">
      <c r="A4458" s="264"/>
      <c r="B4458" s="260"/>
      <c r="C4458" s="40" t="s">
        <v>3753</v>
      </c>
      <c r="D4458" s="40" t="s">
        <v>3752</v>
      </c>
      <c r="E4458" s="41">
        <f>0.4298*0.05/0.16</f>
        <v>0.1343125</v>
      </c>
      <c r="F4458" s="59">
        <v>29.202999999999996</v>
      </c>
      <c r="G4458" s="59">
        <f t="shared" si="75"/>
        <v>3.9223279374999995</v>
      </c>
      <c r="H4458" s="62"/>
      <c r="I4458" s="63"/>
      <c r="J4458" s="34">
        <v>310</v>
      </c>
    </row>
    <row r="4459" spans="1:10" x14ac:dyDescent="0.25">
      <c r="A4459" s="264"/>
      <c r="B4459" s="260"/>
      <c r="C4459" s="40" t="s">
        <v>3757</v>
      </c>
      <c r="D4459" s="40" t="s">
        <v>3752</v>
      </c>
      <c r="E4459" s="41">
        <v>0.4</v>
      </c>
      <c r="F4459" s="59">
        <v>28.0535</v>
      </c>
      <c r="G4459" s="59">
        <f t="shared" si="75"/>
        <v>11.221400000000001</v>
      </c>
      <c r="H4459" s="62"/>
      <c r="I4459" s="63"/>
      <c r="J4459" s="34">
        <v>310</v>
      </c>
    </row>
    <row r="4460" spans="1:10" x14ac:dyDescent="0.25">
      <c r="A4460" s="264"/>
      <c r="B4460" s="260"/>
      <c r="C4460" s="40" t="s">
        <v>3754</v>
      </c>
      <c r="D4460" s="40" t="s">
        <v>3752</v>
      </c>
      <c r="E4460" s="41">
        <v>0.8</v>
      </c>
      <c r="F4460" s="59">
        <v>20.814499999999999</v>
      </c>
      <c r="G4460" s="59">
        <f t="shared" si="75"/>
        <v>16.651599999999998</v>
      </c>
      <c r="H4460" s="62"/>
      <c r="I4460" s="63"/>
      <c r="J4460" s="34">
        <v>310</v>
      </c>
    </row>
    <row r="4461" spans="1:10" ht="25.5" x14ac:dyDescent="0.25">
      <c r="A4461" s="264"/>
      <c r="B4461" s="260"/>
      <c r="C4461" s="40" t="s">
        <v>4740</v>
      </c>
      <c r="D4461" s="40" t="s">
        <v>3764</v>
      </c>
      <c r="E4461" s="41">
        <v>2.5000000000000001E-3</v>
      </c>
      <c r="F4461" s="59">
        <v>763.57365893749989</v>
      </c>
      <c r="G4461" s="59">
        <f t="shared" si="75"/>
        <v>1.9089341473437498</v>
      </c>
      <c r="H4461" s="62"/>
      <c r="I4461" s="63"/>
      <c r="J4461" s="34">
        <v>310</v>
      </c>
    </row>
    <row r="4462" spans="1:10" ht="15.75" thickBot="1" x14ac:dyDescent="0.3">
      <c r="A4462" s="265"/>
      <c r="B4462" s="261"/>
      <c r="C4462" s="60"/>
      <c r="D4462" s="60"/>
      <c r="E4462" s="79"/>
      <c r="F4462" s="80" t="s">
        <v>23</v>
      </c>
      <c r="G4462" s="80" t="str">
        <f t="shared" si="75"/>
        <v/>
      </c>
      <c r="H4462" s="81"/>
      <c r="I4462" s="63"/>
      <c r="J4462" s="34">
        <v>310</v>
      </c>
    </row>
    <row r="4463" spans="1:10" ht="15.75" thickBot="1" x14ac:dyDescent="0.3">
      <c r="A4463" s="248" t="s">
        <v>1080</v>
      </c>
      <c r="B4463" s="251" t="s">
        <v>2897</v>
      </c>
      <c r="C4463" s="28"/>
      <c r="D4463" s="29" t="s">
        <v>78</v>
      </c>
      <c r="E4463" s="30"/>
      <c r="F4463" s="51" t="s">
        <v>23</v>
      </c>
      <c r="G4463" s="31" t="str">
        <f t="shared" si="75"/>
        <v/>
      </c>
      <c r="H4463" s="32"/>
      <c r="I4463" s="33"/>
      <c r="J4463" s="34">
        <v>83170</v>
      </c>
    </row>
    <row r="4464" spans="1:10" x14ac:dyDescent="0.25">
      <c r="A4464" s="262"/>
      <c r="B4464" s="252"/>
      <c r="C4464" s="36"/>
      <c r="D4464" s="36"/>
      <c r="E4464" s="37"/>
      <c r="F4464" s="59" t="s">
        <v>23</v>
      </c>
      <c r="G4464" s="59" t="str">
        <f t="shared" si="75"/>
        <v/>
      </c>
      <c r="H4464" s="62"/>
      <c r="I4464" s="63"/>
      <c r="J4464" s="34">
        <v>83170</v>
      </c>
    </row>
    <row r="4465" spans="1:10" x14ac:dyDescent="0.25">
      <c r="A4465" s="262"/>
      <c r="B4465" s="252"/>
      <c r="C4465" s="40" t="s">
        <v>3754</v>
      </c>
      <c r="D4465" s="40" t="s">
        <v>3752</v>
      </c>
      <c r="E4465" s="41">
        <v>0.11</v>
      </c>
      <c r="F4465" s="59">
        <v>20.814499999999999</v>
      </c>
      <c r="G4465" s="59">
        <f t="shared" si="75"/>
        <v>2.2895949999999998</v>
      </c>
      <c r="H4465" s="43">
        <f>SUM(G4465:G4467)</f>
        <v>17.365145000000002</v>
      </c>
      <c r="I4465" s="44"/>
      <c r="J4465" s="34">
        <v>83170</v>
      </c>
    </row>
    <row r="4466" spans="1:10" x14ac:dyDescent="0.25">
      <c r="A4466" s="262"/>
      <c r="B4466" s="252"/>
      <c r="C4466" s="40" t="s">
        <v>1081</v>
      </c>
      <c r="D4466" s="40" t="s">
        <v>1082</v>
      </c>
      <c r="E4466" s="41">
        <v>0.22</v>
      </c>
      <c r="F4466" s="59">
        <v>18.572500000000002</v>
      </c>
      <c r="G4466" s="59">
        <f t="shared" si="75"/>
        <v>4.0859500000000004</v>
      </c>
      <c r="H4466" s="62"/>
      <c r="I4466" s="63"/>
      <c r="J4466" s="34">
        <v>83170</v>
      </c>
    </row>
    <row r="4467" spans="1:10" x14ac:dyDescent="0.25">
      <c r="A4467" s="262"/>
      <c r="B4467" s="252"/>
      <c r="C4467" s="40" t="s">
        <v>1083</v>
      </c>
      <c r="D4467" s="40" t="s">
        <v>80</v>
      </c>
      <c r="E4467" s="41">
        <v>0.4</v>
      </c>
      <c r="F4467" s="59">
        <v>27.474</v>
      </c>
      <c r="G4467" s="59">
        <f t="shared" si="75"/>
        <v>10.989600000000001</v>
      </c>
      <c r="H4467" s="62"/>
      <c r="I4467" s="63"/>
      <c r="J4467" s="34">
        <v>83170</v>
      </c>
    </row>
    <row r="4468" spans="1:10" ht="15.75" thickBot="1" x14ac:dyDescent="0.3">
      <c r="A4468" s="263"/>
      <c r="B4468" s="253"/>
      <c r="C4468" s="60"/>
      <c r="D4468" s="60"/>
      <c r="E4468" s="79"/>
      <c r="F4468" s="80" t="s">
        <v>23</v>
      </c>
      <c r="G4468" s="80" t="str">
        <f t="shared" si="75"/>
        <v/>
      </c>
      <c r="H4468" s="81"/>
      <c r="I4468" s="63"/>
      <c r="J4468" s="34">
        <v>83170</v>
      </c>
    </row>
    <row r="4469" spans="1:10" ht="15.75" thickBot="1" x14ac:dyDescent="0.3">
      <c r="A4469" s="248" t="s">
        <v>1084</v>
      </c>
      <c r="B4469" s="251" t="s">
        <v>2898</v>
      </c>
      <c r="C4469" s="28"/>
      <c r="D4469" s="29" t="s">
        <v>28</v>
      </c>
      <c r="E4469" s="30"/>
      <c r="F4469" s="51" t="s">
        <v>23</v>
      </c>
      <c r="G4469" s="31" t="str">
        <f t="shared" si="75"/>
        <v/>
      </c>
      <c r="H4469" s="32"/>
      <c r="I4469" s="33"/>
      <c r="J4469" s="34">
        <v>2000</v>
      </c>
    </row>
    <row r="4470" spans="1:10" x14ac:dyDescent="0.25">
      <c r="A4470" s="262"/>
      <c r="B4470" s="252"/>
      <c r="C4470" s="36"/>
      <c r="D4470" s="36"/>
      <c r="E4470" s="37"/>
      <c r="F4470" s="59" t="s">
        <v>23</v>
      </c>
      <c r="G4470" s="59" t="str">
        <f t="shared" si="75"/>
        <v/>
      </c>
      <c r="H4470" s="62"/>
      <c r="I4470" s="63"/>
      <c r="J4470" s="34">
        <v>2000</v>
      </c>
    </row>
    <row r="4471" spans="1:10" ht="25.5" x14ac:dyDescent="0.25">
      <c r="A4471" s="262"/>
      <c r="B4471" s="252"/>
      <c r="C4471" s="40" t="s">
        <v>4130</v>
      </c>
      <c r="D4471" s="40" t="s">
        <v>291</v>
      </c>
      <c r="E4471" s="41">
        <v>1</v>
      </c>
      <c r="F4471" s="59">
        <v>3.5529999999999999</v>
      </c>
      <c r="G4471" s="59">
        <f t="shared" si="75"/>
        <v>3.5529999999999999</v>
      </c>
      <c r="H4471" s="43">
        <f>SUM(G4471:G4485)</f>
        <v>233.24169054999993</v>
      </c>
      <c r="I4471" s="44"/>
      <c r="J4471" s="34">
        <v>2000</v>
      </c>
    </row>
    <row r="4472" spans="1:10" ht="25.5" x14ac:dyDescent="0.25">
      <c r="A4472" s="262"/>
      <c r="B4472" s="252"/>
      <c r="C4472" s="40" t="s">
        <v>4040</v>
      </c>
      <c r="D4472" s="40" t="s">
        <v>291</v>
      </c>
      <c r="E4472" s="41">
        <v>1</v>
      </c>
      <c r="F4472" s="59">
        <v>12.302499999999998</v>
      </c>
      <c r="G4472" s="59">
        <f t="shared" si="75"/>
        <v>12.302499999999998</v>
      </c>
      <c r="H4472" s="62"/>
      <c r="I4472" s="63"/>
      <c r="J4472" s="34">
        <v>2000</v>
      </c>
    </row>
    <row r="4473" spans="1:10" ht="25.5" x14ac:dyDescent="0.25">
      <c r="A4473" s="262"/>
      <c r="B4473" s="252"/>
      <c r="C4473" s="40" t="s">
        <v>3971</v>
      </c>
      <c r="D4473" s="40" t="s">
        <v>291</v>
      </c>
      <c r="E4473" s="41">
        <v>1</v>
      </c>
      <c r="F4473" s="59">
        <v>53.532499999999999</v>
      </c>
      <c r="G4473" s="59">
        <f t="shared" si="75"/>
        <v>53.532499999999999</v>
      </c>
      <c r="H4473" s="62"/>
      <c r="I4473" s="63"/>
      <c r="J4473" s="34">
        <v>2000</v>
      </c>
    </row>
    <row r="4474" spans="1:10" ht="38.25" x14ac:dyDescent="0.25">
      <c r="A4474" s="262"/>
      <c r="B4474" s="252"/>
      <c r="C4474" s="40" t="s">
        <v>4143</v>
      </c>
      <c r="D4474" s="40" t="s">
        <v>291</v>
      </c>
      <c r="E4474" s="41">
        <v>7.0000000000000007E-2</v>
      </c>
      <c r="F4474" s="59">
        <v>27.055999999999997</v>
      </c>
      <c r="G4474" s="59">
        <f t="shared" si="75"/>
        <v>1.89392</v>
      </c>
      <c r="H4474" s="62"/>
      <c r="I4474" s="63"/>
      <c r="J4474" s="34">
        <v>2000</v>
      </c>
    </row>
    <row r="4475" spans="1:10" ht="25.5" x14ac:dyDescent="0.25">
      <c r="A4475" s="262"/>
      <c r="B4475" s="252"/>
      <c r="C4475" s="40" t="s">
        <v>4119</v>
      </c>
      <c r="D4475" s="40" t="s">
        <v>3752</v>
      </c>
      <c r="E4475" s="41">
        <v>0.11</v>
      </c>
      <c r="F4475" s="59">
        <v>21.555499999999999</v>
      </c>
      <c r="G4475" s="59">
        <f t="shared" si="75"/>
        <v>2.371105</v>
      </c>
      <c r="H4475" s="62"/>
      <c r="I4475" s="63"/>
      <c r="J4475" s="34">
        <v>2000</v>
      </c>
    </row>
    <row r="4476" spans="1:10" ht="25.5" x14ac:dyDescent="0.25">
      <c r="A4476" s="262"/>
      <c r="B4476" s="252"/>
      <c r="C4476" s="40" t="s">
        <v>4110</v>
      </c>
      <c r="D4476" s="40" t="s">
        <v>3752</v>
      </c>
      <c r="E4476" s="41">
        <v>0.11</v>
      </c>
      <c r="F4476" s="59">
        <v>27.341000000000001</v>
      </c>
      <c r="G4476" s="59">
        <f t="shared" si="75"/>
        <v>3.0075100000000003</v>
      </c>
      <c r="H4476" s="62"/>
      <c r="I4476" s="63"/>
      <c r="J4476" s="34">
        <v>2000</v>
      </c>
    </row>
    <row r="4477" spans="1:10" x14ac:dyDescent="0.25">
      <c r="A4477" s="262"/>
      <c r="B4477" s="252"/>
      <c r="C4477" s="40" t="s">
        <v>4180</v>
      </c>
      <c r="D4477" s="40" t="s">
        <v>291</v>
      </c>
      <c r="E4477" s="41">
        <v>6.1999999999999998E-3</v>
      </c>
      <c r="F4477" s="59">
        <v>65.5595</v>
      </c>
      <c r="G4477" s="59">
        <f t="shared" si="75"/>
        <v>0.40646889999999997</v>
      </c>
      <c r="H4477" s="62"/>
      <c r="I4477" s="63"/>
      <c r="J4477" s="34">
        <v>2000</v>
      </c>
    </row>
    <row r="4478" spans="1:10" ht="25.5" x14ac:dyDescent="0.25">
      <c r="A4478" s="262"/>
      <c r="B4478" s="252"/>
      <c r="C4478" s="40" t="s">
        <v>3995</v>
      </c>
      <c r="D4478" s="40" t="s">
        <v>1286</v>
      </c>
      <c r="E4478" s="41">
        <f>1.0353/2</f>
        <v>0.51765000000000005</v>
      </c>
      <c r="F4478" s="59">
        <v>57.436999999999998</v>
      </c>
      <c r="G4478" s="59">
        <f t="shared" si="75"/>
        <v>29.73226305</v>
      </c>
      <c r="H4478" s="62"/>
      <c r="I4478" s="63"/>
      <c r="J4478" s="34">
        <v>2000</v>
      </c>
    </row>
    <row r="4479" spans="1:10" x14ac:dyDescent="0.25">
      <c r="A4479" s="262"/>
      <c r="B4479" s="252"/>
      <c r="C4479" s="40" t="s">
        <v>4498</v>
      </c>
      <c r="D4479" s="40" t="s">
        <v>291</v>
      </c>
      <c r="E4479" s="41">
        <v>7.2999999999999995E-2</v>
      </c>
      <c r="F4479" s="59">
        <v>2.1564999999999999</v>
      </c>
      <c r="G4479" s="59">
        <f t="shared" si="75"/>
        <v>0.15742449999999997</v>
      </c>
      <c r="H4479" s="62"/>
      <c r="I4479" s="63"/>
      <c r="J4479" s="34">
        <v>2000</v>
      </c>
    </row>
    <row r="4480" spans="1:10" ht="25.5" x14ac:dyDescent="0.25">
      <c r="A4480" s="262"/>
      <c r="B4480" s="252"/>
      <c r="C4480" s="40" t="s">
        <v>4119</v>
      </c>
      <c r="D4480" s="40" t="s">
        <v>3752</v>
      </c>
      <c r="E4480" s="41">
        <v>0.13089999999999999</v>
      </c>
      <c r="F4480" s="59">
        <v>21.555499999999999</v>
      </c>
      <c r="G4480" s="59">
        <f t="shared" ref="G4480:G4485" si="76">IF(ISNUMBER(F4480),E4480*F4480,"")</f>
        <v>2.8216149499999994</v>
      </c>
      <c r="H4480" s="62"/>
      <c r="I4480" s="63"/>
      <c r="J4480" s="34">
        <v>2000</v>
      </c>
    </row>
    <row r="4481" spans="1:10" ht="25.5" x14ac:dyDescent="0.25">
      <c r="A4481" s="262"/>
      <c r="B4481" s="252"/>
      <c r="C4481" s="40" t="s">
        <v>4110</v>
      </c>
      <c r="D4481" s="40" t="s">
        <v>3752</v>
      </c>
      <c r="E4481" s="41">
        <v>0.13089999999999999</v>
      </c>
      <c r="F4481" s="59">
        <v>27.341000000000001</v>
      </c>
      <c r="G4481" s="59">
        <f t="shared" si="76"/>
        <v>3.5789369</v>
      </c>
      <c r="H4481" s="62"/>
      <c r="I4481" s="63"/>
      <c r="J4481" s="34">
        <v>2000</v>
      </c>
    </row>
    <row r="4482" spans="1:10" x14ac:dyDescent="0.25">
      <c r="A4482" s="262"/>
      <c r="B4482" s="252"/>
      <c r="C4482" s="40" t="s">
        <v>3757</v>
      </c>
      <c r="D4482" s="40" t="s">
        <v>3752</v>
      </c>
      <c r="E4482" s="41">
        <v>1</v>
      </c>
      <c r="F4482" s="59">
        <v>28.0535</v>
      </c>
      <c r="G4482" s="59">
        <f t="shared" si="76"/>
        <v>28.0535</v>
      </c>
      <c r="H4482" s="62"/>
      <c r="I4482" s="63"/>
      <c r="J4482" s="34">
        <v>2000</v>
      </c>
    </row>
    <row r="4483" spans="1:10" ht="25.5" x14ac:dyDescent="0.25">
      <c r="A4483" s="262"/>
      <c r="B4483" s="252"/>
      <c r="C4483" s="40" t="s">
        <v>3818</v>
      </c>
      <c r="D4483" s="40" t="s">
        <v>1035</v>
      </c>
      <c r="E4483" s="41">
        <f>ROUND(1.8*(PI()*(0.25-0.15)*0.1)*10,4)</f>
        <v>0.5655</v>
      </c>
      <c r="F4483" s="59">
        <v>52.259499999999996</v>
      </c>
      <c r="G4483" s="59">
        <f t="shared" si="76"/>
        <v>29.552747249999996</v>
      </c>
      <c r="H4483" s="62"/>
      <c r="I4483" s="63"/>
      <c r="J4483" s="34">
        <v>2000</v>
      </c>
    </row>
    <row r="4484" spans="1:10" ht="25.5" x14ac:dyDescent="0.25">
      <c r="A4484" s="262"/>
      <c r="B4484" s="252"/>
      <c r="C4484" s="40" t="s">
        <v>3788</v>
      </c>
      <c r="D4484" s="40" t="s">
        <v>3789</v>
      </c>
      <c r="E4484" s="41">
        <v>0.2</v>
      </c>
      <c r="F4484" s="59">
        <v>39.548499999999997</v>
      </c>
      <c r="G4484" s="59">
        <f t="shared" si="76"/>
        <v>7.9097</v>
      </c>
      <c r="H4484" s="62"/>
      <c r="I4484" s="63"/>
      <c r="J4484" s="34">
        <v>2000</v>
      </c>
    </row>
    <row r="4485" spans="1:10" x14ac:dyDescent="0.25">
      <c r="A4485" s="262"/>
      <c r="B4485" s="252"/>
      <c r="C4485" s="40" t="s">
        <v>3970</v>
      </c>
      <c r="D4485" s="40" t="s">
        <v>291</v>
      </c>
      <c r="E4485" s="41">
        <v>1</v>
      </c>
      <c r="F4485" s="59">
        <v>54.368499999999997</v>
      </c>
      <c r="G4485" s="59">
        <f t="shared" si="76"/>
        <v>54.368499999999997</v>
      </c>
      <c r="H4485" s="62"/>
      <c r="I4485" s="63"/>
      <c r="J4485" s="34">
        <v>2000</v>
      </c>
    </row>
    <row r="4486" spans="1:10" x14ac:dyDescent="0.25">
      <c r="A4486" s="262"/>
      <c r="B4486" s="252"/>
      <c r="C4486" s="40"/>
      <c r="D4486" s="40"/>
      <c r="E4486" s="41"/>
      <c r="F4486" s="59" t="s">
        <v>23</v>
      </c>
      <c r="G4486" s="59"/>
      <c r="H4486" s="62"/>
      <c r="I4486" s="63"/>
      <c r="J4486" s="34">
        <v>2000</v>
      </c>
    </row>
    <row r="4487" spans="1:10" x14ac:dyDescent="0.25">
      <c r="A4487" s="262"/>
      <c r="B4487" s="252"/>
      <c r="C4487" s="50" t="s">
        <v>1008</v>
      </c>
      <c r="D4487" s="40"/>
      <c r="E4487" s="41"/>
      <c r="F4487" s="59" t="s">
        <v>23</v>
      </c>
      <c r="G4487" s="59"/>
      <c r="H4487" s="62"/>
      <c r="I4487" s="63"/>
      <c r="J4487" s="34">
        <v>2000</v>
      </c>
    </row>
    <row r="4488" spans="1:10" ht="15.75" thickBot="1" x14ac:dyDescent="0.3">
      <c r="A4488" s="263"/>
      <c r="B4488" s="253"/>
      <c r="C4488" s="60"/>
      <c r="D4488" s="60"/>
      <c r="E4488" s="79"/>
      <c r="F4488" s="80" t="s">
        <v>23</v>
      </c>
      <c r="G4488" s="80" t="str">
        <f t="shared" ref="G4488:G4493" si="77">IF(ISNUMBER(F4488),E4488*F4488,"")</f>
        <v/>
      </c>
      <c r="H4488" s="81"/>
      <c r="I4488" s="63"/>
      <c r="J4488" s="34">
        <v>2000</v>
      </c>
    </row>
    <row r="4489" spans="1:10" ht="15.75" thickBot="1" x14ac:dyDescent="0.3">
      <c r="A4489" s="248" t="s">
        <v>1085</v>
      </c>
      <c r="B4489" s="251" t="s">
        <v>2899</v>
      </c>
      <c r="C4489" s="28"/>
      <c r="D4489" s="29" t="s">
        <v>28</v>
      </c>
      <c r="E4489" s="30"/>
      <c r="F4489" s="51" t="s">
        <v>23</v>
      </c>
      <c r="G4489" s="31" t="str">
        <f t="shared" si="77"/>
        <v/>
      </c>
      <c r="H4489" s="32"/>
      <c r="I4489" s="33"/>
      <c r="J4489" s="34">
        <v>2200</v>
      </c>
    </row>
    <row r="4490" spans="1:10" x14ac:dyDescent="0.25">
      <c r="A4490" s="262"/>
      <c r="B4490" s="252"/>
      <c r="C4490" s="36"/>
      <c r="D4490" s="36"/>
      <c r="E4490" s="37"/>
      <c r="F4490" s="59" t="s">
        <v>23</v>
      </c>
      <c r="G4490" s="59" t="str">
        <f t="shared" si="77"/>
        <v/>
      </c>
      <c r="H4490" s="62"/>
      <c r="I4490" s="63"/>
      <c r="J4490" s="34">
        <v>2200</v>
      </c>
    </row>
    <row r="4491" spans="1:10" x14ac:dyDescent="0.25">
      <c r="A4491" s="262"/>
      <c r="B4491" s="252"/>
      <c r="C4491" s="40" t="s">
        <v>3758</v>
      </c>
      <c r="D4491" s="40" t="s">
        <v>3752</v>
      </c>
      <c r="E4491" s="41">
        <v>0.5</v>
      </c>
      <c r="F4491" s="59">
        <v>28.0535</v>
      </c>
      <c r="G4491" s="59">
        <f t="shared" si="77"/>
        <v>14.02675</v>
      </c>
      <c r="H4491" s="43">
        <f>SUM(G4491:G4493)</f>
        <v>51.489197249999997</v>
      </c>
      <c r="I4491" s="44"/>
      <c r="J4491" s="34">
        <v>2200</v>
      </c>
    </row>
    <row r="4492" spans="1:10" ht="25.5" x14ac:dyDescent="0.25">
      <c r="A4492" s="262"/>
      <c r="B4492" s="252"/>
      <c r="C4492" s="40" t="s">
        <v>3818</v>
      </c>
      <c r="D4492" s="40" t="s">
        <v>1035</v>
      </c>
      <c r="E4492" s="41">
        <f>ROUND(1.8*(PI()*(0.25-0.15)*0.1)*10,4)</f>
        <v>0.5655</v>
      </c>
      <c r="F4492" s="59">
        <v>52.259499999999996</v>
      </c>
      <c r="G4492" s="59">
        <f t="shared" si="77"/>
        <v>29.552747249999996</v>
      </c>
      <c r="H4492" s="62"/>
      <c r="I4492" s="63"/>
      <c r="J4492" s="34">
        <v>2200</v>
      </c>
    </row>
    <row r="4493" spans="1:10" ht="25.5" x14ac:dyDescent="0.25">
      <c r="A4493" s="262"/>
      <c r="B4493" s="252"/>
      <c r="C4493" s="40" t="s">
        <v>3788</v>
      </c>
      <c r="D4493" s="40" t="s">
        <v>3789</v>
      </c>
      <c r="E4493" s="41">
        <v>0.2</v>
      </c>
      <c r="F4493" s="59">
        <v>39.548499999999997</v>
      </c>
      <c r="G4493" s="59">
        <f t="shared" si="77"/>
        <v>7.9097</v>
      </c>
      <c r="H4493" s="62"/>
      <c r="I4493" s="63"/>
      <c r="J4493" s="34">
        <v>2200</v>
      </c>
    </row>
    <row r="4494" spans="1:10" x14ac:dyDescent="0.25">
      <c r="A4494" s="262"/>
      <c r="B4494" s="252"/>
      <c r="C4494" s="40"/>
      <c r="D4494" s="41"/>
      <c r="E4494" s="41"/>
      <c r="F4494" s="59" t="s">
        <v>23</v>
      </c>
      <c r="G4494" s="59"/>
      <c r="H4494" s="62"/>
      <c r="I4494" s="63"/>
      <c r="J4494" s="34">
        <v>2200</v>
      </c>
    </row>
    <row r="4495" spans="1:10" x14ac:dyDescent="0.25">
      <c r="A4495" s="262"/>
      <c r="B4495" s="252"/>
      <c r="C4495" s="50" t="s">
        <v>1008</v>
      </c>
      <c r="D4495" s="41"/>
      <c r="E4495" s="41"/>
      <c r="F4495" s="59" t="s">
        <v>23</v>
      </c>
      <c r="G4495" s="59"/>
      <c r="H4495" s="62"/>
      <c r="I4495" s="63"/>
      <c r="J4495" s="34">
        <v>2200</v>
      </c>
    </row>
    <row r="4496" spans="1:10" ht="15.75" thickBot="1" x14ac:dyDescent="0.3">
      <c r="A4496" s="263"/>
      <c r="B4496" s="253"/>
      <c r="C4496" s="60"/>
      <c r="D4496" s="60"/>
      <c r="E4496" s="79"/>
      <c r="F4496" s="80" t="s">
        <v>23</v>
      </c>
      <c r="G4496" s="80" t="str">
        <f t="shared" ref="G4496:G4559" si="78">IF(ISNUMBER(F4496),E4496*F4496,"")</f>
        <v/>
      </c>
      <c r="H4496" s="81"/>
      <c r="I4496" s="63"/>
      <c r="J4496" s="34">
        <v>2200</v>
      </c>
    </row>
    <row r="4497" spans="1:10" ht="15.75" thickBot="1" x14ac:dyDescent="0.3">
      <c r="A4497" s="248" t="s">
        <v>1086</v>
      </c>
      <c r="B4497" s="251" t="s">
        <v>2900</v>
      </c>
      <c r="C4497" s="28"/>
      <c r="D4497" s="29" t="s">
        <v>78</v>
      </c>
      <c r="E4497" s="30"/>
      <c r="F4497" s="51" t="s">
        <v>23</v>
      </c>
      <c r="G4497" s="31" t="str">
        <f t="shared" si="78"/>
        <v/>
      </c>
      <c r="H4497" s="32"/>
      <c r="I4497" s="33"/>
      <c r="J4497" s="34">
        <v>88620</v>
      </c>
    </row>
    <row r="4498" spans="1:10" x14ac:dyDescent="0.25">
      <c r="A4498" s="262"/>
      <c r="B4498" s="252"/>
      <c r="C4498" s="36"/>
      <c r="D4498" s="36"/>
      <c r="E4498" s="37"/>
      <c r="F4498" s="59" t="s">
        <v>23</v>
      </c>
      <c r="G4498" s="59" t="str">
        <f t="shared" si="78"/>
        <v/>
      </c>
      <c r="H4498" s="62"/>
      <c r="I4498" s="63"/>
      <c r="J4498" s="34">
        <v>88620</v>
      </c>
    </row>
    <row r="4499" spans="1:10" x14ac:dyDescent="0.25">
      <c r="A4499" s="262"/>
      <c r="B4499" s="252"/>
      <c r="C4499" s="40" t="s">
        <v>3759</v>
      </c>
      <c r="D4499" s="40" t="s">
        <v>1035</v>
      </c>
      <c r="E4499" s="41">
        <v>0.5</v>
      </c>
      <c r="F4499" s="59">
        <v>0.627</v>
      </c>
      <c r="G4499" s="59">
        <f t="shared" si="78"/>
        <v>0.3135</v>
      </c>
      <c r="H4499" s="43">
        <f>SUM(G4499:G4503)</f>
        <v>45.483905532150011</v>
      </c>
      <c r="I4499" s="44"/>
      <c r="J4499" s="34">
        <v>88620</v>
      </c>
    </row>
    <row r="4500" spans="1:10" ht="25.5" x14ac:dyDescent="0.25">
      <c r="A4500" s="262"/>
      <c r="B4500" s="252"/>
      <c r="C4500" s="40" t="s">
        <v>3809</v>
      </c>
      <c r="D4500" s="40" t="s">
        <v>80</v>
      </c>
      <c r="E4500" s="41">
        <v>0.21</v>
      </c>
      <c r="F4500" s="59">
        <v>15.864999999999998</v>
      </c>
      <c r="G4500" s="59">
        <f t="shared" si="78"/>
        <v>3.3316499999999993</v>
      </c>
      <c r="H4500" s="62"/>
      <c r="I4500" s="63"/>
      <c r="J4500" s="34">
        <v>88620</v>
      </c>
    </row>
    <row r="4501" spans="1:10" ht="38.25" x14ac:dyDescent="0.25">
      <c r="A4501" s="262"/>
      <c r="B4501" s="252"/>
      <c r="C4501" s="40" t="s">
        <v>4730</v>
      </c>
      <c r="D4501" s="40" t="s">
        <v>3764</v>
      </c>
      <c r="E4501" s="41">
        <v>4.3099999999999999E-2</v>
      </c>
      <c r="F4501" s="59">
        <v>751.86692650000009</v>
      </c>
      <c r="G4501" s="59">
        <f t="shared" si="78"/>
        <v>32.405464532150006</v>
      </c>
      <c r="H4501" s="62"/>
      <c r="I4501" s="63"/>
      <c r="J4501" s="34">
        <v>88620</v>
      </c>
    </row>
    <row r="4502" spans="1:10" x14ac:dyDescent="0.25">
      <c r="A4502" s="262"/>
      <c r="B4502" s="252"/>
      <c r="C4502" s="40" t="s">
        <v>3757</v>
      </c>
      <c r="D4502" s="40" t="s">
        <v>3752</v>
      </c>
      <c r="E4502" s="41">
        <v>0.245</v>
      </c>
      <c r="F4502" s="59">
        <v>28.0535</v>
      </c>
      <c r="G4502" s="59">
        <f t="shared" si="78"/>
        <v>6.8731074999999997</v>
      </c>
      <c r="H4502" s="62"/>
      <c r="I4502" s="63"/>
      <c r="J4502" s="34">
        <v>88620</v>
      </c>
    </row>
    <row r="4503" spans="1:10" x14ac:dyDescent="0.25">
      <c r="A4503" s="262"/>
      <c r="B4503" s="252"/>
      <c r="C4503" s="40" t="s">
        <v>3754</v>
      </c>
      <c r="D4503" s="40" t="s">
        <v>3752</v>
      </c>
      <c r="E4503" s="41">
        <v>0.123</v>
      </c>
      <c r="F4503" s="59">
        <v>20.814499999999999</v>
      </c>
      <c r="G4503" s="59">
        <f t="shared" si="78"/>
        <v>2.5601834999999999</v>
      </c>
      <c r="H4503" s="62"/>
      <c r="I4503" s="63"/>
      <c r="J4503" s="34">
        <v>88620</v>
      </c>
    </row>
    <row r="4504" spans="1:10" ht="15.75" thickBot="1" x14ac:dyDescent="0.3">
      <c r="A4504" s="262"/>
      <c r="B4504" s="252"/>
      <c r="C4504" s="40"/>
      <c r="D4504" s="40"/>
      <c r="E4504" s="41"/>
      <c r="F4504" s="59" t="s">
        <v>23</v>
      </c>
      <c r="G4504" s="59" t="str">
        <f t="shared" si="78"/>
        <v/>
      </c>
      <c r="H4504" s="62"/>
      <c r="I4504" s="63"/>
      <c r="J4504" s="34">
        <v>88620</v>
      </c>
    </row>
    <row r="4505" spans="1:10" ht="15.75" thickBot="1" x14ac:dyDescent="0.3">
      <c r="A4505" s="248" t="s">
        <v>1087</v>
      </c>
      <c r="B4505" s="251" t="s">
        <v>2901</v>
      </c>
      <c r="C4505" s="28"/>
      <c r="D4505" s="29" t="s">
        <v>78</v>
      </c>
      <c r="E4505" s="30"/>
      <c r="F4505" s="51" t="s">
        <v>23</v>
      </c>
      <c r="G4505" s="31" t="str">
        <f t="shared" si="78"/>
        <v/>
      </c>
      <c r="H4505" s="32"/>
      <c r="I4505" s="33"/>
      <c r="J4505" s="34">
        <v>4530</v>
      </c>
    </row>
    <row r="4506" spans="1:10" x14ac:dyDescent="0.25">
      <c r="A4506" s="262"/>
      <c r="B4506" s="252"/>
      <c r="C4506" s="36"/>
      <c r="D4506" s="36"/>
      <c r="E4506" s="37"/>
      <c r="F4506" s="59" t="s">
        <v>23</v>
      </c>
      <c r="G4506" s="59" t="str">
        <f t="shared" si="78"/>
        <v/>
      </c>
      <c r="H4506" s="62"/>
      <c r="I4506" s="63"/>
      <c r="J4506" s="34">
        <v>4530</v>
      </c>
    </row>
    <row r="4507" spans="1:10" x14ac:dyDescent="0.25">
      <c r="A4507" s="262"/>
      <c r="B4507" s="252"/>
      <c r="C4507" s="40" t="s">
        <v>3757</v>
      </c>
      <c r="D4507" s="40" t="s">
        <v>3752</v>
      </c>
      <c r="E4507" s="41">
        <v>0.29899999999999999</v>
      </c>
      <c r="F4507" s="59">
        <v>28.0535</v>
      </c>
      <c r="G4507" s="59">
        <f t="shared" si="78"/>
        <v>8.3879964999999999</v>
      </c>
      <c r="H4507" s="43">
        <f>SUM(G4507:G4509)</f>
        <v>61.187760841650011</v>
      </c>
      <c r="I4507" s="44"/>
      <c r="J4507" s="34">
        <v>4530</v>
      </c>
    </row>
    <row r="4508" spans="1:10" x14ac:dyDescent="0.25">
      <c r="A4508" s="262"/>
      <c r="B4508" s="252"/>
      <c r="C4508" s="40" t="s">
        <v>3754</v>
      </c>
      <c r="D4508" s="40" t="s">
        <v>3752</v>
      </c>
      <c r="E4508" s="41">
        <v>0.14899999999999999</v>
      </c>
      <c r="F4508" s="59">
        <v>20.814499999999999</v>
      </c>
      <c r="G4508" s="59">
        <f t="shared" si="78"/>
        <v>3.1013604999999997</v>
      </c>
      <c r="H4508" s="62"/>
      <c r="I4508" s="63"/>
      <c r="J4508" s="34">
        <v>4530</v>
      </c>
    </row>
    <row r="4509" spans="1:10" ht="38.25" x14ac:dyDescent="0.25">
      <c r="A4509" s="262"/>
      <c r="B4509" s="252"/>
      <c r="C4509" s="40" t="s">
        <v>4730</v>
      </c>
      <c r="D4509" s="40" t="s">
        <v>3764</v>
      </c>
      <c r="E4509" s="41">
        <v>6.6100000000000006E-2</v>
      </c>
      <c r="F4509" s="59">
        <v>751.86692650000009</v>
      </c>
      <c r="G4509" s="59">
        <f t="shared" si="78"/>
        <v>49.698403841650013</v>
      </c>
      <c r="H4509" s="62"/>
      <c r="I4509" s="63"/>
      <c r="J4509" s="34">
        <v>4530</v>
      </c>
    </row>
    <row r="4510" spans="1:10" ht="15.75" thickBot="1" x14ac:dyDescent="0.3">
      <c r="A4510" s="263"/>
      <c r="B4510" s="253"/>
      <c r="C4510" s="60"/>
      <c r="D4510" s="60"/>
      <c r="E4510" s="79"/>
      <c r="F4510" s="80" t="s">
        <v>23</v>
      </c>
      <c r="G4510" s="80" t="str">
        <f t="shared" si="78"/>
        <v/>
      </c>
      <c r="H4510" s="81"/>
      <c r="I4510" s="63"/>
      <c r="J4510" s="34">
        <v>4530</v>
      </c>
    </row>
    <row r="4511" spans="1:10" ht="15.75" thickBot="1" x14ac:dyDescent="0.3">
      <c r="A4511" s="248" t="s">
        <v>1088</v>
      </c>
      <c r="B4511" s="251" t="s">
        <v>2902</v>
      </c>
      <c r="C4511" s="28"/>
      <c r="D4511" s="29" t="s">
        <v>78</v>
      </c>
      <c r="E4511" s="30"/>
      <c r="F4511" s="51" t="s">
        <v>23</v>
      </c>
      <c r="G4511" s="31" t="str">
        <f t="shared" si="78"/>
        <v/>
      </c>
      <c r="H4511" s="32"/>
      <c r="I4511" s="33"/>
      <c r="J4511" s="34">
        <v>119530</v>
      </c>
    </row>
    <row r="4512" spans="1:10" x14ac:dyDescent="0.25">
      <c r="A4512" s="262"/>
      <c r="B4512" s="252"/>
      <c r="C4512" s="36"/>
      <c r="D4512" s="36"/>
      <c r="E4512" s="37"/>
      <c r="F4512" s="59" t="s">
        <v>23</v>
      </c>
      <c r="G4512" s="59" t="str">
        <f t="shared" si="78"/>
        <v/>
      </c>
      <c r="H4512" s="62"/>
      <c r="I4512" s="63"/>
      <c r="J4512" s="34">
        <v>119530</v>
      </c>
    </row>
    <row r="4513" spans="1:10" x14ac:dyDescent="0.25">
      <c r="A4513" s="262"/>
      <c r="B4513" s="252"/>
      <c r="C4513" s="40" t="s">
        <v>3754</v>
      </c>
      <c r="D4513" s="40" t="s">
        <v>3752</v>
      </c>
      <c r="E4513" s="41">
        <v>0.01</v>
      </c>
      <c r="F4513" s="59">
        <v>20.814499999999999</v>
      </c>
      <c r="G4513" s="59">
        <f t="shared" si="78"/>
        <v>0.208145</v>
      </c>
      <c r="H4513" s="43">
        <f>SUM(G4513:G4514)</f>
        <v>8.3591449999999998</v>
      </c>
      <c r="I4513" s="44"/>
      <c r="J4513" s="34">
        <v>119530</v>
      </c>
    </row>
    <row r="4514" spans="1:10" ht="25.5" x14ac:dyDescent="0.25">
      <c r="A4514" s="262"/>
      <c r="B4514" s="252"/>
      <c r="C4514" s="40" t="s">
        <v>3780</v>
      </c>
      <c r="D4514" s="40" t="s">
        <v>177</v>
      </c>
      <c r="E4514" s="41">
        <v>1.1000000000000001</v>
      </c>
      <c r="F4514" s="59">
        <v>7.4099999999999993</v>
      </c>
      <c r="G4514" s="59">
        <f t="shared" si="78"/>
        <v>8.1509999999999998</v>
      </c>
      <c r="H4514" s="62"/>
      <c r="I4514" s="63"/>
      <c r="J4514" s="34">
        <v>119530</v>
      </c>
    </row>
    <row r="4515" spans="1:10" ht="15.75" thickBot="1" x14ac:dyDescent="0.3">
      <c r="A4515" s="263"/>
      <c r="B4515" s="253"/>
      <c r="C4515" s="60"/>
      <c r="D4515" s="60"/>
      <c r="E4515" s="79"/>
      <c r="F4515" s="80" t="s">
        <v>23</v>
      </c>
      <c r="G4515" s="80" t="str">
        <f t="shared" si="78"/>
        <v/>
      </c>
      <c r="H4515" s="81"/>
      <c r="I4515" s="63"/>
      <c r="J4515" s="34">
        <v>119530</v>
      </c>
    </row>
    <row r="4516" spans="1:10" ht="15.75" thickBot="1" x14ac:dyDescent="0.3">
      <c r="A4516" s="248" t="s">
        <v>1089</v>
      </c>
      <c r="B4516" s="251" t="s">
        <v>2903</v>
      </c>
      <c r="C4516" s="28"/>
      <c r="D4516" s="29" t="s">
        <v>78</v>
      </c>
      <c r="E4516" s="30"/>
      <c r="F4516" s="51" t="s">
        <v>23</v>
      </c>
      <c r="G4516" s="31" t="str">
        <f t="shared" si="78"/>
        <v/>
      </c>
      <c r="H4516" s="32"/>
      <c r="I4516" s="33"/>
      <c r="J4516" s="34">
        <v>72730</v>
      </c>
    </row>
    <row r="4517" spans="1:10" x14ac:dyDescent="0.25">
      <c r="A4517" s="262"/>
      <c r="B4517" s="252"/>
      <c r="C4517" s="36"/>
      <c r="D4517" s="36"/>
      <c r="E4517" s="37"/>
      <c r="F4517" s="59" t="s">
        <v>23</v>
      </c>
      <c r="G4517" s="59" t="str">
        <f t="shared" si="78"/>
        <v/>
      </c>
      <c r="H4517" s="62"/>
      <c r="I4517" s="63"/>
      <c r="J4517" s="34">
        <v>72730</v>
      </c>
    </row>
    <row r="4518" spans="1:10" x14ac:dyDescent="0.25">
      <c r="A4518" s="262"/>
      <c r="B4518" s="252"/>
      <c r="C4518" s="40" t="s">
        <v>3754</v>
      </c>
      <c r="D4518" s="40" t="s">
        <v>3752</v>
      </c>
      <c r="E4518" s="41">
        <v>0.05</v>
      </c>
      <c r="F4518" s="59">
        <v>20.814499999999999</v>
      </c>
      <c r="G4518" s="59">
        <f t="shared" si="78"/>
        <v>1.0407249999999999</v>
      </c>
      <c r="H4518" s="43">
        <f>SUM(G4518:G4519)</f>
        <v>15.265075</v>
      </c>
      <c r="I4518" s="44"/>
      <c r="J4518" s="34">
        <v>72730</v>
      </c>
    </row>
    <row r="4519" spans="1:10" ht="25.5" x14ac:dyDescent="0.25">
      <c r="A4519" s="262"/>
      <c r="B4519" s="252"/>
      <c r="C4519" s="40" t="s">
        <v>3784</v>
      </c>
      <c r="D4519" s="40" t="s">
        <v>177</v>
      </c>
      <c r="E4519" s="41">
        <v>1.05</v>
      </c>
      <c r="F4519" s="59">
        <v>13.546999999999999</v>
      </c>
      <c r="G4519" s="59">
        <f t="shared" si="78"/>
        <v>14.224349999999999</v>
      </c>
      <c r="H4519" s="62"/>
      <c r="I4519" s="63"/>
      <c r="J4519" s="34">
        <v>72730</v>
      </c>
    </row>
    <row r="4520" spans="1:10" ht="15.75" thickBot="1" x14ac:dyDescent="0.3">
      <c r="A4520" s="263"/>
      <c r="B4520" s="253"/>
      <c r="C4520" s="60"/>
      <c r="D4520" s="60"/>
      <c r="E4520" s="79"/>
      <c r="F4520" s="80" t="s">
        <v>23</v>
      </c>
      <c r="G4520" s="80" t="str">
        <f t="shared" si="78"/>
        <v/>
      </c>
      <c r="H4520" s="81"/>
      <c r="I4520" s="63"/>
      <c r="J4520" s="34">
        <v>72730</v>
      </c>
    </row>
    <row r="4521" spans="1:10" ht="15.75" thickBot="1" x14ac:dyDescent="0.3">
      <c r="A4521" s="248" t="s">
        <v>1090</v>
      </c>
      <c r="B4521" s="251" t="s">
        <v>2904</v>
      </c>
      <c r="C4521" s="28"/>
      <c r="D4521" s="29" t="s">
        <v>78</v>
      </c>
      <c r="E4521" s="30"/>
      <c r="F4521" s="51" t="s">
        <v>23</v>
      </c>
      <c r="G4521" s="31" t="str">
        <f t="shared" si="78"/>
        <v/>
      </c>
      <c r="H4521" s="32"/>
      <c r="I4521" s="33"/>
      <c r="J4521" s="34">
        <v>73040</v>
      </c>
    </row>
    <row r="4522" spans="1:10" x14ac:dyDescent="0.25">
      <c r="A4522" s="262"/>
      <c r="B4522" s="252"/>
      <c r="C4522" s="36"/>
      <c r="D4522" s="36"/>
      <c r="E4522" s="37"/>
      <c r="F4522" s="59" t="s">
        <v>23</v>
      </c>
      <c r="G4522" s="59" t="str">
        <f t="shared" si="78"/>
        <v/>
      </c>
      <c r="H4522" s="62"/>
      <c r="I4522" s="63"/>
      <c r="J4522" s="34">
        <v>73040</v>
      </c>
    </row>
    <row r="4523" spans="1:10" x14ac:dyDescent="0.25">
      <c r="A4523" s="262"/>
      <c r="B4523" s="252"/>
      <c r="C4523" s="40" t="s">
        <v>3757</v>
      </c>
      <c r="D4523" s="40" t="s">
        <v>3752</v>
      </c>
      <c r="E4523" s="41">
        <v>0.107</v>
      </c>
      <c r="F4523" s="59">
        <v>28.0535</v>
      </c>
      <c r="G4523" s="59">
        <f t="shared" si="78"/>
        <v>3.0017244999999999</v>
      </c>
      <c r="H4523" s="43">
        <f>SUM(G4523:G4528)</f>
        <v>45.971687827750003</v>
      </c>
      <c r="I4523" s="44"/>
      <c r="J4523" s="34">
        <v>73040</v>
      </c>
    </row>
    <row r="4524" spans="1:10" x14ac:dyDescent="0.25">
      <c r="A4524" s="262"/>
      <c r="B4524" s="252"/>
      <c r="C4524" s="40" t="s">
        <v>3754</v>
      </c>
      <c r="D4524" s="40" t="s">
        <v>3752</v>
      </c>
      <c r="E4524" s="41">
        <v>0.214</v>
      </c>
      <c r="F4524" s="59">
        <v>20.814499999999999</v>
      </c>
      <c r="G4524" s="59">
        <f t="shared" si="78"/>
        <v>4.4543029999999995</v>
      </c>
      <c r="H4524" s="62"/>
      <c r="I4524" s="63"/>
      <c r="J4524" s="34">
        <v>73040</v>
      </c>
    </row>
    <row r="4525" spans="1:10" x14ac:dyDescent="0.25">
      <c r="A4525" s="262"/>
      <c r="B4525" s="252"/>
      <c r="C4525" s="40" t="s">
        <v>3759</v>
      </c>
      <c r="D4525" s="40" t="s">
        <v>1035</v>
      </c>
      <c r="E4525" s="41">
        <v>0.5</v>
      </c>
      <c r="F4525" s="59">
        <v>0.627</v>
      </c>
      <c r="G4525" s="59">
        <f t="shared" si="78"/>
        <v>0.3135</v>
      </c>
      <c r="H4525" s="62"/>
      <c r="I4525" s="63"/>
      <c r="J4525" s="34">
        <v>73040</v>
      </c>
    </row>
    <row r="4526" spans="1:10" ht="25.5" x14ac:dyDescent="0.25">
      <c r="A4526" s="262"/>
      <c r="B4526" s="252"/>
      <c r="C4526" s="40" t="s">
        <v>3809</v>
      </c>
      <c r="D4526" s="40" t="s">
        <v>80</v>
      </c>
      <c r="E4526" s="41">
        <v>0.21</v>
      </c>
      <c r="F4526" s="59">
        <v>15.864999999999998</v>
      </c>
      <c r="G4526" s="59">
        <f t="shared" si="78"/>
        <v>3.3316499999999993</v>
      </c>
      <c r="H4526" s="62"/>
      <c r="I4526" s="63"/>
      <c r="J4526" s="34">
        <v>73040</v>
      </c>
    </row>
    <row r="4527" spans="1:10" x14ac:dyDescent="0.25">
      <c r="A4527" s="262"/>
      <c r="B4527" s="252"/>
      <c r="C4527" s="40" t="s">
        <v>1091</v>
      </c>
      <c r="D4527" s="40" t="s">
        <v>1035</v>
      </c>
      <c r="E4527" s="41">
        <v>0.5</v>
      </c>
      <c r="F4527" s="59">
        <v>23.284500000000001</v>
      </c>
      <c r="G4527" s="59">
        <f t="shared" si="78"/>
        <v>11.642250000000001</v>
      </c>
      <c r="H4527" s="62"/>
      <c r="I4527" s="63"/>
      <c r="J4527" s="34">
        <v>73040</v>
      </c>
    </row>
    <row r="4528" spans="1:10" ht="51" x14ac:dyDescent="0.25">
      <c r="A4528" s="262"/>
      <c r="B4528" s="252"/>
      <c r="C4528" s="40" t="s">
        <v>4727</v>
      </c>
      <c r="D4528" s="40" t="s">
        <v>3764</v>
      </c>
      <c r="E4528" s="41">
        <v>3.1E-2</v>
      </c>
      <c r="F4528" s="59">
        <v>749.29872024999997</v>
      </c>
      <c r="G4528" s="59">
        <f t="shared" si="78"/>
        <v>23.22826032775</v>
      </c>
      <c r="H4528" s="62"/>
      <c r="I4528" s="63"/>
      <c r="J4528" s="34">
        <v>73040</v>
      </c>
    </row>
    <row r="4529" spans="1:10" ht="15.75" thickBot="1" x14ac:dyDescent="0.3">
      <c r="A4529" s="263"/>
      <c r="B4529" s="253"/>
      <c r="C4529" s="60"/>
      <c r="D4529" s="60"/>
      <c r="E4529" s="79"/>
      <c r="F4529" s="80" t="s">
        <v>23</v>
      </c>
      <c r="G4529" s="80" t="str">
        <f t="shared" si="78"/>
        <v/>
      </c>
      <c r="H4529" s="81"/>
      <c r="I4529" s="63"/>
      <c r="J4529" s="34">
        <v>73040</v>
      </c>
    </row>
    <row r="4530" spans="1:10" ht="15.75" thickBot="1" x14ac:dyDescent="0.3">
      <c r="A4530" s="248" t="s">
        <v>1092</v>
      </c>
      <c r="B4530" s="251" t="s">
        <v>2905</v>
      </c>
      <c r="C4530" s="28"/>
      <c r="D4530" s="29" t="s">
        <v>78</v>
      </c>
      <c r="E4530" s="30"/>
      <c r="F4530" s="51" t="s">
        <v>23</v>
      </c>
      <c r="G4530" s="31" t="str">
        <f t="shared" si="78"/>
        <v/>
      </c>
      <c r="H4530" s="32"/>
      <c r="I4530" s="33"/>
      <c r="J4530" s="34">
        <v>60420</v>
      </c>
    </row>
    <row r="4531" spans="1:10" x14ac:dyDescent="0.25">
      <c r="A4531" s="262"/>
      <c r="B4531" s="252"/>
      <c r="C4531" s="36"/>
      <c r="D4531" s="36"/>
      <c r="E4531" s="37"/>
      <c r="F4531" s="59" t="s">
        <v>23</v>
      </c>
      <c r="G4531" s="59" t="str">
        <f t="shared" si="78"/>
        <v/>
      </c>
      <c r="H4531" s="62"/>
      <c r="I4531" s="63"/>
      <c r="J4531" s="34">
        <v>60420</v>
      </c>
    </row>
    <row r="4532" spans="1:10" x14ac:dyDescent="0.25">
      <c r="A4532" s="262"/>
      <c r="B4532" s="252"/>
      <c r="C4532" s="40" t="s">
        <v>3849</v>
      </c>
      <c r="D4532" s="40" t="s">
        <v>177</v>
      </c>
      <c r="E4532" s="41">
        <v>1.04</v>
      </c>
      <c r="F4532" s="59">
        <v>2.0329999999999999</v>
      </c>
      <c r="G4532" s="59">
        <f t="shared" si="78"/>
        <v>2.1143200000000002</v>
      </c>
      <c r="H4532" s="43">
        <f>SUM(G4532:G4537)</f>
        <v>95.503094088750004</v>
      </c>
      <c r="I4532" s="44"/>
      <c r="J4532" s="34">
        <v>60420</v>
      </c>
    </row>
    <row r="4533" spans="1:10" ht="25.5" x14ac:dyDescent="0.25">
      <c r="A4533" s="262"/>
      <c r="B4533" s="252"/>
      <c r="C4533" s="40" t="s">
        <v>4734</v>
      </c>
      <c r="D4533" s="40" t="s">
        <v>3764</v>
      </c>
      <c r="E4533" s="41">
        <v>4.3999999999999997E-2</v>
      </c>
      <c r="F4533" s="59">
        <v>925.74008156250011</v>
      </c>
      <c r="G4533" s="59">
        <f t="shared" si="78"/>
        <v>40.732563588750004</v>
      </c>
      <c r="H4533" s="62"/>
      <c r="I4533" s="63"/>
      <c r="J4533" s="34">
        <v>60420</v>
      </c>
    </row>
    <row r="4534" spans="1:10" ht="25.5" x14ac:dyDescent="0.25">
      <c r="A4534" s="262"/>
      <c r="B4534" s="252"/>
      <c r="C4534" s="40" t="s">
        <v>3793</v>
      </c>
      <c r="D4534" s="40" t="s">
        <v>177</v>
      </c>
      <c r="E4534" s="41">
        <v>1.05</v>
      </c>
      <c r="F4534" s="59">
        <v>14.126499999999998</v>
      </c>
      <c r="G4534" s="59">
        <f t="shared" si="78"/>
        <v>14.832825</v>
      </c>
      <c r="H4534" s="62"/>
      <c r="I4534" s="63"/>
      <c r="J4534" s="34">
        <v>60420</v>
      </c>
    </row>
    <row r="4535" spans="1:10" x14ac:dyDescent="0.25">
      <c r="A4535" s="262"/>
      <c r="B4535" s="252"/>
      <c r="C4535" s="40" t="s">
        <v>3757</v>
      </c>
      <c r="D4535" s="40" t="s">
        <v>3752</v>
      </c>
      <c r="E4535" s="41">
        <v>0.89900000000000002</v>
      </c>
      <c r="F4535" s="59">
        <v>28.0535</v>
      </c>
      <c r="G4535" s="59">
        <f t="shared" si="78"/>
        <v>25.2200965</v>
      </c>
      <c r="H4535" s="62"/>
      <c r="I4535" s="63"/>
      <c r="J4535" s="34">
        <v>60420</v>
      </c>
    </row>
    <row r="4536" spans="1:10" x14ac:dyDescent="0.25">
      <c r="A4536" s="262"/>
      <c r="B4536" s="252"/>
      <c r="C4536" s="40" t="s">
        <v>3754</v>
      </c>
      <c r="D4536" s="40" t="s">
        <v>3752</v>
      </c>
      <c r="E4536" s="41">
        <v>0.182</v>
      </c>
      <c r="F4536" s="59">
        <v>20.814499999999999</v>
      </c>
      <c r="G4536" s="59">
        <f t="shared" si="78"/>
        <v>3.7882389999999999</v>
      </c>
      <c r="H4536" s="62"/>
      <c r="I4536" s="63"/>
      <c r="J4536" s="34">
        <v>60420</v>
      </c>
    </row>
    <row r="4537" spans="1:10" ht="38.25" x14ac:dyDescent="0.25">
      <c r="A4537" s="262"/>
      <c r="B4537" s="252"/>
      <c r="C4537" s="40" t="s">
        <v>3802</v>
      </c>
      <c r="D4537" s="40" t="s">
        <v>1035</v>
      </c>
      <c r="E4537" s="91">
        <f>0.15*1.5*(4*1/2)</f>
        <v>0.44999999999999996</v>
      </c>
      <c r="F4537" s="59">
        <v>19.588999999999999</v>
      </c>
      <c r="G4537" s="59">
        <f t="shared" si="78"/>
        <v>8.8150499999999994</v>
      </c>
      <c r="H4537" s="62"/>
      <c r="I4537" s="63"/>
      <c r="J4537" s="34">
        <v>60420</v>
      </c>
    </row>
    <row r="4538" spans="1:10" ht="15.75" thickBot="1" x14ac:dyDescent="0.3">
      <c r="A4538" s="262"/>
      <c r="B4538" s="252"/>
      <c r="C4538" s="40"/>
      <c r="D4538" s="40"/>
      <c r="E4538" s="41"/>
      <c r="F4538" s="59" t="s">
        <v>23</v>
      </c>
      <c r="G4538" s="59" t="str">
        <f t="shared" si="78"/>
        <v/>
      </c>
      <c r="H4538" s="62"/>
      <c r="I4538" s="63"/>
      <c r="J4538" s="34">
        <v>60420</v>
      </c>
    </row>
    <row r="4539" spans="1:10" ht="15.75" thickBot="1" x14ac:dyDescent="0.3">
      <c r="A4539" s="248" t="s">
        <v>1093</v>
      </c>
      <c r="B4539" s="251" t="s">
        <v>2906</v>
      </c>
      <c r="C4539" s="28"/>
      <c r="D4539" s="29" t="s">
        <v>78</v>
      </c>
      <c r="E4539" s="30"/>
      <c r="F4539" s="51" t="s">
        <v>23</v>
      </c>
      <c r="G4539" s="31" t="str">
        <f t="shared" si="78"/>
        <v/>
      </c>
      <c r="H4539" s="32"/>
      <c r="I4539" s="33"/>
      <c r="J4539" s="34">
        <v>3000</v>
      </c>
    </row>
    <row r="4540" spans="1:10" x14ac:dyDescent="0.25">
      <c r="A4540" s="262"/>
      <c r="B4540" s="252"/>
      <c r="C4540" s="36"/>
      <c r="D4540" s="36"/>
      <c r="E4540" s="37"/>
      <c r="F4540" s="59" t="s">
        <v>23</v>
      </c>
      <c r="G4540" s="59" t="str">
        <f t="shared" si="78"/>
        <v/>
      </c>
      <c r="H4540" s="62"/>
      <c r="I4540" s="63"/>
      <c r="J4540" s="34">
        <v>3000</v>
      </c>
    </row>
    <row r="4541" spans="1:10" x14ac:dyDescent="0.25">
      <c r="A4541" s="262"/>
      <c r="B4541" s="252"/>
      <c r="C4541" s="40" t="s">
        <v>1094</v>
      </c>
      <c r="D4541" s="40" t="s">
        <v>80</v>
      </c>
      <c r="E4541" s="41">
        <v>0.32569999999999999</v>
      </c>
      <c r="F4541" s="59">
        <v>29.37</v>
      </c>
      <c r="G4541" s="59">
        <f t="shared" si="78"/>
        <v>9.5658089999999998</v>
      </c>
      <c r="H4541" s="43">
        <f>SUM(G4541:G4542)</f>
        <v>22.791847699999998</v>
      </c>
      <c r="I4541" s="44"/>
      <c r="J4541" s="34">
        <v>3000</v>
      </c>
    </row>
    <row r="4542" spans="1:10" x14ac:dyDescent="0.25">
      <c r="A4542" s="262"/>
      <c r="B4542" s="252"/>
      <c r="C4542" s="40" t="s">
        <v>3753</v>
      </c>
      <c r="D4542" s="40" t="s">
        <v>3752</v>
      </c>
      <c r="E4542" s="41">
        <v>0.45290000000000002</v>
      </c>
      <c r="F4542" s="59">
        <v>29.202999999999996</v>
      </c>
      <c r="G4542" s="59">
        <f t="shared" si="78"/>
        <v>13.226038699999998</v>
      </c>
      <c r="H4542" s="62"/>
      <c r="I4542" s="63"/>
      <c r="J4542" s="34">
        <v>3000</v>
      </c>
    </row>
    <row r="4543" spans="1:10" ht="15.75" thickBot="1" x14ac:dyDescent="0.3">
      <c r="A4543" s="263"/>
      <c r="B4543" s="253"/>
      <c r="C4543" s="60"/>
      <c r="D4543" s="60"/>
      <c r="E4543" s="79"/>
      <c r="F4543" s="80" t="s">
        <v>23</v>
      </c>
      <c r="G4543" s="80" t="str">
        <f t="shared" si="78"/>
        <v/>
      </c>
      <c r="H4543" s="81"/>
      <c r="I4543" s="63"/>
      <c r="J4543" s="34">
        <v>3000</v>
      </c>
    </row>
    <row r="4544" spans="1:10" ht="15.75" thickBot="1" x14ac:dyDescent="0.3">
      <c r="A4544" s="248" t="s">
        <v>1095</v>
      </c>
      <c r="B4544" s="251" t="s">
        <v>2907</v>
      </c>
      <c r="C4544" s="28"/>
      <c r="D4544" s="29" t="s">
        <v>78</v>
      </c>
      <c r="E4544" s="30"/>
      <c r="F4544" s="51" t="s">
        <v>23</v>
      </c>
      <c r="G4544" s="31" t="str">
        <f t="shared" si="78"/>
        <v/>
      </c>
      <c r="H4544" s="32"/>
      <c r="I4544" s="33"/>
      <c r="J4544" s="34">
        <v>36470</v>
      </c>
    </row>
    <row r="4545" spans="1:10" x14ac:dyDescent="0.25">
      <c r="A4545" s="262"/>
      <c r="B4545" s="252"/>
      <c r="C4545" s="36"/>
      <c r="D4545" s="36"/>
      <c r="E4545" s="37"/>
      <c r="F4545" s="59" t="s">
        <v>23</v>
      </c>
      <c r="G4545" s="59" t="str">
        <f t="shared" si="78"/>
        <v/>
      </c>
      <c r="H4545" s="62"/>
      <c r="I4545" s="63"/>
      <c r="J4545" s="34">
        <v>36470</v>
      </c>
    </row>
    <row r="4546" spans="1:10" x14ac:dyDescent="0.25">
      <c r="A4546" s="262"/>
      <c r="B4546" s="252"/>
      <c r="C4546" s="40" t="s">
        <v>3754</v>
      </c>
      <c r="D4546" s="40" t="s">
        <v>3752</v>
      </c>
      <c r="E4546" s="41">
        <f>0.01*2</f>
        <v>0.02</v>
      </c>
      <c r="F4546" s="59">
        <v>20.814499999999999</v>
      </c>
      <c r="G4546" s="59">
        <f t="shared" si="78"/>
        <v>0.41628999999999999</v>
      </c>
      <c r="H4546" s="43">
        <f>SUM(G4546:G4548)</f>
        <v>42.209289999999996</v>
      </c>
      <c r="I4546" s="44"/>
      <c r="J4546" s="34">
        <v>36470</v>
      </c>
    </row>
    <row r="4547" spans="1:10" ht="25.5" x14ac:dyDescent="0.25">
      <c r="A4547" s="262"/>
      <c r="B4547" s="252"/>
      <c r="C4547" s="40" t="s">
        <v>1096</v>
      </c>
      <c r="D4547" s="40" t="s">
        <v>78</v>
      </c>
      <c r="E4547" s="41">
        <v>1.05</v>
      </c>
      <c r="F4547" s="59">
        <v>32.04</v>
      </c>
      <c r="G4547" s="59">
        <f t="shared" si="78"/>
        <v>33.642000000000003</v>
      </c>
      <c r="H4547" s="62"/>
      <c r="I4547" s="63"/>
      <c r="J4547" s="34">
        <v>36470</v>
      </c>
    </row>
    <row r="4548" spans="1:10" ht="25.5" x14ac:dyDescent="0.25">
      <c r="A4548" s="262"/>
      <c r="B4548" s="252"/>
      <c r="C4548" s="40" t="s">
        <v>3780</v>
      </c>
      <c r="D4548" s="40" t="s">
        <v>177</v>
      </c>
      <c r="E4548" s="41">
        <v>1.1000000000000001</v>
      </c>
      <c r="F4548" s="59">
        <v>7.4099999999999993</v>
      </c>
      <c r="G4548" s="59">
        <f t="shared" si="78"/>
        <v>8.1509999999999998</v>
      </c>
      <c r="H4548" s="62"/>
      <c r="I4548" s="63"/>
      <c r="J4548" s="34">
        <v>36470</v>
      </c>
    </row>
    <row r="4549" spans="1:10" ht="15.75" thickBot="1" x14ac:dyDescent="0.3">
      <c r="A4549" s="263"/>
      <c r="B4549" s="253"/>
      <c r="C4549" s="60"/>
      <c r="D4549" s="60"/>
      <c r="E4549" s="79"/>
      <c r="F4549" s="80" t="s">
        <v>23</v>
      </c>
      <c r="G4549" s="80" t="str">
        <f t="shared" si="78"/>
        <v/>
      </c>
      <c r="H4549" s="81"/>
      <c r="I4549" s="63"/>
      <c r="J4549" s="34">
        <v>36470</v>
      </c>
    </row>
    <row r="4550" spans="1:10" ht="15.75" thickBot="1" x14ac:dyDescent="0.3">
      <c r="A4550" s="248" t="s">
        <v>1097</v>
      </c>
      <c r="B4550" s="251" t="s">
        <v>2908</v>
      </c>
      <c r="C4550" s="28"/>
      <c r="D4550" s="29" t="s">
        <v>78</v>
      </c>
      <c r="E4550" s="30"/>
      <c r="F4550" s="51" t="s">
        <v>23</v>
      </c>
      <c r="G4550" s="31" t="str">
        <f t="shared" si="78"/>
        <v/>
      </c>
      <c r="H4550" s="32"/>
      <c r="I4550" s="33"/>
      <c r="J4550" s="34">
        <v>2000</v>
      </c>
    </row>
    <row r="4551" spans="1:10" x14ac:dyDescent="0.25">
      <c r="A4551" s="262"/>
      <c r="B4551" s="252"/>
      <c r="C4551" s="36"/>
      <c r="D4551" s="36"/>
      <c r="E4551" s="37"/>
      <c r="F4551" s="59" t="s">
        <v>23</v>
      </c>
      <c r="G4551" s="59" t="str">
        <f t="shared" si="78"/>
        <v/>
      </c>
      <c r="H4551" s="62"/>
      <c r="I4551" s="63"/>
      <c r="J4551" s="34">
        <v>2000</v>
      </c>
    </row>
    <row r="4552" spans="1:10" ht="25.5" x14ac:dyDescent="0.25">
      <c r="A4552" s="262"/>
      <c r="B4552" s="252"/>
      <c r="C4552" s="40" t="s">
        <v>3788</v>
      </c>
      <c r="D4552" s="40" t="s">
        <v>3789</v>
      </c>
      <c r="E4552" s="41">
        <v>0.161</v>
      </c>
      <c r="F4552" s="59">
        <v>39.548499999999997</v>
      </c>
      <c r="G4552" s="59">
        <f t="shared" si="78"/>
        <v>6.3673085</v>
      </c>
      <c r="H4552" s="43">
        <f>SUM(G4552:G4560)</f>
        <v>176.43604535</v>
      </c>
      <c r="I4552" s="44"/>
      <c r="J4552" s="34">
        <v>2000</v>
      </c>
    </row>
    <row r="4553" spans="1:10" x14ac:dyDescent="0.25">
      <c r="A4553" s="262"/>
      <c r="B4553" s="252"/>
      <c r="C4553" s="40" t="s">
        <v>4039</v>
      </c>
      <c r="D4553" s="40" t="s">
        <v>1035</v>
      </c>
      <c r="E4553" s="41">
        <v>2.5000000000000001E-2</v>
      </c>
      <c r="F4553" s="59">
        <v>20.425000000000001</v>
      </c>
      <c r="G4553" s="59">
        <f t="shared" si="78"/>
        <v>0.510625</v>
      </c>
      <c r="H4553" s="62"/>
      <c r="I4553" s="63"/>
      <c r="J4553" s="34">
        <v>2000</v>
      </c>
    </row>
    <row r="4554" spans="1:10" ht="25.5" x14ac:dyDescent="0.25">
      <c r="A4554" s="262"/>
      <c r="B4554" s="252"/>
      <c r="C4554" s="40" t="s">
        <v>4171</v>
      </c>
      <c r="D4554" s="40" t="s">
        <v>1035</v>
      </c>
      <c r="E4554" s="41">
        <v>4.8999999999999998E-3</v>
      </c>
      <c r="F4554" s="59">
        <v>61.341499999999989</v>
      </c>
      <c r="G4554" s="59">
        <f t="shared" si="78"/>
        <v>0.30057334999999996</v>
      </c>
      <c r="H4554" s="62"/>
      <c r="I4554" s="63"/>
      <c r="J4554" s="34">
        <v>2000</v>
      </c>
    </row>
    <row r="4555" spans="1:10" x14ac:dyDescent="0.25">
      <c r="A4555" s="262"/>
      <c r="B4555" s="252"/>
      <c r="C4555" s="40" t="s">
        <v>3961</v>
      </c>
      <c r="D4555" s="40" t="s">
        <v>1035</v>
      </c>
      <c r="E4555" s="41">
        <v>0.18</v>
      </c>
      <c r="F4555" s="59">
        <v>184.92699999999999</v>
      </c>
      <c r="G4555" s="59">
        <f t="shared" si="78"/>
        <v>33.286859999999997</v>
      </c>
      <c r="H4555" s="62"/>
      <c r="I4555" s="63"/>
      <c r="J4555" s="34">
        <v>2000</v>
      </c>
    </row>
    <row r="4556" spans="1:10" ht="25.5" x14ac:dyDescent="0.25">
      <c r="A4556" s="262"/>
      <c r="B4556" s="252"/>
      <c r="C4556" s="40" t="s">
        <v>3829</v>
      </c>
      <c r="D4556" s="40" t="s">
        <v>1286</v>
      </c>
      <c r="E4556" s="41">
        <v>1.05</v>
      </c>
      <c r="F4556" s="59">
        <v>102.182</v>
      </c>
      <c r="G4556" s="59">
        <f t="shared" si="78"/>
        <v>107.2911</v>
      </c>
      <c r="H4556" s="62"/>
      <c r="I4556" s="63"/>
      <c r="J4556" s="34">
        <v>2000</v>
      </c>
    </row>
    <row r="4557" spans="1:10" x14ac:dyDescent="0.25">
      <c r="A4557" s="262"/>
      <c r="B4557" s="252"/>
      <c r="C4557" s="40" t="s">
        <v>3754</v>
      </c>
      <c r="D4557" s="40" t="s">
        <v>3752</v>
      </c>
      <c r="E4557" s="41">
        <v>0.63300000000000001</v>
      </c>
      <c r="F4557" s="59">
        <v>20.814499999999999</v>
      </c>
      <c r="G4557" s="59">
        <f t="shared" si="78"/>
        <v>13.1755785</v>
      </c>
      <c r="H4557" s="62"/>
      <c r="I4557" s="63"/>
      <c r="J4557" s="34">
        <v>2000</v>
      </c>
    </row>
    <row r="4558" spans="1:10" x14ac:dyDescent="0.25">
      <c r="A4558" s="262"/>
      <c r="B4558" s="252"/>
      <c r="C4558" s="40" t="s">
        <v>3816</v>
      </c>
      <c r="D4558" s="40" t="s">
        <v>3752</v>
      </c>
      <c r="E4558" s="41">
        <v>0.53900000000000003</v>
      </c>
      <c r="F4558" s="59">
        <v>27.445499999999999</v>
      </c>
      <c r="G4558" s="59">
        <f t="shared" si="78"/>
        <v>14.793124500000001</v>
      </c>
      <c r="H4558" s="62"/>
      <c r="I4558" s="63"/>
      <c r="J4558" s="34">
        <v>2000</v>
      </c>
    </row>
    <row r="4559" spans="1:10" ht="25.5" x14ac:dyDescent="0.25">
      <c r="A4559" s="262"/>
      <c r="B4559" s="252"/>
      <c r="C4559" s="40" t="s">
        <v>4123</v>
      </c>
      <c r="D4559" s="40" t="s">
        <v>1041</v>
      </c>
      <c r="E4559" s="41">
        <v>1.32E-2</v>
      </c>
      <c r="F4559" s="59">
        <v>23.008999999999997</v>
      </c>
      <c r="G4559" s="59">
        <f t="shared" si="78"/>
        <v>0.30371879999999996</v>
      </c>
      <c r="H4559" s="62"/>
      <c r="I4559" s="63"/>
      <c r="J4559" s="34">
        <v>2000</v>
      </c>
    </row>
    <row r="4560" spans="1:10" ht="25.5" x14ac:dyDescent="0.25">
      <c r="A4560" s="262"/>
      <c r="B4560" s="252"/>
      <c r="C4560" s="40" t="s">
        <v>4113</v>
      </c>
      <c r="D4560" s="40" t="s">
        <v>1052</v>
      </c>
      <c r="E4560" s="41">
        <v>1.83E-2</v>
      </c>
      <c r="F4560" s="59">
        <v>22.249000000000002</v>
      </c>
      <c r="G4560" s="59">
        <f t="shared" ref="G4560:G4623" si="79">IF(ISNUMBER(F4560),E4560*F4560,"")</f>
        <v>0.40715670000000004</v>
      </c>
      <c r="H4560" s="62"/>
      <c r="I4560" s="63"/>
      <c r="J4560" s="34">
        <v>2000</v>
      </c>
    </row>
    <row r="4561" spans="1:10" ht="15.75" thickBot="1" x14ac:dyDescent="0.3">
      <c r="A4561" s="263"/>
      <c r="B4561" s="253"/>
      <c r="C4561" s="60"/>
      <c r="D4561" s="60"/>
      <c r="E4561" s="79"/>
      <c r="F4561" s="80" t="s">
        <v>23</v>
      </c>
      <c r="G4561" s="80" t="str">
        <f t="shared" si="79"/>
        <v/>
      </c>
      <c r="H4561" s="81"/>
      <c r="I4561" s="63"/>
      <c r="J4561" s="34">
        <v>2000</v>
      </c>
    </row>
    <row r="4562" spans="1:10" ht="15.75" thickBot="1" x14ac:dyDescent="0.3">
      <c r="A4562" s="248" t="s">
        <v>1098</v>
      </c>
      <c r="B4562" s="251" t="s">
        <v>2909</v>
      </c>
      <c r="C4562" s="28"/>
      <c r="D4562" s="29" t="s">
        <v>78</v>
      </c>
      <c r="E4562" s="30"/>
      <c r="F4562" s="51" t="s">
        <v>23</v>
      </c>
      <c r="G4562" s="31" t="str">
        <f t="shared" si="79"/>
        <v/>
      </c>
      <c r="H4562" s="32"/>
      <c r="I4562" s="33"/>
      <c r="J4562" s="34">
        <v>2160</v>
      </c>
    </row>
    <row r="4563" spans="1:10" x14ac:dyDescent="0.25">
      <c r="A4563" s="262"/>
      <c r="B4563" s="252"/>
      <c r="C4563" s="36"/>
      <c r="D4563" s="36"/>
      <c r="E4563" s="37"/>
      <c r="F4563" s="59" t="s">
        <v>23</v>
      </c>
      <c r="G4563" s="59" t="str">
        <f t="shared" si="79"/>
        <v/>
      </c>
      <c r="H4563" s="62"/>
      <c r="I4563" s="63"/>
      <c r="J4563" s="34">
        <v>2160</v>
      </c>
    </row>
    <row r="4564" spans="1:10" ht="25.5" x14ac:dyDescent="0.25">
      <c r="A4564" s="262"/>
      <c r="B4564" s="252"/>
      <c r="C4564" s="40" t="s">
        <v>3788</v>
      </c>
      <c r="D4564" s="40" t="s">
        <v>3789</v>
      </c>
      <c r="E4564" s="41">
        <f>0.198*4</f>
        <v>0.79200000000000004</v>
      </c>
      <c r="F4564" s="59">
        <v>39.548499999999997</v>
      </c>
      <c r="G4564" s="59">
        <f t="shared" si="79"/>
        <v>31.322412</v>
      </c>
      <c r="H4564" s="43">
        <f>SUM(G4564:G4572)</f>
        <v>203.35545719999999</v>
      </c>
      <c r="I4564" s="44"/>
      <c r="J4564" s="34">
        <v>2160</v>
      </c>
    </row>
    <row r="4565" spans="1:10" x14ac:dyDescent="0.25">
      <c r="A4565" s="262"/>
      <c r="B4565" s="252"/>
      <c r="C4565" s="40" t="s">
        <v>4039</v>
      </c>
      <c r="D4565" s="40" t="s">
        <v>1035</v>
      </c>
      <c r="E4565" s="41">
        <f>0.006*4</f>
        <v>2.4E-2</v>
      </c>
      <c r="F4565" s="59">
        <v>20.425000000000001</v>
      </c>
      <c r="G4565" s="59">
        <f t="shared" si="79"/>
        <v>0.49020000000000002</v>
      </c>
      <c r="H4565" s="62"/>
      <c r="I4565" s="63"/>
      <c r="J4565" s="34">
        <v>2160</v>
      </c>
    </row>
    <row r="4566" spans="1:10" ht="25.5" x14ac:dyDescent="0.25">
      <c r="A4566" s="262"/>
      <c r="B4566" s="252"/>
      <c r="C4566" s="40" t="s">
        <v>4171</v>
      </c>
      <c r="D4566" s="40" t="s">
        <v>1035</v>
      </c>
      <c r="E4566" s="41">
        <f>0.0012*4</f>
        <v>4.7999999999999996E-3</v>
      </c>
      <c r="F4566" s="59">
        <v>61.341499999999989</v>
      </c>
      <c r="G4566" s="59">
        <f t="shared" si="79"/>
        <v>0.2944391999999999</v>
      </c>
      <c r="H4566" s="62"/>
      <c r="I4566" s="63"/>
      <c r="J4566" s="34">
        <v>2160</v>
      </c>
    </row>
    <row r="4567" spans="1:10" x14ac:dyDescent="0.25">
      <c r="A4567" s="262"/>
      <c r="B4567" s="252"/>
      <c r="C4567" s="40" t="s">
        <v>3961</v>
      </c>
      <c r="D4567" s="40" t="s">
        <v>1035</v>
      </c>
      <c r="E4567" s="41">
        <f>0.045*4</f>
        <v>0.18</v>
      </c>
      <c r="F4567" s="59">
        <v>184.92699999999999</v>
      </c>
      <c r="G4567" s="59">
        <f t="shared" si="79"/>
        <v>33.286859999999997</v>
      </c>
      <c r="H4567" s="62"/>
      <c r="I4567" s="63"/>
      <c r="J4567" s="34">
        <v>2160</v>
      </c>
    </row>
    <row r="4568" spans="1:10" ht="25.5" x14ac:dyDescent="0.25">
      <c r="A4568" s="262"/>
      <c r="B4568" s="252"/>
      <c r="C4568" s="40" t="s">
        <v>3836</v>
      </c>
      <c r="D4568" s="40" t="s">
        <v>1286</v>
      </c>
      <c r="E4568" s="41">
        <f>4*1.05</f>
        <v>4.2</v>
      </c>
      <c r="F4568" s="59">
        <v>28.994</v>
      </c>
      <c r="G4568" s="59">
        <f t="shared" si="79"/>
        <v>121.7748</v>
      </c>
      <c r="H4568" s="62"/>
      <c r="I4568" s="63"/>
      <c r="J4568" s="34">
        <v>2160</v>
      </c>
    </row>
    <row r="4569" spans="1:10" x14ac:dyDescent="0.25">
      <c r="A4569" s="262"/>
      <c r="B4569" s="252"/>
      <c r="C4569" s="40" t="s">
        <v>3754</v>
      </c>
      <c r="D4569" s="40" t="s">
        <v>3752</v>
      </c>
      <c r="E4569" s="41">
        <f>0.207*2</f>
        <v>0.41399999999999998</v>
      </c>
      <c r="F4569" s="59">
        <v>20.814499999999999</v>
      </c>
      <c r="G4569" s="59">
        <f t="shared" si="79"/>
        <v>8.6172029999999999</v>
      </c>
      <c r="H4569" s="62"/>
      <c r="I4569" s="63"/>
      <c r="J4569" s="34">
        <v>2160</v>
      </c>
    </row>
    <row r="4570" spans="1:10" x14ac:dyDescent="0.25">
      <c r="A4570" s="262"/>
      <c r="B4570" s="252"/>
      <c r="C4570" s="40" t="s">
        <v>3816</v>
      </c>
      <c r="D4570" s="40" t="s">
        <v>3752</v>
      </c>
      <c r="E4570" s="41">
        <f>0.112*2</f>
        <v>0.224</v>
      </c>
      <c r="F4570" s="59">
        <v>27.445499999999999</v>
      </c>
      <c r="G4570" s="59">
        <f t="shared" si="79"/>
        <v>6.1477919999999999</v>
      </c>
      <c r="H4570" s="62"/>
      <c r="I4570" s="63"/>
      <c r="J4570" s="34">
        <v>2160</v>
      </c>
    </row>
    <row r="4571" spans="1:10" ht="25.5" x14ac:dyDescent="0.25">
      <c r="A4571" s="262"/>
      <c r="B4571" s="252"/>
      <c r="C4571" s="40" t="s">
        <v>4123</v>
      </c>
      <c r="D4571" s="40" t="s">
        <v>1041</v>
      </c>
      <c r="E4571" s="41">
        <f>0.0132*2</f>
        <v>2.64E-2</v>
      </c>
      <c r="F4571" s="59">
        <v>23.008999999999997</v>
      </c>
      <c r="G4571" s="59">
        <f t="shared" si="79"/>
        <v>0.60743759999999991</v>
      </c>
      <c r="H4571" s="62"/>
      <c r="I4571" s="63"/>
      <c r="J4571" s="34">
        <v>2160</v>
      </c>
    </row>
    <row r="4572" spans="1:10" ht="25.5" x14ac:dyDescent="0.25">
      <c r="A4572" s="262"/>
      <c r="B4572" s="252"/>
      <c r="C4572" s="40" t="s">
        <v>4113</v>
      </c>
      <c r="D4572" s="40" t="s">
        <v>1052</v>
      </c>
      <c r="E4572" s="41">
        <f>0.0183*2</f>
        <v>3.6600000000000001E-2</v>
      </c>
      <c r="F4572" s="59">
        <v>22.249000000000002</v>
      </c>
      <c r="G4572" s="59">
        <f t="shared" si="79"/>
        <v>0.81431340000000008</v>
      </c>
      <c r="H4572" s="62"/>
      <c r="I4572" s="63"/>
      <c r="J4572" s="34">
        <v>2160</v>
      </c>
    </row>
    <row r="4573" spans="1:10" ht="15.75" thickBot="1" x14ac:dyDescent="0.3">
      <c r="A4573" s="263"/>
      <c r="B4573" s="253"/>
      <c r="C4573" s="60"/>
      <c r="D4573" s="60"/>
      <c r="E4573" s="79"/>
      <c r="F4573" s="80" t="s">
        <v>23</v>
      </c>
      <c r="G4573" s="80" t="str">
        <f t="shared" si="79"/>
        <v/>
      </c>
      <c r="H4573" s="81"/>
      <c r="I4573" s="63"/>
      <c r="J4573" s="34">
        <v>2160</v>
      </c>
    </row>
    <row r="4574" spans="1:10" ht="15.75" thickBot="1" x14ac:dyDescent="0.3">
      <c r="A4574" s="248" t="s">
        <v>1099</v>
      </c>
      <c r="B4574" s="251" t="s">
        <v>2912</v>
      </c>
      <c r="C4574" s="28"/>
      <c r="D4574" s="29" t="s">
        <v>121</v>
      </c>
      <c r="E4574" s="30"/>
      <c r="F4574" s="51" t="s">
        <v>23</v>
      </c>
      <c r="G4574" s="31" t="str">
        <f t="shared" si="79"/>
        <v/>
      </c>
      <c r="H4574" s="32"/>
      <c r="I4574" s="33"/>
      <c r="J4574" s="34">
        <v>3280</v>
      </c>
    </row>
    <row r="4575" spans="1:10" x14ac:dyDescent="0.25">
      <c r="A4575" s="262"/>
      <c r="B4575" s="252"/>
      <c r="C4575" s="36"/>
      <c r="D4575" s="36"/>
      <c r="E4575" s="37"/>
      <c r="F4575" s="59" t="s">
        <v>23</v>
      </c>
      <c r="G4575" s="59" t="str">
        <f t="shared" si="79"/>
        <v/>
      </c>
      <c r="H4575" s="62"/>
      <c r="I4575" s="63"/>
      <c r="J4575" s="34">
        <v>3280</v>
      </c>
    </row>
    <row r="4576" spans="1:10" ht="25.5" x14ac:dyDescent="0.25">
      <c r="A4576" s="262"/>
      <c r="B4576" s="252"/>
      <c r="C4576" s="40" t="s">
        <v>4033</v>
      </c>
      <c r="D4576" s="40" t="s">
        <v>1035</v>
      </c>
      <c r="E4576" s="41">
        <v>0.02</v>
      </c>
      <c r="F4576" s="59">
        <v>18.249500000000001</v>
      </c>
      <c r="G4576" s="59">
        <f t="shared" si="79"/>
        <v>0.36499000000000004</v>
      </c>
      <c r="H4576" s="43">
        <f>SUM(G4576:G4589)</f>
        <v>167.21463356250001</v>
      </c>
      <c r="I4576" s="44"/>
      <c r="J4576" s="34">
        <v>3280</v>
      </c>
    </row>
    <row r="4577" spans="1:10" ht="25.5" x14ac:dyDescent="0.25">
      <c r="A4577" s="262"/>
      <c r="B4577" s="252"/>
      <c r="C4577" s="40" t="s">
        <v>3845</v>
      </c>
      <c r="D4577" s="40" t="s">
        <v>3764</v>
      </c>
      <c r="E4577" s="41">
        <v>0.04</v>
      </c>
      <c r="F4577" s="59">
        <v>206.90049999999999</v>
      </c>
      <c r="G4577" s="59">
        <f t="shared" si="79"/>
        <v>8.276019999999999</v>
      </c>
      <c r="H4577" s="62"/>
      <c r="I4577" s="63"/>
      <c r="J4577" s="34">
        <v>3280</v>
      </c>
    </row>
    <row r="4578" spans="1:10" x14ac:dyDescent="0.25">
      <c r="A4578" s="262"/>
      <c r="B4578" s="252"/>
      <c r="C4578" s="40" t="s">
        <v>3977</v>
      </c>
      <c r="D4578" s="40" t="s">
        <v>3752</v>
      </c>
      <c r="E4578" s="41">
        <v>0.8</v>
      </c>
      <c r="F4578" s="59">
        <v>27.853999999999999</v>
      </c>
      <c r="G4578" s="59">
        <f t="shared" si="79"/>
        <v>22.283200000000001</v>
      </c>
      <c r="H4578" s="62"/>
      <c r="I4578" s="63"/>
      <c r="J4578" s="34">
        <v>3280</v>
      </c>
    </row>
    <row r="4579" spans="1:10" ht="25.5" x14ac:dyDescent="0.25">
      <c r="A4579" s="262"/>
      <c r="B4579" s="252"/>
      <c r="C4579" s="40" t="s">
        <v>3975</v>
      </c>
      <c r="D4579" s="40" t="s">
        <v>1035</v>
      </c>
      <c r="E4579" s="41">
        <v>1.35</v>
      </c>
      <c r="F4579" s="59">
        <v>10.069999999999999</v>
      </c>
      <c r="G4579" s="59">
        <f t="shared" si="79"/>
        <v>13.594499999999998</v>
      </c>
      <c r="H4579" s="62"/>
      <c r="I4579" s="63"/>
      <c r="J4579" s="34">
        <v>3280</v>
      </c>
    </row>
    <row r="4580" spans="1:10" x14ac:dyDescent="0.25">
      <c r="A4580" s="262"/>
      <c r="B4580" s="252"/>
      <c r="C4580" s="40" t="s">
        <v>3823</v>
      </c>
      <c r="D4580" s="40" t="s">
        <v>3752</v>
      </c>
      <c r="E4580" s="41">
        <v>0.7</v>
      </c>
      <c r="F4580" s="59">
        <v>27.683</v>
      </c>
      <c r="G4580" s="59">
        <f t="shared" si="79"/>
        <v>19.3781</v>
      </c>
      <c r="H4580" s="62"/>
      <c r="I4580" s="63"/>
      <c r="J4580" s="34">
        <v>3280</v>
      </c>
    </row>
    <row r="4581" spans="1:10" x14ac:dyDescent="0.25">
      <c r="A4581" s="262"/>
      <c r="B4581" s="252"/>
      <c r="C4581" s="40" t="s">
        <v>1100</v>
      </c>
      <c r="D4581" s="40" t="s">
        <v>78</v>
      </c>
      <c r="E4581" s="41">
        <v>1</v>
      </c>
      <c r="F4581" s="59">
        <v>35.1785</v>
      </c>
      <c r="G4581" s="59">
        <f t="shared" si="79"/>
        <v>35.1785</v>
      </c>
      <c r="H4581" s="62"/>
      <c r="I4581" s="63"/>
      <c r="J4581" s="34">
        <v>3280</v>
      </c>
    </row>
    <row r="4582" spans="1:10" ht="38.25" x14ac:dyDescent="0.25">
      <c r="A4582" s="262"/>
      <c r="B4582" s="252"/>
      <c r="C4582" s="40" t="s">
        <v>4182</v>
      </c>
      <c r="D4582" s="40" t="s">
        <v>1041</v>
      </c>
      <c r="E4582" s="41">
        <v>0.02</v>
      </c>
      <c r="F4582" s="59">
        <v>4.75</v>
      </c>
      <c r="G4582" s="59">
        <f t="shared" si="79"/>
        <v>9.5000000000000001E-2</v>
      </c>
      <c r="H4582" s="62"/>
      <c r="I4582" s="63"/>
      <c r="J4582" s="34">
        <v>3280</v>
      </c>
    </row>
    <row r="4583" spans="1:10" x14ac:dyDescent="0.25">
      <c r="A4583" s="262"/>
      <c r="B4583" s="252"/>
      <c r="C4583" s="40" t="s">
        <v>3759</v>
      </c>
      <c r="D4583" s="40" t="s">
        <v>1035</v>
      </c>
      <c r="E4583" s="41">
        <v>17.36</v>
      </c>
      <c r="F4583" s="59">
        <v>0.627</v>
      </c>
      <c r="G4583" s="59">
        <f t="shared" si="79"/>
        <v>10.88472</v>
      </c>
      <c r="H4583" s="62"/>
      <c r="I4583" s="63"/>
      <c r="J4583" s="34">
        <v>3280</v>
      </c>
    </row>
    <row r="4584" spans="1:10" ht="25.5" x14ac:dyDescent="0.25">
      <c r="A4584" s="262"/>
      <c r="B4584" s="252"/>
      <c r="C4584" s="40" t="s">
        <v>3841</v>
      </c>
      <c r="D4584" s="40" t="s">
        <v>3764</v>
      </c>
      <c r="E4584" s="41">
        <v>0.09</v>
      </c>
      <c r="F4584" s="59">
        <v>196.38399999999999</v>
      </c>
      <c r="G4584" s="59">
        <f t="shared" si="79"/>
        <v>17.67456</v>
      </c>
      <c r="H4584" s="62"/>
      <c r="I4584" s="63"/>
      <c r="J4584" s="34">
        <v>3280</v>
      </c>
    </row>
    <row r="4585" spans="1:10" x14ac:dyDescent="0.25">
      <c r="A4585" s="262"/>
      <c r="B4585" s="252"/>
      <c r="C4585" s="40" t="s">
        <v>4155</v>
      </c>
      <c r="D4585" s="40" t="s">
        <v>1035</v>
      </c>
      <c r="E4585" s="41">
        <v>0.02</v>
      </c>
      <c r="F4585" s="59">
        <v>20.776499999999999</v>
      </c>
      <c r="G4585" s="59">
        <f t="shared" si="79"/>
        <v>0.41552999999999995</v>
      </c>
      <c r="H4585" s="62"/>
      <c r="I4585" s="63"/>
      <c r="J4585" s="34">
        <v>3280</v>
      </c>
    </row>
    <row r="4586" spans="1:10" x14ac:dyDescent="0.25">
      <c r="A4586" s="262"/>
      <c r="B4586" s="252"/>
      <c r="C4586" s="40" t="s">
        <v>3757</v>
      </c>
      <c r="D4586" s="40" t="s">
        <v>3752</v>
      </c>
      <c r="E4586" s="41">
        <v>0.3</v>
      </c>
      <c r="F4586" s="59">
        <v>28.0535</v>
      </c>
      <c r="G4586" s="59">
        <f t="shared" si="79"/>
        <v>8.4160500000000003</v>
      </c>
      <c r="H4586" s="62"/>
      <c r="I4586" s="63"/>
      <c r="J4586" s="34">
        <v>3280</v>
      </c>
    </row>
    <row r="4587" spans="1:10" x14ac:dyDescent="0.25">
      <c r="A4587" s="262"/>
      <c r="B4587" s="252"/>
      <c r="C4587" s="40" t="s">
        <v>3754</v>
      </c>
      <c r="D4587" s="40" t="s">
        <v>3752</v>
      </c>
      <c r="E4587" s="41">
        <v>1.1000000000000001</v>
      </c>
      <c r="F4587" s="59">
        <v>20.814499999999999</v>
      </c>
      <c r="G4587" s="59">
        <f t="shared" si="79"/>
        <v>22.895949999999999</v>
      </c>
      <c r="H4587" s="62"/>
      <c r="I4587" s="63"/>
      <c r="J4587" s="34">
        <v>3280</v>
      </c>
    </row>
    <row r="4588" spans="1:10" ht="51" x14ac:dyDescent="0.25">
      <c r="A4588" s="262"/>
      <c r="B4588" s="252"/>
      <c r="C4588" s="40" t="s">
        <v>4752</v>
      </c>
      <c r="D4588" s="40" t="s">
        <v>3764</v>
      </c>
      <c r="E4588" s="41">
        <f>1*(E4577+E4584)</f>
        <v>0.13</v>
      </c>
      <c r="F4588" s="38">
        <v>7.75243225</v>
      </c>
      <c r="G4588" s="38">
        <f t="shared" si="79"/>
        <v>1.0078161925</v>
      </c>
      <c r="H4588" s="39"/>
      <c r="I4588" s="35"/>
      <c r="J4588" s="34">
        <v>3280</v>
      </c>
    </row>
    <row r="4589" spans="1:10" ht="38.25" x14ac:dyDescent="0.25">
      <c r="A4589" s="262"/>
      <c r="B4589" s="252"/>
      <c r="C4589" s="40" t="s">
        <v>4749</v>
      </c>
      <c r="D4589" s="40" t="s">
        <v>4744</v>
      </c>
      <c r="E4589" s="41">
        <f>(E4577+E4584)*20</f>
        <v>2.6</v>
      </c>
      <c r="F4589" s="59">
        <v>2.5960374499999999</v>
      </c>
      <c r="G4589" s="59">
        <f t="shared" si="79"/>
        <v>6.7496973699999998</v>
      </c>
      <c r="H4589" s="62"/>
      <c r="I4589" s="63"/>
      <c r="J4589" s="34">
        <v>3280</v>
      </c>
    </row>
    <row r="4590" spans="1:10" x14ac:dyDescent="0.25">
      <c r="A4590" s="262"/>
      <c r="B4590" s="252"/>
      <c r="C4590" s="40"/>
      <c r="D4590" s="40"/>
      <c r="E4590" s="41"/>
      <c r="F4590" s="59" t="s">
        <v>23</v>
      </c>
      <c r="G4590" s="59" t="str">
        <f t="shared" si="79"/>
        <v/>
      </c>
      <c r="H4590" s="62"/>
      <c r="I4590" s="63"/>
      <c r="J4590" s="34">
        <v>3280</v>
      </c>
    </row>
    <row r="4591" spans="1:10" ht="25.5" x14ac:dyDescent="0.25">
      <c r="A4591" s="262"/>
      <c r="B4591" s="252"/>
      <c r="C4591" s="50" t="s">
        <v>1046</v>
      </c>
      <c r="D4591" s="40"/>
      <c r="E4591" s="41"/>
      <c r="F4591" s="59" t="s">
        <v>23</v>
      </c>
      <c r="G4591" s="59" t="str">
        <f t="shared" si="79"/>
        <v/>
      </c>
      <c r="H4591" s="62"/>
      <c r="I4591" s="63"/>
      <c r="J4591" s="34">
        <v>3280</v>
      </c>
    </row>
    <row r="4592" spans="1:10" ht="15.75" thickBot="1" x14ac:dyDescent="0.3">
      <c r="A4592" s="263"/>
      <c r="B4592" s="253"/>
      <c r="C4592" s="60"/>
      <c r="D4592" s="60"/>
      <c r="E4592" s="79"/>
      <c r="F4592" s="80" t="s">
        <v>23</v>
      </c>
      <c r="G4592" s="80" t="str">
        <f t="shared" si="79"/>
        <v/>
      </c>
      <c r="H4592" s="81"/>
      <c r="I4592" s="63"/>
      <c r="J4592" s="34">
        <v>3280</v>
      </c>
    </row>
    <row r="4593" spans="1:10" ht="15.75" thickBot="1" x14ac:dyDescent="0.3">
      <c r="A4593" s="248" t="s">
        <v>1101</v>
      </c>
      <c r="B4593" s="251" t="s">
        <v>2913</v>
      </c>
      <c r="C4593" s="28"/>
      <c r="D4593" s="29" t="s">
        <v>78</v>
      </c>
      <c r="E4593" s="30"/>
      <c r="F4593" s="51" t="s">
        <v>23</v>
      </c>
      <c r="G4593" s="31" t="str">
        <f t="shared" si="79"/>
        <v/>
      </c>
      <c r="H4593" s="32"/>
      <c r="I4593" s="33"/>
      <c r="J4593" s="34">
        <v>7880</v>
      </c>
    </row>
    <row r="4594" spans="1:10" x14ac:dyDescent="0.25">
      <c r="A4594" s="262"/>
      <c r="B4594" s="252"/>
      <c r="C4594" s="36"/>
      <c r="D4594" s="36"/>
      <c r="E4594" s="37"/>
      <c r="F4594" s="59" t="s">
        <v>23</v>
      </c>
      <c r="G4594" s="59" t="str">
        <f t="shared" si="79"/>
        <v/>
      </c>
      <c r="H4594" s="62"/>
      <c r="I4594" s="63"/>
      <c r="J4594" s="34">
        <v>7880</v>
      </c>
    </row>
    <row r="4595" spans="1:10" ht="38.25" x14ac:dyDescent="0.25">
      <c r="A4595" s="262"/>
      <c r="B4595" s="252"/>
      <c r="C4595" s="40" t="s">
        <v>3973</v>
      </c>
      <c r="D4595" s="40" t="s">
        <v>177</v>
      </c>
      <c r="E4595" s="41">
        <f>ROUND(0.712*1.48,4)</f>
        <v>1.0538000000000001</v>
      </c>
      <c r="F4595" s="59">
        <v>11.9985</v>
      </c>
      <c r="G4595" s="59">
        <f t="shared" si="79"/>
        <v>12.6440193</v>
      </c>
      <c r="H4595" s="43">
        <f>SUM(G4595:G4599)</f>
        <v>15.146546350000001</v>
      </c>
      <c r="I4595" s="44"/>
      <c r="J4595" s="34">
        <v>7880</v>
      </c>
    </row>
    <row r="4596" spans="1:10" ht="38.25" x14ac:dyDescent="0.25">
      <c r="A4596" s="262"/>
      <c r="B4596" s="252"/>
      <c r="C4596" s="40" t="s">
        <v>4149</v>
      </c>
      <c r="D4596" s="40" t="s">
        <v>291</v>
      </c>
      <c r="E4596" s="41">
        <f>ROUND(1.382*1.48,4)</f>
        <v>2.0453999999999999</v>
      </c>
      <c r="F4596" s="59">
        <v>0.20899999999999999</v>
      </c>
      <c r="G4596" s="59">
        <f t="shared" si="79"/>
        <v>0.42748859999999994</v>
      </c>
      <c r="H4596" s="62"/>
      <c r="I4596" s="63"/>
      <c r="J4596" s="34">
        <v>7880</v>
      </c>
    </row>
    <row r="4597" spans="1:10" ht="25.5" x14ac:dyDescent="0.25">
      <c r="A4597" s="262"/>
      <c r="B4597" s="252"/>
      <c r="C4597" s="40" t="s">
        <v>4033</v>
      </c>
      <c r="D4597" s="40" t="s">
        <v>1035</v>
      </c>
      <c r="E4597" s="41">
        <f>ROUND(0.0105*1.48,4)</f>
        <v>1.55E-2</v>
      </c>
      <c r="F4597" s="59">
        <v>18.249500000000001</v>
      </c>
      <c r="G4597" s="59">
        <f t="shared" si="79"/>
        <v>0.28286725000000001</v>
      </c>
      <c r="H4597" s="62"/>
      <c r="I4597" s="63"/>
      <c r="J4597" s="34">
        <v>7880</v>
      </c>
    </row>
    <row r="4598" spans="1:10" x14ac:dyDescent="0.25">
      <c r="A4598" s="262"/>
      <c r="B4598" s="252"/>
      <c r="C4598" s="40" t="s">
        <v>4167</v>
      </c>
      <c r="D4598" s="40" t="s">
        <v>3752</v>
      </c>
      <c r="E4598" s="41">
        <f>ROUND(0.006*1.48,4)</f>
        <v>8.8999999999999999E-3</v>
      </c>
      <c r="F4598" s="59">
        <v>20.785999999999998</v>
      </c>
      <c r="G4598" s="59">
        <f t="shared" si="79"/>
        <v>0.18499539999999998</v>
      </c>
      <c r="H4598" s="62"/>
      <c r="I4598" s="63"/>
      <c r="J4598" s="34">
        <v>7880</v>
      </c>
    </row>
    <row r="4599" spans="1:10" x14ac:dyDescent="0.25">
      <c r="A4599" s="262"/>
      <c r="B4599" s="252"/>
      <c r="C4599" s="40" t="s">
        <v>3977</v>
      </c>
      <c r="D4599" s="40" t="s">
        <v>3752</v>
      </c>
      <c r="E4599" s="41">
        <f>ROUND(0.039*1.48,4)</f>
        <v>5.7700000000000001E-2</v>
      </c>
      <c r="F4599" s="59">
        <v>27.853999999999999</v>
      </c>
      <c r="G4599" s="59">
        <f t="shared" si="79"/>
        <v>1.6071758</v>
      </c>
      <c r="H4599" s="62"/>
      <c r="I4599" s="63"/>
      <c r="J4599" s="34">
        <v>7880</v>
      </c>
    </row>
    <row r="4600" spans="1:10" ht="15.75" thickBot="1" x14ac:dyDescent="0.3">
      <c r="A4600" s="262"/>
      <c r="B4600" s="252"/>
      <c r="C4600" s="40"/>
      <c r="D4600" s="40"/>
      <c r="E4600" s="41"/>
      <c r="F4600" s="59" t="s">
        <v>23</v>
      </c>
      <c r="G4600" s="59" t="str">
        <f t="shared" si="79"/>
        <v/>
      </c>
      <c r="H4600" s="62"/>
      <c r="I4600" s="63"/>
      <c r="J4600" s="34">
        <v>7880</v>
      </c>
    </row>
    <row r="4601" spans="1:10" ht="15.75" thickBot="1" x14ac:dyDescent="0.3">
      <c r="A4601" s="248" t="s">
        <v>1102</v>
      </c>
      <c r="B4601" s="251" t="s">
        <v>2914</v>
      </c>
      <c r="C4601" s="28"/>
      <c r="D4601" s="29" t="s">
        <v>78</v>
      </c>
      <c r="E4601" s="30"/>
      <c r="F4601" s="51" t="s">
        <v>23</v>
      </c>
      <c r="G4601" s="31" t="str">
        <f t="shared" si="79"/>
        <v/>
      </c>
      <c r="H4601" s="32"/>
      <c r="I4601" s="33"/>
      <c r="J4601" s="34">
        <v>8100</v>
      </c>
    </row>
    <row r="4602" spans="1:10" x14ac:dyDescent="0.25">
      <c r="A4602" s="262"/>
      <c r="B4602" s="252"/>
      <c r="C4602" s="36"/>
      <c r="D4602" s="36"/>
      <c r="E4602" s="37"/>
      <c r="F4602" s="59" t="s">
        <v>23</v>
      </c>
      <c r="G4602" s="59" t="str">
        <f t="shared" si="79"/>
        <v/>
      </c>
      <c r="H4602" s="62"/>
      <c r="I4602" s="63"/>
      <c r="J4602" s="34">
        <v>8100</v>
      </c>
    </row>
    <row r="4603" spans="1:10" ht="25.5" x14ac:dyDescent="0.25">
      <c r="A4603" s="262"/>
      <c r="B4603" s="252"/>
      <c r="C4603" s="40" t="s">
        <v>4117</v>
      </c>
      <c r="D4603" s="40" t="s">
        <v>3799</v>
      </c>
      <c r="E4603" s="41">
        <v>7.0000000000000001E-3</v>
      </c>
      <c r="F4603" s="59">
        <v>188.0145</v>
      </c>
      <c r="G4603" s="59">
        <f t="shared" si="79"/>
        <v>1.3161015</v>
      </c>
      <c r="H4603" s="43">
        <f>SUM(G4603:G4608)</f>
        <v>53.265943300000004</v>
      </c>
      <c r="I4603" s="44"/>
      <c r="J4603" s="34">
        <v>8100</v>
      </c>
    </row>
    <row r="4604" spans="1:10" ht="25.5" x14ac:dyDescent="0.25">
      <c r="A4604" s="262"/>
      <c r="B4604" s="252"/>
      <c r="C4604" s="40" t="s">
        <v>3822</v>
      </c>
      <c r="D4604" s="40" t="s">
        <v>1035</v>
      </c>
      <c r="E4604" s="41">
        <v>4.3330000000000002</v>
      </c>
      <c r="F4604" s="59">
        <v>10.345499999999999</v>
      </c>
      <c r="G4604" s="59">
        <f t="shared" si="79"/>
        <v>44.827051500000003</v>
      </c>
      <c r="H4604" s="62"/>
      <c r="I4604" s="63"/>
      <c r="J4604" s="34">
        <v>8100</v>
      </c>
    </row>
    <row r="4605" spans="1:10" ht="25.5" x14ac:dyDescent="0.25">
      <c r="A4605" s="262"/>
      <c r="B4605" s="252"/>
      <c r="C4605" s="40" t="s">
        <v>3800</v>
      </c>
      <c r="D4605" s="40" t="s">
        <v>3752</v>
      </c>
      <c r="E4605" s="41">
        <v>0.21299999999999999</v>
      </c>
      <c r="F4605" s="59">
        <v>21.365499999999997</v>
      </c>
      <c r="G4605" s="59">
        <f t="shared" si="79"/>
        <v>4.5508514999999994</v>
      </c>
      <c r="H4605" s="62"/>
      <c r="I4605" s="63"/>
      <c r="J4605" s="34">
        <v>8100</v>
      </c>
    </row>
    <row r="4606" spans="1:10" x14ac:dyDescent="0.25">
      <c r="A4606" s="262"/>
      <c r="B4606" s="252"/>
      <c r="C4606" s="40" t="s">
        <v>3754</v>
      </c>
      <c r="D4606" s="40" t="s">
        <v>3752</v>
      </c>
      <c r="E4606" s="41">
        <v>0.106</v>
      </c>
      <c r="F4606" s="59">
        <v>20.814499999999999</v>
      </c>
      <c r="G4606" s="59">
        <f t="shared" si="79"/>
        <v>2.206337</v>
      </c>
      <c r="H4606" s="62"/>
      <c r="I4606" s="63"/>
      <c r="J4606" s="34">
        <v>8100</v>
      </c>
    </row>
    <row r="4607" spans="1:10" ht="25.5" x14ac:dyDescent="0.25">
      <c r="A4607" s="262"/>
      <c r="B4607" s="252"/>
      <c r="C4607" s="40" t="s">
        <v>4123</v>
      </c>
      <c r="D4607" s="40" t="s">
        <v>1041</v>
      </c>
      <c r="E4607" s="41">
        <v>6.7999999999999996E-3</v>
      </c>
      <c r="F4607" s="59">
        <v>23.008999999999997</v>
      </c>
      <c r="G4607" s="59">
        <f t="shared" si="79"/>
        <v>0.15646119999999997</v>
      </c>
      <c r="H4607" s="62"/>
      <c r="I4607" s="63"/>
      <c r="J4607" s="34">
        <v>8100</v>
      </c>
    </row>
    <row r="4608" spans="1:10" ht="25.5" x14ac:dyDescent="0.25">
      <c r="A4608" s="262"/>
      <c r="B4608" s="252"/>
      <c r="C4608" s="40" t="s">
        <v>4113</v>
      </c>
      <c r="D4608" s="40" t="s">
        <v>1052</v>
      </c>
      <c r="E4608" s="41">
        <v>9.4000000000000004E-3</v>
      </c>
      <c r="F4608" s="59">
        <v>22.249000000000002</v>
      </c>
      <c r="G4608" s="59">
        <f t="shared" si="79"/>
        <v>0.20914060000000004</v>
      </c>
      <c r="H4608" s="62"/>
      <c r="I4608" s="63"/>
      <c r="J4608" s="34">
        <v>8100</v>
      </c>
    </row>
    <row r="4609" spans="1:10" ht="15.75" thickBot="1" x14ac:dyDescent="0.3">
      <c r="A4609" s="263"/>
      <c r="B4609" s="253"/>
      <c r="C4609" s="60"/>
      <c r="D4609" s="60"/>
      <c r="E4609" s="79"/>
      <c r="F4609" s="80" t="s">
        <v>23</v>
      </c>
      <c r="G4609" s="80" t="str">
        <f t="shared" si="79"/>
        <v/>
      </c>
      <c r="H4609" s="81"/>
      <c r="I4609" s="63"/>
      <c r="J4609" s="34">
        <v>8100</v>
      </c>
    </row>
    <row r="4610" spans="1:10" ht="15.75" thickBot="1" x14ac:dyDescent="0.3">
      <c r="A4610" s="248" t="s">
        <v>1103</v>
      </c>
      <c r="B4610" s="251" t="s">
        <v>2915</v>
      </c>
      <c r="C4610" s="28"/>
      <c r="D4610" s="29" t="s">
        <v>78</v>
      </c>
      <c r="E4610" s="30"/>
      <c r="F4610" s="51" t="s">
        <v>23</v>
      </c>
      <c r="G4610" s="31" t="str">
        <f t="shared" si="79"/>
        <v/>
      </c>
      <c r="H4610" s="32"/>
      <c r="I4610" s="33"/>
      <c r="J4610" s="34">
        <v>1800</v>
      </c>
    </row>
    <row r="4611" spans="1:10" x14ac:dyDescent="0.25">
      <c r="A4611" s="262"/>
      <c r="B4611" s="252"/>
      <c r="C4611" s="36"/>
      <c r="D4611" s="36"/>
      <c r="E4611" s="37"/>
      <c r="F4611" s="59" t="s">
        <v>23</v>
      </c>
      <c r="G4611" s="59" t="str">
        <f t="shared" si="79"/>
        <v/>
      </c>
      <c r="H4611" s="62"/>
      <c r="I4611" s="63"/>
      <c r="J4611" s="34">
        <v>1800</v>
      </c>
    </row>
    <row r="4612" spans="1:10" x14ac:dyDescent="0.25">
      <c r="A4612" s="262"/>
      <c r="B4612" s="252"/>
      <c r="C4612" s="40" t="s">
        <v>4100</v>
      </c>
      <c r="D4612" s="40" t="s">
        <v>3752</v>
      </c>
      <c r="E4612" s="41">
        <v>0.1</v>
      </c>
      <c r="F4612" s="59">
        <v>23.436499999999999</v>
      </c>
      <c r="G4612" s="59">
        <f t="shared" si="79"/>
        <v>2.3436499999999998</v>
      </c>
      <c r="H4612" s="43">
        <f>SUM(G4612:G4614)</f>
        <v>19.223289999999999</v>
      </c>
      <c r="I4612" s="44"/>
      <c r="J4612" s="34">
        <v>1800</v>
      </c>
    </row>
    <row r="4613" spans="1:10" x14ac:dyDescent="0.25">
      <c r="A4613" s="262"/>
      <c r="B4613" s="252"/>
      <c r="C4613" s="40" t="s">
        <v>3753</v>
      </c>
      <c r="D4613" s="40" t="s">
        <v>3752</v>
      </c>
      <c r="E4613" s="41">
        <v>0.2</v>
      </c>
      <c r="F4613" s="59">
        <v>29.202999999999996</v>
      </c>
      <c r="G4613" s="59">
        <f t="shared" si="79"/>
        <v>5.8405999999999993</v>
      </c>
      <c r="H4613" s="62"/>
      <c r="I4613" s="63"/>
      <c r="J4613" s="34">
        <v>1800</v>
      </c>
    </row>
    <row r="4614" spans="1:10" x14ac:dyDescent="0.25">
      <c r="A4614" s="262"/>
      <c r="B4614" s="252"/>
      <c r="C4614" s="40" t="s">
        <v>1104</v>
      </c>
      <c r="D4614" s="40" t="s">
        <v>80</v>
      </c>
      <c r="E4614" s="41">
        <f>2*3.6/75</f>
        <v>9.6000000000000002E-2</v>
      </c>
      <c r="F4614" s="59">
        <v>114.99</v>
      </c>
      <c r="G4614" s="59">
        <f t="shared" si="79"/>
        <v>11.03904</v>
      </c>
      <c r="H4614" s="62"/>
      <c r="I4614" s="63"/>
      <c r="J4614" s="34">
        <v>1800</v>
      </c>
    </row>
    <row r="4615" spans="1:10" x14ac:dyDescent="0.25">
      <c r="A4615" s="262"/>
      <c r="B4615" s="252"/>
      <c r="C4615" s="40"/>
      <c r="D4615" s="40"/>
      <c r="E4615" s="41"/>
      <c r="F4615" s="59" t="s">
        <v>23</v>
      </c>
      <c r="G4615" s="59" t="str">
        <f t="shared" si="79"/>
        <v/>
      </c>
      <c r="H4615" s="62"/>
      <c r="I4615" s="63"/>
      <c r="J4615" s="34">
        <v>1800</v>
      </c>
    </row>
    <row r="4616" spans="1:10" ht="38.25" x14ac:dyDescent="0.25">
      <c r="A4616" s="262"/>
      <c r="B4616" s="252"/>
      <c r="C4616" s="50" t="s">
        <v>1105</v>
      </c>
      <c r="D4616" s="40"/>
      <c r="E4616" s="41"/>
      <c r="F4616" s="59" t="s">
        <v>23</v>
      </c>
      <c r="G4616" s="59" t="str">
        <f t="shared" si="79"/>
        <v/>
      </c>
      <c r="H4616" s="62"/>
      <c r="I4616" s="63"/>
      <c r="J4616" s="34">
        <v>1800</v>
      </c>
    </row>
    <row r="4617" spans="1:10" ht="15.75" thickBot="1" x14ac:dyDescent="0.3">
      <c r="A4617" s="262"/>
      <c r="B4617" s="252"/>
      <c r="C4617" s="40"/>
      <c r="D4617" s="40"/>
      <c r="E4617" s="41"/>
      <c r="F4617" s="59" t="s">
        <v>23</v>
      </c>
      <c r="G4617" s="59" t="str">
        <f t="shared" si="79"/>
        <v/>
      </c>
      <c r="H4617" s="62"/>
      <c r="I4617" s="63"/>
      <c r="J4617" s="34">
        <v>1800</v>
      </c>
    </row>
    <row r="4618" spans="1:10" ht="15.75" thickBot="1" x14ac:dyDescent="0.3">
      <c r="A4618" s="248" t="s">
        <v>1106</v>
      </c>
      <c r="B4618" s="251" t="s">
        <v>2916</v>
      </c>
      <c r="C4618" s="28"/>
      <c r="D4618" s="29" t="s">
        <v>78</v>
      </c>
      <c r="E4618" s="30"/>
      <c r="F4618" s="51" t="s">
        <v>23</v>
      </c>
      <c r="G4618" s="31" t="str">
        <f t="shared" si="79"/>
        <v/>
      </c>
      <c r="H4618" s="32"/>
      <c r="I4618" s="33"/>
      <c r="J4618" s="34">
        <v>6000</v>
      </c>
    </row>
    <row r="4619" spans="1:10" x14ac:dyDescent="0.25">
      <c r="A4619" s="262"/>
      <c r="B4619" s="252"/>
      <c r="C4619" s="36"/>
      <c r="D4619" s="36"/>
      <c r="E4619" s="37"/>
      <c r="F4619" s="59" t="s">
        <v>23</v>
      </c>
      <c r="G4619" s="59" t="str">
        <f t="shared" si="79"/>
        <v/>
      </c>
      <c r="H4619" s="62"/>
      <c r="I4619" s="63"/>
      <c r="J4619" s="34">
        <v>6000</v>
      </c>
    </row>
    <row r="4620" spans="1:10" x14ac:dyDescent="0.25">
      <c r="A4620" s="262"/>
      <c r="B4620" s="252"/>
      <c r="C4620" s="40" t="s">
        <v>4100</v>
      </c>
      <c r="D4620" s="40" t="s">
        <v>3752</v>
      </c>
      <c r="E4620" s="41">
        <v>0.1</v>
      </c>
      <c r="F4620" s="59">
        <v>23.436499999999999</v>
      </c>
      <c r="G4620" s="59">
        <f t="shared" si="79"/>
        <v>2.3436499999999998</v>
      </c>
      <c r="H4620" s="43">
        <f>SUM(G4620:G4622)</f>
        <v>45.476500000000001</v>
      </c>
      <c r="I4620" s="44"/>
      <c r="J4620" s="34">
        <v>6000</v>
      </c>
    </row>
    <row r="4621" spans="1:10" x14ac:dyDescent="0.25">
      <c r="A4621" s="262"/>
      <c r="B4621" s="252"/>
      <c r="C4621" s="40" t="s">
        <v>3753</v>
      </c>
      <c r="D4621" s="40" t="s">
        <v>3752</v>
      </c>
      <c r="E4621" s="41">
        <v>0.2</v>
      </c>
      <c r="F4621" s="59">
        <v>29.202999999999996</v>
      </c>
      <c r="G4621" s="59">
        <f t="shared" si="79"/>
        <v>5.8405999999999993</v>
      </c>
      <c r="H4621" s="62"/>
      <c r="I4621" s="63"/>
      <c r="J4621" s="34">
        <v>6000</v>
      </c>
    </row>
    <row r="4622" spans="1:10" x14ac:dyDescent="0.25">
      <c r="A4622" s="262"/>
      <c r="B4622" s="252"/>
      <c r="C4622" s="40" t="s">
        <v>1107</v>
      </c>
      <c r="D4622" s="40" t="s">
        <v>80</v>
      </c>
      <c r="E4622" s="41">
        <v>0.5</v>
      </c>
      <c r="F4622" s="59">
        <v>74.584500000000006</v>
      </c>
      <c r="G4622" s="59">
        <f t="shared" si="79"/>
        <v>37.292250000000003</v>
      </c>
      <c r="H4622" s="62"/>
      <c r="I4622" s="63"/>
      <c r="J4622" s="34">
        <v>6000</v>
      </c>
    </row>
    <row r="4623" spans="1:10" ht="15.75" thickBot="1" x14ac:dyDescent="0.3">
      <c r="A4623" s="262"/>
      <c r="B4623" s="252"/>
      <c r="C4623" s="40"/>
      <c r="D4623" s="40"/>
      <c r="E4623" s="41"/>
      <c r="F4623" s="59" t="s">
        <v>23</v>
      </c>
      <c r="G4623" s="59" t="str">
        <f t="shared" si="79"/>
        <v/>
      </c>
      <c r="H4623" s="62"/>
      <c r="I4623" s="63"/>
      <c r="J4623" s="34">
        <v>6000</v>
      </c>
    </row>
    <row r="4624" spans="1:10" ht="15.75" thickBot="1" x14ac:dyDescent="0.3">
      <c r="A4624" s="248" t="s">
        <v>1108</v>
      </c>
      <c r="B4624" s="251" t="s">
        <v>2917</v>
      </c>
      <c r="C4624" s="28"/>
      <c r="D4624" s="29" t="s">
        <v>1748</v>
      </c>
      <c r="E4624" s="30"/>
      <c r="F4624" s="51" t="s">
        <v>23</v>
      </c>
      <c r="G4624" s="31" t="str">
        <f t="shared" ref="G4624:G4687" si="80">IF(ISNUMBER(F4624),E4624*F4624,"")</f>
        <v/>
      </c>
      <c r="H4624" s="32"/>
      <c r="I4624" s="33"/>
      <c r="J4624" s="34">
        <v>510</v>
      </c>
    </row>
    <row r="4625" spans="1:10" x14ac:dyDescent="0.25">
      <c r="A4625" s="262"/>
      <c r="B4625" s="252"/>
      <c r="C4625" s="36"/>
      <c r="D4625" s="36"/>
      <c r="E4625" s="37"/>
      <c r="F4625" s="59" t="s">
        <v>23</v>
      </c>
      <c r="G4625" s="59" t="str">
        <f t="shared" si="80"/>
        <v/>
      </c>
      <c r="H4625" s="62"/>
      <c r="I4625" s="63"/>
      <c r="J4625" s="34">
        <v>510</v>
      </c>
    </row>
    <row r="4626" spans="1:10" x14ac:dyDescent="0.25">
      <c r="A4626" s="262"/>
      <c r="B4626" s="252"/>
      <c r="C4626" s="40" t="s">
        <v>3754</v>
      </c>
      <c r="D4626" s="40" t="s">
        <v>3752</v>
      </c>
      <c r="E4626" s="41">
        <v>6.5</v>
      </c>
      <c r="F4626" s="59">
        <v>20.814499999999999</v>
      </c>
      <c r="G4626" s="59">
        <f t="shared" si="80"/>
        <v>135.29425000000001</v>
      </c>
      <c r="H4626" s="43">
        <f>SUM(G4626:G4632)</f>
        <v>1301.8493408874999</v>
      </c>
      <c r="I4626" s="44"/>
      <c r="J4626" s="34">
        <v>510</v>
      </c>
    </row>
    <row r="4627" spans="1:10" ht="25.5" x14ac:dyDescent="0.25">
      <c r="A4627" s="262"/>
      <c r="B4627" s="252"/>
      <c r="C4627" s="40" t="s">
        <v>3763</v>
      </c>
      <c r="D4627" s="40" t="s">
        <v>3764</v>
      </c>
      <c r="E4627" s="41">
        <v>0.35799999999999998</v>
      </c>
      <c r="F4627" s="59">
        <v>204.23099999999999</v>
      </c>
      <c r="G4627" s="59">
        <f t="shared" si="80"/>
        <v>73.11469799999999</v>
      </c>
      <c r="H4627" s="62"/>
      <c r="I4627" s="63"/>
      <c r="J4627" s="34">
        <v>510</v>
      </c>
    </row>
    <row r="4628" spans="1:10" x14ac:dyDescent="0.25">
      <c r="A4628" s="262"/>
      <c r="B4628" s="252"/>
      <c r="C4628" s="40" t="s">
        <v>3759</v>
      </c>
      <c r="D4628" s="40" t="s">
        <v>1035</v>
      </c>
      <c r="E4628" s="41">
        <v>400</v>
      </c>
      <c r="F4628" s="59">
        <v>0.627</v>
      </c>
      <c r="G4628" s="59">
        <f t="shared" si="80"/>
        <v>250.8</v>
      </c>
      <c r="H4628" s="62"/>
      <c r="I4628" s="63"/>
      <c r="J4628" s="34">
        <v>510</v>
      </c>
    </row>
    <row r="4629" spans="1:10" ht="25.5" x14ac:dyDescent="0.25">
      <c r="A4629" s="262"/>
      <c r="B4629" s="252"/>
      <c r="C4629" s="40" t="s">
        <v>3815</v>
      </c>
      <c r="D4629" s="40" t="s">
        <v>1035</v>
      </c>
      <c r="E4629" s="41">
        <v>10.5</v>
      </c>
      <c r="F4629" s="59">
        <v>78.165999999999997</v>
      </c>
      <c r="G4629" s="59">
        <f t="shared" si="80"/>
        <v>820.74299999999994</v>
      </c>
      <c r="H4629" s="62"/>
      <c r="I4629" s="63"/>
      <c r="J4629" s="34">
        <v>510</v>
      </c>
    </row>
    <row r="4630" spans="1:10" ht="38.25" x14ac:dyDescent="0.25">
      <c r="A4630" s="262"/>
      <c r="B4630" s="252"/>
      <c r="C4630" s="40" t="s">
        <v>4115</v>
      </c>
      <c r="D4630" s="40" t="s">
        <v>1041</v>
      </c>
      <c r="E4630" s="41">
        <v>0.34300000000000003</v>
      </c>
      <c r="F4630" s="59">
        <v>1.5579999999999998</v>
      </c>
      <c r="G4630" s="59">
        <f t="shared" si="80"/>
        <v>0.53439400000000004</v>
      </c>
      <c r="H4630" s="62"/>
      <c r="I4630" s="63"/>
      <c r="J4630" s="34">
        <v>510</v>
      </c>
    </row>
    <row r="4631" spans="1:10" ht="51" x14ac:dyDescent="0.25">
      <c r="A4631" s="262"/>
      <c r="B4631" s="252"/>
      <c r="C4631" s="40" t="s">
        <v>4752</v>
      </c>
      <c r="D4631" s="40" t="s">
        <v>3764</v>
      </c>
      <c r="E4631" s="41">
        <f>1*E4627</f>
        <v>0.35799999999999998</v>
      </c>
      <c r="F4631" s="38">
        <v>7.75243225</v>
      </c>
      <c r="G4631" s="38">
        <f t="shared" si="80"/>
        <v>2.7753707455000001</v>
      </c>
      <c r="H4631" s="39"/>
      <c r="I4631" s="35"/>
      <c r="J4631" s="34">
        <v>510</v>
      </c>
    </row>
    <row r="4632" spans="1:10" ht="38.25" x14ac:dyDescent="0.25">
      <c r="A4632" s="262"/>
      <c r="B4632" s="252"/>
      <c r="C4632" s="40" t="s">
        <v>4749</v>
      </c>
      <c r="D4632" s="40" t="s">
        <v>4744</v>
      </c>
      <c r="E4632" s="41">
        <f>E4627*20</f>
        <v>7.16</v>
      </c>
      <c r="F4632" s="59">
        <v>2.5960374499999999</v>
      </c>
      <c r="G4632" s="59">
        <f t="shared" si="80"/>
        <v>18.587628142</v>
      </c>
      <c r="H4632" s="62"/>
      <c r="I4632" s="63"/>
      <c r="J4632" s="34">
        <v>510</v>
      </c>
    </row>
    <row r="4633" spans="1:10" x14ac:dyDescent="0.25">
      <c r="A4633" s="262"/>
      <c r="B4633" s="252"/>
      <c r="C4633" s="40"/>
      <c r="D4633" s="40"/>
      <c r="E4633" s="41"/>
      <c r="F4633" s="59" t="s">
        <v>23</v>
      </c>
      <c r="G4633" s="59" t="str">
        <f t="shared" si="80"/>
        <v/>
      </c>
      <c r="H4633" s="62"/>
      <c r="I4633" s="63"/>
      <c r="J4633" s="34">
        <v>510</v>
      </c>
    </row>
    <row r="4634" spans="1:10" x14ac:dyDescent="0.25">
      <c r="A4634" s="262"/>
      <c r="B4634" s="252"/>
      <c r="C4634" s="50" t="s">
        <v>1109</v>
      </c>
      <c r="D4634" s="40"/>
      <c r="E4634" s="41"/>
      <c r="F4634" s="59" t="s">
        <v>23</v>
      </c>
      <c r="G4634" s="59" t="str">
        <f t="shared" si="80"/>
        <v/>
      </c>
      <c r="H4634" s="62"/>
      <c r="I4634" s="63"/>
      <c r="J4634" s="34">
        <v>510</v>
      </c>
    </row>
    <row r="4635" spans="1:10" ht="15.75" thickBot="1" x14ac:dyDescent="0.3">
      <c r="A4635" s="262"/>
      <c r="B4635" s="252"/>
      <c r="C4635" s="40"/>
      <c r="D4635" s="40"/>
      <c r="E4635" s="41"/>
      <c r="F4635" s="59" t="s">
        <v>23</v>
      </c>
      <c r="G4635" s="59" t="str">
        <f t="shared" si="80"/>
        <v/>
      </c>
      <c r="H4635" s="62"/>
      <c r="I4635" s="63"/>
      <c r="J4635" s="34">
        <v>510</v>
      </c>
    </row>
    <row r="4636" spans="1:10" ht="15.75" thickBot="1" x14ac:dyDescent="0.3">
      <c r="A4636" s="248" t="s">
        <v>1110</v>
      </c>
      <c r="B4636" s="251" t="s">
        <v>2918</v>
      </c>
      <c r="C4636" s="28"/>
      <c r="D4636" s="29" t="s">
        <v>78</v>
      </c>
      <c r="E4636" s="30"/>
      <c r="F4636" s="51" t="s">
        <v>23</v>
      </c>
      <c r="G4636" s="31" t="str">
        <f t="shared" si="80"/>
        <v/>
      </c>
      <c r="H4636" s="32"/>
      <c r="I4636" s="33"/>
      <c r="J4636" s="34">
        <v>11900</v>
      </c>
    </row>
    <row r="4637" spans="1:10" x14ac:dyDescent="0.25">
      <c r="A4637" s="262"/>
      <c r="B4637" s="252"/>
      <c r="C4637" s="36"/>
      <c r="D4637" s="36"/>
      <c r="E4637" s="37"/>
      <c r="F4637" s="59" t="s">
        <v>23</v>
      </c>
      <c r="G4637" s="59" t="str">
        <f t="shared" si="80"/>
        <v/>
      </c>
      <c r="H4637" s="62"/>
      <c r="I4637" s="63"/>
      <c r="J4637" s="34">
        <v>11900</v>
      </c>
    </row>
    <row r="4638" spans="1:10" ht="25.5" x14ac:dyDescent="0.25">
      <c r="A4638" s="262"/>
      <c r="B4638" s="252"/>
      <c r="C4638" s="40" t="s">
        <v>3775</v>
      </c>
      <c r="D4638" s="40" t="s">
        <v>80</v>
      </c>
      <c r="E4638" s="41">
        <v>0.35</v>
      </c>
      <c r="F4638" s="59">
        <v>19.285</v>
      </c>
      <c r="G4638" s="59">
        <f t="shared" si="80"/>
        <v>6.7497499999999997</v>
      </c>
      <c r="H4638" s="43">
        <f>SUM(G4638:G4639)</f>
        <v>8.6166900000000002</v>
      </c>
      <c r="I4638" s="44"/>
      <c r="J4638" s="34">
        <v>11900</v>
      </c>
    </row>
    <row r="4639" spans="1:10" x14ac:dyDescent="0.25">
      <c r="A4639" s="262"/>
      <c r="B4639" s="252"/>
      <c r="C4639" s="40" t="s">
        <v>3787</v>
      </c>
      <c r="D4639" s="40" t="s">
        <v>3752</v>
      </c>
      <c r="E4639" s="41">
        <v>8.5000000000000006E-2</v>
      </c>
      <c r="F4639" s="59">
        <v>21.963999999999999</v>
      </c>
      <c r="G4639" s="59">
        <f t="shared" si="80"/>
        <v>1.86694</v>
      </c>
      <c r="H4639" s="62"/>
      <c r="I4639" s="63"/>
      <c r="J4639" s="34">
        <v>11900</v>
      </c>
    </row>
    <row r="4640" spans="1:10" x14ac:dyDescent="0.25">
      <c r="A4640" s="262"/>
      <c r="B4640" s="252"/>
      <c r="C4640" s="40"/>
      <c r="D4640" s="40"/>
      <c r="E4640" s="41"/>
      <c r="F4640" s="59" t="s">
        <v>23</v>
      </c>
      <c r="G4640" s="59" t="str">
        <f t="shared" si="80"/>
        <v/>
      </c>
      <c r="H4640" s="62"/>
      <c r="I4640" s="63"/>
      <c r="J4640" s="34">
        <v>11900</v>
      </c>
    </row>
    <row r="4641" spans="1:10" ht="25.5" x14ac:dyDescent="0.25">
      <c r="A4641" s="262"/>
      <c r="B4641" s="252"/>
      <c r="C4641" s="50" t="s">
        <v>1111</v>
      </c>
      <c r="D4641" s="40"/>
      <c r="E4641" s="41"/>
      <c r="F4641" s="59" t="s">
        <v>23</v>
      </c>
      <c r="G4641" s="59" t="str">
        <f t="shared" si="80"/>
        <v/>
      </c>
      <c r="H4641" s="62"/>
      <c r="I4641" s="63"/>
      <c r="J4641" s="34">
        <v>11900</v>
      </c>
    </row>
    <row r="4642" spans="1:10" x14ac:dyDescent="0.25">
      <c r="A4642" s="262"/>
      <c r="B4642" s="252"/>
      <c r="C4642" s="93" t="s">
        <v>1112</v>
      </c>
      <c r="D4642" s="40"/>
      <c r="E4642" s="41"/>
      <c r="F4642" s="59" t="s">
        <v>23</v>
      </c>
      <c r="G4642" s="59" t="str">
        <f t="shared" si="80"/>
        <v/>
      </c>
      <c r="H4642" s="62"/>
      <c r="I4642" s="63"/>
      <c r="J4642" s="34">
        <v>11900</v>
      </c>
    </row>
    <row r="4643" spans="1:10" ht="15.75" thickBot="1" x14ac:dyDescent="0.3">
      <c r="A4643" s="263"/>
      <c r="B4643" s="253"/>
      <c r="C4643" s="40"/>
      <c r="D4643" s="40"/>
      <c r="E4643" s="41"/>
      <c r="F4643" s="59" t="s">
        <v>23</v>
      </c>
      <c r="G4643" s="59" t="str">
        <f t="shared" si="80"/>
        <v/>
      </c>
      <c r="H4643" s="62"/>
      <c r="I4643" s="63"/>
      <c r="J4643" s="34">
        <v>11900</v>
      </c>
    </row>
    <row r="4644" spans="1:10" ht="15.75" thickBot="1" x14ac:dyDescent="0.3">
      <c r="A4644" s="248" t="s">
        <v>1113</v>
      </c>
      <c r="B4644" s="251" t="s">
        <v>2919</v>
      </c>
      <c r="C4644" s="28"/>
      <c r="D4644" s="29" t="s">
        <v>78</v>
      </c>
      <c r="E4644" s="30"/>
      <c r="F4644" s="51" t="s">
        <v>23</v>
      </c>
      <c r="G4644" s="31" t="str">
        <f t="shared" si="80"/>
        <v/>
      </c>
      <c r="H4644" s="32"/>
      <c r="I4644" s="33"/>
      <c r="J4644" s="34">
        <v>350</v>
      </c>
    </row>
    <row r="4645" spans="1:10" x14ac:dyDescent="0.25">
      <c r="A4645" s="262"/>
      <c r="B4645" s="252"/>
      <c r="C4645" s="36"/>
      <c r="D4645" s="36"/>
      <c r="E4645" s="37"/>
      <c r="F4645" s="59" t="s">
        <v>23</v>
      </c>
      <c r="G4645" s="59" t="str">
        <f t="shared" si="80"/>
        <v/>
      </c>
      <c r="H4645" s="62"/>
      <c r="I4645" s="63"/>
      <c r="J4645" s="34">
        <v>350</v>
      </c>
    </row>
    <row r="4646" spans="1:10" x14ac:dyDescent="0.25">
      <c r="A4646" s="262"/>
      <c r="B4646" s="252"/>
      <c r="C4646" s="40" t="s">
        <v>4004</v>
      </c>
      <c r="D4646" s="40" t="s">
        <v>1035</v>
      </c>
      <c r="E4646" s="41">
        <v>2</v>
      </c>
      <c r="F4646" s="59">
        <v>68.59</v>
      </c>
      <c r="G4646" s="59">
        <f t="shared" si="80"/>
        <v>137.18</v>
      </c>
      <c r="H4646" s="43">
        <f>SUM(G4646:G4648)</f>
        <v>152.64201</v>
      </c>
      <c r="I4646" s="44"/>
      <c r="J4646" s="34">
        <v>350</v>
      </c>
    </row>
    <row r="4647" spans="1:10" x14ac:dyDescent="0.25">
      <c r="A4647" s="262"/>
      <c r="B4647" s="252"/>
      <c r="C4647" s="40" t="s">
        <v>3787</v>
      </c>
      <c r="D4647" s="40" t="s">
        <v>3752</v>
      </c>
      <c r="E4647" s="41">
        <v>9.6000000000000002E-2</v>
      </c>
      <c r="F4647" s="59">
        <v>21.963999999999999</v>
      </c>
      <c r="G4647" s="59">
        <f t="shared" si="80"/>
        <v>2.1085439999999998</v>
      </c>
      <c r="H4647" s="62"/>
      <c r="I4647" s="63"/>
      <c r="J4647" s="34">
        <v>350</v>
      </c>
    </row>
    <row r="4648" spans="1:10" x14ac:dyDescent="0.25">
      <c r="A4648" s="262"/>
      <c r="B4648" s="252"/>
      <c r="C4648" s="40" t="s">
        <v>3758</v>
      </c>
      <c r="D4648" s="40" t="s">
        <v>3752</v>
      </c>
      <c r="E4648" s="41">
        <v>0.47599999999999998</v>
      </c>
      <c r="F4648" s="59">
        <v>28.0535</v>
      </c>
      <c r="G4648" s="59">
        <f t="shared" si="80"/>
        <v>13.353465999999999</v>
      </c>
      <c r="H4648" s="62"/>
      <c r="I4648" s="63"/>
      <c r="J4648" s="34">
        <v>350</v>
      </c>
    </row>
    <row r="4649" spans="1:10" ht="15.75" thickBot="1" x14ac:dyDescent="0.3">
      <c r="A4649" s="262"/>
      <c r="B4649" s="252"/>
      <c r="C4649" s="40"/>
      <c r="D4649" s="40"/>
      <c r="E4649" s="41"/>
      <c r="F4649" s="59" t="s">
        <v>23</v>
      </c>
      <c r="G4649" s="59" t="str">
        <f t="shared" si="80"/>
        <v/>
      </c>
      <c r="H4649" s="62"/>
      <c r="I4649" s="63"/>
      <c r="J4649" s="34">
        <v>350</v>
      </c>
    </row>
    <row r="4650" spans="1:10" ht="15.75" thickBot="1" x14ac:dyDescent="0.3">
      <c r="A4650" s="248" t="s">
        <v>1114</v>
      </c>
      <c r="B4650" s="251" t="s">
        <v>2920</v>
      </c>
      <c r="C4650" s="28"/>
      <c r="D4650" s="29" t="s">
        <v>78</v>
      </c>
      <c r="E4650" s="30"/>
      <c r="F4650" s="51" t="s">
        <v>23</v>
      </c>
      <c r="G4650" s="31" t="str">
        <f t="shared" si="80"/>
        <v/>
      </c>
      <c r="H4650" s="32"/>
      <c r="I4650" s="33"/>
      <c r="J4650" s="34">
        <v>87610</v>
      </c>
    </row>
    <row r="4651" spans="1:10" x14ac:dyDescent="0.25">
      <c r="A4651" s="262"/>
      <c r="B4651" s="252"/>
      <c r="C4651" s="36"/>
      <c r="D4651" s="36"/>
      <c r="E4651" s="37"/>
      <c r="F4651" s="59" t="s">
        <v>23</v>
      </c>
      <c r="G4651" s="59" t="str">
        <f t="shared" si="80"/>
        <v/>
      </c>
      <c r="H4651" s="62"/>
      <c r="I4651" s="63"/>
      <c r="J4651" s="34">
        <v>87610</v>
      </c>
    </row>
    <row r="4652" spans="1:10" ht="25.5" x14ac:dyDescent="0.25">
      <c r="A4652" s="262"/>
      <c r="B4652" s="252"/>
      <c r="C4652" s="40" t="s">
        <v>3775</v>
      </c>
      <c r="D4652" s="40" t="s">
        <v>80</v>
      </c>
      <c r="E4652" s="41">
        <v>0.61499999999999999</v>
      </c>
      <c r="F4652" s="59">
        <v>19.285</v>
      </c>
      <c r="G4652" s="59">
        <f t="shared" si="80"/>
        <v>11.860275</v>
      </c>
      <c r="H4652" s="43">
        <f>SUM(G4652:G4656)</f>
        <v>117.139731</v>
      </c>
      <c r="I4652" s="44"/>
      <c r="J4652" s="34">
        <v>87610</v>
      </c>
    </row>
    <row r="4653" spans="1:10" ht="25.5" x14ac:dyDescent="0.25">
      <c r="A4653" s="262"/>
      <c r="B4653" s="252"/>
      <c r="C4653" s="40" t="s">
        <v>3756</v>
      </c>
      <c r="D4653" s="40" t="s">
        <v>177</v>
      </c>
      <c r="E4653" s="41">
        <v>1.125</v>
      </c>
      <c r="F4653" s="59">
        <v>64.447999999999993</v>
      </c>
      <c r="G4653" s="59">
        <f t="shared" si="80"/>
        <v>72.503999999999991</v>
      </c>
      <c r="H4653" s="62"/>
      <c r="I4653" s="63"/>
      <c r="J4653" s="34">
        <v>87610</v>
      </c>
    </row>
    <row r="4654" spans="1:10" x14ac:dyDescent="0.25">
      <c r="A4654" s="262"/>
      <c r="B4654" s="252"/>
      <c r="C4654" s="40" t="s">
        <v>3837</v>
      </c>
      <c r="D4654" s="40" t="s">
        <v>1035</v>
      </c>
      <c r="E4654" s="41">
        <v>0.26</v>
      </c>
      <c r="F4654" s="59">
        <v>7.5525000000000002</v>
      </c>
      <c r="G4654" s="59">
        <f t="shared" si="80"/>
        <v>1.9636500000000001</v>
      </c>
      <c r="H4654" s="62"/>
      <c r="I4654" s="63"/>
      <c r="J4654" s="34">
        <v>87610</v>
      </c>
    </row>
    <row r="4655" spans="1:10" x14ac:dyDescent="0.25">
      <c r="A4655" s="262"/>
      <c r="B4655" s="252"/>
      <c r="C4655" s="40" t="s">
        <v>3787</v>
      </c>
      <c r="D4655" s="40" t="s">
        <v>3752</v>
      </c>
      <c r="E4655" s="41">
        <v>0.192</v>
      </c>
      <c r="F4655" s="59">
        <v>21.963999999999999</v>
      </c>
      <c r="G4655" s="59">
        <f t="shared" si="80"/>
        <v>4.2170879999999995</v>
      </c>
      <c r="H4655" s="62"/>
      <c r="I4655" s="63"/>
      <c r="J4655" s="34">
        <v>87610</v>
      </c>
    </row>
    <row r="4656" spans="1:10" x14ac:dyDescent="0.25">
      <c r="A4656" s="262"/>
      <c r="B4656" s="252"/>
      <c r="C4656" s="40" t="s">
        <v>3758</v>
      </c>
      <c r="D4656" s="40" t="s">
        <v>3752</v>
      </c>
      <c r="E4656" s="41">
        <v>0.94799999999999995</v>
      </c>
      <c r="F4656" s="59">
        <v>28.0535</v>
      </c>
      <c r="G4656" s="59">
        <f t="shared" si="80"/>
        <v>26.594717999999997</v>
      </c>
      <c r="H4656" s="62"/>
      <c r="I4656" s="63"/>
      <c r="J4656" s="34">
        <v>87610</v>
      </c>
    </row>
    <row r="4657" spans="1:10" ht="15.75" thickBot="1" x14ac:dyDescent="0.3">
      <c r="A4657" s="262"/>
      <c r="B4657" s="252"/>
      <c r="C4657" s="40"/>
      <c r="D4657" s="40"/>
      <c r="E4657" s="41"/>
      <c r="F4657" s="59" t="s">
        <v>23</v>
      </c>
      <c r="G4657" s="59" t="str">
        <f t="shared" si="80"/>
        <v/>
      </c>
      <c r="H4657" s="62"/>
      <c r="I4657" s="63"/>
      <c r="J4657" s="34">
        <v>87610</v>
      </c>
    </row>
    <row r="4658" spans="1:10" ht="15.75" thickBot="1" x14ac:dyDescent="0.3">
      <c r="A4658" s="248" t="s">
        <v>1115</v>
      </c>
      <c r="B4658" s="251" t="s">
        <v>2921</v>
      </c>
      <c r="C4658" s="28"/>
      <c r="D4658" s="29" t="s">
        <v>78</v>
      </c>
      <c r="E4658" s="30"/>
      <c r="F4658" s="51" t="s">
        <v>23</v>
      </c>
      <c r="G4658" s="31" t="str">
        <f t="shared" si="80"/>
        <v/>
      </c>
      <c r="H4658" s="32"/>
      <c r="I4658" s="33"/>
      <c r="J4658" s="34">
        <v>12370</v>
      </c>
    </row>
    <row r="4659" spans="1:10" x14ac:dyDescent="0.25">
      <c r="A4659" s="262"/>
      <c r="B4659" s="252"/>
      <c r="C4659" s="36"/>
      <c r="D4659" s="36"/>
      <c r="E4659" s="37"/>
      <c r="F4659" s="59" t="s">
        <v>23</v>
      </c>
      <c r="G4659" s="59" t="str">
        <f t="shared" si="80"/>
        <v/>
      </c>
      <c r="H4659" s="62"/>
      <c r="I4659" s="63"/>
      <c r="J4659" s="34">
        <v>12370</v>
      </c>
    </row>
    <row r="4660" spans="1:10" ht="25.5" x14ac:dyDescent="0.25">
      <c r="A4660" s="262"/>
      <c r="B4660" s="252"/>
      <c r="C4660" s="40" t="s">
        <v>3775</v>
      </c>
      <c r="D4660" s="40" t="s">
        <v>80</v>
      </c>
      <c r="E4660" s="41">
        <v>0.61499999999999999</v>
      </c>
      <c r="F4660" s="59">
        <v>19.285</v>
      </c>
      <c r="G4660" s="59">
        <f t="shared" si="80"/>
        <v>11.860275</v>
      </c>
      <c r="H4660" s="43">
        <f>SUM(G4660:G4664)</f>
        <v>96.234981000000005</v>
      </c>
      <c r="I4660" s="44"/>
      <c r="J4660" s="34">
        <v>12370</v>
      </c>
    </row>
    <row r="4661" spans="1:10" x14ac:dyDescent="0.25">
      <c r="A4661" s="262"/>
      <c r="B4661" s="252"/>
      <c r="C4661" s="40" t="s">
        <v>1116</v>
      </c>
      <c r="D4661" s="40" t="s">
        <v>177</v>
      </c>
      <c r="E4661" s="41">
        <v>1.125</v>
      </c>
      <c r="F4661" s="59">
        <v>45.866</v>
      </c>
      <c r="G4661" s="59">
        <f t="shared" si="80"/>
        <v>51.599249999999998</v>
      </c>
      <c r="H4661" s="62"/>
      <c r="I4661" s="63"/>
      <c r="J4661" s="34">
        <v>12370</v>
      </c>
    </row>
    <row r="4662" spans="1:10" x14ac:dyDescent="0.25">
      <c r="A4662" s="262"/>
      <c r="B4662" s="252"/>
      <c r="C4662" s="40" t="s">
        <v>3837</v>
      </c>
      <c r="D4662" s="40" t="s">
        <v>1035</v>
      </c>
      <c r="E4662" s="41">
        <v>0.26</v>
      </c>
      <c r="F4662" s="59">
        <v>7.5525000000000002</v>
      </c>
      <c r="G4662" s="59">
        <f t="shared" si="80"/>
        <v>1.9636500000000001</v>
      </c>
      <c r="H4662" s="62"/>
      <c r="I4662" s="63"/>
      <c r="J4662" s="34">
        <v>12370</v>
      </c>
    </row>
    <row r="4663" spans="1:10" x14ac:dyDescent="0.25">
      <c r="A4663" s="262"/>
      <c r="B4663" s="252"/>
      <c r="C4663" s="40" t="s">
        <v>3787</v>
      </c>
      <c r="D4663" s="40" t="s">
        <v>3752</v>
      </c>
      <c r="E4663" s="41">
        <v>0.192</v>
      </c>
      <c r="F4663" s="59">
        <v>21.963999999999999</v>
      </c>
      <c r="G4663" s="59">
        <f t="shared" si="80"/>
        <v>4.2170879999999995</v>
      </c>
      <c r="H4663" s="62"/>
      <c r="I4663" s="63"/>
      <c r="J4663" s="34">
        <v>12370</v>
      </c>
    </row>
    <row r="4664" spans="1:10" x14ac:dyDescent="0.25">
      <c r="A4664" s="262"/>
      <c r="B4664" s="252"/>
      <c r="C4664" s="40" t="s">
        <v>3758</v>
      </c>
      <c r="D4664" s="40" t="s">
        <v>3752</v>
      </c>
      <c r="E4664" s="41">
        <v>0.94799999999999995</v>
      </c>
      <c r="F4664" s="59">
        <v>28.0535</v>
      </c>
      <c r="G4664" s="59">
        <f t="shared" si="80"/>
        <v>26.594717999999997</v>
      </c>
      <c r="H4664" s="62"/>
      <c r="I4664" s="63"/>
      <c r="J4664" s="34">
        <v>12370</v>
      </c>
    </row>
    <row r="4665" spans="1:10" ht="15.75" thickBot="1" x14ac:dyDescent="0.3">
      <c r="A4665" s="262"/>
      <c r="B4665" s="252"/>
      <c r="C4665" s="40"/>
      <c r="D4665" s="40"/>
      <c r="E4665" s="41"/>
      <c r="F4665" s="59" t="s">
        <v>23</v>
      </c>
      <c r="G4665" s="59" t="str">
        <f t="shared" si="80"/>
        <v/>
      </c>
      <c r="H4665" s="62"/>
      <c r="I4665" s="63"/>
      <c r="J4665" s="34">
        <v>12370</v>
      </c>
    </row>
    <row r="4666" spans="1:10" ht="15.75" thickBot="1" x14ac:dyDescent="0.3">
      <c r="A4666" s="248" t="s">
        <v>1117</v>
      </c>
      <c r="B4666" s="251" t="s">
        <v>2922</v>
      </c>
      <c r="C4666" s="28"/>
      <c r="D4666" s="29" t="s">
        <v>78</v>
      </c>
      <c r="E4666" s="30"/>
      <c r="F4666" s="51" t="s">
        <v>23</v>
      </c>
      <c r="G4666" s="31" t="str">
        <f t="shared" si="80"/>
        <v/>
      </c>
      <c r="H4666" s="32"/>
      <c r="I4666" s="33"/>
      <c r="J4666" s="34">
        <v>2000</v>
      </c>
    </row>
    <row r="4667" spans="1:10" x14ac:dyDescent="0.25">
      <c r="A4667" s="262"/>
      <c r="B4667" s="252"/>
      <c r="C4667" s="36"/>
      <c r="D4667" s="36"/>
      <c r="E4667" s="37"/>
      <c r="F4667" s="59" t="s">
        <v>23</v>
      </c>
      <c r="G4667" s="59" t="str">
        <f t="shared" si="80"/>
        <v/>
      </c>
      <c r="H4667" s="62"/>
      <c r="I4667" s="63"/>
      <c r="J4667" s="34">
        <v>2000</v>
      </c>
    </row>
    <row r="4668" spans="1:10" x14ac:dyDescent="0.25">
      <c r="A4668" s="262"/>
      <c r="B4668" s="252"/>
      <c r="C4668" s="40" t="s">
        <v>3758</v>
      </c>
      <c r="D4668" s="40" t="s">
        <v>3752</v>
      </c>
      <c r="E4668" s="41">
        <v>0.5</v>
      </c>
      <c r="F4668" s="59">
        <v>28.0535</v>
      </c>
      <c r="G4668" s="59">
        <f t="shared" si="80"/>
        <v>14.02675</v>
      </c>
      <c r="H4668" s="43">
        <f>SUM(G4668:G4675)</f>
        <v>197.30455000000001</v>
      </c>
      <c r="I4668" s="44"/>
      <c r="J4668" s="34">
        <v>2000</v>
      </c>
    </row>
    <row r="4669" spans="1:10" x14ac:dyDescent="0.25">
      <c r="A4669" s="262"/>
      <c r="B4669" s="252"/>
      <c r="C4669" s="40" t="s">
        <v>3754</v>
      </c>
      <c r="D4669" s="40" t="s">
        <v>3752</v>
      </c>
      <c r="E4669" s="41">
        <v>1</v>
      </c>
      <c r="F4669" s="59">
        <v>20.814499999999999</v>
      </c>
      <c r="G4669" s="59">
        <f t="shared" si="80"/>
        <v>20.814499999999999</v>
      </c>
      <c r="H4669" s="62"/>
      <c r="I4669" s="63"/>
      <c r="J4669" s="34">
        <v>2000</v>
      </c>
    </row>
    <row r="4670" spans="1:10" x14ac:dyDescent="0.25">
      <c r="A4670" s="262"/>
      <c r="B4670" s="252"/>
      <c r="C4670" s="40" t="s">
        <v>3787</v>
      </c>
      <c r="D4670" s="40" t="s">
        <v>3752</v>
      </c>
      <c r="E4670" s="41">
        <v>0.5</v>
      </c>
      <c r="F4670" s="59">
        <v>21.963999999999999</v>
      </c>
      <c r="G4670" s="59">
        <f t="shared" si="80"/>
        <v>10.981999999999999</v>
      </c>
      <c r="H4670" s="62"/>
      <c r="I4670" s="63"/>
      <c r="J4670" s="34">
        <v>2000</v>
      </c>
    </row>
    <row r="4671" spans="1:10" x14ac:dyDescent="0.25">
      <c r="A4671" s="262"/>
      <c r="B4671" s="252"/>
      <c r="C4671" s="40" t="s">
        <v>1118</v>
      </c>
      <c r="D4671" s="40" t="s">
        <v>1035</v>
      </c>
      <c r="E4671" s="41">
        <v>0.8</v>
      </c>
      <c r="F4671" s="59">
        <v>21.156499999999998</v>
      </c>
      <c r="G4671" s="59">
        <f t="shared" si="80"/>
        <v>16.9252</v>
      </c>
      <c r="H4671" s="62"/>
      <c r="I4671" s="63"/>
      <c r="J4671" s="34">
        <v>2000</v>
      </c>
    </row>
    <row r="4672" spans="1:10" x14ac:dyDescent="0.25">
      <c r="A4672" s="262"/>
      <c r="B4672" s="252"/>
      <c r="C4672" s="40" t="s">
        <v>1119</v>
      </c>
      <c r="D4672" s="40" t="s">
        <v>80</v>
      </c>
      <c r="E4672" s="41">
        <v>0.6</v>
      </c>
      <c r="F4672" s="59">
        <v>35.187999999999995</v>
      </c>
      <c r="G4672" s="59">
        <f t="shared" si="80"/>
        <v>21.112799999999996</v>
      </c>
      <c r="H4672" s="62"/>
      <c r="I4672" s="63"/>
      <c r="J4672" s="34">
        <v>2000</v>
      </c>
    </row>
    <row r="4673" spans="1:10" x14ac:dyDescent="0.25">
      <c r="A4673" s="262"/>
      <c r="B4673" s="252"/>
      <c r="C4673" s="40" t="s">
        <v>1120</v>
      </c>
      <c r="D4673" s="40" t="s">
        <v>78</v>
      </c>
      <c r="E4673" s="41">
        <v>1.1000000000000001</v>
      </c>
      <c r="F4673" s="59">
        <v>80.331999999999994</v>
      </c>
      <c r="G4673" s="59">
        <f t="shared" si="80"/>
        <v>88.365200000000002</v>
      </c>
      <c r="H4673" s="62"/>
      <c r="I4673" s="63"/>
      <c r="J4673" s="34">
        <v>2000</v>
      </c>
    </row>
    <row r="4674" spans="1:10" x14ac:dyDescent="0.25">
      <c r="A4674" s="262"/>
      <c r="B4674" s="252"/>
      <c r="C4674" s="40" t="s">
        <v>1121</v>
      </c>
      <c r="D4674" s="40" t="s">
        <v>121</v>
      </c>
      <c r="E4674" s="41">
        <v>2</v>
      </c>
      <c r="F4674" s="59">
        <v>1.7384999999999999</v>
      </c>
      <c r="G4674" s="59">
        <f t="shared" si="80"/>
        <v>3.4769999999999999</v>
      </c>
      <c r="H4674" s="62"/>
      <c r="I4674" s="63"/>
      <c r="J4674" s="34">
        <v>2000</v>
      </c>
    </row>
    <row r="4675" spans="1:10" x14ac:dyDescent="0.25">
      <c r="A4675" s="262"/>
      <c r="B4675" s="252"/>
      <c r="C4675" s="40" t="s">
        <v>1122</v>
      </c>
      <c r="D4675" s="40" t="s">
        <v>80</v>
      </c>
      <c r="E4675" s="41">
        <v>0.2</v>
      </c>
      <c r="F4675" s="59">
        <v>108.0055</v>
      </c>
      <c r="G4675" s="59">
        <f t="shared" si="80"/>
        <v>21.601100000000002</v>
      </c>
      <c r="H4675" s="62"/>
      <c r="I4675" s="63"/>
      <c r="J4675" s="34">
        <v>2000</v>
      </c>
    </row>
    <row r="4676" spans="1:10" ht="15.75" thickBot="1" x14ac:dyDescent="0.3">
      <c r="A4676" s="262"/>
      <c r="B4676" s="252"/>
      <c r="C4676" s="40"/>
      <c r="D4676" s="40"/>
      <c r="E4676" s="41"/>
      <c r="F4676" s="59" t="s">
        <v>23</v>
      </c>
      <c r="G4676" s="59" t="str">
        <f t="shared" si="80"/>
        <v/>
      </c>
      <c r="H4676" s="62"/>
      <c r="I4676" s="63"/>
      <c r="J4676" s="34">
        <v>2000</v>
      </c>
    </row>
    <row r="4677" spans="1:10" ht="15.75" thickBot="1" x14ac:dyDescent="0.3">
      <c r="A4677" s="248" t="s">
        <v>1123</v>
      </c>
      <c r="B4677" s="251" t="s">
        <v>2923</v>
      </c>
      <c r="C4677" s="28"/>
      <c r="D4677" s="29" t="s">
        <v>78</v>
      </c>
      <c r="E4677" s="30"/>
      <c r="F4677" s="51" t="s">
        <v>23</v>
      </c>
      <c r="G4677" s="31" t="str">
        <f t="shared" si="80"/>
        <v/>
      </c>
      <c r="H4677" s="32"/>
      <c r="I4677" s="33"/>
      <c r="J4677" s="34">
        <v>7000</v>
      </c>
    </row>
    <row r="4678" spans="1:10" x14ac:dyDescent="0.25">
      <c r="A4678" s="262"/>
      <c r="B4678" s="252"/>
      <c r="C4678" s="36"/>
      <c r="D4678" s="36"/>
      <c r="E4678" s="37"/>
      <c r="F4678" s="59" t="s">
        <v>23</v>
      </c>
      <c r="G4678" s="59" t="str">
        <f t="shared" si="80"/>
        <v/>
      </c>
      <c r="H4678" s="62"/>
      <c r="I4678" s="63"/>
      <c r="J4678" s="34">
        <v>7000</v>
      </c>
    </row>
    <row r="4679" spans="1:10" x14ac:dyDescent="0.25">
      <c r="A4679" s="262"/>
      <c r="B4679" s="252"/>
      <c r="C4679" s="40" t="s">
        <v>3843</v>
      </c>
      <c r="D4679" s="40" t="s">
        <v>1035</v>
      </c>
      <c r="E4679" s="41">
        <v>1.2</v>
      </c>
      <c r="F4679" s="59">
        <v>26.562000000000001</v>
      </c>
      <c r="G4679" s="59">
        <f t="shared" si="80"/>
        <v>31.874400000000001</v>
      </c>
      <c r="H4679" s="43">
        <f>SUM(G4679:G4681)</f>
        <v>50.659111000000003</v>
      </c>
      <c r="I4679" s="44"/>
      <c r="J4679" s="34">
        <v>7000</v>
      </c>
    </row>
    <row r="4680" spans="1:10" x14ac:dyDescent="0.25">
      <c r="A4680" s="262"/>
      <c r="B4680" s="252"/>
      <c r="C4680" s="40" t="s">
        <v>3787</v>
      </c>
      <c r="D4680" s="40" t="s">
        <v>3752</v>
      </c>
      <c r="E4680" s="41">
        <v>0.11700000000000001</v>
      </c>
      <c r="F4680" s="59">
        <v>21.963999999999999</v>
      </c>
      <c r="G4680" s="59">
        <f t="shared" si="80"/>
        <v>2.569788</v>
      </c>
      <c r="H4680" s="62"/>
      <c r="I4680" s="63"/>
      <c r="J4680" s="34">
        <v>7000</v>
      </c>
    </row>
    <row r="4681" spans="1:10" x14ac:dyDescent="0.25">
      <c r="A4681" s="262"/>
      <c r="B4681" s="252"/>
      <c r="C4681" s="40" t="s">
        <v>3758</v>
      </c>
      <c r="D4681" s="40" t="s">
        <v>3752</v>
      </c>
      <c r="E4681" s="41">
        <v>0.57799999999999996</v>
      </c>
      <c r="F4681" s="59">
        <v>28.0535</v>
      </c>
      <c r="G4681" s="59">
        <f t="shared" si="80"/>
        <v>16.214922999999999</v>
      </c>
      <c r="H4681" s="62"/>
      <c r="I4681" s="63"/>
      <c r="J4681" s="34">
        <v>7000</v>
      </c>
    </row>
    <row r="4682" spans="1:10" ht="15.75" thickBot="1" x14ac:dyDescent="0.3">
      <c r="A4682" s="262"/>
      <c r="B4682" s="252"/>
      <c r="C4682" s="40"/>
      <c r="D4682" s="40"/>
      <c r="E4682" s="41"/>
      <c r="F4682" s="59" t="s">
        <v>23</v>
      </c>
      <c r="G4682" s="59" t="str">
        <f t="shared" si="80"/>
        <v/>
      </c>
      <c r="H4682" s="62"/>
      <c r="I4682" s="63"/>
      <c r="J4682" s="34">
        <v>7000</v>
      </c>
    </row>
    <row r="4683" spans="1:10" ht="15.75" thickBot="1" x14ac:dyDescent="0.3">
      <c r="A4683" s="248" t="s">
        <v>1124</v>
      </c>
      <c r="B4683" s="251" t="s">
        <v>2924</v>
      </c>
      <c r="C4683" s="28"/>
      <c r="D4683" s="29" t="s">
        <v>78</v>
      </c>
      <c r="E4683" s="30"/>
      <c r="F4683" s="51" t="s">
        <v>23</v>
      </c>
      <c r="G4683" s="31" t="str">
        <f t="shared" si="80"/>
        <v/>
      </c>
      <c r="H4683" s="32"/>
      <c r="I4683" s="33"/>
      <c r="J4683" s="34">
        <v>9000</v>
      </c>
    </row>
    <row r="4684" spans="1:10" x14ac:dyDescent="0.25">
      <c r="A4684" s="262"/>
      <c r="B4684" s="252"/>
      <c r="C4684" s="36"/>
      <c r="D4684" s="36"/>
      <c r="E4684" s="37"/>
      <c r="F4684" s="59" t="s">
        <v>23</v>
      </c>
      <c r="G4684" s="59" t="str">
        <f t="shared" si="80"/>
        <v/>
      </c>
      <c r="H4684" s="62"/>
      <c r="I4684" s="63"/>
      <c r="J4684" s="34">
        <v>9000</v>
      </c>
    </row>
    <row r="4685" spans="1:10" x14ac:dyDescent="0.25">
      <c r="A4685" s="262"/>
      <c r="B4685" s="252"/>
      <c r="C4685" s="40" t="s">
        <v>1125</v>
      </c>
      <c r="D4685" s="40" t="s">
        <v>1035</v>
      </c>
      <c r="E4685" s="41">
        <v>3</v>
      </c>
      <c r="F4685" s="59">
        <v>15.24</v>
      </c>
      <c r="G4685" s="59">
        <f t="shared" si="80"/>
        <v>45.72</v>
      </c>
      <c r="H4685" s="43">
        <f>SUM(G4685:G4686)</f>
        <v>51.3307</v>
      </c>
      <c r="I4685" s="44"/>
      <c r="J4685" s="34">
        <v>9000</v>
      </c>
    </row>
    <row r="4686" spans="1:10" x14ac:dyDescent="0.25">
      <c r="A4686" s="262"/>
      <c r="B4686" s="252"/>
      <c r="C4686" s="40" t="s">
        <v>3758</v>
      </c>
      <c r="D4686" s="40" t="s">
        <v>3752</v>
      </c>
      <c r="E4686" s="41">
        <v>0.2</v>
      </c>
      <c r="F4686" s="59">
        <v>28.0535</v>
      </c>
      <c r="G4686" s="59">
        <f t="shared" si="80"/>
        <v>5.6107000000000005</v>
      </c>
      <c r="H4686" s="62"/>
      <c r="I4686" s="63"/>
      <c r="J4686" s="34">
        <v>9000</v>
      </c>
    </row>
    <row r="4687" spans="1:10" x14ac:dyDescent="0.25">
      <c r="A4687" s="262"/>
      <c r="B4687" s="252"/>
      <c r="C4687" s="40"/>
      <c r="D4687" s="40"/>
      <c r="E4687" s="41"/>
      <c r="F4687" s="59" t="s">
        <v>23</v>
      </c>
      <c r="G4687" s="59" t="str">
        <f t="shared" si="80"/>
        <v/>
      </c>
      <c r="H4687" s="62"/>
      <c r="I4687" s="63"/>
      <c r="J4687" s="34">
        <v>9000</v>
      </c>
    </row>
    <row r="4688" spans="1:10" ht="25.5" x14ac:dyDescent="0.25">
      <c r="A4688" s="262"/>
      <c r="B4688" s="252"/>
      <c r="C4688" s="50" t="s">
        <v>1126</v>
      </c>
      <c r="D4688" s="40"/>
      <c r="E4688" s="41"/>
      <c r="F4688" s="59" t="s">
        <v>23</v>
      </c>
      <c r="G4688" s="59" t="str">
        <f t="shared" ref="G4688:G4751" si="81">IF(ISNUMBER(F4688),E4688*F4688,"")</f>
        <v/>
      </c>
      <c r="H4688" s="62"/>
      <c r="I4688" s="63"/>
      <c r="J4688" s="34">
        <v>9000</v>
      </c>
    </row>
    <row r="4689" spans="1:10" ht="24.75" x14ac:dyDescent="0.25">
      <c r="A4689" s="262"/>
      <c r="B4689" s="252"/>
      <c r="C4689" s="94" t="s">
        <v>1127</v>
      </c>
      <c r="D4689" s="40"/>
      <c r="E4689" s="41"/>
      <c r="F4689" s="59" t="s">
        <v>23</v>
      </c>
      <c r="G4689" s="59" t="str">
        <f t="shared" si="81"/>
        <v/>
      </c>
      <c r="H4689" s="62"/>
      <c r="I4689" s="63"/>
      <c r="J4689" s="34">
        <v>9000</v>
      </c>
    </row>
    <row r="4690" spans="1:10" ht="15.75" thickBot="1" x14ac:dyDescent="0.3">
      <c r="A4690" s="262"/>
      <c r="B4690" s="252"/>
      <c r="C4690" s="40"/>
      <c r="D4690" s="40"/>
      <c r="E4690" s="41"/>
      <c r="F4690" s="59" t="s">
        <v>23</v>
      </c>
      <c r="G4690" s="59" t="str">
        <f t="shared" si="81"/>
        <v/>
      </c>
      <c r="H4690" s="62"/>
      <c r="I4690" s="63"/>
      <c r="J4690" s="34">
        <v>9000</v>
      </c>
    </row>
    <row r="4691" spans="1:10" ht="15.75" thickBot="1" x14ac:dyDescent="0.3">
      <c r="A4691" s="248" t="s">
        <v>1128</v>
      </c>
      <c r="B4691" s="251" t="s">
        <v>2925</v>
      </c>
      <c r="C4691" s="28"/>
      <c r="D4691" s="29" t="s">
        <v>78</v>
      </c>
      <c r="E4691" s="30"/>
      <c r="F4691" s="51" t="s">
        <v>23</v>
      </c>
      <c r="G4691" s="31" t="str">
        <f t="shared" si="81"/>
        <v/>
      </c>
      <c r="H4691" s="32"/>
      <c r="I4691" s="33"/>
      <c r="J4691" s="34">
        <v>16950</v>
      </c>
    </row>
    <row r="4692" spans="1:10" x14ac:dyDescent="0.25">
      <c r="A4692" s="262"/>
      <c r="B4692" s="252"/>
      <c r="C4692" s="36"/>
      <c r="D4692" s="36"/>
      <c r="E4692" s="37"/>
      <c r="F4692" s="59" t="s">
        <v>23</v>
      </c>
      <c r="G4692" s="59" t="str">
        <f t="shared" si="81"/>
        <v/>
      </c>
      <c r="H4692" s="62"/>
      <c r="I4692" s="63"/>
      <c r="J4692" s="34">
        <v>16950</v>
      </c>
    </row>
    <row r="4693" spans="1:10" ht="25.5" x14ac:dyDescent="0.25">
      <c r="A4693" s="262"/>
      <c r="B4693" s="252"/>
      <c r="C4693" s="40" t="s">
        <v>3775</v>
      </c>
      <c r="D4693" s="40" t="s">
        <v>80</v>
      </c>
      <c r="E4693" s="41">
        <v>0.61499999999999999</v>
      </c>
      <c r="F4693" s="59">
        <v>19.285</v>
      </c>
      <c r="G4693" s="59">
        <f t="shared" si="81"/>
        <v>11.860275</v>
      </c>
      <c r="H4693" s="43">
        <f>SUM(G4693:G4698)</f>
        <v>192.01956700000002</v>
      </c>
      <c r="I4693" s="44"/>
      <c r="J4693" s="34">
        <v>16950</v>
      </c>
    </row>
    <row r="4694" spans="1:10" ht="25.5" x14ac:dyDescent="0.25">
      <c r="A4694" s="262"/>
      <c r="B4694" s="252"/>
      <c r="C4694" s="40" t="s">
        <v>3771</v>
      </c>
      <c r="D4694" s="40" t="s">
        <v>177</v>
      </c>
      <c r="E4694" s="41">
        <v>1.125</v>
      </c>
      <c r="F4694" s="59">
        <v>52.487499999999997</v>
      </c>
      <c r="G4694" s="59">
        <f t="shared" si="81"/>
        <v>59.048437499999999</v>
      </c>
      <c r="H4694" s="62"/>
      <c r="I4694" s="63"/>
      <c r="J4694" s="34">
        <v>16950</v>
      </c>
    </row>
    <row r="4695" spans="1:10" ht="25.5" x14ac:dyDescent="0.25">
      <c r="A4695" s="262"/>
      <c r="B4695" s="252"/>
      <c r="C4695" s="40" t="s">
        <v>3756</v>
      </c>
      <c r="D4695" s="40" t="s">
        <v>177</v>
      </c>
      <c r="E4695" s="41">
        <v>1.125</v>
      </c>
      <c r="F4695" s="59">
        <v>64.447999999999993</v>
      </c>
      <c r="G4695" s="59">
        <f t="shared" si="81"/>
        <v>72.503999999999991</v>
      </c>
      <c r="H4695" s="62"/>
      <c r="I4695" s="63"/>
      <c r="J4695" s="34">
        <v>16950</v>
      </c>
    </row>
    <row r="4696" spans="1:10" x14ac:dyDescent="0.25">
      <c r="A4696" s="262"/>
      <c r="B4696" s="252"/>
      <c r="C4696" s="40" t="s">
        <v>3837</v>
      </c>
      <c r="D4696" s="40" t="s">
        <v>1035</v>
      </c>
      <c r="E4696" s="41">
        <v>0.52</v>
      </c>
      <c r="F4696" s="59">
        <v>7.5525000000000002</v>
      </c>
      <c r="G4696" s="59">
        <f t="shared" si="81"/>
        <v>3.9273000000000002</v>
      </c>
      <c r="H4696" s="62"/>
      <c r="I4696" s="63"/>
      <c r="J4696" s="34">
        <v>16950</v>
      </c>
    </row>
    <row r="4697" spans="1:10" x14ac:dyDescent="0.25">
      <c r="A4697" s="262"/>
      <c r="B4697" s="252"/>
      <c r="C4697" s="40" t="s">
        <v>3787</v>
      </c>
      <c r="D4697" s="40" t="s">
        <v>3752</v>
      </c>
      <c r="E4697" s="41">
        <v>0.27800000000000002</v>
      </c>
      <c r="F4697" s="59">
        <v>21.963999999999999</v>
      </c>
      <c r="G4697" s="59">
        <f t="shared" si="81"/>
        <v>6.1059920000000005</v>
      </c>
      <c r="H4697" s="62"/>
      <c r="I4697" s="63"/>
      <c r="J4697" s="34">
        <v>16950</v>
      </c>
    </row>
    <row r="4698" spans="1:10" x14ac:dyDescent="0.25">
      <c r="A4698" s="262"/>
      <c r="B4698" s="252"/>
      <c r="C4698" s="40" t="s">
        <v>3758</v>
      </c>
      <c r="D4698" s="40" t="s">
        <v>3752</v>
      </c>
      <c r="E4698" s="41">
        <v>1.375</v>
      </c>
      <c r="F4698" s="59">
        <v>28.0535</v>
      </c>
      <c r="G4698" s="59">
        <f t="shared" si="81"/>
        <v>38.573562500000001</v>
      </c>
      <c r="H4698" s="62"/>
      <c r="I4698" s="63"/>
      <c r="J4698" s="34">
        <v>16950</v>
      </c>
    </row>
    <row r="4699" spans="1:10" ht="15.75" thickBot="1" x14ac:dyDescent="0.3">
      <c r="A4699" s="262"/>
      <c r="B4699" s="252"/>
      <c r="C4699" s="40"/>
      <c r="D4699" s="40"/>
      <c r="E4699" s="41"/>
      <c r="F4699" s="59" t="s">
        <v>23</v>
      </c>
      <c r="G4699" s="59" t="str">
        <f t="shared" si="81"/>
        <v/>
      </c>
      <c r="H4699" s="62"/>
      <c r="I4699" s="63"/>
      <c r="J4699" s="34">
        <v>16950</v>
      </c>
    </row>
    <row r="4700" spans="1:10" ht="15.75" thickBot="1" x14ac:dyDescent="0.3">
      <c r="A4700" s="248" t="s">
        <v>1129</v>
      </c>
      <c r="B4700" s="251" t="s">
        <v>2926</v>
      </c>
      <c r="C4700" s="28"/>
      <c r="D4700" s="29" t="s">
        <v>78</v>
      </c>
      <c r="E4700" s="30"/>
      <c r="F4700" s="51" t="s">
        <v>23</v>
      </c>
      <c r="G4700" s="31" t="str">
        <f t="shared" si="81"/>
        <v/>
      </c>
      <c r="H4700" s="32"/>
      <c r="I4700" s="33"/>
      <c r="J4700" s="34">
        <v>24790</v>
      </c>
    </row>
    <row r="4701" spans="1:10" x14ac:dyDescent="0.25">
      <c r="A4701" s="262"/>
      <c r="B4701" s="252"/>
      <c r="C4701" s="36"/>
      <c r="D4701" s="36"/>
      <c r="E4701" s="37"/>
      <c r="F4701" s="59" t="s">
        <v>23</v>
      </c>
      <c r="G4701" s="59" t="str">
        <f t="shared" si="81"/>
        <v/>
      </c>
      <c r="H4701" s="62"/>
      <c r="I4701" s="63"/>
      <c r="J4701" s="34">
        <v>24790</v>
      </c>
    </row>
    <row r="4702" spans="1:10" ht="25.5" x14ac:dyDescent="0.25">
      <c r="A4702" s="262"/>
      <c r="B4702" s="252"/>
      <c r="C4702" s="40" t="s">
        <v>3775</v>
      </c>
      <c r="D4702" s="40" t="s">
        <v>80</v>
      </c>
      <c r="E4702" s="41">
        <v>0.61499999999999999</v>
      </c>
      <c r="F4702" s="59">
        <v>19.285</v>
      </c>
      <c r="G4702" s="59">
        <f t="shared" si="81"/>
        <v>11.860275</v>
      </c>
      <c r="H4702" s="43">
        <f>SUM(G4702:G4707)</f>
        <v>224.678259</v>
      </c>
      <c r="I4702" s="44"/>
      <c r="J4702" s="34">
        <v>24790</v>
      </c>
    </row>
    <row r="4703" spans="1:10" ht="25.5" x14ac:dyDescent="0.25">
      <c r="A4703" s="262"/>
      <c r="B4703" s="252"/>
      <c r="C4703" s="40" t="s">
        <v>3771</v>
      </c>
      <c r="D4703" s="40" t="s">
        <v>177</v>
      </c>
      <c r="E4703" s="41">
        <v>1.125</v>
      </c>
      <c r="F4703" s="59">
        <v>52.487499999999997</v>
      </c>
      <c r="G4703" s="59">
        <f t="shared" si="81"/>
        <v>59.048437499999999</v>
      </c>
      <c r="H4703" s="62"/>
      <c r="I4703" s="63"/>
      <c r="J4703" s="34">
        <v>24790</v>
      </c>
    </row>
    <row r="4704" spans="1:10" ht="25.5" x14ac:dyDescent="0.25">
      <c r="A4704" s="262"/>
      <c r="B4704" s="252"/>
      <c r="C4704" s="40" t="s">
        <v>3756</v>
      </c>
      <c r="D4704" s="40" t="s">
        <v>177</v>
      </c>
      <c r="E4704" s="41">
        <v>1.125</v>
      </c>
      <c r="F4704" s="59">
        <v>64.447999999999993</v>
      </c>
      <c r="G4704" s="59">
        <f t="shared" si="81"/>
        <v>72.503999999999991</v>
      </c>
      <c r="H4704" s="62"/>
      <c r="I4704" s="63"/>
      <c r="J4704" s="34">
        <v>24790</v>
      </c>
    </row>
    <row r="4705" spans="1:10" x14ac:dyDescent="0.25">
      <c r="A4705" s="262"/>
      <c r="B4705" s="252"/>
      <c r="C4705" s="40" t="s">
        <v>1125</v>
      </c>
      <c r="D4705" s="40" t="s">
        <v>1035</v>
      </c>
      <c r="E4705" s="41">
        <v>2</v>
      </c>
      <c r="F4705" s="59">
        <v>15.24</v>
      </c>
      <c r="G4705" s="59">
        <f t="shared" si="81"/>
        <v>30.48</v>
      </c>
      <c r="H4705" s="62"/>
      <c r="I4705" s="63"/>
      <c r="J4705" s="34">
        <v>24790</v>
      </c>
    </row>
    <row r="4706" spans="1:10" x14ac:dyDescent="0.25">
      <c r="A4706" s="262"/>
      <c r="B4706" s="252"/>
      <c r="C4706" s="40" t="s">
        <v>3787</v>
      </c>
      <c r="D4706" s="40" t="s">
        <v>3752</v>
      </c>
      <c r="E4706" s="41">
        <f>0.278*2</f>
        <v>0.55600000000000005</v>
      </c>
      <c r="F4706" s="59">
        <v>21.963999999999999</v>
      </c>
      <c r="G4706" s="59">
        <f t="shared" si="81"/>
        <v>12.211984000000001</v>
      </c>
      <c r="H4706" s="62"/>
      <c r="I4706" s="63"/>
      <c r="J4706" s="34">
        <v>24790</v>
      </c>
    </row>
    <row r="4707" spans="1:10" x14ac:dyDescent="0.25">
      <c r="A4707" s="262"/>
      <c r="B4707" s="252"/>
      <c r="C4707" s="40" t="s">
        <v>3758</v>
      </c>
      <c r="D4707" s="40" t="s">
        <v>3752</v>
      </c>
      <c r="E4707" s="41">
        <v>1.375</v>
      </c>
      <c r="F4707" s="59">
        <v>28.0535</v>
      </c>
      <c r="G4707" s="59">
        <f t="shared" si="81"/>
        <v>38.573562500000001</v>
      </c>
      <c r="H4707" s="62"/>
      <c r="I4707" s="63"/>
      <c r="J4707" s="34">
        <v>24790</v>
      </c>
    </row>
    <row r="4708" spans="1:10" x14ac:dyDescent="0.25">
      <c r="A4708" s="262"/>
      <c r="B4708" s="252"/>
      <c r="C4708" s="40"/>
      <c r="D4708" s="40"/>
      <c r="E4708" s="41"/>
      <c r="F4708" s="59" t="s">
        <v>23</v>
      </c>
      <c r="G4708" s="59" t="str">
        <f t="shared" si="81"/>
        <v/>
      </c>
      <c r="H4708" s="62"/>
      <c r="I4708" s="63"/>
      <c r="J4708" s="34">
        <v>24790</v>
      </c>
    </row>
    <row r="4709" spans="1:10" ht="25.5" x14ac:dyDescent="0.25">
      <c r="A4709" s="262"/>
      <c r="B4709" s="252"/>
      <c r="C4709" s="50" t="s">
        <v>1126</v>
      </c>
      <c r="D4709" s="40"/>
      <c r="E4709" s="41"/>
      <c r="F4709" s="59" t="s">
        <v>23</v>
      </c>
      <c r="G4709" s="59" t="str">
        <f t="shared" si="81"/>
        <v/>
      </c>
      <c r="H4709" s="62"/>
      <c r="I4709" s="63"/>
      <c r="J4709" s="34">
        <v>24790</v>
      </c>
    </row>
    <row r="4710" spans="1:10" ht="24.75" x14ac:dyDescent="0.25">
      <c r="A4710" s="262"/>
      <c r="B4710" s="252"/>
      <c r="C4710" s="94" t="s">
        <v>1127</v>
      </c>
      <c r="D4710" s="40"/>
      <c r="E4710" s="41"/>
      <c r="F4710" s="59" t="s">
        <v>23</v>
      </c>
      <c r="G4710" s="59" t="str">
        <f t="shared" si="81"/>
        <v/>
      </c>
      <c r="H4710" s="62"/>
      <c r="I4710" s="63"/>
      <c r="J4710" s="34">
        <v>24790</v>
      </c>
    </row>
    <row r="4711" spans="1:10" ht="15.75" thickBot="1" x14ac:dyDescent="0.3">
      <c r="A4711" s="262"/>
      <c r="B4711" s="252"/>
      <c r="C4711" s="40"/>
      <c r="D4711" s="40"/>
      <c r="E4711" s="41"/>
      <c r="F4711" s="59" t="s">
        <v>23</v>
      </c>
      <c r="G4711" s="59" t="str">
        <f t="shared" si="81"/>
        <v/>
      </c>
      <c r="H4711" s="62"/>
      <c r="I4711" s="63"/>
      <c r="J4711" s="34">
        <v>24790</v>
      </c>
    </row>
    <row r="4712" spans="1:10" ht="15.75" thickBot="1" x14ac:dyDescent="0.3">
      <c r="A4712" s="248" t="s">
        <v>1130</v>
      </c>
      <c r="B4712" s="251" t="s">
        <v>2927</v>
      </c>
      <c r="C4712" s="28"/>
      <c r="D4712" s="29" t="s">
        <v>82</v>
      </c>
      <c r="E4712" s="30"/>
      <c r="F4712" s="51" t="s">
        <v>23</v>
      </c>
      <c r="G4712" s="31" t="str">
        <f t="shared" si="81"/>
        <v/>
      </c>
      <c r="H4712" s="32"/>
      <c r="I4712" s="33"/>
      <c r="J4712" s="34">
        <v>1000</v>
      </c>
    </row>
    <row r="4713" spans="1:10" x14ac:dyDescent="0.25">
      <c r="A4713" s="262"/>
      <c r="B4713" s="252"/>
      <c r="C4713" s="36"/>
      <c r="D4713" s="36"/>
      <c r="E4713" s="37"/>
      <c r="F4713" s="59" t="s">
        <v>23</v>
      </c>
      <c r="G4713" s="59" t="str">
        <f t="shared" si="81"/>
        <v/>
      </c>
      <c r="H4713" s="62"/>
      <c r="I4713" s="63"/>
      <c r="J4713" s="34">
        <v>1000</v>
      </c>
    </row>
    <row r="4714" spans="1:10" ht="25.5" x14ac:dyDescent="0.25">
      <c r="A4714" s="262"/>
      <c r="B4714" s="252"/>
      <c r="C4714" s="40" t="s">
        <v>1131</v>
      </c>
      <c r="D4714" s="40" t="s">
        <v>82</v>
      </c>
      <c r="E4714" s="41">
        <v>1</v>
      </c>
      <c r="F4714" s="59">
        <v>26.400499999999997</v>
      </c>
      <c r="G4714" s="59">
        <f t="shared" si="81"/>
        <v>26.400499999999997</v>
      </c>
      <c r="H4714" s="43">
        <f>SUM(G4714:G4714)</f>
        <v>26.400499999999997</v>
      </c>
      <c r="I4714" s="44"/>
      <c r="J4714" s="34">
        <v>1000</v>
      </c>
    </row>
    <row r="4715" spans="1:10" ht="15.75" thickBot="1" x14ac:dyDescent="0.3">
      <c r="A4715" s="262"/>
      <c r="B4715" s="252"/>
      <c r="C4715" s="40"/>
      <c r="D4715" s="40"/>
      <c r="E4715" s="41"/>
      <c r="F4715" s="59" t="s">
        <v>23</v>
      </c>
      <c r="G4715" s="59" t="str">
        <f t="shared" si="81"/>
        <v/>
      </c>
      <c r="H4715" s="62"/>
      <c r="I4715" s="63"/>
      <c r="J4715" s="34">
        <v>1000</v>
      </c>
    </row>
    <row r="4716" spans="1:10" ht="15.75" thickBot="1" x14ac:dyDescent="0.3">
      <c r="A4716" s="248" t="s">
        <v>1132</v>
      </c>
      <c r="B4716" s="251" t="s">
        <v>2928</v>
      </c>
      <c r="C4716" s="28"/>
      <c r="D4716" s="29" t="s">
        <v>82</v>
      </c>
      <c r="E4716" s="30"/>
      <c r="F4716" s="51" t="s">
        <v>23</v>
      </c>
      <c r="G4716" s="31" t="str">
        <f t="shared" si="81"/>
        <v/>
      </c>
      <c r="H4716" s="32"/>
      <c r="I4716" s="33"/>
      <c r="J4716" s="34">
        <v>500</v>
      </c>
    </row>
    <row r="4717" spans="1:10" x14ac:dyDescent="0.25">
      <c r="A4717" s="262"/>
      <c r="B4717" s="252"/>
      <c r="C4717" s="36"/>
      <c r="D4717" s="36"/>
      <c r="E4717" s="37"/>
      <c r="F4717" s="59" t="s">
        <v>23</v>
      </c>
      <c r="G4717" s="59" t="str">
        <f t="shared" si="81"/>
        <v/>
      </c>
      <c r="H4717" s="62"/>
      <c r="I4717" s="63"/>
      <c r="J4717" s="34">
        <v>500</v>
      </c>
    </row>
    <row r="4718" spans="1:10" ht="25.5" x14ac:dyDescent="0.25">
      <c r="A4718" s="262"/>
      <c r="B4718" s="252"/>
      <c r="C4718" s="40" t="s">
        <v>4140</v>
      </c>
      <c r="D4718" s="40" t="s">
        <v>80</v>
      </c>
      <c r="E4718" s="41">
        <v>1.01</v>
      </c>
      <c r="F4718" s="59">
        <v>8.17</v>
      </c>
      <c r="G4718" s="59">
        <f t="shared" si="81"/>
        <v>8.2516999999999996</v>
      </c>
      <c r="H4718" s="43">
        <f>SUM(G4718:G4718)</f>
        <v>8.2516999999999996</v>
      </c>
      <c r="I4718" s="44"/>
      <c r="J4718" s="34">
        <v>500</v>
      </c>
    </row>
    <row r="4719" spans="1:10" x14ac:dyDescent="0.25">
      <c r="A4719" s="262"/>
      <c r="B4719" s="252"/>
      <c r="C4719" s="40"/>
      <c r="D4719" s="40"/>
      <c r="E4719" s="41"/>
      <c r="F4719" s="59" t="s">
        <v>23</v>
      </c>
      <c r="G4719" s="59" t="str">
        <f t="shared" si="81"/>
        <v/>
      </c>
      <c r="H4719" s="62"/>
      <c r="I4719" s="63"/>
      <c r="J4719" s="34">
        <v>500</v>
      </c>
    </row>
    <row r="4720" spans="1:10" ht="25.5" x14ac:dyDescent="0.25">
      <c r="A4720" s="262"/>
      <c r="B4720" s="252"/>
      <c r="C4720" s="50" t="s">
        <v>1133</v>
      </c>
      <c r="D4720" s="40"/>
      <c r="E4720" s="41"/>
      <c r="F4720" s="59" t="s">
        <v>23</v>
      </c>
      <c r="G4720" s="59" t="str">
        <f t="shared" si="81"/>
        <v/>
      </c>
      <c r="H4720" s="62"/>
      <c r="I4720" s="63"/>
      <c r="J4720" s="34">
        <v>500</v>
      </c>
    </row>
    <row r="4721" spans="1:10" ht="15.75" thickBot="1" x14ac:dyDescent="0.3">
      <c r="A4721" s="262"/>
      <c r="B4721" s="252"/>
      <c r="C4721" s="60"/>
      <c r="D4721" s="60"/>
      <c r="E4721" s="79"/>
      <c r="F4721" s="80" t="s">
        <v>23</v>
      </c>
      <c r="G4721" s="80" t="str">
        <f t="shared" si="81"/>
        <v/>
      </c>
      <c r="H4721" s="81"/>
      <c r="I4721" s="63"/>
      <c r="J4721" s="34">
        <v>500</v>
      </c>
    </row>
    <row r="4722" spans="1:10" ht="15.75" thickBot="1" x14ac:dyDescent="0.3">
      <c r="A4722" s="248" t="s">
        <v>1134</v>
      </c>
      <c r="B4722" s="251" t="s">
        <v>2929</v>
      </c>
      <c r="C4722" s="28"/>
      <c r="D4722" s="29" t="s">
        <v>1748</v>
      </c>
      <c r="E4722" s="30"/>
      <c r="F4722" s="51" t="s">
        <v>23</v>
      </c>
      <c r="G4722" s="31" t="str">
        <f t="shared" si="81"/>
        <v/>
      </c>
      <c r="H4722" s="32"/>
      <c r="I4722" s="33"/>
      <c r="J4722" s="34">
        <v>360</v>
      </c>
    </row>
    <row r="4723" spans="1:10" x14ac:dyDescent="0.25">
      <c r="A4723" s="262"/>
      <c r="B4723" s="252"/>
      <c r="C4723" s="36"/>
      <c r="D4723" s="36"/>
      <c r="E4723" s="37"/>
      <c r="F4723" s="59" t="s">
        <v>23</v>
      </c>
      <c r="G4723" s="59" t="str">
        <f t="shared" si="81"/>
        <v/>
      </c>
      <c r="H4723" s="62"/>
      <c r="I4723" s="63"/>
      <c r="J4723" s="34">
        <v>360</v>
      </c>
    </row>
    <row r="4724" spans="1:10" ht="25.5" x14ac:dyDescent="0.25">
      <c r="A4724" s="262"/>
      <c r="B4724" s="252"/>
      <c r="C4724" s="40" t="s">
        <v>3994</v>
      </c>
      <c r="D4724" s="40" t="s">
        <v>3764</v>
      </c>
      <c r="E4724" s="41">
        <v>1</v>
      </c>
      <c r="F4724" s="59">
        <v>171</v>
      </c>
      <c r="G4724" s="59">
        <f t="shared" si="81"/>
        <v>171</v>
      </c>
      <c r="H4724" s="43">
        <f>SUM(G4724:G4726)</f>
        <v>230.67318125</v>
      </c>
      <c r="I4724" s="44"/>
      <c r="J4724" s="34">
        <v>360</v>
      </c>
    </row>
    <row r="4725" spans="1:10" ht="51" x14ac:dyDescent="0.25">
      <c r="A4725" s="262"/>
      <c r="B4725" s="252"/>
      <c r="C4725" s="40" t="s">
        <v>4752</v>
      </c>
      <c r="D4725" s="40" t="s">
        <v>3764</v>
      </c>
      <c r="E4725" s="41">
        <f>1*E4724</f>
        <v>1</v>
      </c>
      <c r="F4725" s="38">
        <v>7.75243225</v>
      </c>
      <c r="G4725" s="38">
        <f t="shared" si="81"/>
        <v>7.75243225</v>
      </c>
      <c r="H4725" s="39"/>
      <c r="I4725" s="35"/>
      <c r="J4725" s="34">
        <v>360</v>
      </c>
    </row>
    <row r="4726" spans="1:10" ht="38.25" x14ac:dyDescent="0.25">
      <c r="A4726" s="262"/>
      <c r="B4726" s="252"/>
      <c r="C4726" s="40" t="s">
        <v>4749</v>
      </c>
      <c r="D4726" s="40" t="s">
        <v>4744</v>
      </c>
      <c r="E4726" s="41">
        <f>E4724*20</f>
        <v>20</v>
      </c>
      <c r="F4726" s="59">
        <v>2.5960374499999999</v>
      </c>
      <c r="G4726" s="59">
        <f t="shared" si="81"/>
        <v>51.920749000000001</v>
      </c>
      <c r="H4726" s="62"/>
      <c r="I4726" s="63"/>
      <c r="J4726" s="34">
        <v>360</v>
      </c>
    </row>
    <row r="4727" spans="1:10" x14ac:dyDescent="0.25">
      <c r="A4727" s="262"/>
      <c r="B4727" s="252"/>
      <c r="C4727" s="40"/>
      <c r="D4727" s="40"/>
      <c r="E4727" s="41"/>
      <c r="F4727" s="59" t="s">
        <v>23</v>
      </c>
      <c r="G4727" s="59" t="str">
        <f t="shared" si="81"/>
        <v/>
      </c>
      <c r="H4727" s="62"/>
      <c r="I4727" s="63"/>
      <c r="J4727" s="34">
        <v>360</v>
      </c>
    </row>
    <row r="4728" spans="1:10" x14ac:dyDescent="0.25">
      <c r="A4728" s="262"/>
      <c r="B4728" s="252"/>
      <c r="C4728" s="50" t="s">
        <v>1135</v>
      </c>
      <c r="D4728" s="40"/>
      <c r="E4728" s="41"/>
      <c r="F4728" s="59" t="s">
        <v>23</v>
      </c>
      <c r="G4728" s="59" t="str">
        <f t="shared" si="81"/>
        <v/>
      </c>
      <c r="H4728" s="62"/>
      <c r="I4728" s="63"/>
      <c r="J4728" s="34">
        <v>360</v>
      </c>
    </row>
    <row r="4729" spans="1:10" ht="15.75" thickBot="1" x14ac:dyDescent="0.3">
      <c r="A4729" s="263"/>
      <c r="B4729" s="253"/>
      <c r="C4729" s="60"/>
      <c r="D4729" s="60"/>
      <c r="E4729" s="79"/>
      <c r="F4729" s="80" t="s">
        <v>23</v>
      </c>
      <c r="G4729" s="80" t="str">
        <f t="shared" si="81"/>
        <v/>
      </c>
      <c r="H4729" s="81"/>
      <c r="I4729" s="63"/>
      <c r="J4729" s="34">
        <v>360</v>
      </c>
    </row>
    <row r="4730" spans="1:10" ht="15.75" thickBot="1" x14ac:dyDescent="0.3">
      <c r="A4730" s="248" t="s">
        <v>1136</v>
      </c>
      <c r="B4730" s="251" t="s">
        <v>2930</v>
      </c>
      <c r="C4730" s="28"/>
      <c r="D4730" s="29" t="s">
        <v>121</v>
      </c>
      <c r="E4730" s="30"/>
      <c r="F4730" s="51" t="s">
        <v>23</v>
      </c>
      <c r="G4730" s="31" t="str">
        <f t="shared" si="81"/>
        <v/>
      </c>
      <c r="H4730" s="32"/>
      <c r="I4730" s="33"/>
      <c r="J4730" s="34">
        <v>3000</v>
      </c>
    </row>
    <row r="4731" spans="1:10" x14ac:dyDescent="0.25">
      <c r="A4731" s="262"/>
      <c r="B4731" s="266"/>
      <c r="C4731" s="36"/>
      <c r="D4731" s="36"/>
      <c r="E4731" s="37"/>
      <c r="F4731" s="59" t="s">
        <v>23</v>
      </c>
      <c r="G4731" s="59" t="str">
        <f t="shared" si="81"/>
        <v/>
      </c>
      <c r="H4731" s="62"/>
      <c r="I4731" s="63"/>
      <c r="J4731" s="34">
        <v>3000</v>
      </c>
    </row>
    <row r="4732" spans="1:10" ht="25.5" x14ac:dyDescent="0.25">
      <c r="A4732" s="262"/>
      <c r="B4732" s="266"/>
      <c r="C4732" s="40" t="s">
        <v>3851</v>
      </c>
      <c r="D4732" s="40" t="s">
        <v>1286</v>
      </c>
      <c r="E4732" s="41">
        <f>65/50</f>
        <v>1.3</v>
      </c>
      <c r="F4732" s="59">
        <v>52.230999999999995</v>
      </c>
      <c r="G4732" s="59">
        <f t="shared" si="81"/>
        <v>67.900300000000001</v>
      </c>
      <c r="H4732" s="43">
        <f>SUM(G4732:G4732)</f>
        <v>67.900300000000001</v>
      </c>
      <c r="I4732" s="44"/>
      <c r="J4732" s="34">
        <v>3000</v>
      </c>
    </row>
    <row r="4733" spans="1:10" ht="15.75" thickBot="1" x14ac:dyDescent="0.3">
      <c r="A4733" s="263"/>
      <c r="B4733" s="253"/>
      <c r="C4733" s="60"/>
      <c r="D4733" s="60"/>
      <c r="E4733" s="79"/>
      <c r="F4733" s="80" t="s">
        <v>23</v>
      </c>
      <c r="G4733" s="80" t="str">
        <f t="shared" si="81"/>
        <v/>
      </c>
      <c r="H4733" s="81"/>
      <c r="I4733" s="63"/>
      <c r="J4733" s="34">
        <v>3000</v>
      </c>
    </row>
    <row r="4734" spans="1:10" ht="15.75" thickBot="1" x14ac:dyDescent="0.3">
      <c r="A4734" s="248" t="s">
        <v>1137</v>
      </c>
      <c r="B4734" s="251" t="s">
        <v>2931</v>
      </c>
      <c r="C4734" s="28"/>
      <c r="D4734" s="29" t="s">
        <v>121</v>
      </c>
      <c r="E4734" s="30"/>
      <c r="F4734" s="51" t="s">
        <v>23</v>
      </c>
      <c r="G4734" s="31" t="str">
        <f t="shared" si="81"/>
        <v/>
      </c>
      <c r="H4734" s="32"/>
      <c r="I4734" s="33"/>
      <c r="J4734" s="34">
        <v>1000</v>
      </c>
    </row>
    <row r="4735" spans="1:10" x14ac:dyDescent="0.25">
      <c r="A4735" s="262"/>
      <c r="B4735" s="266"/>
      <c r="C4735" s="36"/>
      <c r="D4735" s="36"/>
      <c r="E4735" s="37"/>
      <c r="F4735" s="59" t="s">
        <v>23</v>
      </c>
      <c r="G4735" s="59" t="str">
        <f t="shared" si="81"/>
        <v/>
      </c>
      <c r="H4735" s="62"/>
      <c r="I4735" s="63"/>
      <c r="J4735" s="34">
        <v>1000</v>
      </c>
    </row>
    <row r="4736" spans="1:10" ht="25.5" x14ac:dyDescent="0.25">
      <c r="A4736" s="262"/>
      <c r="B4736" s="266"/>
      <c r="C4736" s="40" t="s">
        <v>3829</v>
      </c>
      <c r="D4736" s="40" t="s">
        <v>1286</v>
      </c>
      <c r="E4736" s="41">
        <v>1.1000000000000001</v>
      </c>
      <c r="F4736" s="59">
        <v>102.182</v>
      </c>
      <c r="G4736" s="59">
        <f t="shared" si="81"/>
        <v>112.40020000000001</v>
      </c>
      <c r="H4736" s="43">
        <f>SUM(G4736:G4736)</f>
        <v>112.40020000000001</v>
      </c>
      <c r="I4736" s="44"/>
      <c r="J4736" s="34">
        <v>1000</v>
      </c>
    </row>
    <row r="4737" spans="1:10" ht="15.75" thickBot="1" x14ac:dyDescent="0.3">
      <c r="A4737" s="263"/>
      <c r="B4737" s="253"/>
      <c r="C4737" s="60"/>
      <c r="D4737" s="60"/>
      <c r="E4737" s="79"/>
      <c r="F4737" s="80" t="s">
        <v>23</v>
      </c>
      <c r="G4737" s="80" t="str">
        <f t="shared" si="81"/>
        <v/>
      </c>
      <c r="H4737" s="81"/>
      <c r="I4737" s="63"/>
      <c r="J4737" s="34">
        <v>1000</v>
      </c>
    </row>
    <row r="4738" spans="1:10" ht="15.75" thickBot="1" x14ac:dyDescent="0.3">
      <c r="A4738" s="248" t="s">
        <v>1138</v>
      </c>
      <c r="B4738" s="251" t="s">
        <v>2962</v>
      </c>
      <c r="C4738" s="28"/>
      <c r="D4738" s="29" t="s">
        <v>28</v>
      </c>
      <c r="E4738" s="30"/>
      <c r="F4738" s="51" t="s">
        <v>23</v>
      </c>
      <c r="G4738" s="31" t="str">
        <f t="shared" si="81"/>
        <v/>
      </c>
      <c r="H4738" s="32"/>
      <c r="I4738" s="33"/>
      <c r="J4738" s="34">
        <v>3</v>
      </c>
    </row>
    <row r="4739" spans="1:10" x14ac:dyDescent="0.25">
      <c r="A4739" s="262"/>
      <c r="B4739" s="266"/>
      <c r="C4739" s="36"/>
      <c r="D4739" s="36"/>
      <c r="E4739" s="37"/>
      <c r="F4739" s="59" t="s">
        <v>23</v>
      </c>
      <c r="G4739" s="59" t="str">
        <f t="shared" si="81"/>
        <v/>
      </c>
      <c r="H4739" s="62"/>
      <c r="I4739" s="63"/>
      <c r="J4739" s="34">
        <v>3</v>
      </c>
    </row>
    <row r="4740" spans="1:10" x14ac:dyDescent="0.25">
      <c r="A4740" s="262"/>
      <c r="B4740" s="266"/>
      <c r="C4740" s="40" t="s">
        <v>4653</v>
      </c>
      <c r="D4740" s="40" t="s">
        <v>291</v>
      </c>
      <c r="E4740" s="41">
        <v>1</v>
      </c>
      <c r="F4740" s="59">
        <v>36.052500000000002</v>
      </c>
      <c r="G4740" s="59">
        <f t="shared" si="81"/>
        <v>36.052500000000002</v>
      </c>
      <c r="H4740" s="43">
        <f>SUM(G4740:G4740)</f>
        <v>36.052500000000002</v>
      </c>
      <c r="I4740" s="44"/>
      <c r="J4740" s="34">
        <v>3</v>
      </c>
    </row>
    <row r="4741" spans="1:10" ht="15.75" thickBot="1" x14ac:dyDescent="0.3">
      <c r="A4741" s="263"/>
      <c r="B4741" s="253"/>
      <c r="C4741" s="60"/>
      <c r="D4741" s="60"/>
      <c r="E4741" s="79"/>
      <c r="F4741" s="80" t="s">
        <v>23</v>
      </c>
      <c r="G4741" s="80" t="str">
        <f t="shared" si="81"/>
        <v/>
      </c>
      <c r="H4741" s="81"/>
      <c r="I4741" s="63"/>
      <c r="J4741" s="34">
        <v>3</v>
      </c>
    </row>
    <row r="4742" spans="1:10" ht="15.75" thickBot="1" x14ac:dyDescent="0.3">
      <c r="A4742" s="248" t="s">
        <v>1139</v>
      </c>
      <c r="B4742" s="251" t="s">
        <v>2969</v>
      </c>
      <c r="C4742" s="28"/>
      <c r="D4742" s="29" t="s">
        <v>28</v>
      </c>
      <c r="E4742" s="30"/>
      <c r="F4742" s="51" t="s">
        <v>23</v>
      </c>
      <c r="G4742" s="31" t="str">
        <f t="shared" si="81"/>
        <v/>
      </c>
      <c r="H4742" s="32"/>
      <c r="I4742" s="33"/>
      <c r="J4742" s="34">
        <v>6</v>
      </c>
    </row>
    <row r="4743" spans="1:10" x14ac:dyDescent="0.25">
      <c r="A4743" s="262"/>
      <c r="B4743" s="266"/>
      <c r="C4743" s="36"/>
      <c r="D4743" s="36"/>
      <c r="E4743" s="37"/>
      <c r="F4743" s="59" t="s">
        <v>23</v>
      </c>
      <c r="G4743" s="59" t="str">
        <f t="shared" si="81"/>
        <v/>
      </c>
      <c r="H4743" s="62"/>
      <c r="I4743" s="63"/>
      <c r="J4743" s="34">
        <v>6</v>
      </c>
    </row>
    <row r="4744" spans="1:10" x14ac:dyDescent="0.25">
      <c r="A4744" s="262"/>
      <c r="B4744" s="266"/>
      <c r="C4744" s="40" t="s">
        <v>4183</v>
      </c>
      <c r="D4744" s="40" t="s">
        <v>291</v>
      </c>
      <c r="E4744" s="41">
        <v>1</v>
      </c>
      <c r="F4744" s="59">
        <v>55.660499999999999</v>
      </c>
      <c r="G4744" s="59">
        <f t="shared" si="81"/>
        <v>55.660499999999999</v>
      </c>
      <c r="H4744" s="43">
        <f>SUM(G4744:G4744)</f>
        <v>55.660499999999999</v>
      </c>
      <c r="I4744" s="44"/>
      <c r="J4744" s="34">
        <v>6</v>
      </c>
    </row>
    <row r="4745" spans="1:10" ht="15.75" thickBot="1" x14ac:dyDescent="0.3">
      <c r="A4745" s="263"/>
      <c r="B4745" s="253"/>
      <c r="C4745" s="60"/>
      <c r="D4745" s="60"/>
      <c r="E4745" s="79"/>
      <c r="F4745" s="80" t="s">
        <v>23</v>
      </c>
      <c r="G4745" s="80" t="str">
        <f t="shared" si="81"/>
        <v/>
      </c>
      <c r="H4745" s="81"/>
      <c r="I4745" s="63"/>
      <c r="J4745" s="34">
        <v>6</v>
      </c>
    </row>
    <row r="4746" spans="1:10" ht="15.75" thickBot="1" x14ac:dyDescent="0.3">
      <c r="A4746" s="248" t="s">
        <v>1140</v>
      </c>
      <c r="B4746" s="251" t="s">
        <v>2970</v>
      </c>
      <c r="C4746" s="28"/>
      <c r="D4746" s="29" t="s">
        <v>28</v>
      </c>
      <c r="E4746" s="30"/>
      <c r="F4746" s="51" t="s">
        <v>23</v>
      </c>
      <c r="G4746" s="31" t="str">
        <f t="shared" si="81"/>
        <v/>
      </c>
      <c r="H4746" s="32"/>
      <c r="I4746" s="33"/>
      <c r="J4746" s="34">
        <v>5</v>
      </c>
    </row>
    <row r="4747" spans="1:10" x14ac:dyDescent="0.25">
      <c r="A4747" s="262"/>
      <c r="B4747" s="252"/>
      <c r="C4747" s="36"/>
      <c r="D4747" s="36"/>
      <c r="E4747" s="37"/>
      <c r="F4747" s="59" t="s">
        <v>23</v>
      </c>
      <c r="G4747" s="59" t="str">
        <f t="shared" si="81"/>
        <v/>
      </c>
      <c r="H4747" s="62"/>
      <c r="I4747" s="63"/>
      <c r="J4747" s="34">
        <v>5</v>
      </c>
    </row>
    <row r="4748" spans="1:10" ht="25.5" x14ac:dyDescent="0.25">
      <c r="A4748" s="262"/>
      <c r="B4748" s="252"/>
      <c r="C4748" s="40" t="s">
        <v>4157</v>
      </c>
      <c r="D4748" s="40" t="s">
        <v>291</v>
      </c>
      <c r="E4748" s="41">
        <v>1</v>
      </c>
      <c r="F4748" s="59">
        <v>418.31349999999998</v>
      </c>
      <c r="G4748" s="59">
        <f t="shared" si="81"/>
        <v>418.31349999999998</v>
      </c>
      <c r="H4748" s="43">
        <f>SUM(G4748:G4748)</f>
        <v>418.31349999999998</v>
      </c>
      <c r="I4748" s="44"/>
      <c r="J4748" s="34">
        <v>5</v>
      </c>
    </row>
    <row r="4749" spans="1:10" ht="15.75" thickBot="1" x14ac:dyDescent="0.3">
      <c r="A4749" s="263"/>
      <c r="B4749" s="253"/>
      <c r="C4749" s="60"/>
      <c r="D4749" s="60"/>
      <c r="E4749" s="79"/>
      <c r="F4749" s="80" t="s">
        <v>23</v>
      </c>
      <c r="G4749" s="80" t="str">
        <f t="shared" si="81"/>
        <v/>
      </c>
      <c r="H4749" s="81"/>
      <c r="I4749" s="63"/>
      <c r="J4749" s="34">
        <v>5</v>
      </c>
    </row>
    <row r="4750" spans="1:10" ht="15.75" thickBot="1" x14ac:dyDescent="0.3">
      <c r="A4750" s="248" t="s">
        <v>1141</v>
      </c>
      <c r="B4750" s="251" t="s">
        <v>2985</v>
      </c>
      <c r="C4750" s="28"/>
      <c r="D4750" s="29" t="s">
        <v>28</v>
      </c>
      <c r="E4750" s="30"/>
      <c r="F4750" s="51" t="s">
        <v>23</v>
      </c>
      <c r="G4750" s="31" t="str">
        <f t="shared" si="81"/>
        <v/>
      </c>
      <c r="H4750" s="32"/>
      <c r="I4750" s="33"/>
      <c r="J4750" s="34">
        <v>3</v>
      </c>
    </row>
    <row r="4751" spans="1:10" x14ac:dyDescent="0.25">
      <c r="A4751" s="262"/>
      <c r="B4751" s="252"/>
      <c r="C4751" s="36"/>
      <c r="D4751" s="36"/>
      <c r="E4751" s="37"/>
      <c r="F4751" s="59" t="s">
        <v>23</v>
      </c>
      <c r="G4751" s="59" t="str">
        <f t="shared" si="81"/>
        <v/>
      </c>
      <c r="H4751" s="62"/>
      <c r="I4751" s="63"/>
      <c r="J4751" s="34">
        <v>3</v>
      </c>
    </row>
    <row r="4752" spans="1:10" ht="25.5" x14ac:dyDescent="0.25">
      <c r="A4752" s="262"/>
      <c r="B4752" s="252"/>
      <c r="C4752" s="40" t="s">
        <v>4649</v>
      </c>
      <c r="D4752" s="40" t="s">
        <v>1286</v>
      </c>
      <c r="E4752" s="41">
        <v>20</v>
      </c>
      <c r="F4752" s="59">
        <v>2.3275000000000001</v>
      </c>
      <c r="G4752" s="59">
        <f t="shared" ref="G4752:G4815" si="82">IF(ISNUMBER(F4752),E4752*F4752,"")</f>
        <v>46.550000000000004</v>
      </c>
      <c r="H4752" s="43">
        <f>SUM(G4752:G4752)</f>
        <v>46.550000000000004</v>
      </c>
      <c r="I4752" s="44"/>
      <c r="J4752" s="34">
        <v>3</v>
      </c>
    </row>
    <row r="4753" spans="1:10" ht="15.75" thickBot="1" x14ac:dyDescent="0.3">
      <c r="A4753" s="263"/>
      <c r="B4753" s="253"/>
      <c r="C4753" s="60"/>
      <c r="D4753" s="60"/>
      <c r="E4753" s="79"/>
      <c r="F4753" s="80" t="s">
        <v>23</v>
      </c>
      <c r="G4753" s="80" t="str">
        <f t="shared" si="82"/>
        <v/>
      </c>
      <c r="H4753" s="81"/>
      <c r="I4753" s="63"/>
      <c r="J4753" s="34">
        <v>3</v>
      </c>
    </row>
    <row r="4754" spans="1:10" ht="15.75" thickBot="1" x14ac:dyDescent="0.3">
      <c r="A4754" s="248" t="s">
        <v>1142</v>
      </c>
      <c r="B4754" s="251" t="s">
        <v>2994</v>
      </c>
      <c r="C4754" s="28"/>
      <c r="D4754" s="29" t="s">
        <v>28</v>
      </c>
      <c r="E4754" s="30"/>
      <c r="F4754" s="51" t="s">
        <v>23</v>
      </c>
      <c r="G4754" s="31" t="str">
        <f t="shared" si="82"/>
        <v/>
      </c>
      <c r="H4754" s="32"/>
      <c r="I4754" s="33"/>
      <c r="J4754" s="34">
        <v>1</v>
      </c>
    </row>
    <row r="4755" spans="1:10" x14ac:dyDescent="0.25">
      <c r="A4755" s="262"/>
      <c r="B4755" s="252"/>
      <c r="C4755" s="36"/>
      <c r="D4755" s="36"/>
      <c r="E4755" s="37"/>
      <c r="F4755" s="59" t="s">
        <v>23</v>
      </c>
      <c r="G4755" s="59" t="str">
        <f t="shared" si="82"/>
        <v/>
      </c>
      <c r="H4755" s="62"/>
      <c r="I4755" s="63"/>
      <c r="J4755" s="34">
        <v>1</v>
      </c>
    </row>
    <row r="4756" spans="1:10" ht="25.5" x14ac:dyDescent="0.25">
      <c r="A4756" s="262"/>
      <c r="B4756" s="252"/>
      <c r="C4756" s="40" t="s">
        <v>4174</v>
      </c>
      <c r="D4756" s="40" t="s">
        <v>291</v>
      </c>
      <c r="E4756" s="41">
        <v>1</v>
      </c>
      <c r="F4756" s="59">
        <v>1072.4074999999998</v>
      </c>
      <c r="G4756" s="59">
        <f t="shared" si="82"/>
        <v>1072.4074999999998</v>
      </c>
      <c r="H4756" s="43">
        <f>SUM(G4756:G4756)</f>
        <v>1072.4074999999998</v>
      </c>
      <c r="I4756" s="44"/>
      <c r="J4756" s="34">
        <v>1</v>
      </c>
    </row>
    <row r="4757" spans="1:10" ht="15.75" thickBot="1" x14ac:dyDescent="0.3">
      <c r="A4757" s="263"/>
      <c r="B4757" s="253"/>
      <c r="C4757" s="60"/>
      <c r="D4757" s="60"/>
      <c r="E4757" s="79"/>
      <c r="F4757" s="80" t="s">
        <v>23</v>
      </c>
      <c r="G4757" s="80" t="str">
        <f t="shared" si="82"/>
        <v/>
      </c>
      <c r="H4757" s="81"/>
      <c r="I4757" s="63"/>
      <c r="J4757" s="34">
        <v>1</v>
      </c>
    </row>
    <row r="4758" spans="1:10" ht="15.75" thickBot="1" x14ac:dyDescent="0.3">
      <c r="A4758" s="248" t="s">
        <v>1143</v>
      </c>
      <c r="B4758" s="251" t="s">
        <v>3005</v>
      </c>
      <c r="C4758" s="28"/>
      <c r="D4758" s="29" t="s">
        <v>78</v>
      </c>
      <c r="E4758" s="30"/>
      <c r="F4758" s="51" t="s">
        <v>23</v>
      </c>
      <c r="G4758" s="31" t="str">
        <f t="shared" si="82"/>
        <v/>
      </c>
      <c r="H4758" s="32"/>
      <c r="I4758" s="33"/>
      <c r="J4758" s="34">
        <v>7630</v>
      </c>
    </row>
    <row r="4759" spans="1:10" x14ac:dyDescent="0.25">
      <c r="A4759" s="262"/>
      <c r="B4759" s="252"/>
      <c r="C4759" s="36"/>
      <c r="D4759" s="36"/>
      <c r="E4759" s="37"/>
      <c r="F4759" s="59" t="s">
        <v>23</v>
      </c>
      <c r="G4759" s="59" t="str">
        <f t="shared" si="82"/>
        <v/>
      </c>
      <c r="H4759" s="62"/>
      <c r="I4759" s="63"/>
      <c r="J4759" s="34">
        <v>7630</v>
      </c>
    </row>
    <row r="4760" spans="1:10" ht="25.5" x14ac:dyDescent="0.25">
      <c r="A4760" s="262"/>
      <c r="B4760" s="252"/>
      <c r="C4760" s="40" t="s">
        <v>3821</v>
      </c>
      <c r="D4760" s="40" t="s">
        <v>177</v>
      </c>
      <c r="E4760" s="41">
        <v>1</v>
      </c>
      <c r="F4760" s="59">
        <v>50.73</v>
      </c>
      <c r="G4760" s="59">
        <f t="shared" si="82"/>
        <v>50.73</v>
      </c>
      <c r="H4760" s="43">
        <f>SUM(G4760:G4760)</f>
        <v>50.73</v>
      </c>
      <c r="I4760" s="44"/>
      <c r="J4760" s="34">
        <v>7630</v>
      </c>
    </row>
    <row r="4761" spans="1:10" ht="15.75" thickBot="1" x14ac:dyDescent="0.3">
      <c r="A4761" s="263"/>
      <c r="B4761" s="253"/>
      <c r="C4761" s="60"/>
      <c r="D4761" s="60"/>
      <c r="E4761" s="79"/>
      <c r="F4761" s="80" t="s">
        <v>23</v>
      </c>
      <c r="G4761" s="80" t="str">
        <f t="shared" si="82"/>
        <v/>
      </c>
      <c r="H4761" s="81"/>
      <c r="I4761" s="63"/>
      <c r="J4761" s="34">
        <v>7630</v>
      </c>
    </row>
    <row r="4762" spans="1:10" ht="15.75" thickBot="1" x14ac:dyDescent="0.3">
      <c r="A4762" s="248" t="s">
        <v>1144</v>
      </c>
      <c r="B4762" s="251" t="s">
        <v>3006</v>
      </c>
      <c r="C4762" s="28"/>
      <c r="D4762" s="29" t="s">
        <v>80</v>
      </c>
      <c r="E4762" s="30"/>
      <c r="F4762" s="51" t="s">
        <v>23</v>
      </c>
      <c r="G4762" s="31" t="str">
        <f t="shared" si="82"/>
        <v/>
      </c>
      <c r="H4762" s="32"/>
      <c r="I4762" s="33"/>
      <c r="J4762" s="34">
        <v>3160</v>
      </c>
    </row>
    <row r="4763" spans="1:10" x14ac:dyDescent="0.25">
      <c r="A4763" s="262"/>
      <c r="B4763" s="252"/>
      <c r="C4763" s="36"/>
      <c r="D4763" s="36"/>
      <c r="E4763" s="37"/>
      <c r="F4763" s="59" t="s">
        <v>23</v>
      </c>
      <c r="G4763" s="59" t="str">
        <f t="shared" si="82"/>
        <v/>
      </c>
      <c r="H4763" s="62"/>
      <c r="I4763" s="63"/>
      <c r="J4763" s="34">
        <v>3160</v>
      </c>
    </row>
    <row r="4764" spans="1:10" ht="25.5" x14ac:dyDescent="0.25">
      <c r="A4764" s="262"/>
      <c r="B4764" s="252"/>
      <c r="C4764" s="40" t="s">
        <v>3775</v>
      </c>
      <c r="D4764" s="40" t="s">
        <v>80</v>
      </c>
      <c r="E4764" s="41">
        <v>1</v>
      </c>
      <c r="F4764" s="59">
        <v>19.285</v>
      </c>
      <c r="G4764" s="59">
        <f t="shared" si="82"/>
        <v>19.285</v>
      </c>
      <c r="H4764" s="43">
        <f>SUM(G4764:G4764)</f>
        <v>19.285</v>
      </c>
      <c r="I4764" s="44"/>
      <c r="J4764" s="34">
        <v>3160</v>
      </c>
    </row>
    <row r="4765" spans="1:10" ht="15.75" thickBot="1" x14ac:dyDescent="0.3">
      <c r="A4765" s="263"/>
      <c r="B4765" s="253"/>
      <c r="C4765" s="60"/>
      <c r="D4765" s="60"/>
      <c r="E4765" s="79"/>
      <c r="F4765" s="80" t="s">
        <v>23</v>
      </c>
      <c r="G4765" s="80" t="str">
        <f t="shared" si="82"/>
        <v/>
      </c>
      <c r="H4765" s="81"/>
      <c r="I4765" s="63"/>
      <c r="J4765" s="34">
        <v>3160</v>
      </c>
    </row>
    <row r="4766" spans="1:10" ht="15.75" hidden="1" thickBot="1" x14ac:dyDescent="0.3">
      <c r="A4766" s="248" t="s">
        <v>1145</v>
      </c>
      <c r="B4766" s="251" t="s">
        <v>3007</v>
      </c>
      <c r="C4766" s="28"/>
      <c r="D4766" s="29" t="s">
        <v>78</v>
      </c>
      <c r="E4766" s="30"/>
      <c r="F4766" s="51" t="s">
        <v>23</v>
      </c>
      <c r="G4766" s="31" t="str">
        <f t="shared" si="82"/>
        <v/>
      </c>
      <c r="H4766" s="32"/>
      <c r="I4766" s="33"/>
      <c r="J4766" s="34">
        <v>0</v>
      </c>
    </row>
    <row r="4767" spans="1:10" ht="15.75" hidden="1" thickBot="1" x14ac:dyDescent="0.3">
      <c r="A4767" s="262"/>
      <c r="B4767" s="252"/>
      <c r="C4767" s="36"/>
      <c r="D4767" s="36"/>
      <c r="E4767" s="37"/>
      <c r="F4767" s="59" t="s">
        <v>23</v>
      </c>
      <c r="G4767" s="59" t="str">
        <f t="shared" si="82"/>
        <v/>
      </c>
      <c r="H4767" s="62"/>
      <c r="I4767" s="63"/>
      <c r="J4767" s="34">
        <v>0</v>
      </c>
    </row>
    <row r="4768" spans="1:10" ht="15.75" hidden="1" thickBot="1" x14ac:dyDescent="0.3">
      <c r="A4768" s="262"/>
      <c r="B4768" s="252"/>
      <c r="C4768" s="40" t="s">
        <v>3757</v>
      </c>
      <c r="D4768" s="40" t="s">
        <v>3752</v>
      </c>
      <c r="E4768" s="41">
        <v>0.1</v>
      </c>
      <c r="F4768" s="59">
        <v>28.0535</v>
      </c>
      <c r="G4768" s="59">
        <f t="shared" si="82"/>
        <v>2.8053500000000002</v>
      </c>
      <c r="H4768" s="43">
        <f>SUM(G4768:G4775)</f>
        <v>29.163900000000005</v>
      </c>
      <c r="I4768" s="44"/>
      <c r="J4768" s="34">
        <v>0</v>
      </c>
    </row>
    <row r="4769" spans="1:10" ht="15.75" hidden="1" thickBot="1" x14ac:dyDescent="0.3">
      <c r="A4769" s="262"/>
      <c r="B4769" s="252"/>
      <c r="C4769" s="40" t="s">
        <v>3754</v>
      </c>
      <c r="D4769" s="40" t="s">
        <v>3752</v>
      </c>
      <c r="E4769" s="41">
        <v>0.1</v>
      </c>
      <c r="F4769" s="59">
        <v>20.814499999999999</v>
      </c>
      <c r="G4769" s="59">
        <f t="shared" si="82"/>
        <v>2.0814499999999998</v>
      </c>
      <c r="H4769" s="62"/>
      <c r="I4769" s="63"/>
      <c r="J4769" s="34">
        <v>0</v>
      </c>
    </row>
    <row r="4770" spans="1:10" ht="15.75" hidden="1" thickBot="1" x14ac:dyDescent="0.3">
      <c r="A4770" s="262"/>
      <c r="B4770" s="252"/>
      <c r="C4770" s="40" t="s">
        <v>1146</v>
      </c>
      <c r="D4770" s="40" t="s">
        <v>1035</v>
      </c>
      <c r="E4770" s="41">
        <v>0.1</v>
      </c>
      <c r="F4770" s="59">
        <v>105.39</v>
      </c>
      <c r="G4770" s="59">
        <f t="shared" si="82"/>
        <v>10.539000000000001</v>
      </c>
      <c r="H4770" s="62"/>
      <c r="I4770" s="63"/>
      <c r="J4770" s="34">
        <v>0</v>
      </c>
    </row>
    <row r="4771" spans="1:10" ht="26.25" hidden="1" thickBot="1" x14ac:dyDescent="0.3">
      <c r="A4771" s="262"/>
      <c r="B4771" s="252"/>
      <c r="C4771" s="40" t="s">
        <v>1147</v>
      </c>
      <c r="D4771" s="40" t="s">
        <v>78</v>
      </c>
      <c r="E4771" s="41">
        <v>1.1000000000000001</v>
      </c>
      <c r="F4771" s="59" t="s">
        <v>23</v>
      </c>
      <c r="G4771" s="59" t="str">
        <f t="shared" si="82"/>
        <v/>
      </c>
      <c r="H4771" s="62"/>
      <c r="I4771" s="63"/>
      <c r="J4771" s="34">
        <v>0</v>
      </c>
    </row>
    <row r="4772" spans="1:10" ht="15.75" hidden="1" thickBot="1" x14ac:dyDescent="0.3">
      <c r="A4772" s="262"/>
      <c r="B4772" s="252"/>
      <c r="C4772" s="40" t="s">
        <v>3757</v>
      </c>
      <c r="D4772" s="40" t="s">
        <v>3752</v>
      </c>
      <c r="E4772" s="41">
        <v>0.2</v>
      </c>
      <c r="F4772" s="59">
        <v>28.0535</v>
      </c>
      <c r="G4772" s="59">
        <f t="shared" si="82"/>
        <v>5.6107000000000005</v>
      </c>
      <c r="H4772" s="62"/>
      <c r="I4772" s="44"/>
      <c r="J4772" s="34">
        <v>0</v>
      </c>
    </row>
    <row r="4773" spans="1:10" ht="15.75" hidden="1" thickBot="1" x14ac:dyDescent="0.3">
      <c r="A4773" s="262"/>
      <c r="B4773" s="252"/>
      <c r="C4773" s="40" t="s">
        <v>3754</v>
      </c>
      <c r="D4773" s="40" t="s">
        <v>3752</v>
      </c>
      <c r="E4773" s="41">
        <v>0.2</v>
      </c>
      <c r="F4773" s="59">
        <v>20.814499999999999</v>
      </c>
      <c r="G4773" s="59">
        <f t="shared" si="82"/>
        <v>4.1628999999999996</v>
      </c>
      <c r="H4773" s="62"/>
      <c r="I4773" s="63"/>
      <c r="J4773" s="34">
        <v>0</v>
      </c>
    </row>
    <row r="4774" spans="1:10" ht="15.75" hidden="1" thickBot="1" x14ac:dyDescent="0.3">
      <c r="A4774" s="262"/>
      <c r="B4774" s="252"/>
      <c r="C4774" s="40" t="s">
        <v>3759</v>
      </c>
      <c r="D4774" s="40" t="s">
        <v>1035</v>
      </c>
      <c r="E4774" s="41">
        <v>1.5</v>
      </c>
      <c r="F4774" s="59">
        <v>0.627</v>
      </c>
      <c r="G4774" s="59">
        <f t="shared" si="82"/>
        <v>0.9405</v>
      </c>
      <c r="H4774" s="62"/>
      <c r="I4774" s="63"/>
      <c r="J4774" s="34">
        <v>0</v>
      </c>
    </row>
    <row r="4775" spans="1:10" ht="15.75" hidden="1" thickBot="1" x14ac:dyDescent="0.3">
      <c r="A4775" s="262"/>
      <c r="B4775" s="252"/>
      <c r="C4775" s="40" t="s">
        <v>1148</v>
      </c>
      <c r="D4775" s="40" t="s">
        <v>1035</v>
      </c>
      <c r="E4775" s="41">
        <f>ROUND(E4774*0.1,2)</f>
        <v>0.15</v>
      </c>
      <c r="F4775" s="59">
        <v>20.16</v>
      </c>
      <c r="G4775" s="59">
        <f t="shared" si="82"/>
        <v>3.024</v>
      </c>
      <c r="H4775" s="62"/>
      <c r="I4775" s="63"/>
      <c r="J4775" s="34">
        <v>0</v>
      </c>
    </row>
    <row r="4776" spans="1:10" ht="15.75" hidden="1" thickBot="1" x14ac:dyDescent="0.3">
      <c r="A4776" s="262"/>
      <c r="B4776" s="252"/>
      <c r="C4776" s="40"/>
      <c r="D4776" s="40"/>
      <c r="E4776" s="41"/>
      <c r="F4776" s="59" t="s">
        <v>23</v>
      </c>
      <c r="G4776" s="59" t="str">
        <f t="shared" si="82"/>
        <v/>
      </c>
      <c r="H4776" s="62"/>
      <c r="I4776" s="63"/>
      <c r="J4776" s="34">
        <v>0</v>
      </c>
    </row>
    <row r="4777" spans="1:10" ht="15.75" hidden="1" thickBot="1" x14ac:dyDescent="0.3">
      <c r="A4777" s="248" t="s">
        <v>1149</v>
      </c>
      <c r="B4777" s="251" t="s">
        <v>3008</v>
      </c>
      <c r="C4777" s="28"/>
      <c r="D4777" s="29" t="s">
        <v>78</v>
      </c>
      <c r="E4777" s="30"/>
      <c r="F4777" s="51" t="s">
        <v>23</v>
      </c>
      <c r="G4777" s="31" t="str">
        <f t="shared" si="82"/>
        <v/>
      </c>
      <c r="H4777" s="32"/>
      <c r="I4777" s="33"/>
      <c r="J4777" s="34">
        <v>0</v>
      </c>
    </row>
    <row r="4778" spans="1:10" ht="15.75" hidden="1" thickBot="1" x14ac:dyDescent="0.3">
      <c r="A4778" s="262"/>
      <c r="B4778" s="252"/>
      <c r="C4778" s="36"/>
      <c r="D4778" s="36"/>
      <c r="E4778" s="37"/>
      <c r="F4778" s="59" t="s">
        <v>23</v>
      </c>
      <c r="G4778" s="59" t="str">
        <f t="shared" si="82"/>
        <v/>
      </c>
      <c r="H4778" s="62"/>
      <c r="I4778" s="63"/>
      <c r="J4778" s="34">
        <v>0</v>
      </c>
    </row>
    <row r="4779" spans="1:10" ht="15.75" hidden="1" thickBot="1" x14ac:dyDescent="0.3">
      <c r="A4779" s="262"/>
      <c r="B4779" s="252"/>
      <c r="C4779" s="40" t="s">
        <v>3757</v>
      </c>
      <c r="D4779" s="40" t="s">
        <v>3752</v>
      </c>
      <c r="E4779" s="41">
        <v>0.01</v>
      </c>
      <c r="F4779" s="59">
        <v>28.0535</v>
      </c>
      <c r="G4779" s="59">
        <f t="shared" si="82"/>
        <v>0.28053499999999998</v>
      </c>
      <c r="H4779" s="43">
        <f>SUM(G4779:G4780)</f>
        <v>2.3619849999999998</v>
      </c>
      <c r="I4779" s="44"/>
      <c r="J4779" s="34">
        <v>0</v>
      </c>
    </row>
    <row r="4780" spans="1:10" ht="15.75" hidden="1" thickBot="1" x14ac:dyDescent="0.3">
      <c r="A4780" s="262"/>
      <c r="B4780" s="252"/>
      <c r="C4780" s="40" t="s">
        <v>3754</v>
      </c>
      <c r="D4780" s="40" t="s">
        <v>3752</v>
      </c>
      <c r="E4780" s="41">
        <v>0.1</v>
      </c>
      <c r="F4780" s="59">
        <v>20.814499999999999</v>
      </c>
      <c r="G4780" s="59">
        <f t="shared" si="82"/>
        <v>2.0814499999999998</v>
      </c>
      <c r="H4780" s="62"/>
      <c r="I4780" s="63"/>
      <c r="J4780" s="34">
        <v>0</v>
      </c>
    </row>
    <row r="4781" spans="1:10" ht="15.75" hidden="1" thickBot="1" x14ac:dyDescent="0.3">
      <c r="A4781" s="263"/>
      <c r="B4781" s="253"/>
      <c r="C4781" s="60"/>
      <c r="D4781" s="60"/>
      <c r="E4781" s="79"/>
      <c r="F4781" s="80" t="s">
        <v>23</v>
      </c>
      <c r="G4781" s="80" t="str">
        <f t="shared" si="82"/>
        <v/>
      </c>
      <c r="H4781" s="81"/>
      <c r="I4781" s="63"/>
      <c r="J4781" s="34">
        <v>0</v>
      </c>
    </row>
    <row r="4782" spans="1:10" ht="15.75" hidden="1" thickBot="1" x14ac:dyDescent="0.3">
      <c r="A4782" s="248" t="s">
        <v>1150</v>
      </c>
      <c r="B4782" s="251" t="s">
        <v>3009</v>
      </c>
      <c r="C4782" s="28"/>
      <c r="D4782" s="29" t="s">
        <v>28</v>
      </c>
      <c r="E4782" s="30"/>
      <c r="F4782" s="51" t="s">
        <v>23</v>
      </c>
      <c r="G4782" s="31" t="str">
        <f t="shared" si="82"/>
        <v/>
      </c>
      <c r="H4782" s="32"/>
      <c r="I4782" s="33"/>
      <c r="J4782" s="34">
        <v>0</v>
      </c>
    </row>
    <row r="4783" spans="1:10" ht="15.75" hidden="1" thickBot="1" x14ac:dyDescent="0.3">
      <c r="A4783" s="262"/>
      <c r="B4783" s="252"/>
      <c r="C4783" s="36"/>
      <c r="D4783" s="36"/>
      <c r="E4783" s="37"/>
      <c r="F4783" s="59" t="s">
        <v>23</v>
      </c>
      <c r="G4783" s="59" t="str">
        <f t="shared" si="82"/>
        <v/>
      </c>
      <c r="H4783" s="62"/>
      <c r="I4783" s="63"/>
      <c r="J4783" s="34">
        <v>0</v>
      </c>
    </row>
    <row r="4784" spans="1:10" ht="15.75" hidden="1" thickBot="1" x14ac:dyDescent="0.3">
      <c r="A4784" s="262"/>
      <c r="B4784" s="252"/>
      <c r="C4784" s="40" t="s">
        <v>4056</v>
      </c>
      <c r="D4784" s="40" t="s">
        <v>1035</v>
      </c>
      <c r="E4784" s="41">
        <f>0.5228*2.4/1.5</f>
        <v>0.83648</v>
      </c>
      <c r="F4784" s="59">
        <v>33.971999999999994</v>
      </c>
      <c r="G4784" s="59">
        <f t="shared" si="82"/>
        <v>28.416898559999996</v>
      </c>
      <c r="H4784" s="43">
        <f>SUM(G4784:G4790)</f>
        <v>918.83162441999991</v>
      </c>
      <c r="I4784" s="44"/>
      <c r="J4784" s="34">
        <v>0</v>
      </c>
    </row>
    <row r="4785" spans="1:10" ht="39" hidden="1" thickBot="1" x14ac:dyDescent="0.3">
      <c r="A4785" s="262"/>
      <c r="B4785" s="252"/>
      <c r="C4785" s="40" t="s">
        <v>4131</v>
      </c>
      <c r="D4785" s="40" t="s">
        <v>291</v>
      </c>
      <c r="E4785" s="41">
        <v>9</v>
      </c>
      <c r="F4785" s="59">
        <v>1.0449999999999999</v>
      </c>
      <c r="G4785" s="59">
        <f t="shared" si="82"/>
        <v>9.4049999999999994</v>
      </c>
      <c r="H4785" s="62"/>
      <c r="I4785" s="63"/>
      <c r="J4785" s="34">
        <v>0</v>
      </c>
    </row>
    <row r="4786" spans="1:10" ht="39" hidden="1" thickBot="1" x14ac:dyDescent="0.3">
      <c r="A4786" s="262"/>
      <c r="B4786" s="252"/>
      <c r="C4786" s="40" t="s">
        <v>4187</v>
      </c>
      <c r="D4786" s="40" t="s">
        <v>177</v>
      </c>
      <c r="E4786" s="41">
        <f>1.005*2.4/1.5</f>
        <v>1.6079999999999997</v>
      </c>
      <c r="F4786" s="59">
        <v>462.45049999999998</v>
      </c>
      <c r="G4786" s="59">
        <f t="shared" si="82"/>
        <v>743.62040399999978</v>
      </c>
      <c r="H4786" s="62"/>
      <c r="I4786" s="63"/>
      <c r="J4786" s="34">
        <v>0</v>
      </c>
    </row>
    <row r="4787" spans="1:10" ht="15.75" hidden="1" thickBot="1" x14ac:dyDescent="0.3">
      <c r="A4787" s="262"/>
      <c r="B4787" s="252"/>
      <c r="C4787" s="40" t="s">
        <v>4161</v>
      </c>
      <c r="D4787" s="40" t="s">
        <v>1035</v>
      </c>
      <c r="E4787" s="41">
        <f>0.0211*2.4/1.5</f>
        <v>3.3759999999999998E-2</v>
      </c>
      <c r="F4787" s="59">
        <v>76.36099999999999</v>
      </c>
      <c r="G4787" s="59">
        <f t="shared" si="82"/>
        <v>2.5779473599999996</v>
      </c>
      <c r="H4787" s="62"/>
      <c r="I4787" s="63"/>
      <c r="J4787" s="34">
        <v>0</v>
      </c>
    </row>
    <row r="4788" spans="1:10" ht="26.25" hidden="1" thickBot="1" x14ac:dyDescent="0.3">
      <c r="A4788" s="262"/>
      <c r="B4788" s="252"/>
      <c r="C4788" s="40" t="s">
        <v>3999</v>
      </c>
      <c r="D4788" s="40" t="s">
        <v>291</v>
      </c>
      <c r="E4788" s="41">
        <v>3</v>
      </c>
      <c r="F4788" s="59">
        <v>24.206</v>
      </c>
      <c r="G4788" s="59">
        <f t="shared" si="82"/>
        <v>72.617999999999995</v>
      </c>
      <c r="H4788" s="62"/>
      <c r="I4788" s="44"/>
      <c r="J4788" s="34">
        <v>0</v>
      </c>
    </row>
    <row r="4789" spans="1:10" ht="15.75" hidden="1" thickBot="1" x14ac:dyDescent="0.3">
      <c r="A4789" s="262"/>
      <c r="B4789" s="252"/>
      <c r="C4789" s="40" t="s">
        <v>3826</v>
      </c>
      <c r="D4789" s="40" t="s">
        <v>3752</v>
      </c>
      <c r="E4789" s="41">
        <v>1.4944</v>
      </c>
      <c r="F4789" s="59">
        <v>27.920500000000001</v>
      </c>
      <c r="G4789" s="59">
        <f t="shared" si="82"/>
        <v>41.724395199999996</v>
      </c>
      <c r="H4789" s="62"/>
      <c r="I4789" s="63"/>
      <c r="J4789" s="34">
        <v>0</v>
      </c>
    </row>
    <row r="4790" spans="1:10" ht="15.75" hidden="1" thickBot="1" x14ac:dyDescent="0.3">
      <c r="A4790" s="262"/>
      <c r="B4790" s="252"/>
      <c r="C4790" s="40" t="s">
        <v>3754</v>
      </c>
      <c r="D4790" s="40" t="s">
        <v>3752</v>
      </c>
      <c r="E4790" s="41">
        <v>0.98340000000000005</v>
      </c>
      <c r="F4790" s="59">
        <v>20.814499999999999</v>
      </c>
      <c r="G4790" s="59">
        <f t="shared" si="82"/>
        <v>20.468979300000001</v>
      </c>
      <c r="H4790" s="62"/>
      <c r="I4790" s="63"/>
      <c r="J4790" s="34">
        <v>0</v>
      </c>
    </row>
    <row r="4791" spans="1:10" ht="15.75" hidden="1" thickBot="1" x14ac:dyDescent="0.3">
      <c r="A4791" s="262"/>
      <c r="B4791" s="252"/>
      <c r="C4791" s="40"/>
      <c r="D4791" s="40"/>
      <c r="E4791" s="41"/>
      <c r="F4791" s="59" t="s">
        <v>23</v>
      </c>
      <c r="G4791" s="59" t="str">
        <f t="shared" si="82"/>
        <v/>
      </c>
      <c r="H4791" s="62"/>
      <c r="I4791" s="63"/>
      <c r="J4791" s="34">
        <v>0</v>
      </c>
    </row>
    <row r="4792" spans="1:10" ht="15.75" hidden="1" thickBot="1" x14ac:dyDescent="0.3">
      <c r="A4792" s="248" t="s">
        <v>1151</v>
      </c>
      <c r="B4792" s="251" t="s">
        <v>3010</v>
      </c>
      <c r="C4792" s="28"/>
      <c r="D4792" s="29" t="s">
        <v>28</v>
      </c>
      <c r="E4792" s="30"/>
      <c r="F4792" s="51" t="s">
        <v>23</v>
      </c>
      <c r="G4792" s="31" t="str">
        <f t="shared" si="82"/>
        <v/>
      </c>
      <c r="H4792" s="32"/>
      <c r="I4792" s="33"/>
      <c r="J4792" s="34">
        <v>0</v>
      </c>
    </row>
    <row r="4793" spans="1:10" ht="15.75" hidden="1" thickBot="1" x14ac:dyDescent="0.3">
      <c r="A4793" s="262"/>
      <c r="B4793" s="252"/>
      <c r="C4793" s="36"/>
      <c r="D4793" s="36"/>
      <c r="E4793" s="37"/>
      <c r="F4793" s="59" t="s">
        <v>23</v>
      </c>
      <c r="G4793" s="59" t="str">
        <f t="shared" si="82"/>
        <v/>
      </c>
      <c r="H4793" s="62"/>
      <c r="I4793" s="63"/>
      <c r="J4793" s="34">
        <v>0</v>
      </c>
    </row>
    <row r="4794" spans="1:10" ht="15.75" hidden="1" thickBot="1" x14ac:dyDescent="0.3">
      <c r="A4794" s="262"/>
      <c r="B4794" s="252"/>
      <c r="C4794" s="40" t="s">
        <v>4056</v>
      </c>
      <c r="D4794" s="40" t="s">
        <v>1035</v>
      </c>
      <c r="E4794" s="41">
        <f>0.5228*2.5/1.5</f>
        <v>0.8713333333333334</v>
      </c>
      <c r="F4794" s="59">
        <v>33.971999999999994</v>
      </c>
      <c r="G4794" s="59">
        <f t="shared" si="82"/>
        <v>29.600935999999997</v>
      </c>
      <c r="H4794" s="43">
        <f>SUM(G4794:G4800)</f>
        <v>951.10725983333316</v>
      </c>
      <c r="I4794" s="44"/>
      <c r="J4794" s="34">
        <v>0</v>
      </c>
    </row>
    <row r="4795" spans="1:10" ht="39" hidden="1" thickBot="1" x14ac:dyDescent="0.3">
      <c r="A4795" s="262"/>
      <c r="B4795" s="252"/>
      <c r="C4795" s="40" t="s">
        <v>4131</v>
      </c>
      <c r="D4795" s="40" t="s">
        <v>291</v>
      </c>
      <c r="E4795" s="41">
        <v>9</v>
      </c>
      <c r="F4795" s="59">
        <v>1.0449999999999999</v>
      </c>
      <c r="G4795" s="59">
        <f t="shared" si="82"/>
        <v>9.4049999999999994</v>
      </c>
      <c r="H4795" s="62"/>
      <c r="I4795" s="63"/>
      <c r="J4795" s="34">
        <v>0</v>
      </c>
    </row>
    <row r="4796" spans="1:10" ht="39" hidden="1" thickBot="1" x14ac:dyDescent="0.3">
      <c r="A4796" s="262"/>
      <c r="B4796" s="252"/>
      <c r="C4796" s="40" t="s">
        <v>4187</v>
      </c>
      <c r="D4796" s="40" t="s">
        <v>177</v>
      </c>
      <c r="E4796" s="41">
        <f>1.005*2.5/1.5</f>
        <v>1.6749999999999998</v>
      </c>
      <c r="F4796" s="59">
        <v>462.45049999999998</v>
      </c>
      <c r="G4796" s="59">
        <f t="shared" si="82"/>
        <v>774.60458749999987</v>
      </c>
      <c r="H4796" s="62"/>
      <c r="I4796" s="63"/>
      <c r="J4796" s="34">
        <v>0</v>
      </c>
    </row>
    <row r="4797" spans="1:10" ht="15.75" hidden="1" thickBot="1" x14ac:dyDescent="0.3">
      <c r="A4797" s="262"/>
      <c r="B4797" s="252"/>
      <c r="C4797" s="40" t="s">
        <v>4161</v>
      </c>
      <c r="D4797" s="40" t="s">
        <v>1035</v>
      </c>
      <c r="E4797" s="41">
        <f>0.0211*2.5/1.5</f>
        <v>3.5166666666666672E-2</v>
      </c>
      <c r="F4797" s="59">
        <v>76.36099999999999</v>
      </c>
      <c r="G4797" s="59">
        <f t="shared" si="82"/>
        <v>2.6853618333333333</v>
      </c>
      <c r="H4797" s="62"/>
      <c r="I4797" s="63"/>
      <c r="J4797" s="34">
        <v>0</v>
      </c>
    </row>
    <row r="4798" spans="1:10" ht="26.25" hidden="1" thickBot="1" x14ac:dyDescent="0.3">
      <c r="A4798" s="262"/>
      <c r="B4798" s="252"/>
      <c r="C4798" s="40" t="s">
        <v>3999</v>
      </c>
      <c r="D4798" s="40" t="s">
        <v>291</v>
      </c>
      <c r="E4798" s="41">
        <v>3</v>
      </c>
      <c r="F4798" s="59">
        <v>24.206</v>
      </c>
      <c r="G4798" s="59">
        <f t="shared" si="82"/>
        <v>72.617999999999995</v>
      </c>
      <c r="H4798" s="62"/>
      <c r="I4798" s="44"/>
      <c r="J4798" s="34">
        <v>0</v>
      </c>
    </row>
    <row r="4799" spans="1:10" ht="15.75" hidden="1" thickBot="1" x14ac:dyDescent="0.3">
      <c r="A4799" s="262"/>
      <c r="B4799" s="252"/>
      <c r="C4799" s="40" t="s">
        <v>3826</v>
      </c>
      <c r="D4799" s="40" t="s">
        <v>3752</v>
      </c>
      <c r="E4799" s="41">
        <v>1.4944</v>
      </c>
      <c r="F4799" s="59">
        <v>27.920500000000001</v>
      </c>
      <c r="G4799" s="59">
        <f t="shared" si="82"/>
        <v>41.724395199999996</v>
      </c>
      <c r="H4799" s="62"/>
      <c r="I4799" s="63"/>
      <c r="J4799" s="34">
        <v>0</v>
      </c>
    </row>
    <row r="4800" spans="1:10" ht="15.75" hidden="1" thickBot="1" x14ac:dyDescent="0.3">
      <c r="A4800" s="262"/>
      <c r="B4800" s="252"/>
      <c r="C4800" s="40" t="s">
        <v>3754</v>
      </c>
      <c r="D4800" s="40" t="s">
        <v>3752</v>
      </c>
      <c r="E4800" s="41">
        <v>0.98340000000000005</v>
      </c>
      <c r="F4800" s="59">
        <v>20.814499999999999</v>
      </c>
      <c r="G4800" s="59">
        <f t="shared" si="82"/>
        <v>20.468979300000001</v>
      </c>
      <c r="H4800" s="62"/>
      <c r="I4800" s="63"/>
      <c r="J4800" s="34">
        <v>0</v>
      </c>
    </row>
    <row r="4801" spans="1:10" ht="15.75" hidden="1" thickBot="1" x14ac:dyDescent="0.3">
      <c r="A4801" s="262"/>
      <c r="B4801" s="252"/>
      <c r="C4801" s="40"/>
      <c r="D4801" s="40"/>
      <c r="E4801" s="41"/>
      <c r="F4801" s="59" t="s">
        <v>23</v>
      </c>
      <c r="G4801" s="59" t="str">
        <f t="shared" si="82"/>
        <v/>
      </c>
      <c r="H4801" s="62"/>
      <c r="I4801" s="63"/>
      <c r="J4801" s="34">
        <v>0</v>
      </c>
    </row>
    <row r="4802" spans="1:10" ht="15.75" hidden="1" thickBot="1" x14ac:dyDescent="0.3">
      <c r="A4802" s="248" t="s">
        <v>1152</v>
      </c>
      <c r="B4802" s="251" t="s">
        <v>3011</v>
      </c>
      <c r="C4802" s="28"/>
      <c r="D4802" s="29" t="s">
        <v>28</v>
      </c>
      <c r="E4802" s="30"/>
      <c r="F4802" s="45" t="s">
        <v>23</v>
      </c>
      <c r="G4802" s="31" t="str">
        <f t="shared" si="82"/>
        <v/>
      </c>
      <c r="H4802" s="32"/>
      <c r="I4802" s="33"/>
      <c r="J4802" s="34">
        <v>0</v>
      </c>
    </row>
    <row r="4803" spans="1:10" ht="15.75" hidden="1" thickBot="1" x14ac:dyDescent="0.3">
      <c r="A4803" s="249"/>
      <c r="B4803" s="252"/>
      <c r="C4803" s="36"/>
      <c r="D4803" s="36"/>
      <c r="E4803" s="37"/>
      <c r="F4803" s="46" t="s">
        <v>23</v>
      </c>
      <c r="G4803" s="38" t="str">
        <f t="shared" si="82"/>
        <v/>
      </c>
      <c r="H4803" s="39"/>
      <c r="I4803" s="35"/>
      <c r="J4803" s="34">
        <v>0</v>
      </c>
    </row>
    <row r="4804" spans="1:10" ht="15.75" hidden="1" thickBot="1" x14ac:dyDescent="0.3">
      <c r="A4804" s="249"/>
      <c r="B4804" s="252"/>
      <c r="C4804" s="40" t="s">
        <v>3767</v>
      </c>
      <c r="D4804" s="40" t="s">
        <v>3752</v>
      </c>
      <c r="E4804" s="41">
        <v>0.15</v>
      </c>
      <c r="F4804" s="38">
        <v>25.877999999999997</v>
      </c>
      <c r="G4804" s="38">
        <f t="shared" si="82"/>
        <v>3.8816999999999995</v>
      </c>
      <c r="H4804" s="43">
        <f>SUM(G4804:G4805)</f>
        <v>3.8816999999999995</v>
      </c>
      <c r="I4804" s="44"/>
      <c r="J4804" s="34">
        <v>0</v>
      </c>
    </row>
    <row r="4805" spans="1:10" ht="26.25" hidden="1" thickBot="1" x14ac:dyDescent="0.3">
      <c r="A4805" s="249"/>
      <c r="B4805" s="252"/>
      <c r="C4805" s="40" t="s">
        <v>1153</v>
      </c>
      <c r="D4805" s="40" t="s">
        <v>28</v>
      </c>
      <c r="E4805" s="41">
        <v>1</v>
      </c>
      <c r="F4805" s="35" t="s">
        <v>23</v>
      </c>
      <c r="G4805" s="38" t="str">
        <f t="shared" si="82"/>
        <v/>
      </c>
      <c r="H4805" s="39"/>
      <c r="I4805" s="35"/>
      <c r="J4805" s="34">
        <v>0</v>
      </c>
    </row>
    <row r="4806" spans="1:10" ht="15.75" hidden="1" thickBot="1" x14ac:dyDescent="0.3">
      <c r="A4806" s="250"/>
      <c r="B4806" s="253"/>
      <c r="C4806" s="40"/>
      <c r="D4806" s="40"/>
      <c r="E4806" s="41"/>
      <c r="F4806" s="35" t="s">
        <v>23</v>
      </c>
      <c r="G4806" s="38" t="str">
        <f t="shared" si="82"/>
        <v/>
      </c>
      <c r="H4806" s="39"/>
      <c r="I4806" s="35"/>
      <c r="J4806" s="34">
        <v>0</v>
      </c>
    </row>
    <row r="4807" spans="1:10" ht="15.75" hidden="1" thickBot="1" x14ac:dyDescent="0.3">
      <c r="A4807" s="248" t="s">
        <v>1154</v>
      </c>
      <c r="B4807" s="251" t="s">
        <v>3012</v>
      </c>
      <c r="C4807" s="28"/>
      <c r="D4807" s="29" t="s">
        <v>28</v>
      </c>
      <c r="E4807" s="30"/>
      <c r="F4807" s="45" t="s">
        <v>23</v>
      </c>
      <c r="G4807" s="31" t="str">
        <f t="shared" si="82"/>
        <v/>
      </c>
      <c r="H4807" s="32"/>
      <c r="I4807" s="33"/>
      <c r="J4807" s="34">
        <v>0</v>
      </c>
    </row>
    <row r="4808" spans="1:10" ht="15.75" hidden="1" thickBot="1" x14ac:dyDescent="0.3">
      <c r="A4808" s="249"/>
      <c r="B4808" s="252"/>
      <c r="C4808" s="36"/>
      <c r="D4808" s="36"/>
      <c r="E4808" s="37"/>
      <c r="F4808" s="46" t="s">
        <v>23</v>
      </c>
      <c r="G4808" s="38" t="str">
        <f t="shared" si="82"/>
        <v/>
      </c>
      <c r="H4808" s="39"/>
      <c r="I4808" s="35"/>
      <c r="J4808" s="34">
        <v>0</v>
      </c>
    </row>
    <row r="4809" spans="1:10" ht="15.75" hidden="1" thickBot="1" x14ac:dyDescent="0.3">
      <c r="A4809" s="249"/>
      <c r="B4809" s="252"/>
      <c r="C4809" s="40" t="s">
        <v>3767</v>
      </c>
      <c r="D4809" s="40" t="s">
        <v>3752</v>
      </c>
      <c r="E4809" s="41">
        <v>0.15</v>
      </c>
      <c r="F4809" s="38">
        <v>25.877999999999997</v>
      </c>
      <c r="G4809" s="38">
        <f t="shared" si="82"/>
        <v>3.8816999999999995</v>
      </c>
      <c r="H4809" s="43">
        <f>SUM(G4809:G4810)</f>
        <v>3.8816999999999995</v>
      </c>
      <c r="I4809" s="44"/>
      <c r="J4809" s="34">
        <v>0</v>
      </c>
    </row>
    <row r="4810" spans="1:10" ht="15.75" hidden="1" thickBot="1" x14ac:dyDescent="0.3">
      <c r="A4810" s="249"/>
      <c r="B4810" s="252"/>
      <c r="C4810" s="40" t="s">
        <v>1155</v>
      </c>
      <c r="D4810" s="40" t="s">
        <v>28</v>
      </c>
      <c r="E4810" s="41">
        <v>1</v>
      </c>
      <c r="F4810" s="35" t="s">
        <v>23</v>
      </c>
      <c r="G4810" s="38" t="str">
        <f t="shared" si="82"/>
        <v/>
      </c>
      <c r="H4810" s="39"/>
      <c r="I4810" s="35"/>
      <c r="J4810" s="34">
        <v>0</v>
      </c>
    </row>
    <row r="4811" spans="1:10" ht="15.75" hidden="1" thickBot="1" x14ac:dyDescent="0.3">
      <c r="A4811" s="250"/>
      <c r="B4811" s="253"/>
      <c r="C4811" s="40"/>
      <c r="D4811" s="40"/>
      <c r="E4811" s="41"/>
      <c r="F4811" s="35" t="s">
        <v>23</v>
      </c>
      <c r="G4811" s="38" t="str">
        <f t="shared" si="82"/>
        <v/>
      </c>
      <c r="H4811" s="39"/>
      <c r="I4811" s="35"/>
      <c r="J4811" s="34">
        <v>0</v>
      </c>
    </row>
    <row r="4812" spans="1:10" ht="15.75" hidden="1" thickBot="1" x14ac:dyDescent="0.3">
      <c r="A4812" s="248" t="s">
        <v>1156</v>
      </c>
      <c r="B4812" s="251" t="s">
        <v>3013</v>
      </c>
      <c r="C4812" s="28"/>
      <c r="D4812" s="29" t="s">
        <v>28</v>
      </c>
      <c r="E4812" s="30"/>
      <c r="F4812" s="45" t="s">
        <v>23</v>
      </c>
      <c r="G4812" s="31" t="str">
        <f t="shared" si="82"/>
        <v/>
      </c>
      <c r="H4812" s="32"/>
      <c r="I4812" s="33"/>
      <c r="J4812" s="34">
        <v>0</v>
      </c>
    </row>
    <row r="4813" spans="1:10" ht="15.75" hidden="1" thickBot="1" x14ac:dyDescent="0.3">
      <c r="A4813" s="249"/>
      <c r="B4813" s="252"/>
      <c r="C4813" s="36"/>
      <c r="D4813" s="36"/>
      <c r="E4813" s="37"/>
      <c r="F4813" s="46" t="s">
        <v>23</v>
      </c>
      <c r="G4813" s="38" t="str">
        <f t="shared" si="82"/>
        <v/>
      </c>
      <c r="H4813" s="39"/>
      <c r="I4813" s="35"/>
      <c r="J4813" s="34">
        <v>0</v>
      </c>
    </row>
    <row r="4814" spans="1:10" ht="15.75" hidden="1" thickBot="1" x14ac:dyDescent="0.3">
      <c r="A4814" s="249"/>
      <c r="B4814" s="252"/>
      <c r="C4814" s="40" t="s">
        <v>3767</v>
      </c>
      <c r="D4814" s="40" t="s">
        <v>3752</v>
      </c>
      <c r="E4814" s="41">
        <v>0.15</v>
      </c>
      <c r="F4814" s="38">
        <v>25.877999999999997</v>
      </c>
      <c r="G4814" s="38">
        <f t="shared" si="82"/>
        <v>3.8816999999999995</v>
      </c>
      <c r="H4814" s="43">
        <f>SUM(G4814:G4815)</f>
        <v>3.8816999999999995</v>
      </c>
      <c r="I4814" s="44"/>
      <c r="J4814" s="34">
        <v>0</v>
      </c>
    </row>
    <row r="4815" spans="1:10" ht="26.25" hidden="1" thickBot="1" x14ac:dyDescent="0.3">
      <c r="A4815" s="249"/>
      <c r="B4815" s="252"/>
      <c r="C4815" s="40" t="s">
        <v>1157</v>
      </c>
      <c r="D4815" s="40" t="s">
        <v>28</v>
      </c>
      <c r="E4815" s="41">
        <v>1</v>
      </c>
      <c r="F4815" s="35" t="s">
        <v>23</v>
      </c>
      <c r="G4815" s="38" t="str">
        <f t="shared" si="82"/>
        <v/>
      </c>
      <c r="H4815" s="39"/>
      <c r="I4815" s="35"/>
      <c r="J4815" s="34">
        <v>0</v>
      </c>
    </row>
    <row r="4816" spans="1:10" ht="15.75" hidden="1" thickBot="1" x14ac:dyDescent="0.3">
      <c r="A4816" s="250"/>
      <c r="B4816" s="253"/>
      <c r="C4816" s="40"/>
      <c r="D4816" s="40"/>
      <c r="E4816" s="41"/>
      <c r="F4816" s="35" t="s">
        <v>23</v>
      </c>
      <c r="G4816" s="38" t="str">
        <f t="shared" ref="G4816:G4820" si="83">IF(ISNUMBER(F4816),E4816*F4816,"")</f>
        <v/>
      </c>
      <c r="H4816" s="39"/>
      <c r="I4816" s="35"/>
      <c r="J4816" s="34">
        <v>0</v>
      </c>
    </row>
    <row r="4817" spans="1:10" ht="15.75" hidden="1" customHeight="1" thickBot="1" x14ac:dyDescent="0.3">
      <c r="A4817" s="248" t="s">
        <v>1158</v>
      </c>
      <c r="B4817" s="251" t="s">
        <v>3014</v>
      </c>
      <c r="C4817" s="28"/>
      <c r="D4817" s="29" t="s">
        <v>121</v>
      </c>
      <c r="E4817" s="30"/>
      <c r="F4817" s="45" t="s">
        <v>23</v>
      </c>
      <c r="G4817" s="31" t="str">
        <f t="shared" si="83"/>
        <v/>
      </c>
      <c r="H4817" s="32"/>
      <c r="I4817" s="33"/>
      <c r="J4817" s="34">
        <v>0</v>
      </c>
    </row>
    <row r="4818" spans="1:10" ht="15.75" hidden="1" thickBot="1" x14ac:dyDescent="0.3">
      <c r="A4818" s="262"/>
      <c r="B4818" s="266"/>
      <c r="C4818" s="36"/>
      <c r="D4818" s="36"/>
      <c r="E4818" s="37"/>
      <c r="F4818" s="46" t="s">
        <v>23</v>
      </c>
      <c r="G4818" s="38" t="str">
        <f t="shared" si="83"/>
        <v/>
      </c>
      <c r="H4818" s="39"/>
      <c r="I4818" s="35"/>
      <c r="J4818" s="34">
        <v>0</v>
      </c>
    </row>
    <row r="4819" spans="1:10" ht="15.75" hidden="1" thickBot="1" x14ac:dyDescent="0.3">
      <c r="A4819" s="262"/>
      <c r="B4819" s="266"/>
      <c r="C4819" s="40" t="s">
        <v>3767</v>
      </c>
      <c r="D4819" s="40" t="s">
        <v>3752</v>
      </c>
      <c r="E4819" s="41">
        <v>0.2</v>
      </c>
      <c r="F4819" s="38">
        <v>25.877999999999997</v>
      </c>
      <c r="G4819" s="38">
        <f t="shared" si="83"/>
        <v>5.1755999999999993</v>
      </c>
      <c r="H4819" s="43">
        <f>SUM(G4819:G4820)</f>
        <v>9.9157200000000003</v>
      </c>
      <c r="I4819" s="44"/>
      <c r="J4819" s="34">
        <v>0</v>
      </c>
    </row>
    <row r="4820" spans="1:10" ht="15.75" hidden="1" thickBot="1" x14ac:dyDescent="0.3">
      <c r="A4820" s="262"/>
      <c r="B4820" s="266"/>
      <c r="C4820" s="40" t="s">
        <v>3834</v>
      </c>
      <c r="D4820" s="40" t="s">
        <v>1035</v>
      </c>
      <c r="E4820" s="41">
        <v>0.126</v>
      </c>
      <c r="F4820" s="35">
        <v>37.619999999999997</v>
      </c>
      <c r="G4820" s="38">
        <f t="shared" si="83"/>
        <v>4.7401200000000001</v>
      </c>
      <c r="H4820" s="39"/>
      <c r="I4820" s="35"/>
      <c r="J4820" s="34">
        <v>0</v>
      </c>
    </row>
    <row r="4821" spans="1:10" ht="15.75" hidden="1" thickBot="1" x14ac:dyDescent="0.3">
      <c r="A4821" s="262"/>
      <c r="B4821" s="266"/>
      <c r="C4821" s="40"/>
      <c r="D4821" s="40"/>
      <c r="E4821" s="41"/>
      <c r="F4821" s="35" t="s">
        <v>23</v>
      </c>
      <c r="G4821" s="38"/>
      <c r="H4821" s="39"/>
      <c r="I4821" s="35"/>
      <c r="J4821" s="34">
        <v>0</v>
      </c>
    </row>
    <row r="4822" spans="1:10" ht="15.75" hidden="1" thickBot="1" x14ac:dyDescent="0.3">
      <c r="A4822" s="262"/>
      <c r="B4822" s="266"/>
      <c r="C4822" s="54" t="s">
        <v>1159</v>
      </c>
      <c r="D4822" s="40"/>
      <c r="E4822" s="41"/>
      <c r="F4822" s="35" t="s">
        <v>23</v>
      </c>
      <c r="G4822" s="38"/>
      <c r="H4822" s="39"/>
      <c r="I4822" s="35"/>
      <c r="J4822" s="34">
        <v>0</v>
      </c>
    </row>
    <row r="4823" spans="1:10" ht="15.75" hidden="1" thickBot="1" x14ac:dyDescent="0.3">
      <c r="A4823" s="262"/>
      <c r="B4823" s="266"/>
      <c r="C4823" s="54" t="s">
        <v>1160</v>
      </c>
      <c r="D4823" s="40"/>
      <c r="E4823" s="41"/>
      <c r="F4823" s="35" t="s">
        <v>23</v>
      </c>
      <c r="G4823" s="38" t="str">
        <f>IF(ISNUMBER(F4823),E4823*F4823,"")</f>
        <v/>
      </c>
      <c r="H4823" s="39"/>
      <c r="I4823" s="35"/>
      <c r="J4823" s="34">
        <v>0</v>
      </c>
    </row>
    <row r="4824" spans="1:10" ht="15.75" hidden="1" thickBot="1" x14ac:dyDescent="0.3">
      <c r="A4824" s="263"/>
      <c r="B4824" s="253"/>
      <c r="C4824" s="54"/>
      <c r="D4824" s="40"/>
      <c r="E4824" s="41"/>
      <c r="F4824" s="35" t="s">
        <v>23</v>
      </c>
      <c r="G4824" s="38"/>
      <c r="H4824" s="39"/>
      <c r="I4824" s="35"/>
      <c r="J4824" s="34">
        <v>0</v>
      </c>
    </row>
    <row r="4825" spans="1:10" ht="15.75" hidden="1" thickBot="1" x14ac:dyDescent="0.3">
      <c r="A4825" s="248" t="s">
        <v>1161</v>
      </c>
      <c r="B4825" s="251" t="s">
        <v>3015</v>
      </c>
      <c r="C4825" s="28"/>
      <c r="D4825" s="29" t="s">
        <v>121</v>
      </c>
      <c r="E4825" s="30"/>
      <c r="F4825" s="45" t="s">
        <v>23</v>
      </c>
      <c r="G4825" s="31" t="str">
        <f>IF(ISNUMBER(F4825),E4825*F4825,"")</f>
        <v/>
      </c>
      <c r="H4825" s="32"/>
      <c r="I4825" s="33"/>
      <c r="J4825" s="34">
        <v>0</v>
      </c>
    </row>
    <row r="4826" spans="1:10" ht="15.75" hidden="1" thickBot="1" x14ac:dyDescent="0.3">
      <c r="A4826" s="249"/>
      <c r="B4826" s="252"/>
      <c r="C4826" s="36"/>
      <c r="D4826" s="36"/>
      <c r="E4826" s="37"/>
      <c r="F4826" s="46" t="s">
        <v>23</v>
      </c>
      <c r="G4826" s="38" t="str">
        <f>IF(ISNUMBER(F4826),E4826*F4826,"")</f>
        <v/>
      </c>
      <c r="H4826" s="39"/>
      <c r="I4826" s="35"/>
      <c r="J4826" s="34">
        <v>0</v>
      </c>
    </row>
    <row r="4827" spans="1:10" ht="15.75" hidden="1" thickBot="1" x14ac:dyDescent="0.3">
      <c r="A4827" s="249"/>
      <c r="B4827" s="252"/>
      <c r="C4827" s="40" t="s">
        <v>3767</v>
      </c>
      <c r="D4827" s="40" t="s">
        <v>3752</v>
      </c>
      <c r="E4827" s="41">
        <v>0.2</v>
      </c>
      <c r="F4827" s="38">
        <v>25.877999999999997</v>
      </c>
      <c r="G4827" s="38">
        <f>IF(ISNUMBER(F4827),E4827*F4827,"")</f>
        <v>5.1755999999999993</v>
      </c>
      <c r="H4827" s="43">
        <f>SUM(G4827:G4828)</f>
        <v>13.640099999999999</v>
      </c>
      <c r="I4827" s="44"/>
      <c r="J4827" s="34">
        <v>0</v>
      </c>
    </row>
    <row r="4828" spans="1:10" ht="15.75" hidden="1" thickBot="1" x14ac:dyDescent="0.3">
      <c r="A4828" s="249"/>
      <c r="B4828" s="252"/>
      <c r="C4828" s="40" t="s">
        <v>3834</v>
      </c>
      <c r="D4828" s="40" t="s">
        <v>1035</v>
      </c>
      <c r="E4828" s="41">
        <v>0.22500000000000001</v>
      </c>
      <c r="F4828" s="35">
        <v>37.619999999999997</v>
      </c>
      <c r="G4828" s="38">
        <f>IF(ISNUMBER(F4828),E4828*F4828,"")</f>
        <v>8.4644999999999992</v>
      </c>
      <c r="H4828" s="39"/>
      <c r="I4828" s="35"/>
      <c r="J4828" s="34">
        <v>0</v>
      </c>
    </row>
    <row r="4829" spans="1:10" ht="15.75" hidden="1" thickBot="1" x14ac:dyDescent="0.3">
      <c r="A4829" s="249"/>
      <c r="B4829" s="252"/>
      <c r="C4829" s="40"/>
      <c r="D4829" s="40"/>
      <c r="E4829" s="41"/>
      <c r="F4829" s="35" t="s">
        <v>23</v>
      </c>
      <c r="G4829" s="38"/>
      <c r="H4829" s="39"/>
      <c r="I4829" s="35"/>
      <c r="J4829" s="34">
        <v>0</v>
      </c>
    </row>
    <row r="4830" spans="1:10" ht="15.75" hidden="1" thickBot="1" x14ac:dyDescent="0.3">
      <c r="A4830" s="249"/>
      <c r="B4830" s="252"/>
      <c r="C4830" s="54" t="s">
        <v>1162</v>
      </c>
      <c r="D4830" s="40"/>
      <c r="E4830" s="41"/>
      <c r="F4830" s="35" t="s">
        <v>23</v>
      </c>
      <c r="G4830" s="38"/>
      <c r="H4830" s="39"/>
      <c r="I4830" s="35"/>
      <c r="J4830" s="34">
        <v>0</v>
      </c>
    </row>
    <row r="4831" spans="1:10" ht="15.75" hidden="1" thickBot="1" x14ac:dyDescent="0.3">
      <c r="A4831" s="249"/>
      <c r="B4831" s="252"/>
      <c r="C4831" s="54" t="s">
        <v>1160</v>
      </c>
      <c r="D4831" s="40"/>
      <c r="E4831" s="41"/>
      <c r="F4831" s="35" t="s">
        <v>23</v>
      </c>
      <c r="G4831" s="38"/>
      <c r="H4831" s="39"/>
      <c r="I4831" s="35"/>
      <c r="J4831" s="34">
        <v>0</v>
      </c>
    </row>
    <row r="4832" spans="1:10" ht="15.75" hidden="1" thickBot="1" x14ac:dyDescent="0.3">
      <c r="A4832" s="250"/>
      <c r="B4832" s="253"/>
      <c r="C4832" s="40"/>
      <c r="D4832" s="40"/>
      <c r="E4832" s="41"/>
      <c r="F4832" s="35" t="s">
        <v>23</v>
      </c>
      <c r="G4832" s="38" t="str">
        <f>IF(ISNUMBER(F4832),E4832*F4832,"")</f>
        <v/>
      </c>
      <c r="H4832" s="39"/>
      <c r="I4832" s="35"/>
      <c r="J4832" s="34">
        <v>0</v>
      </c>
    </row>
    <row r="4833" spans="1:10" ht="15.75" hidden="1" thickBot="1" x14ac:dyDescent="0.3">
      <c r="A4833" s="248" t="s">
        <v>1163</v>
      </c>
      <c r="B4833" s="251" t="s">
        <v>3016</v>
      </c>
      <c r="C4833" s="28"/>
      <c r="D4833" s="29" t="s">
        <v>121</v>
      </c>
      <c r="E4833" s="30"/>
      <c r="F4833" s="45" t="s">
        <v>23</v>
      </c>
      <c r="G4833" s="31" t="str">
        <f>IF(ISNUMBER(F4833),E4833*F4833,"")</f>
        <v/>
      </c>
      <c r="H4833" s="32"/>
      <c r="I4833" s="33"/>
      <c r="J4833" s="34">
        <v>0</v>
      </c>
    </row>
    <row r="4834" spans="1:10" ht="15.75" hidden="1" thickBot="1" x14ac:dyDescent="0.3">
      <c r="A4834" s="249"/>
      <c r="B4834" s="252"/>
      <c r="C4834" s="36"/>
      <c r="D4834" s="36"/>
      <c r="E4834" s="37"/>
      <c r="F4834" s="46" t="s">
        <v>23</v>
      </c>
      <c r="G4834" s="38" t="str">
        <f>IF(ISNUMBER(F4834),E4834*F4834,"")</f>
        <v/>
      </c>
      <c r="H4834" s="39"/>
      <c r="I4834" s="35"/>
      <c r="J4834" s="34">
        <v>0</v>
      </c>
    </row>
    <row r="4835" spans="1:10" ht="15.75" hidden="1" thickBot="1" x14ac:dyDescent="0.3">
      <c r="A4835" s="249"/>
      <c r="B4835" s="252"/>
      <c r="C4835" s="40" t="s">
        <v>3767</v>
      </c>
      <c r="D4835" s="40" t="s">
        <v>3752</v>
      </c>
      <c r="E4835" s="41">
        <v>0.15</v>
      </c>
      <c r="F4835" s="38">
        <v>25.877999999999997</v>
      </c>
      <c r="G4835" s="38">
        <f>IF(ISNUMBER(F4835),E4835*F4835,"")</f>
        <v>3.8816999999999995</v>
      </c>
      <c r="H4835" s="43">
        <f>SUM(G4835:G4836)</f>
        <v>5.9507999999999992</v>
      </c>
      <c r="I4835" s="44"/>
      <c r="J4835" s="34">
        <v>0</v>
      </c>
    </row>
    <row r="4836" spans="1:10" ht="15.75" hidden="1" thickBot="1" x14ac:dyDescent="0.3">
      <c r="A4836" s="249"/>
      <c r="B4836" s="252"/>
      <c r="C4836" s="40" t="s">
        <v>3834</v>
      </c>
      <c r="D4836" s="40" t="s">
        <v>1035</v>
      </c>
      <c r="E4836" s="41">
        <v>5.5E-2</v>
      </c>
      <c r="F4836" s="35">
        <v>37.619999999999997</v>
      </c>
      <c r="G4836" s="38">
        <f>IF(ISNUMBER(F4836),E4836*F4836,"")</f>
        <v>2.0690999999999997</v>
      </c>
      <c r="H4836" s="39"/>
      <c r="I4836" s="35"/>
      <c r="J4836" s="34">
        <v>0</v>
      </c>
    </row>
    <row r="4837" spans="1:10" ht="15.75" hidden="1" thickBot="1" x14ac:dyDescent="0.3">
      <c r="A4837" s="249"/>
      <c r="B4837" s="252"/>
      <c r="C4837" s="40"/>
      <c r="D4837" s="40"/>
      <c r="E4837" s="41"/>
      <c r="F4837" s="35" t="s">
        <v>23</v>
      </c>
      <c r="G4837" s="38"/>
      <c r="H4837" s="39"/>
      <c r="I4837" s="35"/>
      <c r="J4837" s="34">
        <v>0</v>
      </c>
    </row>
    <row r="4838" spans="1:10" ht="15.75" hidden="1" thickBot="1" x14ac:dyDescent="0.3">
      <c r="A4838" s="249"/>
      <c r="B4838" s="252"/>
      <c r="C4838" s="54" t="s">
        <v>1164</v>
      </c>
      <c r="D4838" s="40"/>
      <c r="E4838" s="41"/>
      <c r="F4838" s="35" t="s">
        <v>23</v>
      </c>
      <c r="G4838" s="38"/>
      <c r="H4838" s="39"/>
      <c r="I4838" s="35"/>
      <c r="J4838" s="34">
        <v>0</v>
      </c>
    </row>
    <row r="4839" spans="1:10" ht="15.75" hidden="1" thickBot="1" x14ac:dyDescent="0.3">
      <c r="A4839" s="249"/>
      <c r="B4839" s="252"/>
      <c r="C4839" s="54" t="s">
        <v>1160</v>
      </c>
      <c r="D4839" s="40"/>
      <c r="E4839" s="41"/>
      <c r="F4839" s="35" t="s">
        <v>23</v>
      </c>
      <c r="G4839" s="38"/>
      <c r="H4839" s="39"/>
      <c r="I4839" s="35"/>
      <c r="J4839" s="34">
        <v>0</v>
      </c>
    </row>
    <row r="4840" spans="1:10" ht="15.75" hidden="1" thickBot="1" x14ac:dyDescent="0.3">
      <c r="A4840" s="250"/>
      <c r="B4840" s="253"/>
      <c r="C4840" s="40"/>
      <c r="D4840" s="40"/>
      <c r="E4840" s="41"/>
      <c r="F4840" s="35" t="s">
        <v>23</v>
      </c>
      <c r="G4840" s="38" t="str">
        <f>IF(ISNUMBER(F4840),E4840*F4840,"")</f>
        <v/>
      </c>
      <c r="H4840" s="39"/>
      <c r="I4840" s="35"/>
      <c r="J4840" s="34">
        <v>0</v>
      </c>
    </row>
    <row r="4841" spans="1:10" ht="15.75" hidden="1" thickBot="1" x14ac:dyDescent="0.3">
      <c r="A4841" s="248" t="s">
        <v>1165</v>
      </c>
      <c r="B4841" s="251" t="s">
        <v>3017</v>
      </c>
      <c r="C4841" s="28"/>
      <c r="D4841" s="29" t="s">
        <v>121</v>
      </c>
      <c r="E4841" s="30"/>
      <c r="F4841" s="45" t="s">
        <v>23</v>
      </c>
      <c r="G4841" s="31" t="str">
        <f>IF(ISNUMBER(F4841),E4841*F4841,"")</f>
        <v/>
      </c>
      <c r="H4841" s="32"/>
      <c r="I4841" s="33"/>
      <c r="J4841" s="34">
        <v>0</v>
      </c>
    </row>
    <row r="4842" spans="1:10" ht="15.75" hidden="1" thickBot="1" x14ac:dyDescent="0.3">
      <c r="A4842" s="249"/>
      <c r="B4842" s="252"/>
      <c r="C4842" s="36"/>
      <c r="D4842" s="36"/>
      <c r="E4842" s="37"/>
      <c r="F4842" s="46" t="s">
        <v>23</v>
      </c>
      <c r="G4842" s="38" t="str">
        <f>IF(ISNUMBER(F4842),E4842*F4842,"")</f>
        <v/>
      </c>
      <c r="H4842" s="39"/>
      <c r="I4842" s="35"/>
      <c r="J4842" s="34">
        <v>0</v>
      </c>
    </row>
    <row r="4843" spans="1:10" ht="15.75" hidden="1" thickBot="1" x14ac:dyDescent="0.3">
      <c r="A4843" s="249"/>
      <c r="B4843" s="252"/>
      <c r="C4843" s="40" t="s">
        <v>3767</v>
      </c>
      <c r="D4843" s="40" t="s">
        <v>3752</v>
      </c>
      <c r="E4843" s="41">
        <v>0.3</v>
      </c>
      <c r="F4843" s="38">
        <v>25.877999999999997</v>
      </c>
      <c r="G4843" s="38">
        <f>IF(ISNUMBER(F4843),E4843*F4843,"")</f>
        <v>7.763399999999999</v>
      </c>
      <c r="H4843" s="43">
        <f>SUM(G4843:G4844)</f>
        <v>15.588359999999998</v>
      </c>
      <c r="I4843" s="44"/>
      <c r="J4843" s="34">
        <v>0</v>
      </c>
    </row>
    <row r="4844" spans="1:10" ht="15.75" hidden="1" thickBot="1" x14ac:dyDescent="0.3">
      <c r="A4844" s="249"/>
      <c r="B4844" s="252"/>
      <c r="C4844" s="40" t="s">
        <v>3834</v>
      </c>
      <c r="D4844" s="40" t="s">
        <v>1035</v>
      </c>
      <c r="E4844" s="41">
        <v>0.20799999999999999</v>
      </c>
      <c r="F4844" s="35">
        <v>37.619999999999997</v>
      </c>
      <c r="G4844" s="38">
        <f>IF(ISNUMBER(F4844),E4844*F4844,"")</f>
        <v>7.824959999999999</v>
      </c>
      <c r="H4844" s="39"/>
      <c r="I4844" s="35"/>
      <c r="J4844" s="34">
        <v>0</v>
      </c>
    </row>
    <row r="4845" spans="1:10" ht="15.75" hidden="1" thickBot="1" x14ac:dyDescent="0.3">
      <c r="A4845" s="249"/>
      <c r="B4845" s="252"/>
      <c r="C4845" s="40"/>
      <c r="D4845" s="40"/>
      <c r="E4845" s="41"/>
      <c r="F4845" s="35" t="s">
        <v>23</v>
      </c>
      <c r="G4845" s="38"/>
      <c r="H4845" s="39"/>
      <c r="I4845" s="35"/>
      <c r="J4845" s="34">
        <v>0</v>
      </c>
    </row>
    <row r="4846" spans="1:10" ht="15.75" hidden="1" thickBot="1" x14ac:dyDescent="0.3">
      <c r="A4846" s="249"/>
      <c r="B4846" s="252"/>
      <c r="C4846" s="54" t="s">
        <v>1166</v>
      </c>
      <c r="D4846" s="40"/>
      <c r="E4846" s="41"/>
      <c r="F4846" s="35" t="s">
        <v>23</v>
      </c>
      <c r="G4846" s="38"/>
      <c r="H4846" s="39"/>
      <c r="I4846" s="35"/>
      <c r="J4846" s="34">
        <v>0</v>
      </c>
    </row>
    <row r="4847" spans="1:10" ht="15.75" hidden="1" thickBot="1" x14ac:dyDescent="0.3">
      <c r="A4847" s="249"/>
      <c r="B4847" s="252"/>
      <c r="C4847" s="54" t="s">
        <v>1160</v>
      </c>
      <c r="D4847" s="40"/>
      <c r="E4847" s="41"/>
      <c r="F4847" s="35" t="s">
        <v>23</v>
      </c>
      <c r="G4847" s="38"/>
      <c r="H4847" s="39"/>
      <c r="I4847" s="35"/>
      <c r="J4847" s="34">
        <v>0</v>
      </c>
    </row>
    <row r="4848" spans="1:10" ht="15.75" hidden="1" thickBot="1" x14ac:dyDescent="0.3">
      <c r="A4848" s="250"/>
      <c r="B4848" s="253"/>
      <c r="C4848" s="40"/>
      <c r="D4848" s="40"/>
      <c r="E4848" s="41"/>
      <c r="F4848" s="35" t="s">
        <v>23</v>
      </c>
      <c r="G4848" s="38" t="str">
        <f>IF(ISNUMBER(F4848),E4848*F4848,"")</f>
        <v/>
      </c>
      <c r="H4848" s="39"/>
      <c r="I4848" s="35"/>
      <c r="J4848" s="34">
        <v>0</v>
      </c>
    </row>
    <row r="4849" spans="1:10" ht="15.75" hidden="1" thickBot="1" x14ac:dyDescent="0.3">
      <c r="A4849" s="248" t="s">
        <v>1167</v>
      </c>
      <c r="B4849" s="251" t="s">
        <v>3018</v>
      </c>
      <c r="C4849" s="28"/>
      <c r="D4849" s="29" t="s">
        <v>121</v>
      </c>
      <c r="E4849" s="30"/>
      <c r="F4849" s="45" t="s">
        <v>23</v>
      </c>
      <c r="G4849" s="31" t="str">
        <f>IF(ISNUMBER(F4849),E4849*F4849,"")</f>
        <v/>
      </c>
      <c r="H4849" s="32"/>
      <c r="I4849" s="33"/>
      <c r="J4849" s="34">
        <v>0</v>
      </c>
    </row>
    <row r="4850" spans="1:10" ht="15.75" hidden="1" thickBot="1" x14ac:dyDescent="0.3">
      <c r="A4850" s="249"/>
      <c r="B4850" s="252"/>
      <c r="C4850" s="36"/>
      <c r="D4850" s="36"/>
      <c r="E4850" s="37"/>
      <c r="F4850" s="46" t="s">
        <v>23</v>
      </c>
      <c r="G4850" s="38" t="str">
        <f>IF(ISNUMBER(F4850),E4850*F4850,"")</f>
        <v/>
      </c>
      <c r="H4850" s="39"/>
      <c r="I4850" s="35"/>
      <c r="J4850" s="34">
        <v>0</v>
      </c>
    </row>
    <row r="4851" spans="1:10" ht="15.75" hidden="1" thickBot="1" x14ac:dyDescent="0.3">
      <c r="A4851" s="249"/>
      <c r="B4851" s="252"/>
      <c r="C4851" s="40" t="s">
        <v>3767</v>
      </c>
      <c r="D4851" s="40" t="s">
        <v>3752</v>
      </c>
      <c r="E4851" s="41">
        <v>0.3</v>
      </c>
      <c r="F4851" s="38">
        <v>25.877999999999997</v>
      </c>
      <c r="G4851" s="38">
        <f>IF(ISNUMBER(F4851),E4851*F4851,"")</f>
        <v>7.763399999999999</v>
      </c>
      <c r="H4851" s="43">
        <f>SUM(G4851:G4852)</f>
        <v>17.506979999999999</v>
      </c>
      <c r="I4851" s="44"/>
      <c r="J4851" s="34">
        <v>0</v>
      </c>
    </row>
    <row r="4852" spans="1:10" ht="15.75" hidden="1" thickBot="1" x14ac:dyDescent="0.3">
      <c r="A4852" s="249"/>
      <c r="B4852" s="252"/>
      <c r="C4852" s="40" t="s">
        <v>3834</v>
      </c>
      <c r="D4852" s="40" t="s">
        <v>1035</v>
      </c>
      <c r="E4852" s="41">
        <v>0.25900000000000001</v>
      </c>
      <c r="F4852" s="35">
        <v>37.619999999999997</v>
      </c>
      <c r="G4852" s="38">
        <f>IF(ISNUMBER(F4852),E4852*F4852,"")</f>
        <v>9.7435799999999997</v>
      </c>
      <c r="H4852" s="39"/>
      <c r="I4852" s="35"/>
      <c r="J4852" s="34">
        <v>0</v>
      </c>
    </row>
    <row r="4853" spans="1:10" ht="15.75" hidden="1" thickBot="1" x14ac:dyDescent="0.3">
      <c r="A4853" s="249"/>
      <c r="B4853" s="252"/>
      <c r="C4853" s="40"/>
      <c r="D4853" s="40"/>
      <c r="E4853" s="41"/>
      <c r="F4853" s="35" t="s">
        <v>23</v>
      </c>
      <c r="G4853" s="38"/>
      <c r="H4853" s="39"/>
      <c r="I4853" s="35"/>
      <c r="J4853" s="34">
        <v>0</v>
      </c>
    </row>
    <row r="4854" spans="1:10" ht="15.75" hidden="1" thickBot="1" x14ac:dyDescent="0.3">
      <c r="A4854" s="249"/>
      <c r="B4854" s="252"/>
      <c r="C4854" s="54" t="s">
        <v>1168</v>
      </c>
      <c r="D4854" s="40"/>
      <c r="E4854" s="41"/>
      <c r="F4854" s="35" t="s">
        <v>23</v>
      </c>
      <c r="G4854" s="38"/>
      <c r="H4854" s="39"/>
      <c r="I4854" s="35"/>
      <c r="J4854" s="34">
        <v>0</v>
      </c>
    </row>
    <row r="4855" spans="1:10" ht="15.75" hidden="1" thickBot="1" x14ac:dyDescent="0.3">
      <c r="A4855" s="249"/>
      <c r="B4855" s="252"/>
      <c r="C4855" s="54" t="s">
        <v>1160</v>
      </c>
      <c r="D4855" s="40"/>
      <c r="E4855" s="41"/>
      <c r="F4855" s="35" t="s">
        <v>23</v>
      </c>
      <c r="G4855" s="38"/>
      <c r="H4855" s="39"/>
      <c r="I4855" s="35"/>
      <c r="J4855" s="34">
        <v>0</v>
      </c>
    </row>
    <row r="4856" spans="1:10" ht="15.75" hidden="1" thickBot="1" x14ac:dyDescent="0.3">
      <c r="A4856" s="250"/>
      <c r="B4856" s="253"/>
      <c r="C4856" s="40"/>
      <c r="D4856" s="40"/>
      <c r="E4856" s="41"/>
      <c r="F4856" s="35" t="s">
        <v>23</v>
      </c>
      <c r="G4856" s="38" t="str">
        <f>IF(ISNUMBER(F4856),E4856*F4856,"")</f>
        <v/>
      </c>
      <c r="H4856" s="39"/>
      <c r="I4856" s="35"/>
      <c r="J4856" s="34">
        <v>0</v>
      </c>
    </row>
    <row r="4857" spans="1:10" ht="15.75" hidden="1" thickBot="1" x14ac:dyDescent="0.3">
      <c r="A4857" s="248" t="s">
        <v>1169</v>
      </c>
      <c r="B4857" s="251" t="s">
        <v>3019</v>
      </c>
      <c r="C4857" s="28"/>
      <c r="D4857" s="29" t="s">
        <v>121</v>
      </c>
      <c r="E4857" s="30"/>
      <c r="F4857" s="45" t="s">
        <v>23</v>
      </c>
      <c r="G4857" s="31" t="str">
        <f>IF(ISNUMBER(F4857),E4857*F4857,"")</f>
        <v/>
      </c>
      <c r="H4857" s="32"/>
      <c r="I4857" s="33"/>
      <c r="J4857" s="34">
        <v>0</v>
      </c>
    </row>
    <row r="4858" spans="1:10" ht="15.75" hidden="1" thickBot="1" x14ac:dyDescent="0.3">
      <c r="A4858" s="249"/>
      <c r="B4858" s="252"/>
      <c r="C4858" s="36"/>
      <c r="D4858" s="36"/>
      <c r="E4858" s="37"/>
      <c r="F4858" s="46" t="s">
        <v>23</v>
      </c>
      <c r="G4858" s="38" t="str">
        <f>IF(ISNUMBER(F4858),E4858*F4858,"")</f>
        <v/>
      </c>
      <c r="H4858" s="39"/>
      <c r="I4858" s="35"/>
      <c r="J4858" s="34">
        <v>0</v>
      </c>
    </row>
    <row r="4859" spans="1:10" ht="15.75" hidden="1" thickBot="1" x14ac:dyDescent="0.3">
      <c r="A4859" s="249"/>
      <c r="B4859" s="252"/>
      <c r="C4859" s="40" t="s">
        <v>3767</v>
      </c>
      <c r="D4859" s="40" t="s">
        <v>3752</v>
      </c>
      <c r="E4859" s="41">
        <v>0.3</v>
      </c>
      <c r="F4859" s="38">
        <v>25.877999999999997</v>
      </c>
      <c r="G4859" s="38">
        <f>IF(ISNUMBER(F4859),E4859*F4859,"")</f>
        <v>7.763399999999999</v>
      </c>
      <c r="H4859" s="43">
        <f>SUM(G4859:G4860)</f>
        <v>27.927720000000001</v>
      </c>
      <c r="I4859" s="44"/>
      <c r="J4859" s="34">
        <v>0</v>
      </c>
    </row>
    <row r="4860" spans="1:10" ht="15.75" hidden="1" thickBot="1" x14ac:dyDescent="0.3">
      <c r="A4860" s="249"/>
      <c r="B4860" s="252"/>
      <c r="C4860" s="40" t="s">
        <v>3834</v>
      </c>
      <c r="D4860" s="40" t="s">
        <v>1035</v>
      </c>
      <c r="E4860" s="41">
        <v>0.53600000000000003</v>
      </c>
      <c r="F4860" s="35">
        <v>37.619999999999997</v>
      </c>
      <c r="G4860" s="38">
        <f>IF(ISNUMBER(F4860),E4860*F4860,"")</f>
        <v>20.16432</v>
      </c>
      <c r="H4860" s="39"/>
      <c r="I4860" s="35"/>
      <c r="J4860" s="34">
        <v>0</v>
      </c>
    </row>
    <row r="4861" spans="1:10" ht="15.75" hidden="1" thickBot="1" x14ac:dyDescent="0.3">
      <c r="A4861" s="249"/>
      <c r="B4861" s="252"/>
      <c r="C4861" s="40"/>
      <c r="D4861" s="40"/>
      <c r="E4861" s="41"/>
      <c r="F4861" s="35" t="s">
        <v>23</v>
      </c>
      <c r="G4861" s="38"/>
      <c r="H4861" s="39"/>
      <c r="I4861" s="35"/>
      <c r="J4861" s="34">
        <v>0</v>
      </c>
    </row>
    <row r="4862" spans="1:10" ht="15.75" hidden="1" thickBot="1" x14ac:dyDescent="0.3">
      <c r="A4862" s="249"/>
      <c r="B4862" s="252"/>
      <c r="C4862" s="54" t="s">
        <v>1170</v>
      </c>
      <c r="D4862" s="40"/>
      <c r="E4862" s="41"/>
      <c r="F4862" s="35" t="s">
        <v>23</v>
      </c>
      <c r="G4862" s="38"/>
      <c r="H4862" s="39"/>
      <c r="I4862" s="35"/>
      <c r="J4862" s="34">
        <v>0</v>
      </c>
    </row>
    <row r="4863" spans="1:10" ht="15.75" hidden="1" thickBot="1" x14ac:dyDescent="0.3">
      <c r="A4863" s="249"/>
      <c r="B4863" s="252"/>
      <c r="C4863" s="54" t="s">
        <v>1160</v>
      </c>
      <c r="D4863" s="40"/>
      <c r="E4863" s="41"/>
      <c r="F4863" s="35" t="s">
        <v>23</v>
      </c>
      <c r="G4863" s="38"/>
      <c r="H4863" s="39"/>
      <c r="I4863" s="35"/>
      <c r="J4863" s="34">
        <v>0</v>
      </c>
    </row>
    <row r="4864" spans="1:10" ht="15.75" hidden="1" thickBot="1" x14ac:dyDescent="0.3">
      <c r="A4864" s="250"/>
      <c r="B4864" s="253"/>
      <c r="C4864" s="40"/>
      <c r="D4864" s="40"/>
      <c r="E4864" s="41"/>
      <c r="F4864" s="35" t="s">
        <v>23</v>
      </c>
      <c r="G4864" s="38" t="str">
        <f>IF(ISNUMBER(F4864),E4864*F4864,"")</f>
        <v/>
      </c>
      <c r="H4864" s="39"/>
      <c r="I4864" s="35"/>
      <c r="J4864" s="34">
        <v>0</v>
      </c>
    </row>
    <row r="4865" spans="1:10" ht="15.75" hidden="1" thickBot="1" x14ac:dyDescent="0.3">
      <c r="A4865" s="248" t="s">
        <v>1171</v>
      </c>
      <c r="B4865" s="251" t="s">
        <v>3020</v>
      </c>
      <c r="C4865" s="28"/>
      <c r="D4865" s="29" t="s">
        <v>121</v>
      </c>
      <c r="E4865" s="30"/>
      <c r="F4865" s="45" t="s">
        <v>23</v>
      </c>
      <c r="G4865" s="31" t="str">
        <f>IF(ISNUMBER(F4865),E4865*F4865,"")</f>
        <v/>
      </c>
      <c r="H4865" s="32"/>
      <c r="I4865" s="33"/>
      <c r="J4865" s="34">
        <v>0</v>
      </c>
    </row>
    <row r="4866" spans="1:10" ht="15.75" hidden="1" thickBot="1" x14ac:dyDescent="0.3">
      <c r="A4866" s="249"/>
      <c r="B4866" s="252"/>
      <c r="C4866" s="36"/>
      <c r="D4866" s="36"/>
      <c r="E4866" s="37"/>
      <c r="F4866" s="46" t="s">
        <v>23</v>
      </c>
      <c r="G4866" s="38" t="str">
        <f>IF(ISNUMBER(F4866),E4866*F4866,"")</f>
        <v/>
      </c>
      <c r="H4866" s="39"/>
      <c r="I4866" s="35"/>
      <c r="J4866" s="34">
        <v>0</v>
      </c>
    </row>
    <row r="4867" spans="1:10" ht="15.75" hidden="1" thickBot="1" x14ac:dyDescent="0.3">
      <c r="A4867" s="249"/>
      <c r="B4867" s="252"/>
      <c r="C4867" s="40" t="s">
        <v>3767</v>
      </c>
      <c r="D4867" s="40" t="s">
        <v>3752</v>
      </c>
      <c r="E4867" s="41">
        <v>0.2</v>
      </c>
      <c r="F4867" s="38">
        <v>25.877999999999997</v>
      </c>
      <c r="G4867" s="38">
        <f>IF(ISNUMBER(F4867),E4867*F4867,"")</f>
        <v>5.1755999999999993</v>
      </c>
      <c r="H4867" s="43">
        <f>SUM(G4867:G4868)</f>
        <v>9.1256999999999984</v>
      </c>
      <c r="I4867" s="44"/>
      <c r="J4867" s="34">
        <v>0</v>
      </c>
    </row>
    <row r="4868" spans="1:10" ht="15.75" hidden="1" thickBot="1" x14ac:dyDescent="0.3">
      <c r="A4868" s="249"/>
      <c r="B4868" s="252"/>
      <c r="C4868" s="40" t="s">
        <v>3834</v>
      </c>
      <c r="D4868" s="40" t="s">
        <v>1035</v>
      </c>
      <c r="E4868" s="41">
        <v>0.105</v>
      </c>
      <c r="F4868" s="35">
        <v>37.619999999999997</v>
      </c>
      <c r="G4868" s="38">
        <f>IF(ISNUMBER(F4868),E4868*F4868,"")</f>
        <v>3.9500999999999995</v>
      </c>
      <c r="H4868" s="39"/>
      <c r="I4868" s="35"/>
      <c r="J4868" s="34">
        <v>0</v>
      </c>
    </row>
    <row r="4869" spans="1:10" ht="15.75" hidden="1" thickBot="1" x14ac:dyDescent="0.3">
      <c r="A4869" s="249"/>
      <c r="B4869" s="252"/>
      <c r="C4869" s="40"/>
      <c r="D4869" s="40"/>
      <c r="E4869" s="41"/>
      <c r="F4869" s="35" t="s">
        <v>23</v>
      </c>
      <c r="G4869" s="38"/>
      <c r="H4869" s="39"/>
      <c r="I4869" s="35"/>
      <c r="J4869" s="34">
        <v>0</v>
      </c>
    </row>
    <row r="4870" spans="1:10" ht="15.75" hidden="1" thickBot="1" x14ac:dyDescent="0.3">
      <c r="A4870" s="249"/>
      <c r="B4870" s="252"/>
      <c r="C4870" s="54" t="s">
        <v>1172</v>
      </c>
      <c r="D4870" s="40"/>
      <c r="E4870" s="41"/>
      <c r="F4870" s="35" t="s">
        <v>23</v>
      </c>
      <c r="G4870" s="38"/>
      <c r="H4870" s="39"/>
      <c r="I4870" s="35"/>
      <c r="J4870" s="34">
        <v>0</v>
      </c>
    </row>
    <row r="4871" spans="1:10" ht="15.75" hidden="1" thickBot="1" x14ac:dyDescent="0.3">
      <c r="A4871" s="249"/>
      <c r="B4871" s="252"/>
      <c r="C4871" s="54" t="s">
        <v>1160</v>
      </c>
      <c r="D4871" s="40"/>
      <c r="E4871" s="41"/>
      <c r="F4871" s="35" t="s">
        <v>23</v>
      </c>
      <c r="G4871" s="38"/>
      <c r="H4871" s="39"/>
      <c r="I4871" s="35"/>
      <c r="J4871" s="34">
        <v>0</v>
      </c>
    </row>
    <row r="4872" spans="1:10" ht="15.75" hidden="1" thickBot="1" x14ac:dyDescent="0.3">
      <c r="A4872" s="250"/>
      <c r="B4872" s="253"/>
      <c r="C4872" s="40"/>
      <c r="D4872" s="40"/>
      <c r="E4872" s="41"/>
      <c r="F4872" s="35" t="s">
        <v>23</v>
      </c>
      <c r="G4872" s="38" t="str">
        <f>IF(ISNUMBER(F4872),E4872*F4872,"")</f>
        <v/>
      </c>
      <c r="H4872" s="39"/>
      <c r="I4872" s="35"/>
      <c r="J4872" s="34">
        <v>0</v>
      </c>
    </row>
    <row r="4873" spans="1:10" ht="15.75" hidden="1" thickBot="1" x14ac:dyDescent="0.3">
      <c r="A4873" s="248" t="s">
        <v>1173</v>
      </c>
      <c r="B4873" s="251" t="s">
        <v>3021</v>
      </c>
      <c r="C4873" s="28"/>
      <c r="D4873" s="29" t="s">
        <v>121</v>
      </c>
      <c r="E4873" s="30"/>
      <c r="F4873" s="45" t="s">
        <v>23</v>
      </c>
      <c r="G4873" s="31" t="str">
        <f>IF(ISNUMBER(F4873),E4873*F4873,"")</f>
        <v/>
      </c>
      <c r="H4873" s="32"/>
      <c r="I4873" s="33"/>
      <c r="J4873" s="34">
        <v>0</v>
      </c>
    </row>
    <row r="4874" spans="1:10" ht="15.75" hidden="1" thickBot="1" x14ac:dyDescent="0.3">
      <c r="A4874" s="249"/>
      <c r="B4874" s="252"/>
      <c r="C4874" s="36"/>
      <c r="D4874" s="36"/>
      <c r="E4874" s="37"/>
      <c r="F4874" s="46" t="s">
        <v>23</v>
      </c>
      <c r="G4874" s="38" t="str">
        <f>IF(ISNUMBER(F4874),E4874*F4874,"")</f>
        <v/>
      </c>
      <c r="H4874" s="39"/>
      <c r="I4874" s="35"/>
      <c r="J4874" s="34">
        <v>0</v>
      </c>
    </row>
    <row r="4875" spans="1:10" ht="15.75" hidden="1" thickBot="1" x14ac:dyDescent="0.3">
      <c r="A4875" s="249"/>
      <c r="B4875" s="252"/>
      <c r="C4875" s="40" t="s">
        <v>3767</v>
      </c>
      <c r="D4875" s="40" t="s">
        <v>3752</v>
      </c>
      <c r="E4875" s="41">
        <v>0.2</v>
      </c>
      <c r="F4875" s="38">
        <v>25.877999999999997</v>
      </c>
      <c r="G4875" s="38">
        <f>IF(ISNUMBER(F4875),E4875*F4875,"")</f>
        <v>5.1755999999999993</v>
      </c>
      <c r="H4875" s="43">
        <f>SUM(G4875:G4876)</f>
        <v>9.6523799999999991</v>
      </c>
      <c r="I4875" s="44"/>
      <c r="J4875" s="34">
        <v>0</v>
      </c>
    </row>
    <row r="4876" spans="1:10" ht="15.75" hidden="1" thickBot="1" x14ac:dyDescent="0.3">
      <c r="A4876" s="249"/>
      <c r="B4876" s="252"/>
      <c r="C4876" s="40" t="s">
        <v>3834</v>
      </c>
      <c r="D4876" s="40" t="s">
        <v>1035</v>
      </c>
      <c r="E4876" s="41">
        <v>0.11899999999999999</v>
      </c>
      <c r="F4876" s="35">
        <v>37.619999999999997</v>
      </c>
      <c r="G4876" s="38">
        <f>IF(ISNUMBER(F4876),E4876*F4876,"")</f>
        <v>4.4767799999999998</v>
      </c>
      <c r="H4876" s="39"/>
      <c r="I4876" s="35"/>
      <c r="J4876" s="34">
        <v>0</v>
      </c>
    </row>
    <row r="4877" spans="1:10" ht="15.75" hidden="1" thickBot="1" x14ac:dyDescent="0.3">
      <c r="A4877" s="249"/>
      <c r="B4877" s="252"/>
      <c r="C4877" s="40"/>
      <c r="D4877" s="40"/>
      <c r="E4877" s="41"/>
      <c r="F4877" s="35" t="s">
        <v>23</v>
      </c>
      <c r="G4877" s="38"/>
      <c r="H4877" s="39"/>
      <c r="I4877" s="35"/>
      <c r="J4877" s="34">
        <v>0</v>
      </c>
    </row>
    <row r="4878" spans="1:10" ht="15.75" hidden="1" thickBot="1" x14ac:dyDescent="0.3">
      <c r="A4878" s="249"/>
      <c r="B4878" s="252"/>
      <c r="C4878" s="54" t="s">
        <v>1174</v>
      </c>
      <c r="D4878" s="40"/>
      <c r="E4878" s="41"/>
      <c r="F4878" s="35" t="s">
        <v>23</v>
      </c>
      <c r="G4878" s="38"/>
      <c r="H4878" s="39"/>
      <c r="I4878" s="35"/>
      <c r="J4878" s="34">
        <v>0</v>
      </c>
    </row>
    <row r="4879" spans="1:10" ht="15.75" hidden="1" thickBot="1" x14ac:dyDescent="0.3">
      <c r="A4879" s="249"/>
      <c r="B4879" s="252"/>
      <c r="C4879" s="54" t="s">
        <v>1160</v>
      </c>
      <c r="D4879" s="40"/>
      <c r="E4879" s="41"/>
      <c r="F4879" s="35" t="s">
        <v>23</v>
      </c>
      <c r="G4879" s="38"/>
      <c r="H4879" s="39"/>
      <c r="I4879" s="35"/>
      <c r="J4879" s="34">
        <v>0</v>
      </c>
    </row>
    <row r="4880" spans="1:10" ht="15.75" hidden="1" thickBot="1" x14ac:dyDescent="0.3">
      <c r="A4880" s="250"/>
      <c r="B4880" s="253"/>
      <c r="C4880" s="40"/>
      <c r="D4880" s="40"/>
      <c r="E4880" s="41"/>
      <c r="F4880" s="35" t="s">
        <v>23</v>
      </c>
      <c r="G4880" s="38" t="str">
        <f t="shared" ref="G4880:G4943" si="84">IF(ISNUMBER(F4880),E4880*F4880,"")</f>
        <v/>
      </c>
      <c r="H4880" s="39"/>
      <c r="I4880" s="35"/>
      <c r="J4880" s="34">
        <v>0</v>
      </c>
    </row>
    <row r="4881" spans="1:10" ht="15.75" hidden="1" thickBot="1" x14ac:dyDescent="0.3">
      <c r="A4881" s="248" t="s">
        <v>1175</v>
      </c>
      <c r="B4881" s="251" t="s">
        <v>3022</v>
      </c>
      <c r="C4881" s="28"/>
      <c r="D4881" s="29" t="s">
        <v>28</v>
      </c>
      <c r="E4881" s="30"/>
      <c r="F4881" s="45" t="s">
        <v>23</v>
      </c>
      <c r="G4881" s="31" t="str">
        <f t="shared" si="84"/>
        <v/>
      </c>
      <c r="H4881" s="32"/>
      <c r="I4881" s="33"/>
      <c r="J4881" s="34">
        <v>0</v>
      </c>
    </row>
    <row r="4882" spans="1:10" ht="15.75" hidden="1" thickBot="1" x14ac:dyDescent="0.3">
      <c r="A4882" s="249"/>
      <c r="B4882" s="252"/>
      <c r="C4882" s="36"/>
      <c r="D4882" s="36"/>
      <c r="E4882" s="37"/>
      <c r="F4882" s="46" t="s">
        <v>23</v>
      </c>
      <c r="G4882" s="35" t="str">
        <f t="shared" si="84"/>
        <v/>
      </c>
      <c r="H4882" s="39"/>
      <c r="I4882" s="35"/>
      <c r="J4882" s="34">
        <v>0</v>
      </c>
    </row>
    <row r="4883" spans="1:10" ht="26.25" hidden="1" thickBot="1" x14ac:dyDescent="0.3">
      <c r="A4883" s="249"/>
      <c r="B4883" s="252"/>
      <c r="C4883" s="40" t="s">
        <v>1176</v>
      </c>
      <c r="D4883" s="53" t="s">
        <v>291</v>
      </c>
      <c r="E4883" s="41">
        <v>1</v>
      </c>
      <c r="F4883" s="38" t="s">
        <v>23</v>
      </c>
      <c r="G4883" s="38" t="str">
        <f t="shared" si="84"/>
        <v/>
      </c>
      <c r="H4883" s="43">
        <f>SUM(G4883:G4889)</f>
        <v>89.287580649999995</v>
      </c>
      <c r="I4883" s="44"/>
      <c r="J4883" s="34">
        <v>0</v>
      </c>
    </row>
    <row r="4884" spans="1:10" ht="26.25" hidden="1" thickBot="1" x14ac:dyDescent="0.3">
      <c r="A4884" s="249"/>
      <c r="B4884" s="252"/>
      <c r="C4884" s="40" t="s">
        <v>224</v>
      </c>
      <c r="D4884" s="40" t="s">
        <v>28</v>
      </c>
      <c r="E4884" s="41">
        <v>1</v>
      </c>
      <c r="F4884" s="38" t="s">
        <v>23</v>
      </c>
      <c r="G4884" s="38" t="str">
        <f t="shared" si="84"/>
        <v/>
      </c>
      <c r="H4884" s="39"/>
      <c r="I4884" s="35"/>
      <c r="J4884" s="34">
        <v>0</v>
      </c>
    </row>
    <row r="4885" spans="1:10" ht="39" hidden="1" thickBot="1" x14ac:dyDescent="0.3">
      <c r="A4885" s="249"/>
      <c r="B4885" s="252"/>
      <c r="C4885" s="40" t="s">
        <v>3874</v>
      </c>
      <c r="D4885" s="40" t="s">
        <v>291</v>
      </c>
      <c r="E4885" s="41">
        <v>2</v>
      </c>
      <c r="F4885" s="38">
        <v>22.799999999999997</v>
      </c>
      <c r="G4885" s="38">
        <f t="shared" si="84"/>
        <v>45.599999999999994</v>
      </c>
      <c r="H4885" s="39"/>
      <c r="I4885" s="35"/>
      <c r="J4885" s="34">
        <v>0</v>
      </c>
    </row>
    <row r="4886" spans="1:10" ht="26.25" hidden="1" thickBot="1" x14ac:dyDescent="0.3">
      <c r="A4886" s="249"/>
      <c r="B4886" s="252"/>
      <c r="C4886" s="40" t="s">
        <v>3858</v>
      </c>
      <c r="D4886" s="40" t="s">
        <v>291</v>
      </c>
      <c r="E4886" s="41">
        <v>1</v>
      </c>
      <c r="F4886" s="38">
        <v>16.102499999999999</v>
      </c>
      <c r="G4886" s="59">
        <f t="shared" si="84"/>
        <v>16.102499999999999</v>
      </c>
      <c r="H4886" s="39"/>
      <c r="I4886" s="35"/>
      <c r="J4886" s="34">
        <v>0</v>
      </c>
    </row>
    <row r="4887" spans="1:10" ht="15.75" hidden="1" thickBot="1" x14ac:dyDescent="0.3">
      <c r="A4887" s="249"/>
      <c r="B4887" s="252"/>
      <c r="C4887" s="40" t="s">
        <v>4161</v>
      </c>
      <c r="D4887" s="40" t="s">
        <v>1035</v>
      </c>
      <c r="E4887" s="41">
        <v>8.8099999999999998E-2</v>
      </c>
      <c r="F4887" s="38">
        <v>76.36099999999999</v>
      </c>
      <c r="G4887" s="38">
        <f t="shared" si="84"/>
        <v>6.7274040999999993</v>
      </c>
      <c r="H4887" s="39"/>
      <c r="I4887" s="35"/>
      <c r="J4887" s="34">
        <v>0</v>
      </c>
    </row>
    <row r="4888" spans="1:10" ht="26.25" hidden="1" thickBot="1" x14ac:dyDescent="0.3">
      <c r="A4888" s="249"/>
      <c r="B4888" s="252"/>
      <c r="C4888" s="40" t="s">
        <v>4110</v>
      </c>
      <c r="D4888" s="40" t="s">
        <v>3752</v>
      </c>
      <c r="E4888" s="41">
        <v>0.49680000000000002</v>
      </c>
      <c r="F4888" s="35">
        <v>27.341000000000001</v>
      </c>
      <c r="G4888" s="38">
        <f t="shared" si="84"/>
        <v>13.583008800000002</v>
      </c>
      <c r="H4888" s="39"/>
      <c r="I4888" s="35"/>
      <c r="J4888" s="34">
        <v>0</v>
      </c>
    </row>
    <row r="4889" spans="1:10" ht="15.75" hidden="1" thickBot="1" x14ac:dyDescent="0.3">
      <c r="A4889" s="249"/>
      <c r="B4889" s="252"/>
      <c r="C4889" s="40" t="s">
        <v>3754</v>
      </c>
      <c r="D4889" s="40" t="s">
        <v>3752</v>
      </c>
      <c r="E4889" s="41">
        <v>0.34949999999999998</v>
      </c>
      <c r="F4889" s="35">
        <v>20.814499999999999</v>
      </c>
      <c r="G4889" s="38">
        <f t="shared" si="84"/>
        <v>7.274667749999999</v>
      </c>
      <c r="H4889" s="39"/>
      <c r="I4889" s="35"/>
      <c r="J4889" s="34">
        <v>0</v>
      </c>
    </row>
    <row r="4890" spans="1:10" ht="15.75" hidden="1" thickBot="1" x14ac:dyDescent="0.3">
      <c r="A4890" s="250"/>
      <c r="B4890" s="253"/>
      <c r="C4890" s="40"/>
      <c r="D4890" s="40"/>
      <c r="E4890" s="41"/>
      <c r="F4890" s="35" t="s">
        <v>23</v>
      </c>
      <c r="G4890" s="35" t="str">
        <f t="shared" si="84"/>
        <v/>
      </c>
      <c r="H4890" s="39"/>
      <c r="I4890" s="35"/>
      <c r="J4890" s="34">
        <v>0</v>
      </c>
    </row>
    <row r="4891" spans="1:10" ht="15.75" hidden="1" thickBot="1" x14ac:dyDescent="0.3">
      <c r="A4891" s="248" t="s">
        <v>1177</v>
      </c>
      <c r="B4891" s="251" t="s">
        <v>3023</v>
      </c>
      <c r="C4891" s="28"/>
      <c r="D4891" s="29" t="s">
        <v>28</v>
      </c>
      <c r="E4891" s="30"/>
      <c r="F4891" s="45" t="s">
        <v>23</v>
      </c>
      <c r="G4891" s="31" t="str">
        <f t="shared" si="84"/>
        <v/>
      </c>
      <c r="H4891" s="32"/>
      <c r="I4891" s="33"/>
      <c r="J4891" s="34">
        <v>0</v>
      </c>
    </row>
    <row r="4892" spans="1:10" ht="15.75" hidden="1" thickBot="1" x14ac:dyDescent="0.3">
      <c r="A4892" s="249"/>
      <c r="B4892" s="252"/>
      <c r="C4892" s="36"/>
      <c r="D4892" s="36"/>
      <c r="E4892" s="37"/>
      <c r="F4892" s="46" t="s">
        <v>23</v>
      </c>
      <c r="G4892" s="35" t="str">
        <f t="shared" si="84"/>
        <v/>
      </c>
      <c r="H4892" s="39"/>
      <c r="I4892" s="35"/>
      <c r="J4892" s="34">
        <v>0</v>
      </c>
    </row>
    <row r="4893" spans="1:10" ht="15.75" hidden="1" thickBot="1" x14ac:dyDescent="0.3">
      <c r="A4893" s="249"/>
      <c r="B4893" s="252"/>
      <c r="C4893" s="40" t="s">
        <v>1178</v>
      </c>
      <c r="D4893" s="53" t="s">
        <v>291</v>
      </c>
      <c r="E4893" s="41">
        <v>1</v>
      </c>
      <c r="F4893" s="38" t="s">
        <v>23</v>
      </c>
      <c r="G4893" s="38" t="str">
        <f t="shared" si="84"/>
        <v/>
      </c>
      <c r="H4893" s="43">
        <f>SUM(G4893:G4898)</f>
        <v>89.287580649999995</v>
      </c>
      <c r="I4893" s="44"/>
      <c r="J4893" s="34">
        <v>0</v>
      </c>
    </row>
    <row r="4894" spans="1:10" ht="26.25" hidden="1" thickBot="1" x14ac:dyDescent="0.3">
      <c r="A4894" s="249"/>
      <c r="B4894" s="252"/>
      <c r="C4894" s="40" t="s">
        <v>3858</v>
      </c>
      <c r="D4894" s="40" t="s">
        <v>291</v>
      </c>
      <c r="E4894" s="41">
        <v>1</v>
      </c>
      <c r="F4894" s="38">
        <v>16.102499999999999</v>
      </c>
      <c r="G4894" s="59">
        <f t="shared" si="84"/>
        <v>16.102499999999999</v>
      </c>
      <c r="H4894" s="39"/>
      <c r="I4894" s="35"/>
      <c r="J4894" s="34">
        <v>0</v>
      </c>
    </row>
    <row r="4895" spans="1:10" ht="39" hidden="1" thickBot="1" x14ac:dyDescent="0.3">
      <c r="A4895" s="249"/>
      <c r="B4895" s="252"/>
      <c r="C4895" s="40" t="s">
        <v>3874</v>
      </c>
      <c r="D4895" s="40" t="s">
        <v>291</v>
      </c>
      <c r="E4895" s="41">
        <v>2</v>
      </c>
      <c r="F4895" s="38">
        <v>22.799999999999997</v>
      </c>
      <c r="G4895" s="38">
        <f t="shared" si="84"/>
        <v>45.599999999999994</v>
      </c>
      <c r="H4895" s="39"/>
      <c r="I4895" s="35"/>
      <c r="J4895" s="34">
        <v>0</v>
      </c>
    </row>
    <row r="4896" spans="1:10" ht="15.75" hidden="1" thickBot="1" x14ac:dyDescent="0.3">
      <c r="A4896" s="249"/>
      <c r="B4896" s="252"/>
      <c r="C4896" s="40" t="s">
        <v>4161</v>
      </c>
      <c r="D4896" s="40" t="s">
        <v>1035</v>
      </c>
      <c r="E4896" s="41">
        <v>8.8099999999999998E-2</v>
      </c>
      <c r="F4896" s="38">
        <v>76.36099999999999</v>
      </c>
      <c r="G4896" s="38">
        <f t="shared" si="84"/>
        <v>6.7274040999999993</v>
      </c>
      <c r="H4896" s="39"/>
      <c r="I4896" s="35"/>
      <c r="J4896" s="34">
        <v>0</v>
      </c>
    </row>
    <row r="4897" spans="1:10" ht="26.25" hidden="1" thickBot="1" x14ac:dyDescent="0.3">
      <c r="A4897" s="249"/>
      <c r="B4897" s="252"/>
      <c r="C4897" s="40" t="s">
        <v>4110</v>
      </c>
      <c r="D4897" s="40" t="s">
        <v>3752</v>
      </c>
      <c r="E4897" s="41">
        <v>0.49680000000000002</v>
      </c>
      <c r="F4897" s="35">
        <v>27.341000000000001</v>
      </c>
      <c r="G4897" s="38">
        <f t="shared" si="84"/>
        <v>13.583008800000002</v>
      </c>
      <c r="H4897" s="39"/>
      <c r="I4897" s="35"/>
      <c r="J4897" s="34">
        <v>0</v>
      </c>
    </row>
    <row r="4898" spans="1:10" ht="15.75" hidden="1" thickBot="1" x14ac:dyDescent="0.3">
      <c r="A4898" s="249"/>
      <c r="B4898" s="252"/>
      <c r="C4898" s="40" t="s">
        <v>3754</v>
      </c>
      <c r="D4898" s="40" t="s">
        <v>3752</v>
      </c>
      <c r="E4898" s="41">
        <v>0.34949999999999998</v>
      </c>
      <c r="F4898" s="35">
        <v>20.814499999999999</v>
      </c>
      <c r="G4898" s="38">
        <f t="shared" si="84"/>
        <v>7.274667749999999</v>
      </c>
      <c r="H4898" s="39"/>
      <c r="I4898" s="35"/>
      <c r="J4898" s="34">
        <v>0</v>
      </c>
    </row>
    <row r="4899" spans="1:10" ht="15.75" hidden="1" thickBot="1" x14ac:dyDescent="0.3">
      <c r="A4899" s="250"/>
      <c r="B4899" s="253"/>
      <c r="C4899" s="40"/>
      <c r="D4899" s="40"/>
      <c r="E4899" s="41"/>
      <c r="F4899" s="35" t="s">
        <v>23</v>
      </c>
      <c r="G4899" s="35" t="str">
        <f t="shared" si="84"/>
        <v/>
      </c>
      <c r="H4899" s="39"/>
      <c r="I4899" s="35"/>
      <c r="J4899" s="34">
        <v>0</v>
      </c>
    </row>
    <row r="4900" spans="1:10" ht="15.75" hidden="1" thickBot="1" x14ac:dyDescent="0.3">
      <c r="A4900" s="248" t="s">
        <v>1179</v>
      </c>
      <c r="B4900" s="251" t="s">
        <v>3024</v>
      </c>
      <c r="C4900" s="28"/>
      <c r="D4900" s="29" t="s">
        <v>28</v>
      </c>
      <c r="E4900" s="30"/>
      <c r="F4900" s="51" t="s">
        <v>23</v>
      </c>
      <c r="G4900" s="31" t="str">
        <f t="shared" si="84"/>
        <v/>
      </c>
      <c r="H4900" s="32"/>
      <c r="I4900" s="33"/>
      <c r="J4900" s="34">
        <v>0</v>
      </c>
    </row>
    <row r="4901" spans="1:10" ht="15.75" hidden="1" thickBot="1" x14ac:dyDescent="0.3">
      <c r="A4901" s="262"/>
      <c r="B4901" s="252"/>
      <c r="C4901" s="36"/>
      <c r="D4901" s="36"/>
      <c r="E4901" s="37"/>
      <c r="F4901" s="59" t="s">
        <v>23</v>
      </c>
      <c r="G4901" s="59" t="str">
        <f t="shared" si="84"/>
        <v/>
      </c>
      <c r="H4901" s="62"/>
      <c r="I4901" s="63"/>
      <c r="J4901" s="34">
        <v>0</v>
      </c>
    </row>
    <row r="4902" spans="1:10" ht="26.25" hidden="1" thickBot="1" x14ac:dyDescent="0.3">
      <c r="A4902" s="262"/>
      <c r="B4902" s="252"/>
      <c r="C4902" s="40" t="s">
        <v>1180</v>
      </c>
      <c r="D4902" s="40" t="s">
        <v>291</v>
      </c>
      <c r="E4902" s="41">
        <v>1</v>
      </c>
      <c r="F4902" s="59" t="s">
        <v>23</v>
      </c>
      <c r="G4902" s="59" t="str">
        <f t="shared" si="84"/>
        <v/>
      </c>
      <c r="H4902" s="43">
        <f>SUM(G4902:G4905)</f>
        <v>15.220826849999998</v>
      </c>
      <c r="I4902" s="44"/>
      <c r="J4902" s="34">
        <v>0</v>
      </c>
    </row>
    <row r="4903" spans="1:10" ht="15.75" hidden="1" thickBot="1" x14ac:dyDescent="0.3">
      <c r="A4903" s="262"/>
      <c r="B4903" s="252"/>
      <c r="C4903" s="40" t="s">
        <v>3876</v>
      </c>
      <c r="D4903" s="40" t="s">
        <v>291</v>
      </c>
      <c r="E4903" s="41">
        <v>2.1000000000000001E-2</v>
      </c>
      <c r="F4903" s="59">
        <v>3.762</v>
      </c>
      <c r="G4903" s="59">
        <f t="shared" si="84"/>
        <v>7.9002000000000003E-2</v>
      </c>
      <c r="H4903" s="62"/>
      <c r="I4903" s="63"/>
      <c r="J4903" s="34">
        <v>0</v>
      </c>
    </row>
    <row r="4904" spans="1:10" ht="26.25" hidden="1" thickBot="1" x14ac:dyDescent="0.3">
      <c r="A4904" s="262"/>
      <c r="B4904" s="252"/>
      <c r="C4904" s="40" t="s">
        <v>4110</v>
      </c>
      <c r="D4904" s="40" t="s">
        <v>3752</v>
      </c>
      <c r="E4904" s="41">
        <v>0.44669999999999999</v>
      </c>
      <c r="F4904" s="59">
        <v>27.341000000000001</v>
      </c>
      <c r="G4904" s="59">
        <f t="shared" si="84"/>
        <v>12.2132247</v>
      </c>
      <c r="H4904" s="62"/>
      <c r="I4904" s="63"/>
      <c r="J4904" s="34">
        <v>0</v>
      </c>
    </row>
    <row r="4905" spans="1:10" ht="15.75" hidden="1" thickBot="1" x14ac:dyDescent="0.3">
      <c r="A4905" s="262"/>
      <c r="B4905" s="252"/>
      <c r="C4905" s="40" t="s">
        <v>3754</v>
      </c>
      <c r="D4905" s="40" t="s">
        <v>3752</v>
      </c>
      <c r="E4905" s="41">
        <v>0.14069999999999999</v>
      </c>
      <c r="F4905" s="59">
        <v>20.814499999999999</v>
      </c>
      <c r="G4905" s="59">
        <f t="shared" si="84"/>
        <v>2.9286001499999998</v>
      </c>
      <c r="H4905" s="62"/>
      <c r="I4905" s="63"/>
      <c r="J4905" s="34">
        <v>0</v>
      </c>
    </row>
    <row r="4906" spans="1:10" ht="15.75" hidden="1" thickBot="1" x14ac:dyDescent="0.3">
      <c r="A4906" s="263"/>
      <c r="B4906" s="253"/>
      <c r="C4906" s="40"/>
      <c r="D4906" s="40"/>
      <c r="E4906" s="41"/>
      <c r="F4906" s="59" t="s">
        <v>23</v>
      </c>
      <c r="G4906" s="59" t="str">
        <f t="shared" si="84"/>
        <v/>
      </c>
      <c r="H4906" s="62"/>
      <c r="I4906" s="63"/>
      <c r="J4906" s="34">
        <v>0</v>
      </c>
    </row>
    <row r="4907" spans="1:10" ht="15.75" hidden="1" thickBot="1" x14ac:dyDescent="0.3">
      <c r="A4907" s="248" t="s">
        <v>1181</v>
      </c>
      <c r="B4907" s="251" t="s">
        <v>3025</v>
      </c>
      <c r="C4907" s="28"/>
      <c r="D4907" s="29" t="s">
        <v>28</v>
      </c>
      <c r="E4907" s="30"/>
      <c r="F4907" s="51" t="s">
        <v>23</v>
      </c>
      <c r="G4907" s="31" t="str">
        <f t="shared" si="84"/>
        <v/>
      </c>
      <c r="H4907" s="32"/>
      <c r="I4907" s="33"/>
      <c r="J4907" s="34">
        <v>0</v>
      </c>
    </row>
    <row r="4908" spans="1:10" ht="15.75" hidden="1" thickBot="1" x14ac:dyDescent="0.3">
      <c r="A4908" s="262"/>
      <c r="B4908" s="252"/>
      <c r="C4908" s="36"/>
      <c r="D4908" s="36"/>
      <c r="E4908" s="37"/>
      <c r="F4908" s="59" t="s">
        <v>23</v>
      </c>
      <c r="G4908" s="59" t="str">
        <f t="shared" si="84"/>
        <v/>
      </c>
      <c r="H4908" s="62"/>
      <c r="I4908" s="63"/>
      <c r="J4908" s="34">
        <v>0</v>
      </c>
    </row>
    <row r="4909" spans="1:10" ht="15.75" hidden="1" thickBot="1" x14ac:dyDescent="0.3">
      <c r="A4909" s="262"/>
      <c r="B4909" s="252"/>
      <c r="C4909" s="40" t="s">
        <v>3876</v>
      </c>
      <c r="D4909" s="40" t="s">
        <v>291</v>
      </c>
      <c r="E4909" s="41">
        <v>4.2000000000000003E-2</v>
      </c>
      <c r="F4909" s="59">
        <v>3.762</v>
      </c>
      <c r="G4909" s="59">
        <f t="shared" si="84"/>
        <v>0.15800400000000001</v>
      </c>
      <c r="H4909" s="43">
        <f>SUM(G4909:G4912)</f>
        <v>15.8640063</v>
      </c>
      <c r="I4909" s="44"/>
      <c r="J4909" s="34">
        <v>0</v>
      </c>
    </row>
    <row r="4910" spans="1:10" ht="15.75" hidden="1" thickBot="1" x14ac:dyDescent="0.3">
      <c r="A4910" s="262"/>
      <c r="B4910" s="252"/>
      <c r="C4910" s="40" t="s">
        <v>1182</v>
      </c>
      <c r="D4910" s="40" t="s">
        <v>291</v>
      </c>
      <c r="E4910" s="41">
        <v>1</v>
      </c>
      <c r="F4910" s="59" t="s">
        <v>23</v>
      </c>
      <c r="G4910" s="59" t="str">
        <f t="shared" si="84"/>
        <v/>
      </c>
      <c r="H4910" s="62"/>
      <c r="I4910" s="63"/>
      <c r="J4910" s="34">
        <v>0</v>
      </c>
    </row>
    <row r="4911" spans="1:10" ht="26.25" hidden="1" thickBot="1" x14ac:dyDescent="0.3">
      <c r="A4911" s="262"/>
      <c r="B4911" s="252"/>
      <c r="C4911" s="40" t="s">
        <v>4110</v>
      </c>
      <c r="D4911" s="40" t="s">
        <v>3752</v>
      </c>
      <c r="E4911" s="41">
        <v>0.46329999999999999</v>
      </c>
      <c r="F4911" s="59">
        <v>27.341000000000001</v>
      </c>
      <c r="G4911" s="59">
        <f t="shared" si="84"/>
        <v>12.6670853</v>
      </c>
      <c r="H4911" s="62"/>
      <c r="I4911" s="63"/>
      <c r="J4911" s="34">
        <v>0</v>
      </c>
    </row>
    <row r="4912" spans="1:10" ht="15.75" hidden="1" thickBot="1" x14ac:dyDescent="0.3">
      <c r="A4912" s="262"/>
      <c r="B4912" s="252"/>
      <c r="C4912" s="40" t="s">
        <v>3754</v>
      </c>
      <c r="D4912" s="40" t="s">
        <v>3752</v>
      </c>
      <c r="E4912" s="41">
        <v>0.14599999999999999</v>
      </c>
      <c r="F4912" s="59">
        <v>20.814499999999999</v>
      </c>
      <c r="G4912" s="59">
        <f t="shared" si="84"/>
        <v>3.0389169999999996</v>
      </c>
      <c r="H4912" s="62"/>
      <c r="I4912" s="63"/>
      <c r="J4912" s="34">
        <v>0</v>
      </c>
    </row>
    <row r="4913" spans="1:10" ht="15.75" hidden="1" thickBot="1" x14ac:dyDescent="0.3">
      <c r="A4913" s="263"/>
      <c r="B4913" s="253"/>
      <c r="C4913" s="40"/>
      <c r="D4913" s="40"/>
      <c r="E4913" s="41"/>
      <c r="F4913" s="59" t="s">
        <v>23</v>
      </c>
      <c r="G4913" s="59" t="str">
        <f t="shared" si="84"/>
        <v/>
      </c>
      <c r="H4913" s="62"/>
      <c r="I4913" s="63"/>
      <c r="J4913" s="34">
        <v>0</v>
      </c>
    </row>
    <row r="4914" spans="1:10" ht="15.75" hidden="1" thickBot="1" x14ac:dyDescent="0.3">
      <c r="A4914" s="248" t="s">
        <v>1183</v>
      </c>
      <c r="B4914" s="251" t="s">
        <v>3026</v>
      </c>
      <c r="C4914" s="28"/>
      <c r="D4914" s="29" t="s">
        <v>28</v>
      </c>
      <c r="E4914" s="30"/>
      <c r="F4914" s="51" t="s">
        <v>23</v>
      </c>
      <c r="G4914" s="31" t="str">
        <f t="shared" si="84"/>
        <v/>
      </c>
      <c r="H4914" s="32"/>
      <c r="I4914" s="33"/>
      <c r="J4914" s="34">
        <v>0</v>
      </c>
    </row>
    <row r="4915" spans="1:10" ht="15.75" hidden="1" thickBot="1" x14ac:dyDescent="0.3">
      <c r="A4915" s="262"/>
      <c r="B4915" s="252"/>
      <c r="C4915" s="36"/>
      <c r="D4915" s="36"/>
      <c r="E4915" s="37"/>
      <c r="F4915" s="59" t="s">
        <v>23</v>
      </c>
      <c r="G4915" s="59" t="str">
        <f t="shared" si="84"/>
        <v/>
      </c>
      <c r="H4915" s="62"/>
      <c r="I4915" s="63"/>
      <c r="J4915" s="34">
        <v>0</v>
      </c>
    </row>
    <row r="4916" spans="1:10" ht="15.75" hidden="1" thickBot="1" x14ac:dyDescent="0.3">
      <c r="A4916" s="262"/>
      <c r="B4916" s="252"/>
      <c r="C4916" s="40" t="s">
        <v>3876</v>
      </c>
      <c r="D4916" s="40" t="s">
        <v>291</v>
      </c>
      <c r="E4916" s="41">
        <v>4.2000000000000003E-2</v>
      </c>
      <c r="F4916" s="59">
        <v>3.762</v>
      </c>
      <c r="G4916" s="59">
        <f t="shared" si="84"/>
        <v>0.15800400000000001</v>
      </c>
      <c r="H4916" s="43">
        <f>SUM(G4916:G4919)</f>
        <v>7.8396299000000003</v>
      </c>
      <c r="I4916" s="44"/>
      <c r="J4916" s="34">
        <v>0</v>
      </c>
    </row>
    <row r="4917" spans="1:10" ht="26.25" hidden="1" thickBot="1" x14ac:dyDescent="0.3">
      <c r="A4917" s="262"/>
      <c r="B4917" s="252"/>
      <c r="C4917" s="40" t="s">
        <v>1184</v>
      </c>
      <c r="D4917" s="40" t="s">
        <v>291</v>
      </c>
      <c r="E4917" s="41">
        <v>1</v>
      </c>
      <c r="F4917" s="59" t="s">
        <v>23</v>
      </c>
      <c r="G4917" s="59" t="str">
        <f t="shared" si="84"/>
        <v/>
      </c>
      <c r="H4917" s="62"/>
      <c r="I4917" s="63"/>
      <c r="J4917" s="34">
        <v>0</v>
      </c>
    </row>
    <row r="4918" spans="1:10" ht="26.25" hidden="1" thickBot="1" x14ac:dyDescent="0.3">
      <c r="A4918" s="262"/>
      <c r="B4918" s="252"/>
      <c r="C4918" s="40" t="s">
        <v>4110</v>
      </c>
      <c r="D4918" s="40" t="s">
        <v>3752</v>
      </c>
      <c r="E4918" s="41">
        <v>0.2266</v>
      </c>
      <c r="F4918" s="59">
        <v>27.341000000000001</v>
      </c>
      <c r="G4918" s="59">
        <f t="shared" si="84"/>
        <v>6.1954706000000002</v>
      </c>
      <c r="H4918" s="62"/>
      <c r="I4918" s="63"/>
      <c r="J4918" s="34">
        <v>0</v>
      </c>
    </row>
    <row r="4919" spans="1:10" ht="15.75" hidden="1" thickBot="1" x14ac:dyDescent="0.3">
      <c r="A4919" s="262"/>
      <c r="B4919" s="252"/>
      <c r="C4919" s="40" t="s">
        <v>3754</v>
      </c>
      <c r="D4919" s="40" t="s">
        <v>3752</v>
      </c>
      <c r="E4919" s="41">
        <v>7.1400000000000005E-2</v>
      </c>
      <c r="F4919" s="59">
        <v>20.814499999999999</v>
      </c>
      <c r="G4919" s="59">
        <f t="shared" si="84"/>
        <v>1.4861553000000001</v>
      </c>
      <c r="H4919" s="62"/>
      <c r="I4919" s="63"/>
      <c r="J4919" s="34">
        <v>0</v>
      </c>
    </row>
    <row r="4920" spans="1:10" ht="15.75" hidden="1" thickBot="1" x14ac:dyDescent="0.3">
      <c r="A4920" s="263"/>
      <c r="B4920" s="253"/>
      <c r="C4920" s="40"/>
      <c r="D4920" s="40"/>
      <c r="E4920" s="41"/>
      <c r="F4920" s="59" t="s">
        <v>23</v>
      </c>
      <c r="G4920" s="59" t="str">
        <f t="shared" si="84"/>
        <v/>
      </c>
      <c r="H4920" s="62"/>
      <c r="I4920" s="63"/>
      <c r="J4920" s="34">
        <v>0</v>
      </c>
    </row>
    <row r="4921" spans="1:10" ht="15.75" hidden="1" thickBot="1" x14ac:dyDescent="0.3">
      <c r="A4921" s="248" t="s">
        <v>1185</v>
      </c>
      <c r="B4921" s="251" t="s">
        <v>3027</v>
      </c>
      <c r="C4921" s="28"/>
      <c r="D4921" s="29" t="s">
        <v>28</v>
      </c>
      <c r="E4921" s="30"/>
      <c r="F4921" s="51" t="s">
        <v>23</v>
      </c>
      <c r="G4921" s="31" t="str">
        <f t="shared" si="84"/>
        <v/>
      </c>
      <c r="H4921" s="32"/>
      <c r="I4921" s="33"/>
      <c r="J4921" s="34">
        <v>0</v>
      </c>
    </row>
    <row r="4922" spans="1:10" ht="15.75" hidden="1" thickBot="1" x14ac:dyDescent="0.3">
      <c r="A4922" s="262"/>
      <c r="B4922" s="252"/>
      <c r="C4922" s="36"/>
      <c r="D4922" s="36"/>
      <c r="E4922" s="37"/>
      <c r="F4922" s="59" t="s">
        <v>23</v>
      </c>
      <c r="G4922" s="59" t="str">
        <f t="shared" si="84"/>
        <v/>
      </c>
      <c r="H4922" s="62"/>
      <c r="I4922" s="63"/>
      <c r="J4922" s="34">
        <v>0</v>
      </c>
    </row>
    <row r="4923" spans="1:10" ht="15.75" hidden="1" thickBot="1" x14ac:dyDescent="0.3">
      <c r="A4923" s="262"/>
      <c r="B4923" s="252"/>
      <c r="C4923" s="40" t="s">
        <v>3876</v>
      </c>
      <c r="D4923" s="40" t="s">
        <v>291</v>
      </c>
      <c r="E4923" s="41">
        <v>4.2000000000000003E-2</v>
      </c>
      <c r="F4923" s="59">
        <v>3.762</v>
      </c>
      <c r="G4923" s="59">
        <f t="shared" si="84"/>
        <v>0.15800400000000001</v>
      </c>
      <c r="H4923" s="43">
        <f>SUM(G4923:G4926)</f>
        <v>15.8640063</v>
      </c>
      <c r="I4923" s="44"/>
      <c r="J4923" s="34">
        <v>0</v>
      </c>
    </row>
    <row r="4924" spans="1:10" ht="26.25" hidden="1" thickBot="1" x14ac:dyDescent="0.3">
      <c r="A4924" s="262"/>
      <c r="B4924" s="252"/>
      <c r="C4924" s="40" t="s">
        <v>1186</v>
      </c>
      <c r="D4924" s="40" t="s">
        <v>291</v>
      </c>
      <c r="E4924" s="41">
        <v>1</v>
      </c>
      <c r="F4924" s="59" t="s">
        <v>23</v>
      </c>
      <c r="G4924" s="59" t="str">
        <f t="shared" si="84"/>
        <v/>
      </c>
      <c r="H4924" s="62"/>
      <c r="I4924" s="63"/>
      <c r="J4924" s="34">
        <v>0</v>
      </c>
    </row>
    <row r="4925" spans="1:10" ht="26.25" hidden="1" thickBot="1" x14ac:dyDescent="0.3">
      <c r="A4925" s="262"/>
      <c r="B4925" s="252"/>
      <c r="C4925" s="40" t="s">
        <v>4110</v>
      </c>
      <c r="D4925" s="40" t="s">
        <v>3752</v>
      </c>
      <c r="E4925" s="41">
        <v>0.46329999999999999</v>
      </c>
      <c r="F4925" s="59">
        <v>27.341000000000001</v>
      </c>
      <c r="G4925" s="59">
        <f t="shared" si="84"/>
        <v>12.6670853</v>
      </c>
      <c r="H4925" s="62"/>
      <c r="I4925" s="63"/>
      <c r="J4925" s="34">
        <v>0</v>
      </c>
    </row>
    <row r="4926" spans="1:10" ht="15.75" hidden="1" thickBot="1" x14ac:dyDescent="0.3">
      <c r="A4926" s="262"/>
      <c r="B4926" s="252"/>
      <c r="C4926" s="40" t="s">
        <v>3754</v>
      </c>
      <c r="D4926" s="40" t="s">
        <v>3752</v>
      </c>
      <c r="E4926" s="41">
        <v>0.14599999999999999</v>
      </c>
      <c r="F4926" s="59">
        <v>20.814499999999999</v>
      </c>
      <c r="G4926" s="59">
        <f t="shared" si="84"/>
        <v>3.0389169999999996</v>
      </c>
      <c r="H4926" s="62"/>
      <c r="I4926" s="63"/>
      <c r="J4926" s="34">
        <v>0</v>
      </c>
    </row>
    <row r="4927" spans="1:10" ht="15.75" hidden="1" thickBot="1" x14ac:dyDescent="0.3">
      <c r="A4927" s="263"/>
      <c r="B4927" s="253"/>
      <c r="C4927" s="40"/>
      <c r="D4927" s="40"/>
      <c r="E4927" s="41"/>
      <c r="F4927" s="59" t="s">
        <v>23</v>
      </c>
      <c r="G4927" s="59" t="str">
        <f t="shared" si="84"/>
        <v/>
      </c>
      <c r="H4927" s="62"/>
      <c r="I4927" s="63"/>
      <c r="J4927" s="34">
        <v>0</v>
      </c>
    </row>
    <row r="4928" spans="1:10" ht="15.75" hidden="1" thickBot="1" x14ac:dyDescent="0.3">
      <c r="A4928" s="248" t="s">
        <v>1187</v>
      </c>
      <c r="B4928" s="251" t="s">
        <v>3028</v>
      </c>
      <c r="C4928" s="28"/>
      <c r="D4928" s="29" t="s">
        <v>28</v>
      </c>
      <c r="E4928" s="30"/>
      <c r="F4928" s="51" t="s">
        <v>23</v>
      </c>
      <c r="G4928" s="31" t="str">
        <f t="shared" si="84"/>
        <v/>
      </c>
      <c r="H4928" s="32"/>
      <c r="I4928" s="33"/>
      <c r="J4928" s="34">
        <v>0</v>
      </c>
    </row>
    <row r="4929" spans="1:10" ht="15.75" hidden="1" thickBot="1" x14ac:dyDescent="0.3">
      <c r="A4929" s="262"/>
      <c r="B4929" s="252"/>
      <c r="C4929" s="36"/>
      <c r="D4929" s="36"/>
      <c r="E4929" s="37"/>
      <c r="F4929" s="59" t="s">
        <v>23</v>
      </c>
      <c r="G4929" s="59" t="str">
        <f t="shared" si="84"/>
        <v/>
      </c>
      <c r="H4929" s="62"/>
      <c r="I4929" s="63"/>
      <c r="J4929" s="34">
        <v>0</v>
      </c>
    </row>
    <row r="4930" spans="1:10" ht="15.75" hidden="1" thickBot="1" x14ac:dyDescent="0.3">
      <c r="A4930" s="262"/>
      <c r="B4930" s="252"/>
      <c r="C4930" s="40" t="s">
        <v>3876</v>
      </c>
      <c r="D4930" s="40" t="s">
        <v>291</v>
      </c>
      <c r="E4930" s="41">
        <v>4.2000000000000003E-2</v>
      </c>
      <c r="F4930" s="59">
        <v>3.762</v>
      </c>
      <c r="G4930" s="59">
        <f t="shared" si="84"/>
        <v>0.15800400000000001</v>
      </c>
      <c r="H4930" s="43">
        <f>SUM(G4930:G4933)</f>
        <v>7.8396299000000003</v>
      </c>
      <c r="I4930" s="44"/>
      <c r="J4930" s="34">
        <v>0</v>
      </c>
    </row>
    <row r="4931" spans="1:10" ht="26.25" hidden="1" thickBot="1" x14ac:dyDescent="0.3">
      <c r="A4931" s="262"/>
      <c r="B4931" s="252"/>
      <c r="C4931" s="40" t="s">
        <v>1188</v>
      </c>
      <c r="D4931" s="40" t="s">
        <v>291</v>
      </c>
      <c r="E4931" s="41">
        <v>1</v>
      </c>
      <c r="F4931" s="59" t="s">
        <v>23</v>
      </c>
      <c r="G4931" s="59" t="str">
        <f t="shared" si="84"/>
        <v/>
      </c>
      <c r="H4931" s="62"/>
      <c r="I4931" s="63"/>
      <c r="J4931" s="34">
        <v>0</v>
      </c>
    </row>
    <row r="4932" spans="1:10" ht="26.25" hidden="1" thickBot="1" x14ac:dyDescent="0.3">
      <c r="A4932" s="262"/>
      <c r="B4932" s="252"/>
      <c r="C4932" s="40" t="s">
        <v>4110</v>
      </c>
      <c r="D4932" s="40" t="s">
        <v>3752</v>
      </c>
      <c r="E4932" s="41">
        <v>0.2266</v>
      </c>
      <c r="F4932" s="59">
        <v>27.341000000000001</v>
      </c>
      <c r="G4932" s="59">
        <f t="shared" si="84"/>
        <v>6.1954706000000002</v>
      </c>
      <c r="H4932" s="62"/>
      <c r="I4932" s="63"/>
      <c r="J4932" s="34">
        <v>0</v>
      </c>
    </row>
    <row r="4933" spans="1:10" ht="15.75" hidden="1" thickBot="1" x14ac:dyDescent="0.3">
      <c r="A4933" s="262"/>
      <c r="B4933" s="252"/>
      <c r="C4933" s="40" t="s">
        <v>3754</v>
      </c>
      <c r="D4933" s="40" t="s">
        <v>3752</v>
      </c>
      <c r="E4933" s="41">
        <v>7.1400000000000005E-2</v>
      </c>
      <c r="F4933" s="59">
        <v>20.814499999999999</v>
      </c>
      <c r="G4933" s="59">
        <f t="shared" si="84"/>
        <v>1.4861553000000001</v>
      </c>
      <c r="H4933" s="62"/>
      <c r="I4933" s="63"/>
      <c r="J4933" s="34">
        <v>0</v>
      </c>
    </row>
    <row r="4934" spans="1:10" ht="15.75" hidden="1" thickBot="1" x14ac:dyDescent="0.3">
      <c r="A4934" s="263"/>
      <c r="B4934" s="253"/>
      <c r="C4934" s="40"/>
      <c r="D4934" s="40"/>
      <c r="E4934" s="41"/>
      <c r="F4934" s="59" t="s">
        <v>23</v>
      </c>
      <c r="G4934" s="59" t="str">
        <f t="shared" si="84"/>
        <v/>
      </c>
      <c r="H4934" s="62"/>
      <c r="I4934" s="63"/>
      <c r="J4934" s="34">
        <v>0</v>
      </c>
    </row>
    <row r="4935" spans="1:10" ht="15.75" hidden="1" thickBot="1" x14ac:dyDescent="0.3">
      <c r="A4935" s="248" t="s">
        <v>1189</v>
      </c>
      <c r="B4935" s="251" t="s">
        <v>3029</v>
      </c>
      <c r="C4935" s="28"/>
      <c r="D4935" s="29" t="s">
        <v>28</v>
      </c>
      <c r="E4935" s="30"/>
      <c r="F4935" s="45" t="s">
        <v>23</v>
      </c>
      <c r="G4935" s="31" t="str">
        <f t="shared" si="84"/>
        <v/>
      </c>
      <c r="H4935" s="32"/>
      <c r="I4935" s="33"/>
      <c r="J4935" s="34">
        <v>0</v>
      </c>
    </row>
    <row r="4936" spans="1:10" ht="15.75" hidden="1" thickBot="1" x14ac:dyDescent="0.3">
      <c r="A4936" s="249"/>
      <c r="B4936" s="252"/>
      <c r="C4936" s="36"/>
      <c r="D4936" s="36"/>
      <c r="E4936" s="37"/>
      <c r="F4936" s="46" t="s">
        <v>23</v>
      </c>
      <c r="G4936" s="38" t="str">
        <f t="shared" si="84"/>
        <v/>
      </c>
      <c r="H4936" s="39"/>
      <c r="I4936" s="35"/>
      <c r="J4936" s="34">
        <v>0</v>
      </c>
    </row>
    <row r="4937" spans="1:10" ht="15.75" hidden="1" thickBot="1" x14ac:dyDescent="0.3">
      <c r="A4937" s="249"/>
      <c r="B4937" s="252"/>
      <c r="C4937" s="40" t="s">
        <v>3767</v>
      </c>
      <c r="D4937" s="40" t="s">
        <v>3752</v>
      </c>
      <c r="E4937" s="41">
        <v>0.3</v>
      </c>
      <c r="F4937" s="38">
        <v>25.877999999999997</v>
      </c>
      <c r="G4937" s="38">
        <f t="shared" si="84"/>
        <v>7.763399999999999</v>
      </c>
      <c r="H4937" s="43">
        <f>SUM(G4937:G4938)</f>
        <v>7.763399999999999</v>
      </c>
      <c r="I4937" s="44"/>
      <c r="J4937" s="34">
        <v>0</v>
      </c>
    </row>
    <row r="4938" spans="1:10" ht="26.25" hidden="1" thickBot="1" x14ac:dyDescent="0.3">
      <c r="A4938" s="249"/>
      <c r="B4938" s="252"/>
      <c r="C4938" s="40" t="s">
        <v>1190</v>
      </c>
      <c r="D4938" s="53" t="s">
        <v>28</v>
      </c>
      <c r="E4938" s="41">
        <v>1</v>
      </c>
      <c r="F4938" s="35" t="s">
        <v>23</v>
      </c>
      <c r="G4938" s="38" t="str">
        <f t="shared" si="84"/>
        <v/>
      </c>
      <c r="H4938" s="39"/>
      <c r="I4938" s="35"/>
      <c r="J4938" s="34">
        <v>0</v>
      </c>
    </row>
    <row r="4939" spans="1:10" ht="15.75" hidden="1" thickBot="1" x14ac:dyDescent="0.3">
      <c r="A4939" s="250"/>
      <c r="B4939" s="253"/>
      <c r="C4939" s="40"/>
      <c r="D4939" s="40"/>
      <c r="E4939" s="41"/>
      <c r="F4939" s="35" t="s">
        <v>23</v>
      </c>
      <c r="G4939" s="38" t="str">
        <f t="shared" si="84"/>
        <v/>
      </c>
      <c r="H4939" s="39"/>
      <c r="I4939" s="35"/>
      <c r="J4939" s="34">
        <v>0</v>
      </c>
    </row>
    <row r="4940" spans="1:10" ht="15.75" hidden="1" thickBot="1" x14ac:dyDescent="0.3">
      <c r="A4940" s="248" t="s">
        <v>1191</v>
      </c>
      <c r="B4940" s="251" t="s">
        <v>3030</v>
      </c>
      <c r="C4940" s="28"/>
      <c r="D4940" s="29" t="s">
        <v>28</v>
      </c>
      <c r="E4940" s="30"/>
      <c r="F4940" s="45" t="s">
        <v>23</v>
      </c>
      <c r="G4940" s="31" t="str">
        <f t="shared" si="84"/>
        <v/>
      </c>
      <c r="H4940" s="32"/>
      <c r="I4940" s="33"/>
      <c r="J4940" s="34">
        <v>0</v>
      </c>
    </row>
    <row r="4941" spans="1:10" ht="15.75" hidden="1" thickBot="1" x14ac:dyDescent="0.3">
      <c r="A4941" s="249"/>
      <c r="B4941" s="252"/>
      <c r="C4941" s="36"/>
      <c r="D4941" s="36"/>
      <c r="E4941" s="37"/>
      <c r="F4941" s="46" t="s">
        <v>23</v>
      </c>
      <c r="G4941" s="35" t="str">
        <f t="shared" si="84"/>
        <v/>
      </c>
      <c r="H4941" s="39"/>
      <c r="I4941" s="35"/>
      <c r="J4941" s="34">
        <v>0</v>
      </c>
    </row>
    <row r="4942" spans="1:10" ht="26.25" hidden="1" thickBot="1" x14ac:dyDescent="0.3">
      <c r="A4942" s="249"/>
      <c r="B4942" s="252"/>
      <c r="C4942" s="40" t="s">
        <v>1192</v>
      </c>
      <c r="D4942" s="40" t="s">
        <v>102</v>
      </c>
      <c r="E4942" s="41">
        <v>1</v>
      </c>
      <c r="F4942" s="38" t="s">
        <v>23</v>
      </c>
      <c r="G4942" s="38" t="str">
        <f t="shared" si="84"/>
        <v/>
      </c>
      <c r="H4942" s="43">
        <f>SUM(G4942:G4945)</f>
        <v>17.7616826</v>
      </c>
      <c r="I4942" s="44"/>
      <c r="J4942" s="34">
        <v>0</v>
      </c>
    </row>
    <row r="4943" spans="1:10" ht="26.25" hidden="1" thickBot="1" x14ac:dyDescent="0.3">
      <c r="A4943" s="249"/>
      <c r="B4943" s="252"/>
      <c r="C4943" s="40" t="s">
        <v>1193</v>
      </c>
      <c r="D4943" s="40" t="s">
        <v>102</v>
      </c>
      <c r="E4943" s="41">
        <v>1</v>
      </c>
      <c r="F4943" s="38" t="s">
        <v>23</v>
      </c>
      <c r="G4943" s="38" t="str">
        <f t="shared" si="84"/>
        <v/>
      </c>
      <c r="H4943" s="48"/>
      <c r="I4943" s="49"/>
      <c r="J4943" s="34">
        <v>0</v>
      </c>
    </row>
    <row r="4944" spans="1:10" ht="15.75" hidden="1" thickBot="1" x14ac:dyDescent="0.3">
      <c r="A4944" s="249"/>
      <c r="B4944" s="252"/>
      <c r="C4944" s="40" t="s">
        <v>3770</v>
      </c>
      <c r="D4944" s="40" t="s">
        <v>3752</v>
      </c>
      <c r="E4944" s="41">
        <v>0.19719999999999999</v>
      </c>
      <c r="F4944" s="35">
        <v>21.954499999999999</v>
      </c>
      <c r="G4944" s="35">
        <f t="shared" ref="G4944:G5007" si="85">IF(ISNUMBER(F4944),E4944*F4944,"")</f>
        <v>4.3294273999999993</v>
      </c>
      <c r="H4944" s="39"/>
      <c r="I4944" s="35"/>
      <c r="J4944" s="34">
        <v>0</v>
      </c>
    </row>
    <row r="4945" spans="1:10" ht="15.75" hidden="1" thickBot="1" x14ac:dyDescent="0.3">
      <c r="A4945" s="249"/>
      <c r="B4945" s="252"/>
      <c r="C4945" s="40" t="s">
        <v>3760</v>
      </c>
      <c r="D4945" s="40" t="s">
        <v>3752</v>
      </c>
      <c r="E4945" s="41">
        <v>0.47320000000000001</v>
      </c>
      <c r="F4945" s="35">
        <v>28.385999999999999</v>
      </c>
      <c r="G4945" s="35">
        <f t="shared" si="85"/>
        <v>13.4322552</v>
      </c>
      <c r="H4945" s="39"/>
      <c r="I4945" s="35"/>
      <c r="J4945" s="34">
        <v>0</v>
      </c>
    </row>
    <row r="4946" spans="1:10" ht="15.75" hidden="1" thickBot="1" x14ac:dyDescent="0.3">
      <c r="A4946" s="250"/>
      <c r="B4946" s="253"/>
      <c r="C4946" s="40"/>
      <c r="D4946" s="40"/>
      <c r="E4946" s="41"/>
      <c r="F4946" s="35" t="s">
        <v>23</v>
      </c>
      <c r="G4946" s="35" t="str">
        <f t="shared" si="85"/>
        <v/>
      </c>
      <c r="H4946" s="39"/>
      <c r="I4946" s="35"/>
      <c r="J4946" s="34">
        <v>0</v>
      </c>
    </row>
    <row r="4947" spans="1:10" ht="15.75" hidden="1" thickBot="1" x14ac:dyDescent="0.3">
      <c r="A4947" s="248" t="s">
        <v>1194</v>
      </c>
      <c r="B4947" s="251" t="s">
        <v>3031</v>
      </c>
      <c r="C4947" s="28"/>
      <c r="D4947" s="29" t="s">
        <v>28</v>
      </c>
      <c r="E4947" s="30"/>
      <c r="F4947" s="45" t="s">
        <v>23</v>
      </c>
      <c r="G4947" s="31" t="str">
        <f t="shared" si="85"/>
        <v/>
      </c>
      <c r="H4947" s="32"/>
      <c r="I4947" s="33"/>
      <c r="J4947" s="34">
        <v>0</v>
      </c>
    </row>
    <row r="4948" spans="1:10" ht="15.75" hidden="1" thickBot="1" x14ac:dyDescent="0.3">
      <c r="A4948" s="249"/>
      <c r="B4948" s="252"/>
      <c r="C4948" s="36"/>
      <c r="D4948" s="36"/>
      <c r="E4948" s="37"/>
      <c r="F4948" s="46" t="s">
        <v>23</v>
      </c>
      <c r="G4948" s="35" t="str">
        <f t="shared" si="85"/>
        <v/>
      </c>
      <c r="H4948" s="39"/>
      <c r="I4948" s="35"/>
      <c r="J4948" s="34">
        <v>0</v>
      </c>
    </row>
    <row r="4949" spans="1:10" ht="15.75" hidden="1" thickBot="1" x14ac:dyDescent="0.3">
      <c r="A4949" s="249"/>
      <c r="B4949" s="252"/>
      <c r="C4949" s="40" t="s">
        <v>4188</v>
      </c>
      <c r="D4949" s="40" t="s">
        <v>291</v>
      </c>
      <c r="E4949" s="41">
        <v>0.12</v>
      </c>
      <c r="F4949" s="38">
        <v>33.6205</v>
      </c>
      <c r="G4949" s="38">
        <f t="shared" si="85"/>
        <v>4.0344600000000002</v>
      </c>
      <c r="H4949" s="43">
        <f>SUM(G4949:G4952)</f>
        <v>39.208388599999992</v>
      </c>
      <c r="I4949" s="44"/>
      <c r="J4949" s="34">
        <v>0</v>
      </c>
    </row>
    <row r="4950" spans="1:10" ht="26.25" hidden="1" thickBot="1" x14ac:dyDescent="0.3">
      <c r="A4950" s="249"/>
      <c r="B4950" s="252"/>
      <c r="C4950" s="40" t="s">
        <v>4189</v>
      </c>
      <c r="D4950" s="40" t="s">
        <v>291</v>
      </c>
      <c r="E4950" s="41">
        <v>1</v>
      </c>
      <c r="F4950" s="38">
        <v>26.352999999999998</v>
      </c>
      <c r="G4950" s="38">
        <f t="shared" si="85"/>
        <v>26.352999999999998</v>
      </c>
      <c r="H4950" s="48"/>
      <c r="I4950" s="49"/>
      <c r="J4950" s="34">
        <v>0</v>
      </c>
    </row>
    <row r="4951" spans="1:10" ht="26.25" hidden="1" thickBot="1" x14ac:dyDescent="0.3">
      <c r="A4951" s="249"/>
      <c r="B4951" s="252"/>
      <c r="C4951" s="40" t="s">
        <v>4119</v>
      </c>
      <c r="D4951" s="40" t="s">
        <v>3752</v>
      </c>
      <c r="E4951" s="41">
        <v>0.1804</v>
      </c>
      <c r="F4951" s="35">
        <v>21.555499999999999</v>
      </c>
      <c r="G4951" s="35">
        <f t="shared" si="85"/>
        <v>3.8886121999999999</v>
      </c>
      <c r="H4951" s="39"/>
      <c r="I4951" s="35"/>
      <c r="J4951" s="34">
        <v>0</v>
      </c>
    </row>
    <row r="4952" spans="1:10" ht="26.25" hidden="1" thickBot="1" x14ac:dyDescent="0.3">
      <c r="A4952" s="249"/>
      <c r="B4952" s="252"/>
      <c r="C4952" s="40" t="s">
        <v>4110</v>
      </c>
      <c r="D4952" s="40" t="s">
        <v>3752</v>
      </c>
      <c r="E4952" s="41">
        <v>0.1804</v>
      </c>
      <c r="F4952" s="35">
        <v>27.341000000000001</v>
      </c>
      <c r="G4952" s="35">
        <f t="shared" si="85"/>
        <v>4.9323164000000004</v>
      </c>
      <c r="H4952" s="39"/>
      <c r="I4952" s="35"/>
      <c r="J4952" s="34">
        <v>0</v>
      </c>
    </row>
    <row r="4953" spans="1:10" ht="15.75" hidden="1" thickBot="1" x14ac:dyDescent="0.3">
      <c r="A4953" s="250"/>
      <c r="B4953" s="253"/>
      <c r="C4953" s="40"/>
      <c r="D4953" s="40"/>
      <c r="E4953" s="41"/>
      <c r="F4953" s="35" t="s">
        <v>23</v>
      </c>
      <c r="G4953" s="35" t="str">
        <f t="shared" si="85"/>
        <v/>
      </c>
      <c r="H4953" s="39"/>
      <c r="I4953" s="35"/>
      <c r="J4953" s="34">
        <v>0</v>
      </c>
    </row>
    <row r="4954" spans="1:10" ht="15.75" hidden="1" thickBot="1" x14ac:dyDescent="0.3">
      <c r="A4954" s="248" t="s">
        <v>1195</v>
      </c>
      <c r="B4954" s="251" t="s">
        <v>3032</v>
      </c>
      <c r="C4954" s="28"/>
      <c r="D4954" s="29" t="s">
        <v>28</v>
      </c>
      <c r="E4954" s="30"/>
      <c r="F4954" s="45" t="s">
        <v>23</v>
      </c>
      <c r="G4954" s="31" t="str">
        <f t="shared" si="85"/>
        <v/>
      </c>
      <c r="H4954" s="32"/>
      <c r="I4954" s="33"/>
      <c r="J4954" s="34">
        <v>0</v>
      </c>
    </row>
    <row r="4955" spans="1:10" ht="15.75" hidden="1" thickBot="1" x14ac:dyDescent="0.3">
      <c r="A4955" s="249"/>
      <c r="B4955" s="252"/>
      <c r="C4955" s="36"/>
      <c r="D4955" s="36"/>
      <c r="E4955" s="37"/>
      <c r="F4955" s="46" t="s">
        <v>23</v>
      </c>
      <c r="G4955" s="35" t="str">
        <f t="shared" si="85"/>
        <v/>
      </c>
      <c r="H4955" s="39"/>
      <c r="I4955" s="35"/>
      <c r="J4955" s="34">
        <v>0</v>
      </c>
    </row>
    <row r="4956" spans="1:10" ht="15.75" hidden="1" thickBot="1" x14ac:dyDescent="0.3">
      <c r="A4956" s="249"/>
      <c r="B4956" s="252"/>
      <c r="C4956" s="40" t="s">
        <v>3867</v>
      </c>
      <c r="D4956" s="40" t="s">
        <v>291</v>
      </c>
      <c r="E4956" s="41">
        <v>1.9199999999999998E-2</v>
      </c>
      <c r="F4956" s="38">
        <v>13.87</v>
      </c>
      <c r="G4956" s="38">
        <f t="shared" si="85"/>
        <v>0.26630399999999999</v>
      </c>
      <c r="H4956" s="43">
        <f>SUM(G4956:G4959)</f>
        <v>36.444824349999998</v>
      </c>
      <c r="I4956" s="44"/>
      <c r="J4956" s="34">
        <v>0</v>
      </c>
    </row>
    <row r="4957" spans="1:10" ht="15.75" hidden="1" thickBot="1" x14ac:dyDescent="0.3">
      <c r="A4957" s="249"/>
      <c r="B4957" s="252"/>
      <c r="C4957" s="40" t="s">
        <v>1196</v>
      </c>
      <c r="D4957" s="40" t="s">
        <v>291</v>
      </c>
      <c r="E4957" s="41">
        <v>1</v>
      </c>
      <c r="F4957" s="38" t="s">
        <v>23</v>
      </c>
      <c r="G4957" s="38" t="str">
        <f t="shared" si="85"/>
        <v/>
      </c>
      <c r="H4957" s="48"/>
      <c r="I4957" s="49"/>
      <c r="J4957" s="34">
        <v>0</v>
      </c>
    </row>
    <row r="4958" spans="1:10" ht="26.25" hidden="1" thickBot="1" x14ac:dyDescent="0.3">
      <c r="A4958" s="249"/>
      <c r="B4958" s="252"/>
      <c r="C4958" s="40" t="s">
        <v>4119</v>
      </c>
      <c r="D4958" s="40" t="s">
        <v>3752</v>
      </c>
      <c r="E4958" s="41">
        <f>ROUND(0.9249*0.8,4)</f>
        <v>0.7399</v>
      </c>
      <c r="F4958" s="35">
        <v>21.555499999999999</v>
      </c>
      <c r="G4958" s="35">
        <f t="shared" si="85"/>
        <v>15.948914449999998</v>
      </c>
      <c r="H4958" s="39"/>
      <c r="I4958" s="35"/>
      <c r="J4958" s="34">
        <v>0</v>
      </c>
    </row>
    <row r="4959" spans="1:10" ht="26.25" hidden="1" thickBot="1" x14ac:dyDescent="0.3">
      <c r="A4959" s="249"/>
      <c r="B4959" s="252"/>
      <c r="C4959" s="40" t="s">
        <v>4110</v>
      </c>
      <c r="D4959" s="40" t="s">
        <v>3752</v>
      </c>
      <c r="E4959" s="41">
        <f>ROUND(0.9249*0.8,4)</f>
        <v>0.7399</v>
      </c>
      <c r="F4959" s="35">
        <v>27.341000000000001</v>
      </c>
      <c r="G4959" s="35">
        <f t="shared" si="85"/>
        <v>20.229605899999999</v>
      </c>
      <c r="H4959" s="39"/>
      <c r="I4959" s="35"/>
      <c r="J4959" s="34">
        <v>0</v>
      </c>
    </row>
    <row r="4960" spans="1:10" ht="15.75" hidden="1" thickBot="1" x14ac:dyDescent="0.3">
      <c r="A4960" s="250"/>
      <c r="B4960" s="253"/>
      <c r="C4960" s="40"/>
      <c r="D4960" s="40"/>
      <c r="E4960" s="41"/>
      <c r="F4960" s="35" t="s">
        <v>23</v>
      </c>
      <c r="G4960" s="35" t="str">
        <f t="shared" si="85"/>
        <v/>
      </c>
      <c r="H4960" s="39"/>
      <c r="I4960" s="35"/>
      <c r="J4960" s="34">
        <v>0</v>
      </c>
    </row>
    <row r="4961" spans="1:10" ht="15.75" hidden="1" thickBot="1" x14ac:dyDescent="0.3">
      <c r="A4961" s="248" t="s">
        <v>1197</v>
      </c>
      <c r="B4961" s="251" t="s">
        <v>3033</v>
      </c>
      <c r="C4961" s="28"/>
      <c r="D4961" s="29" t="s">
        <v>28</v>
      </c>
      <c r="E4961" s="30"/>
      <c r="F4961" s="45" t="s">
        <v>23</v>
      </c>
      <c r="G4961" s="31" t="str">
        <f t="shared" si="85"/>
        <v/>
      </c>
      <c r="H4961" s="32"/>
      <c r="I4961" s="33"/>
      <c r="J4961" s="34">
        <v>0</v>
      </c>
    </row>
    <row r="4962" spans="1:10" ht="15.75" hidden="1" thickBot="1" x14ac:dyDescent="0.3">
      <c r="A4962" s="249"/>
      <c r="B4962" s="252"/>
      <c r="C4962" s="36"/>
      <c r="D4962" s="36"/>
      <c r="E4962" s="37"/>
      <c r="F4962" s="46" t="s">
        <v>23</v>
      </c>
      <c r="G4962" s="35" t="str">
        <f t="shared" si="85"/>
        <v/>
      </c>
      <c r="H4962" s="39"/>
      <c r="I4962" s="35"/>
      <c r="J4962" s="34">
        <v>0</v>
      </c>
    </row>
    <row r="4963" spans="1:10" ht="15.75" hidden="1" thickBot="1" x14ac:dyDescent="0.3">
      <c r="A4963" s="249"/>
      <c r="B4963" s="252"/>
      <c r="C4963" s="40" t="s">
        <v>3867</v>
      </c>
      <c r="D4963" s="40" t="s">
        <v>291</v>
      </c>
      <c r="E4963" s="41">
        <v>1.9199999999999998E-2</v>
      </c>
      <c r="F4963" s="38">
        <v>13.87</v>
      </c>
      <c r="G4963" s="38">
        <f t="shared" si="85"/>
        <v>0.26630399999999999</v>
      </c>
      <c r="H4963" s="43">
        <f>SUM(G4963:G4966)</f>
        <v>36.444824349999998</v>
      </c>
      <c r="I4963" s="44"/>
      <c r="J4963" s="34">
        <v>0</v>
      </c>
    </row>
    <row r="4964" spans="1:10" ht="15.75" hidden="1" thickBot="1" x14ac:dyDescent="0.3">
      <c r="A4964" s="249"/>
      <c r="B4964" s="252"/>
      <c r="C4964" s="40" t="s">
        <v>1198</v>
      </c>
      <c r="D4964" s="40" t="s">
        <v>291</v>
      </c>
      <c r="E4964" s="41">
        <v>1</v>
      </c>
      <c r="F4964" s="38" t="s">
        <v>23</v>
      </c>
      <c r="G4964" s="38" t="str">
        <f t="shared" si="85"/>
        <v/>
      </c>
      <c r="H4964" s="48"/>
      <c r="I4964" s="49"/>
      <c r="J4964" s="34">
        <v>0</v>
      </c>
    </row>
    <row r="4965" spans="1:10" ht="26.25" hidden="1" thickBot="1" x14ac:dyDescent="0.3">
      <c r="A4965" s="249"/>
      <c r="B4965" s="252"/>
      <c r="C4965" s="40" t="s">
        <v>4119</v>
      </c>
      <c r="D4965" s="40" t="s">
        <v>3752</v>
      </c>
      <c r="E4965" s="41">
        <f t="shared" ref="E4965:E4966" si="86">ROUND(0.9249*0.8,4)</f>
        <v>0.7399</v>
      </c>
      <c r="F4965" s="35">
        <v>21.555499999999999</v>
      </c>
      <c r="G4965" s="35">
        <f t="shared" si="85"/>
        <v>15.948914449999998</v>
      </c>
      <c r="H4965" s="39"/>
      <c r="I4965" s="35"/>
      <c r="J4965" s="34">
        <v>0</v>
      </c>
    </row>
    <row r="4966" spans="1:10" ht="26.25" hidden="1" thickBot="1" x14ac:dyDescent="0.3">
      <c r="A4966" s="249"/>
      <c r="B4966" s="252"/>
      <c r="C4966" s="40" t="s">
        <v>4110</v>
      </c>
      <c r="D4966" s="40" t="s">
        <v>3752</v>
      </c>
      <c r="E4966" s="41">
        <f t="shared" si="86"/>
        <v>0.7399</v>
      </c>
      <c r="F4966" s="35">
        <v>27.341000000000001</v>
      </c>
      <c r="G4966" s="35">
        <f t="shared" si="85"/>
        <v>20.229605899999999</v>
      </c>
      <c r="H4966" s="39"/>
      <c r="I4966" s="35"/>
      <c r="J4966" s="34">
        <v>0</v>
      </c>
    </row>
    <row r="4967" spans="1:10" ht="15.75" hidden="1" thickBot="1" x14ac:dyDescent="0.3">
      <c r="A4967" s="250"/>
      <c r="B4967" s="253"/>
      <c r="C4967" s="40"/>
      <c r="D4967" s="40"/>
      <c r="E4967" s="41"/>
      <c r="F4967" s="35" t="s">
        <v>23</v>
      </c>
      <c r="G4967" s="35" t="str">
        <f t="shared" si="85"/>
        <v/>
      </c>
      <c r="H4967" s="39"/>
      <c r="I4967" s="35"/>
      <c r="J4967" s="34">
        <v>0</v>
      </c>
    </row>
    <row r="4968" spans="1:10" ht="15.75" hidden="1" thickBot="1" x14ac:dyDescent="0.3">
      <c r="A4968" s="248" t="s">
        <v>1199</v>
      </c>
      <c r="B4968" s="251" t="s">
        <v>3034</v>
      </c>
      <c r="C4968" s="28"/>
      <c r="D4968" s="29" t="s">
        <v>28</v>
      </c>
      <c r="E4968" s="30"/>
      <c r="F4968" s="45" t="s">
        <v>23</v>
      </c>
      <c r="G4968" s="31" t="str">
        <f t="shared" si="85"/>
        <v/>
      </c>
      <c r="H4968" s="32"/>
      <c r="I4968" s="33"/>
      <c r="J4968" s="34">
        <v>0</v>
      </c>
    </row>
    <row r="4969" spans="1:10" ht="15.75" hidden="1" thickBot="1" x14ac:dyDescent="0.3">
      <c r="A4969" s="249"/>
      <c r="B4969" s="252"/>
      <c r="C4969" s="36"/>
      <c r="D4969" s="36"/>
      <c r="E4969" s="37"/>
      <c r="F4969" s="46" t="s">
        <v>23</v>
      </c>
      <c r="G4969" s="38" t="str">
        <f t="shared" si="85"/>
        <v/>
      </c>
      <c r="H4969" s="39"/>
      <c r="I4969" s="35"/>
      <c r="J4969" s="34">
        <v>0</v>
      </c>
    </row>
    <row r="4970" spans="1:10" ht="26.25" hidden="1" thickBot="1" x14ac:dyDescent="0.3">
      <c r="A4970" s="249"/>
      <c r="B4970" s="252"/>
      <c r="C4970" s="40" t="s">
        <v>3858</v>
      </c>
      <c r="D4970" s="40" t="s">
        <v>291</v>
      </c>
      <c r="E4970" s="41">
        <v>1</v>
      </c>
      <c r="F4970" s="38">
        <v>16.102499999999999</v>
      </c>
      <c r="G4970" s="59">
        <f t="shared" si="85"/>
        <v>16.102499999999999</v>
      </c>
      <c r="H4970" s="43">
        <f>SUM(G4970:G4971)</f>
        <v>18.836600000000001</v>
      </c>
      <c r="I4970" s="35"/>
      <c r="J4970" s="34">
        <v>0</v>
      </c>
    </row>
    <row r="4971" spans="1:10" ht="26.25" hidden="1" thickBot="1" x14ac:dyDescent="0.3">
      <c r="A4971" s="249"/>
      <c r="B4971" s="252"/>
      <c r="C4971" s="40" t="s">
        <v>4110</v>
      </c>
      <c r="D4971" s="40" t="s">
        <v>3752</v>
      </c>
      <c r="E4971" s="41">
        <v>0.1</v>
      </c>
      <c r="F4971" s="35">
        <v>27.341000000000001</v>
      </c>
      <c r="G4971" s="35">
        <f t="shared" si="85"/>
        <v>2.7341000000000002</v>
      </c>
      <c r="H4971" s="39"/>
      <c r="I4971" s="35"/>
      <c r="J4971" s="34">
        <v>0</v>
      </c>
    </row>
    <row r="4972" spans="1:10" ht="15.75" hidden="1" thickBot="1" x14ac:dyDescent="0.3">
      <c r="A4972" s="250"/>
      <c r="B4972" s="253"/>
      <c r="C4972" s="40"/>
      <c r="D4972" s="40"/>
      <c r="E4972" s="41"/>
      <c r="F4972" s="35" t="s">
        <v>23</v>
      </c>
      <c r="G4972" s="38" t="str">
        <f t="shared" si="85"/>
        <v/>
      </c>
      <c r="H4972" s="39"/>
      <c r="I4972" s="35"/>
      <c r="J4972" s="34">
        <v>0</v>
      </c>
    </row>
    <row r="4973" spans="1:10" ht="15.75" hidden="1" thickBot="1" x14ac:dyDescent="0.3">
      <c r="A4973" s="256" t="s">
        <v>1200</v>
      </c>
      <c r="B4973" s="259" t="s">
        <v>3035</v>
      </c>
      <c r="C4973" s="28"/>
      <c r="D4973" s="29" t="s">
        <v>28</v>
      </c>
      <c r="E4973" s="30"/>
      <c r="F4973" s="45" t="s">
        <v>23</v>
      </c>
      <c r="G4973" s="31" t="str">
        <f t="shared" si="85"/>
        <v/>
      </c>
      <c r="H4973" s="32"/>
      <c r="I4973" s="33"/>
      <c r="J4973" s="34">
        <v>0</v>
      </c>
    </row>
    <row r="4974" spans="1:10" ht="15.75" hidden="1" thickBot="1" x14ac:dyDescent="0.3">
      <c r="A4974" s="257"/>
      <c r="B4974" s="260"/>
      <c r="C4974" s="36"/>
      <c r="D4974" s="36"/>
      <c r="E4974" s="37"/>
      <c r="F4974" s="46" t="s">
        <v>23</v>
      </c>
      <c r="G4974" s="35" t="str">
        <f t="shared" si="85"/>
        <v/>
      </c>
      <c r="H4974" s="39"/>
      <c r="I4974" s="35"/>
      <c r="J4974" s="34">
        <v>0</v>
      </c>
    </row>
    <row r="4975" spans="1:10" ht="51.75" hidden="1" thickBot="1" x14ac:dyDescent="0.3">
      <c r="A4975" s="257"/>
      <c r="B4975" s="260"/>
      <c r="C4975" s="40" t="s">
        <v>4190</v>
      </c>
      <c r="D4975" s="40" t="s">
        <v>291</v>
      </c>
      <c r="E4975" s="41">
        <v>1</v>
      </c>
      <c r="F4975" s="38">
        <v>244.93849999999998</v>
      </c>
      <c r="G4975" s="38">
        <f t="shared" si="85"/>
        <v>244.93849999999998</v>
      </c>
      <c r="H4975" s="43">
        <f>SUM(G4975:G4977)</f>
        <v>282.84441959999998</v>
      </c>
      <c r="I4975" s="44"/>
      <c r="J4975" s="34">
        <v>0</v>
      </c>
    </row>
    <row r="4976" spans="1:10" ht="15.75" hidden="1" thickBot="1" x14ac:dyDescent="0.3">
      <c r="A4976" s="257"/>
      <c r="B4976" s="260"/>
      <c r="C4976" s="40" t="s">
        <v>3766</v>
      </c>
      <c r="D4976" s="40" t="s">
        <v>3752</v>
      </c>
      <c r="E4976" s="41">
        <f>ROUND(1.282*0.8,4)</f>
        <v>1.0256000000000001</v>
      </c>
      <c r="F4976" s="35">
        <v>26.552499999999998</v>
      </c>
      <c r="G4976" s="38">
        <f t="shared" si="85"/>
        <v>27.232244000000001</v>
      </c>
      <c r="H4976" s="39"/>
      <c r="I4976" s="35"/>
      <c r="J4976" s="34">
        <v>0</v>
      </c>
    </row>
    <row r="4977" spans="1:10" ht="15.75" hidden="1" thickBot="1" x14ac:dyDescent="0.3">
      <c r="A4977" s="257"/>
      <c r="B4977" s="260"/>
      <c r="C4977" s="40" t="s">
        <v>3754</v>
      </c>
      <c r="D4977" s="40" t="s">
        <v>3752</v>
      </c>
      <c r="E4977" s="41">
        <f>ROUND(0.641*0.8,4)</f>
        <v>0.51280000000000003</v>
      </c>
      <c r="F4977" s="35">
        <v>20.814499999999999</v>
      </c>
      <c r="G4977" s="38">
        <f t="shared" si="85"/>
        <v>10.673675599999999</v>
      </c>
      <c r="H4977" s="39"/>
      <c r="I4977" s="35"/>
      <c r="J4977" s="34">
        <v>0</v>
      </c>
    </row>
    <row r="4978" spans="1:10" ht="15.75" hidden="1" thickBot="1" x14ac:dyDescent="0.3">
      <c r="A4978" s="257"/>
      <c r="B4978" s="260"/>
      <c r="C4978" s="40"/>
      <c r="D4978" s="53"/>
      <c r="E4978" s="41"/>
      <c r="F4978" s="38" t="s">
        <v>23</v>
      </c>
      <c r="G4978" s="38" t="str">
        <f t="shared" si="85"/>
        <v/>
      </c>
      <c r="H4978" s="39"/>
      <c r="I4978" s="35"/>
      <c r="J4978" s="34">
        <v>0</v>
      </c>
    </row>
    <row r="4979" spans="1:10" ht="15.75" hidden="1" thickBot="1" x14ac:dyDescent="0.3">
      <c r="A4979" s="256" t="s">
        <v>1201</v>
      </c>
      <c r="B4979" s="259" t="s">
        <v>3036</v>
      </c>
      <c r="C4979" s="28"/>
      <c r="D4979" s="29" t="s">
        <v>28</v>
      </c>
      <c r="E4979" s="30"/>
      <c r="F4979" s="45" t="s">
        <v>23</v>
      </c>
      <c r="G4979" s="31" t="str">
        <f t="shared" si="85"/>
        <v/>
      </c>
      <c r="H4979" s="32"/>
      <c r="I4979" s="33"/>
      <c r="J4979" s="34">
        <v>0</v>
      </c>
    </row>
    <row r="4980" spans="1:10" ht="15.75" hidden="1" thickBot="1" x14ac:dyDescent="0.3">
      <c r="A4980" s="257"/>
      <c r="B4980" s="260"/>
      <c r="C4980" s="36"/>
      <c r="D4980" s="36"/>
      <c r="E4980" s="37"/>
      <c r="F4980" s="46" t="s">
        <v>23</v>
      </c>
      <c r="G4980" s="35" t="str">
        <f t="shared" si="85"/>
        <v/>
      </c>
      <c r="H4980" s="39"/>
      <c r="I4980" s="35"/>
      <c r="J4980" s="34">
        <v>0</v>
      </c>
    </row>
    <row r="4981" spans="1:10" ht="51.75" hidden="1" thickBot="1" x14ac:dyDescent="0.3">
      <c r="A4981" s="257"/>
      <c r="B4981" s="260"/>
      <c r="C4981" s="40" t="s">
        <v>4191</v>
      </c>
      <c r="D4981" s="40" t="s">
        <v>291</v>
      </c>
      <c r="E4981" s="41">
        <v>1</v>
      </c>
      <c r="F4981" s="38">
        <v>266.24699999999996</v>
      </c>
      <c r="G4981" s="38">
        <f t="shared" si="85"/>
        <v>266.24699999999996</v>
      </c>
      <c r="H4981" s="43">
        <f>SUM(G4981:G4983)</f>
        <v>308.05586919999996</v>
      </c>
      <c r="I4981" s="44"/>
      <c r="J4981" s="34">
        <v>0</v>
      </c>
    </row>
    <row r="4982" spans="1:10" ht="15.75" hidden="1" thickBot="1" x14ac:dyDescent="0.3">
      <c r="A4982" s="257"/>
      <c r="B4982" s="260"/>
      <c r="C4982" s="40" t="s">
        <v>3766</v>
      </c>
      <c r="D4982" s="40" t="s">
        <v>3752</v>
      </c>
      <c r="E4982" s="41">
        <f>ROUND(1.414*0.8,4)</f>
        <v>1.1312</v>
      </c>
      <c r="F4982" s="35">
        <v>26.552499999999998</v>
      </c>
      <c r="G4982" s="38">
        <f t="shared" si="85"/>
        <v>30.036187999999999</v>
      </c>
      <c r="H4982" s="39"/>
      <c r="I4982" s="35"/>
      <c r="J4982" s="34">
        <v>0</v>
      </c>
    </row>
    <row r="4983" spans="1:10" ht="15.75" hidden="1" thickBot="1" x14ac:dyDescent="0.3">
      <c r="A4983" s="257"/>
      <c r="B4983" s="260"/>
      <c r="C4983" s="40" t="s">
        <v>3754</v>
      </c>
      <c r="D4983" s="40" t="s">
        <v>3752</v>
      </c>
      <c r="E4983" s="41">
        <f>ROUND(0.707*0.8,4)</f>
        <v>0.56559999999999999</v>
      </c>
      <c r="F4983" s="35">
        <v>20.814499999999999</v>
      </c>
      <c r="G4983" s="38">
        <f t="shared" si="85"/>
        <v>11.772681199999999</v>
      </c>
      <c r="H4983" s="39"/>
      <c r="I4983" s="35"/>
      <c r="J4983" s="34">
        <v>0</v>
      </c>
    </row>
    <row r="4984" spans="1:10" ht="15.75" hidden="1" thickBot="1" x14ac:dyDescent="0.3">
      <c r="A4984" s="257"/>
      <c r="B4984" s="260"/>
      <c r="C4984" s="40"/>
      <c r="D4984" s="53"/>
      <c r="E4984" s="41"/>
      <c r="F4984" s="38" t="s">
        <v>23</v>
      </c>
      <c r="G4984" s="38" t="str">
        <f t="shared" si="85"/>
        <v/>
      </c>
      <c r="H4984" s="39"/>
      <c r="I4984" s="35"/>
      <c r="J4984" s="34">
        <v>0</v>
      </c>
    </row>
    <row r="4985" spans="1:10" ht="15.75" hidden="1" thickBot="1" x14ac:dyDescent="0.3">
      <c r="A4985" s="256" t="s">
        <v>1202</v>
      </c>
      <c r="B4985" s="259" t="s">
        <v>3037</v>
      </c>
      <c r="C4985" s="28"/>
      <c r="D4985" s="29" t="s">
        <v>28</v>
      </c>
      <c r="E4985" s="30"/>
      <c r="F4985" s="45" t="s">
        <v>23</v>
      </c>
      <c r="G4985" s="31" t="str">
        <f t="shared" si="85"/>
        <v/>
      </c>
      <c r="H4985" s="32"/>
      <c r="I4985" s="33"/>
      <c r="J4985" s="34">
        <v>0</v>
      </c>
    </row>
    <row r="4986" spans="1:10" ht="15.75" hidden="1" thickBot="1" x14ac:dyDescent="0.3">
      <c r="A4986" s="257"/>
      <c r="B4986" s="260"/>
      <c r="C4986" s="36"/>
      <c r="D4986" s="36"/>
      <c r="E4986" s="37"/>
      <c r="F4986" s="46" t="s">
        <v>23</v>
      </c>
      <c r="G4986" s="35" t="str">
        <f t="shared" si="85"/>
        <v/>
      </c>
      <c r="H4986" s="39"/>
      <c r="I4986" s="35"/>
      <c r="J4986" s="34">
        <v>0</v>
      </c>
    </row>
    <row r="4987" spans="1:10" ht="51.75" hidden="1" thickBot="1" x14ac:dyDescent="0.3">
      <c r="A4987" s="257"/>
      <c r="B4987" s="260"/>
      <c r="C4987" s="40" t="s">
        <v>4192</v>
      </c>
      <c r="D4987" s="40" t="s">
        <v>291</v>
      </c>
      <c r="E4987" s="41">
        <v>1</v>
      </c>
      <c r="F4987" s="38">
        <v>300.69399999999996</v>
      </c>
      <c r="G4987" s="38">
        <f t="shared" si="85"/>
        <v>300.69399999999996</v>
      </c>
      <c r="H4987" s="43">
        <f>SUM(G4987:G4989)</f>
        <v>346.40581879999996</v>
      </c>
      <c r="I4987" s="44"/>
      <c r="J4987" s="34">
        <v>0</v>
      </c>
    </row>
    <row r="4988" spans="1:10" ht="15.75" hidden="1" thickBot="1" x14ac:dyDescent="0.3">
      <c r="A4988" s="257"/>
      <c r="B4988" s="260"/>
      <c r="C4988" s="40" t="s">
        <v>3766</v>
      </c>
      <c r="D4988" s="40" t="s">
        <v>3752</v>
      </c>
      <c r="E4988" s="41">
        <f>ROUND(1.546*0.8,4)</f>
        <v>1.2367999999999999</v>
      </c>
      <c r="F4988" s="35">
        <v>26.552499999999998</v>
      </c>
      <c r="G4988" s="38">
        <f t="shared" si="85"/>
        <v>32.840131999999997</v>
      </c>
      <c r="H4988" s="39"/>
      <c r="I4988" s="35"/>
      <c r="J4988" s="34">
        <v>0</v>
      </c>
    </row>
    <row r="4989" spans="1:10" ht="15.75" hidden="1" thickBot="1" x14ac:dyDescent="0.3">
      <c r="A4989" s="257"/>
      <c r="B4989" s="260"/>
      <c r="C4989" s="40" t="s">
        <v>3754</v>
      </c>
      <c r="D4989" s="40" t="s">
        <v>3752</v>
      </c>
      <c r="E4989" s="41">
        <f>ROUND(0.773*0.8,4)</f>
        <v>0.61839999999999995</v>
      </c>
      <c r="F4989" s="35">
        <v>20.814499999999999</v>
      </c>
      <c r="G4989" s="38">
        <f t="shared" si="85"/>
        <v>12.871686799999999</v>
      </c>
      <c r="H4989" s="39"/>
      <c r="I4989" s="35"/>
      <c r="J4989" s="34">
        <v>0</v>
      </c>
    </row>
    <row r="4990" spans="1:10" ht="15.75" hidden="1" thickBot="1" x14ac:dyDescent="0.3">
      <c r="A4990" s="257"/>
      <c r="B4990" s="260"/>
      <c r="C4990" s="40"/>
      <c r="D4990" s="53"/>
      <c r="E4990" s="41"/>
      <c r="F4990" s="38" t="s">
        <v>23</v>
      </c>
      <c r="G4990" s="38" t="str">
        <f t="shared" si="85"/>
        <v/>
      </c>
      <c r="H4990" s="39"/>
      <c r="I4990" s="35"/>
      <c r="J4990" s="34">
        <v>0</v>
      </c>
    </row>
    <row r="4991" spans="1:10" ht="15.75" hidden="1" thickBot="1" x14ac:dyDescent="0.3">
      <c r="A4991" s="256" t="s">
        <v>1203</v>
      </c>
      <c r="B4991" s="259" t="s">
        <v>3038</v>
      </c>
      <c r="C4991" s="28"/>
      <c r="D4991" s="29" t="s">
        <v>28</v>
      </c>
      <c r="E4991" s="30"/>
      <c r="F4991" s="45" t="s">
        <v>23</v>
      </c>
      <c r="G4991" s="31" t="str">
        <f t="shared" si="85"/>
        <v/>
      </c>
      <c r="H4991" s="32"/>
      <c r="I4991" s="33"/>
      <c r="J4991" s="34">
        <v>0</v>
      </c>
    </row>
    <row r="4992" spans="1:10" ht="15.75" hidden="1" thickBot="1" x14ac:dyDescent="0.3">
      <c r="A4992" s="257"/>
      <c r="B4992" s="260"/>
      <c r="C4992" s="36"/>
      <c r="D4992" s="36"/>
      <c r="E4992" s="37"/>
      <c r="F4992" s="46" t="s">
        <v>23</v>
      </c>
      <c r="G4992" s="35" t="str">
        <f t="shared" si="85"/>
        <v/>
      </c>
      <c r="H4992" s="39"/>
      <c r="I4992" s="35"/>
      <c r="J4992" s="34">
        <v>0</v>
      </c>
    </row>
    <row r="4993" spans="1:10" ht="51.75" hidden="1" thickBot="1" x14ac:dyDescent="0.3">
      <c r="A4993" s="257"/>
      <c r="B4993" s="260"/>
      <c r="C4993" s="40" t="s">
        <v>3933</v>
      </c>
      <c r="D4993" s="40" t="s">
        <v>291</v>
      </c>
      <c r="E4993" s="41">
        <v>1</v>
      </c>
      <c r="F4993" s="38">
        <v>336.04349999999999</v>
      </c>
      <c r="G4993" s="38">
        <f t="shared" si="85"/>
        <v>336.04349999999999</v>
      </c>
      <c r="H4993" s="43">
        <f>SUM(G4993:G4995)</f>
        <v>385.6582684</v>
      </c>
      <c r="I4993" s="44"/>
      <c r="J4993" s="34">
        <v>0</v>
      </c>
    </row>
    <row r="4994" spans="1:10" ht="15.75" hidden="1" thickBot="1" x14ac:dyDescent="0.3">
      <c r="A4994" s="257"/>
      <c r="B4994" s="260"/>
      <c r="C4994" s="40" t="s">
        <v>3766</v>
      </c>
      <c r="D4994" s="40" t="s">
        <v>3752</v>
      </c>
      <c r="E4994" s="41">
        <f>ROUND(1.678*0.8,4)</f>
        <v>1.3424</v>
      </c>
      <c r="F4994" s="35">
        <v>26.552499999999998</v>
      </c>
      <c r="G4994" s="38">
        <f t="shared" si="85"/>
        <v>35.644075999999998</v>
      </c>
      <c r="H4994" s="39"/>
      <c r="I4994" s="35"/>
      <c r="J4994" s="34">
        <v>0</v>
      </c>
    </row>
    <row r="4995" spans="1:10" ht="15.75" hidden="1" thickBot="1" x14ac:dyDescent="0.3">
      <c r="A4995" s="257"/>
      <c r="B4995" s="260"/>
      <c r="C4995" s="40" t="s">
        <v>3754</v>
      </c>
      <c r="D4995" s="40" t="s">
        <v>3752</v>
      </c>
      <c r="E4995" s="41">
        <f>ROUND(0.839*0.8,4)</f>
        <v>0.67120000000000002</v>
      </c>
      <c r="F4995" s="35">
        <v>20.814499999999999</v>
      </c>
      <c r="G4995" s="38">
        <f t="shared" si="85"/>
        <v>13.970692399999999</v>
      </c>
      <c r="H4995" s="39"/>
      <c r="I4995" s="35"/>
      <c r="J4995" s="34">
        <v>0</v>
      </c>
    </row>
    <row r="4996" spans="1:10" ht="15.75" hidden="1" thickBot="1" x14ac:dyDescent="0.3">
      <c r="A4996" s="257"/>
      <c r="B4996" s="260"/>
      <c r="C4996" s="40"/>
      <c r="D4996" s="53"/>
      <c r="E4996" s="41"/>
      <c r="F4996" s="38" t="s">
        <v>23</v>
      </c>
      <c r="G4996" s="38" t="str">
        <f t="shared" si="85"/>
        <v/>
      </c>
      <c r="H4996" s="39"/>
      <c r="I4996" s="35"/>
      <c r="J4996" s="34">
        <v>0</v>
      </c>
    </row>
    <row r="4997" spans="1:10" ht="15.75" hidden="1" thickBot="1" x14ac:dyDescent="0.3">
      <c r="A4997" s="256" t="s">
        <v>1204</v>
      </c>
      <c r="B4997" s="259" t="s">
        <v>3039</v>
      </c>
      <c r="C4997" s="28"/>
      <c r="D4997" s="29" t="s">
        <v>28</v>
      </c>
      <c r="E4997" s="30"/>
      <c r="F4997" s="45" t="s">
        <v>23</v>
      </c>
      <c r="G4997" s="31" t="str">
        <f t="shared" si="85"/>
        <v/>
      </c>
      <c r="H4997" s="32"/>
      <c r="I4997" s="33"/>
      <c r="J4997" s="34">
        <v>0</v>
      </c>
    </row>
    <row r="4998" spans="1:10" ht="15.75" hidden="1" thickBot="1" x14ac:dyDescent="0.3">
      <c r="A4998" s="257"/>
      <c r="B4998" s="260"/>
      <c r="C4998" s="36"/>
      <c r="D4998" s="36"/>
      <c r="E4998" s="37"/>
      <c r="F4998" s="46" t="s">
        <v>23</v>
      </c>
      <c r="G4998" s="35" t="str">
        <f t="shared" si="85"/>
        <v/>
      </c>
      <c r="H4998" s="39"/>
      <c r="I4998" s="35"/>
      <c r="J4998" s="34">
        <v>0</v>
      </c>
    </row>
    <row r="4999" spans="1:10" ht="26.25" hidden="1" thickBot="1" x14ac:dyDescent="0.3">
      <c r="A4999" s="257"/>
      <c r="B4999" s="260"/>
      <c r="C4999" s="40" t="s">
        <v>4119</v>
      </c>
      <c r="D4999" s="40" t="s">
        <v>3752</v>
      </c>
      <c r="E4999" s="41">
        <f>4*0.3</f>
        <v>1.2</v>
      </c>
      <c r="F4999" s="35">
        <v>21.555499999999999</v>
      </c>
      <c r="G4999" s="35">
        <f t="shared" si="85"/>
        <v>25.866599999999998</v>
      </c>
      <c r="H4999" s="43">
        <f>SUM(G4999:G5002)</f>
        <v>88.880099999999999</v>
      </c>
      <c r="I4999" s="44"/>
      <c r="J4999" s="34">
        <v>0</v>
      </c>
    </row>
    <row r="5000" spans="1:10" ht="26.25" hidden="1" thickBot="1" x14ac:dyDescent="0.3">
      <c r="A5000" s="257"/>
      <c r="B5000" s="260"/>
      <c r="C5000" s="40" t="s">
        <v>4110</v>
      </c>
      <c r="D5000" s="40" t="s">
        <v>3752</v>
      </c>
      <c r="E5000" s="41">
        <f>4*0.3</f>
        <v>1.2</v>
      </c>
      <c r="F5000" s="35">
        <v>27.341000000000001</v>
      </c>
      <c r="G5000" s="35">
        <f t="shared" si="85"/>
        <v>32.809199999999997</v>
      </c>
      <c r="H5000" s="48"/>
      <c r="I5000" s="49"/>
      <c r="J5000" s="34">
        <v>0</v>
      </c>
    </row>
    <row r="5001" spans="1:10" ht="15.75" hidden="1" thickBot="1" x14ac:dyDescent="0.3">
      <c r="A5001" s="257"/>
      <c r="B5001" s="260"/>
      <c r="C5001" s="40" t="s">
        <v>3770</v>
      </c>
      <c r="D5001" s="40" t="s">
        <v>3752</v>
      </c>
      <c r="E5001" s="41">
        <f>2*0.3</f>
        <v>0.6</v>
      </c>
      <c r="F5001" s="35">
        <v>21.954499999999999</v>
      </c>
      <c r="G5001" s="35">
        <f t="shared" si="85"/>
        <v>13.172699999999999</v>
      </c>
      <c r="H5001" s="39"/>
      <c r="I5001" s="35"/>
      <c r="J5001" s="34">
        <v>0</v>
      </c>
    </row>
    <row r="5002" spans="1:10" ht="15.75" hidden="1" thickBot="1" x14ac:dyDescent="0.3">
      <c r="A5002" s="257"/>
      <c r="B5002" s="260"/>
      <c r="C5002" s="40" t="s">
        <v>3760</v>
      </c>
      <c r="D5002" s="40" t="s">
        <v>3752</v>
      </c>
      <c r="E5002" s="41">
        <f>2*0.3</f>
        <v>0.6</v>
      </c>
      <c r="F5002" s="35">
        <v>28.385999999999999</v>
      </c>
      <c r="G5002" s="35">
        <f t="shared" si="85"/>
        <v>17.031599999999997</v>
      </c>
      <c r="H5002" s="39"/>
      <c r="I5002" s="35"/>
      <c r="J5002" s="34">
        <v>0</v>
      </c>
    </row>
    <row r="5003" spans="1:10" ht="15.75" hidden="1" thickBot="1" x14ac:dyDescent="0.3">
      <c r="A5003" s="258"/>
      <c r="B5003" s="261"/>
      <c r="C5003" s="40"/>
      <c r="D5003" s="40"/>
      <c r="E5003" s="41"/>
      <c r="F5003" s="35" t="s">
        <v>23</v>
      </c>
      <c r="G5003" s="35" t="str">
        <f t="shared" si="85"/>
        <v/>
      </c>
      <c r="H5003" s="39"/>
      <c r="I5003" s="35"/>
      <c r="J5003" s="34">
        <v>0</v>
      </c>
    </row>
    <row r="5004" spans="1:10" ht="15.75" hidden="1" thickBot="1" x14ac:dyDescent="0.3">
      <c r="A5004" s="248" t="s">
        <v>1205</v>
      </c>
      <c r="B5004" s="251" t="s">
        <v>3040</v>
      </c>
      <c r="C5004" s="28"/>
      <c r="D5004" s="29" t="s">
        <v>78</v>
      </c>
      <c r="E5004" s="30"/>
      <c r="F5004" s="45" t="s">
        <v>23</v>
      </c>
      <c r="G5004" s="31" t="str">
        <f t="shared" si="85"/>
        <v/>
      </c>
      <c r="H5004" s="32"/>
      <c r="I5004" s="33"/>
      <c r="J5004" s="34">
        <v>0</v>
      </c>
    </row>
    <row r="5005" spans="1:10" ht="15.75" hidden="1" thickBot="1" x14ac:dyDescent="0.3">
      <c r="A5005" s="249"/>
      <c r="B5005" s="252"/>
      <c r="C5005" s="36"/>
      <c r="D5005" s="36"/>
      <c r="E5005" s="37"/>
      <c r="F5005" s="46" t="s">
        <v>23</v>
      </c>
      <c r="G5005" s="35" t="str">
        <f t="shared" si="85"/>
        <v/>
      </c>
      <c r="H5005" s="39"/>
      <c r="I5005" s="35"/>
      <c r="J5005" s="34">
        <v>0</v>
      </c>
    </row>
    <row r="5006" spans="1:10" ht="15.75" hidden="1" thickBot="1" x14ac:dyDescent="0.3">
      <c r="A5006" s="249"/>
      <c r="B5006" s="252"/>
      <c r="C5006" s="40" t="s">
        <v>3766</v>
      </c>
      <c r="D5006" s="40" t="s">
        <v>3752</v>
      </c>
      <c r="E5006" s="41">
        <v>0.12</v>
      </c>
      <c r="F5006" s="38">
        <v>26.552499999999998</v>
      </c>
      <c r="G5006" s="38">
        <f t="shared" si="85"/>
        <v>3.1862999999999997</v>
      </c>
      <c r="H5006" s="43">
        <f>SUM(G5006:G5007)</f>
        <v>29.565899999999999</v>
      </c>
      <c r="I5006" s="44"/>
      <c r="J5006" s="34">
        <v>0</v>
      </c>
    </row>
    <row r="5007" spans="1:10" ht="15.75" hidden="1" thickBot="1" x14ac:dyDescent="0.3">
      <c r="A5007" s="249"/>
      <c r="B5007" s="252"/>
      <c r="C5007" s="40" t="s">
        <v>4111</v>
      </c>
      <c r="D5007" s="40" t="s">
        <v>3752</v>
      </c>
      <c r="E5007" s="41">
        <v>1.2</v>
      </c>
      <c r="F5007" s="38">
        <v>21.983000000000001</v>
      </c>
      <c r="G5007" s="38">
        <f t="shared" si="85"/>
        <v>26.3796</v>
      </c>
      <c r="H5007" s="48"/>
      <c r="I5007" s="49"/>
      <c r="J5007" s="34">
        <v>0</v>
      </c>
    </row>
    <row r="5008" spans="1:10" ht="15.75" hidden="1" thickBot="1" x14ac:dyDescent="0.3">
      <c r="A5008" s="250"/>
      <c r="B5008" s="253"/>
      <c r="C5008" s="40"/>
      <c r="D5008" s="40"/>
      <c r="E5008" s="41"/>
      <c r="F5008" s="35" t="s">
        <v>23</v>
      </c>
      <c r="G5008" s="35" t="str">
        <f t="shared" ref="G5008:G5071" si="87">IF(ISNUMBER(F5008),E5008*F5008,"")</f>
        <v/>
      </c>
      <c r="H5008" s="39"/>
      <c r="I5008" s="35"/>
      <c r="J5008" s="34">
        <v>0</v>
      </c>
    </row>
    <row r="5009" spans="1:10" ht="15.75" hidden="1" thickBot="1" x14ac:dyDescent="0.3">
      <c r="A5009" s="248" t="s">
        <v>1206</v>
      </c>
      <c r="B5009" s="251" t="s">
        <v>3041</v>
      </c>
      <c r="C5009" s="28"/>
      <c r="D5009" s="29" t="s">
        <v>78</v>
      </c>
      <c r="E5009" s="30"/>
      <c r="F5009" s="51" t="s">
        <v>23</v>
      </c>
      <c r="G5009" s="31" t="str">
        <f t="shared" si="87"/>
        <v/>
      </c>
      <c r="H5009" s="32"/>
      <c r="I5009" s="33"/>
      <c r="J5009" s="34">
        <v>0</v>
      </c>
    </row>
    <row r="5010" spans="1:10" ht="15.75" hidden="1" thickBot="1" x14ac:dyDescent="0.3">
      <c r="A5010" s="262"/>
      <c r="B5010" s="252"/>
      <c r="C5010" s="36"/>
      <c r="D5010" s="36"/>
      <c r="E5010" s="37"/>
      <c r="F5010" s="59" t="s">
        <v>23</v>
      </c>
      <c r="G5010" s="59" t="str">
        <f t="shared" si="87"/>
        <v/>
      </c>
      <c r="H5010" s="62"/>
      <c r="I5010" s="63"/>
      <c r="J5010" s="34">
        <v>0</v>
      </c>
    </row>
    <row r="5011" spans="1:10" ht="26.25" hidden="1" thickBot="1" x14ac:dyDescent="0.3">
      <c r="A5011" s="262"/>
      <c r="B5011" s="252"/>
      <c r="C5011" s="40" t="s">
        <v>1207</v>
      </c>
      <c r="D5011" s="40" t="s">
        <v>78</v>
      </c>
      <c r="E5011" s="41">
        <v>1.0798000000000001</v>
      </c>
      <c r="F5011" s="59" t="s">
        <v>23</v>
      </c>
      <c r="G5011" s="59" t="str">
        <f t="shared" si="87"/>
        <v/>
      </c>
      <c r="H5011" s="43">
        <f>SUM(G5011:G5015)</f>
        <v>34.669782599999998</v>
      </c>
      <c r="I5011" s="44"/>
      <c r="J5011" s="34">
        <v>0</v>
      </c>
    </row>
    <row r="5012" spans="1:10" ht="15.75" hidden="1" thickBot="1" x14ac:dyDescent="0.3">
      <c r="A5012" s="262"/>
      <c r="B5012" s="252"/>
      <c r="C5012" s="40" t="s">
        <v>3854</v>
      </c>
      <c r="D5012" s="40" t="s">
        <v>1035</v>
      </c>
      <c r="E5012" s="41">
        <v>6.85</v>
      </c>
      <c r="F5012" s="59">
        <v>1.1495</v>
      </c>
      <c r="G5012" s="59">
        <f t="shared" si="87"/>
        <v>7.8740749999999995</v>
      </c>
      <c r="H5012" s="62"/>
      <c r="I5012" s="63"/>
      <c r="J5012" s="34">
        <v>0</v>
      </c>
    </row>
    <row r="5013" spans="1:10" ht="15.75" hidden="1" thickBot="1" x14ac:dyDescent="0.3">
      <c r="A5013" s="262"/>
      <c r="B5013" s="252"/>
      <c r="C5013" s="40" t="s">
        <v>4013</v>
      </c>
      <c r="D5013" s="40" t="s">
        <v>1035</v>
      </c>
      <c r="E5013" s="41">
        <v>0.222</v>
      </c>
      <c r="F5013" s="59">
        <v>3.6194999999999999</v>
      </c>
      <c r="G5013" s="59">
        <f t="shared" si="87"/>
        <v>0.80352900000000005</v>
      </c>
      <c r="H5013" s="62"/>
      <c r="I5013" s="63"/>
      <c r="J5013" s="34">
        <v>0</v>
      </c>
    </row>
    <row r="5014" spans="1:10" ht="15.75" hidden="1" thickBot="1" x14ac:dyDescent="0.3">
      <c r="A5014" s="262"/>
      <c r="B5014" s="252"/>
      <c r="C5014" s="40" t="s">
        <v>3808</v>
      </c>
      <c r="D5014" s="40" t="s">
        <v>3752</v>
      </c>
      <c r="E5014" s="41">
        <v>0.69699999999999995</v>
      </c>
      <c r="F5014" s="59">
        <v>27.920500000000001</v>
      </c>
      <c r="G5014" s="59">
        <f t="shared" si="87"/>
        <v>19.4605885</v>
      </c>
      <c r="H5014" s="62"/>
      <c r="I5014" s="63"/>
      <c r="J5014" s="34">
        <v>0</v>
      </c>
    </row>
    <row r="5015" spans="1:10" ht="15.75" hidden="1" thickBot="1" x14ac:dyDescent="0.3">
      <c r="A5015" s="262"/>
      <c r="B5015" s="252"/>
      <c r="C5015" s="40" t="s">
        <v>3754</v>
      </c>
      <c r="D5015" s="40" t="s">
        <v>3752</v>
      </c>
      <c r="E5015" s="41">
        <v>0.31380000000000002</v>
      </c>
      <c r="F5015" s="59">
        <v>20.814499999999999</v>
      </c>
      <c r="G5015" s="59">
        <f t="shared" si="87"/>
        <v>6.5315900999999998</v>
      </c>
      <c r="H5015" s="62"/>
      <c r="I5015" s="63"/>
      <c r="J5015" s="34">
        <v>0</v>
      </c>
    </row>
    <row r="5016" spans="1:10" ht="15.75" hidden="1" thickBot="1" x14ac:dyDescent="0.3">
      <c r="A5016" s="262"/>
      <c r="B5016" s="252"/>
      <c r="C5016" s="40"/>
      <c r="D5016" s="53"/>
      <c r="E5016" s="41"/>
      <c r="F5016" s="59" t="s">
        <v>23</v>
      </c>
      <c r="G5016" s="59" t="str">
        <f t="shared" si="87"/>
        <v/>
      </c>
      <c r="H5016" s="62"/>
      <c r="I5016" s="63"/>
      <c r="J5016" s="34">
        <v>0</v>
      </c>
    </row>
    <row r="5017" spans="1:10" ht="15.75" hidden="1" thickBot="1" x14ac:dyDescent="0.3">
      <c r="A5017" s="256" t="s">
        <v>1208</v>
      </c>
      <c r="B5017" s="259" t="s">
        <v>3042</v>
      </c>
      <c r="C5017" s="28"/>
      <c r="D5017" s="29" t="s">
        <v>78</v>
      </c>
      <c r="E5017" s="30"/>
      <c r="F5017" s="45" t="s">
        <v>23</v>
      </c>
      <c r="G5017" s="31" t="str">
        <f t="shared" si="87"/>
        <v/>
      </c>
      <c r="H5017" s="32"/>
      <c r="I5017" s="33"/>
      <c r="J5017" s="34">
        <v>0</v>
      </c>
    </row>
    <row r="5018" spans="1:10" ht="15.75" hidden="1" thickBot="1" x14ac:dyDescent="0.3">
      <c r="A5018" s="257"/>
      <c r="B5018" s="260"/>
      <c r="C5018" s="36"/>
      <c r="D5018" s="36"/>
      <c r="E5018" s="37"/>
      <c r="F5018" s="46" t="s">
        <v>23</v>
      </c>
      <c r="G5018" s="35" t="str">
        <f t="shared" si="87"/>
        <v/>
      </c>
      <c r="H5018" s="39"/>
      <c r="I5018" s="35"/>
      <c r="J5018" s="34">
        <v>0</v>
      </c>
    </row>
    <row r="5019" spans="1:10" ht="15.75" hidden="1" thickBot="1" x14ac:dyDescent="0.3">
      <c r="A5019" s="257"/>
      <c r="B5019" s="260"/>
      <c r="C5019" s="40" t="s">
        <v>4031</v>
      </c>
      <c r="D5019" s="40" t="s">
        <v>1035</v>
      </c>
      <c r="E5019" s="41">
        <v>0.57499999999999996</v>
      </c>
      <c r="F5019" s="38">
        <v>44.317499999999995</v>
      </c>
      <c r="G5019" s="38">
        <f t="shared" si="87"/>
        <v>25.482562499999997</v>
      </c>
      <c r="H5019" s="43">
        <f>SUM(G5019:G5021)</f>
        <v>46.418600749999996</v>
      </c>
      <c r="I5019" s="44"/>
      <c r="J5019" s="34">
        <v>0</v>
      </c>
    </row>
    <row r="5020" spans="1:10" ht="15.75" hidden="1" thickBot="1" x14ac:dyDescent="0.3">
      <c r="A5020" s="257"/>
      <c r="B5020" s="260"/>
      <c r="C5020" s="40" t="s">
        <v>3754</v>
      </c>
      <c r="D5020" s="40" t="s">
        <v>3752</v>
      </c>
      <c r="E5020" s="41">
        <v>0.2399</v>
      </c>
      <c r="F5020" s="38">
        <v>20.814499999999999</v>
      </c>
      <c r="G5020" s="38">
        <f t="shared" si="87"/>
        <v>4.9933985500000002</v>
      </c>
      <c r="H5020" s="48"/>
      <c r="I5020" s="49"/>
      <c r="J5020" s="34">
        <v>0</v>
      </c>
    </row>
    <row r="5021" spans="1:10" ht="15.75" hidden="1" thickBot="1" x14ac:dyDescent="0.3">
      <c r="A5021" s="257"/>
      <c r="B5021" s="260"/>
      <c r="C5021" s="40" t="s">
        <v>3978</v>
      </c>
      <c r="D5021" s="40" t="s">
        <v>3752</v>
      </c>
      <c r="E5021" s="41">
        <v>0.57589999999999997</v>
      </c>
      <c r="F5021" s="35">
        <v>27.683</v>
      </c>
      <c r="G5021" s="35">
        <f t="shared" si="87"/>
        <v>15.942639699999999</v>
      </c>
      <c r="H5021" s="39"/>
      <c r="I5021" s="35"/>
      <c r="J5021" s="34">
        <v>0</v>
      </c>
    </row>
    <row r="5022" spans="1:10" ht="15.75" hidden="1" thickBot="1" x14ac:dyDescent="0.3">
      <c r="A5022" s="258"/>
      <c r="B5022" s="261"/>
      <c r="C5022" s="40"/>
      <c r="D5022" s="40"/>
      <c r="E5022" s="41"/>
      <c r="F5022" s="35" t="s">
        <v>23</v>
      </c>
      <c r="G5022" s="35" t="str">
        <f t="shared" si="87"/>
        <v/>
      </c>
      <c r="H5022" s="39"/>
      <c r="I5022" s="35"/>
      <c r="J5022" s="34">
        <v>0</v>
      </c>
    </row>
    <row r="5023" spans="1:10" ht="15.75" hidden="1" thickBot="1" x14ac:dyDescent="0.3">
      <c r="A5023" s="256" t="s">
        <v>1209</v>
      </c>
      <c r="B5023" s="259" t="s">
        <v>3043</v>
      </c>
      <c r="C5023" s="28"/>
      <c r="D5023" s="29" t="s">
        <v>121</v>
      </c>
      <c r="E5023" s="30"/>
      <c r="F5023" s="45" t="s">
        <v>23</v>
      </c>
      <c r="G5023" s="31" t="str">
        <f t="shared" si="87"/>
        <v/>
      </c>
      <c r="H5023" s="32"/>
      <c r="I5023" s="33"/>
      <c r="J5023" s="34">
        <v>0</v>
      </c>
    </row>
    <row r="5024" spans="1:10" ht="15.75" hidden="1" thickBot="1" x14ac:dyDescent="0.3">
      <c r="A5024" s="257"/>
      <c r="B5024" s="260"/>
      <c r="C5024" s="36"/>
      <c r="D5024" s="36"/>
      <c r="E5024" s="37"/>
      <c r="F5024" s="46" t="s">
        <v>23</v>
      </c>
      <c r="G5024" s="35" t="str">
        <f t="shared" si="87"/>
        <v/>
      </c>
      <c r="H5024" s="39"/>
      <c r="I5024" s="35"/>
      <c r="J5024" s="34">
        <v>0</v>
      </c>
    </row>
    <row r="5025" spans="1:10" ht="15.75" hidden="1" thickBot="1" x14ac:dyDescent="0.3">
      <c r="A5025" s="257"/>
      <c r="B5025" s="260"/>
      <c r="C5025" s="40" t="s">
        <v>3787</v>
      </c>
      <c r="D5025" s="40" t="s">
        <v>3752</v>
      </c>
      <c r="E5025" s="41">
        <v>0.5</v>
      </c>
      <c r="F5025" s="38">
        <v>21.963999999999999</v>
      </c>
      <c r="G5025" s="38">
        <f t="shared" si="87"/>
        <v>10.981999999999999</v>
      </c>
      <c r="H5025" s="43">
        <f>SUM(G5025:G5025)</f>
        <v>10.981999999999999</v>
      </c>
      <c r="I5025" s="44"/>
      <c r="J5025" s="34">
        <v>0</v>
      </c>
    </row>
    <row r="5026" spans="1:10" ht="15.75" hidden="1" thickBot="1" x14ac:dyDescent="0.3">
      <c r="A5026" s="258"/>
      <c r="B5026" s="261"/>
      <c r="C5026" s="40"/>
      <c r="D5026" s="40"/>
      <c r="E5026" s="41"/>
      <c r="F5026" s="35" t="s">
        <v>23</v>
      </c>
      <c r="G5026" s="35" t="str">
        <f t="shared" si="87"/>
        <v/>
      </c>
      <c r="H5026" s="39"/>
      <c r="I5026" s="35"/>
      <c r="J5026" s="34">
        <v>0</v>
      </c>
    </row>
    <row r="5027" spans="1:10" ht="15.75" hidden="1" thickBot="1" x14ac:dyDescent="0.3">
      <c r="A5027" s="256" t="s">
        <v>1210</v>
      </c>
      <c r="B5027" s="259" t="s">
        <v>3044</v>
      </c>
      <c r="C5027" s="28"/>
      <c r="D5027" s="29" t="s">
        <v>121</v>
      </c>
      <c r="E5027" s="30"/>
      <c r="F5027" s="45" t="s">
        <v>23</v>
      </c>
      <c r="G5027" s="31" t="str">
        <f t="shared" si="87"/>
        <v/>
      </c>
      <c r="H5027" s="32"/>
      <c r="I5027" s="33"/>
      <c r="J5027" s="34">
        <v>0</v>
      </c>
    </row>
    <row r="5028" spans="1:10" ht="15.75" hidden="1" thickBot="1" x14ac:dyDescent="0.3">
      <c r="A5028" s="257"/>
      <c r="B5028" s="260"/>
      <c r="C5028" s="36"/>
      <c r="D5028" s="36"/>
      <c r="E5028" s="37"/>
      <c r="F5028" s="46" t="s">
        <v>23</v>
      </c>
      <c r="G5028" s="35" t="str">
        <f t="shared" si="87"/>
        <v/>
      </c>
      <c r="H5028" s="39"/>
      <c r="I5028" s="35"/>
      <c r="J5028" s="34">
        <v>0</v>
      </c>
    </row>
    <row r="5029" spans="1:10" ht="15.75" hidden="1" thickBot="1" x14ac:dyDescent="0.3">
      <c r="A5029" s="257"/>
      <c r="B5029" s="260"/>
      <c r="C5029" s="40" t="s">
        <v>4193</v>
      </c>
      <c r="D5029" s="40" t="s">
        <v>1286</v>
      </c>
      <c r="E5029" s="41">
        <v>1.0492999999999999</v>
      </c>
      <c r="F5029" s="38">
        <v>14.183499999999999</v>
      </c>
      <c r="G5029" s="38">
        <f t="shared" si="87"/>
        <v>14.882746549999997</v>
      </c>
      <c r="H5029" s="43">
        <f>SUM(G5029:G5031)</f>
        <v>31.932956099999998</v>
      </c>
      <c r="I5029" s="44"/>
      <c r="J5029" s="34">
        <v>0</v>
      </c>
    </row>
    <row r="5030" spans="1:10" ht="26.25" hidden="1" thickBot="1" x14ac:dyDescent="0.3">
      <c r="A5030" s="257"/>
      <c r="B5030" s="260"/>
      <c r="C5030" s="40" t="s">
        <v>4119</v>
      </c>
      <c r="D5030" s="40" t="s">
        <v>3752</v>
      </c>
      <c r="E5030" s="41">
        <v>0.34870000000000001</v>
      </c>
      <c r="F5030" s="38">
        <v>21.555499999999999</v>
      </c>
      <c r="G5030" s="38">
        <f t="shared" si="87"/>
        <v>7.5164028499999995</v>
      </c>
      <c r="H5030" s="48"/>
      <c r="I5030" s="49"/>
      <c r="J5030" s="34">
        <v>0</v>
      </c>
    </row>
    <row r="5031" spans="1:10" ht="26.25" hidden="1" thickBot="1" x14ac:dyDescent="0.3">
      <c r="A5031" s="257"/>
      <c r="B5031" s="260"/>
      <c r="C5031" s="40" t="s">
        <v>4110</v>
      </c>
      <c r="D5031" s="40" t="s">
        <v>3752</v>
      </c>
      <c r="E5031" s="41">
        <v>0.34870000000000001</v>
      </c>
      <c r="F5031" s="35">
        <v>27.341000000000001</v>
      </c>
      <c r="G5031" s="35">
        <f t="shared" si="87"/>
        <v>9.5338067000000013</v>
      </c>
      <c r="H5031" s="39"/>
      <c r="I5031" s="35"/>
      <c r="J5031" s="34">
        <v>0</v>
      </c>
    </row>
    <row r="5032" spans="1:10" ht="15.75" hidden="1" thickBot="1" x14ac:dyDescent="0.3">
      <c r="A5032" s="258"/>
      <c r="B5032" s="261"/>
      <c r="C5032" s="40"/>
      <c r="D5032" s="40"/>
      <c r="E5032" s="41"/>
      <c r="F5032" s="35" t="s">
        <v>23</v>
      </c>
      <c r="G5032" s="35" t="str">
        <f t="shared" si="87"/>
        <v/>
      </c>
      <c r="H5032" s="39"/>
      <c r="I5032" s="35"/>
      <c r="J5032" s="34">
        <v>0</v>
      </c>
    </row>
    <row r="5033" spans="1:10" ht="15.75" hidden="1" thickBot="1" x14ac:dyDescent="0.3">
      <c r="A5033" s="256" t="s">
        <v>1211</v>
      </c>
      <c r="B5033" s="259" t="s">
        <v>3045</v>
      </c>
      <c r="C5033" s="28"/>
      <c r="D5033" s="29" t="s">
        <v>121</v>
      </c>
      <c r="E5033" s="30"/>
      <c r="F5033" s="45" t="s">
        <v>23</v>
      </c>
      <c r="G5033" s="31" t="str">
        <f t="shared" si="87"/>
        <v/>
      </c>
      <c r="H5033" s="32"/>
      <c r="I5033" s="33"/>
      <c r="J5033" s="34">
        <v>0</v>
      </c>
    </row>
    <row r="5034" spans="1:10" ht="15.75" hidden="1" thickBot="1" x14ac:dyDescent="0.3">
      <c r="A5034" s="257"/>
      <c r="B5034" s="260"/>
      <c r="C5034" s="36"/>
      <c r="D5034" s="36"/>
      <c r="E5034" s="37"/>
      <c r="F5034" s="46" t="s">
        <v>23</v>
      </c>
      <c r="G5034" s="35" t="str">
        <f t="shared" si="87"/>
        <v/>
      </c>
      <c r="H5034" s="39"/>
      <c r="I5034" s="35"/>
      <c r="J5034" s="34">
        <v>0</v>
      </c>
    </row>
    <row r="5035" spans="1:10" ht="15.75" hidden="1" thickBot="1" x14ac:dyDescent="0.3">
      <c r="A5035" s="257"/>
      <c r="B5035" s="260"/>
      <c r="C5035" s="40" t="s">
        <v>4194</v>
      </c>
      <c r="D5035" s="40" t="s">
        <v>1286</v>
      </c>
      <c r="E5035" s="41">
        <v>1.0492999999999999</v>
      </c>
      <c r="F5035" s="38">
        <v>24.433999999999997</v>
      </c>
      <c r="G5035" s="38">
        <f t="shared" si="87"/>
        <v>25.638596199999995</v>
      </c>
      <c r="H5035" s="43">
        <f>SUM(G5035:G5037)</f>
        <v>45.749726649999992</v>
      </c>
      <c r="I5035" s="44"/>
      <c r="J5035" s="34">
        <v>0</v>
      </c>
    </row>
    <row r="5036" spans="1:10" ht="26.25" hidden="1" thickBot="1" x14ac:dyDescent="0.3">
      <c r="A5036" s="257"/>
      <c r="B5036" s="260"/>
      <c r="C5036" s="40" t="s">
        <v>4119</v>
      </c>
      <c r="D5036" s="40" t="s">
        <v>3752</v>
      </c>
      <c r="E5036" s="41">
        <v>0.4113</v>
      </c>
      <c r="F5036" s="38">
        <v>21.555499999999999</v>
      </c>
      <c r="G5036" s="38">
        <f t="shared" si="87"/>
        <v>8.8657771499999996</v>
      </c>
      <c r="H5036" s="48"/>
      <c r="I5036" s="49"/>
      <c r="J5036" s="34">
        <v>0</v>
      </c>
    </row>
    <row r="5037" spans="1:10" ht="26.25" hidden="1" thickBot="1" x14ac:dyDescent="0.3">
      <c r="A5037" s="257"/>
      <c r="B5037" s="260"/>
      <c r="C5037" s="40" t="s">
        <v>4110</v>
      </c>
      <c r="D5037" s="40" t="s">
        <v>3752</v>
      </c>
      <c r="E5037" s="41">
        <v>0.4113</v>
      </c>
      <c r="F5037" s="35">
        <v>27.341000000000001</v>
      </c>
      <c r="G5037" s="35">
        <f t="shared" si="87"/>
        <v>11.2453533</v>
      </c>
      <c r="H5037" s="39"/>
      <c r="I5037" s="35"/>
      <c r="J5037" s="34">
        <v>0</v>
      </c>
    </row>
    <row r="5038" spans="1:10" ht="15.75" hidden="1" thickBot="1" x14ac:dyDescent="0.3">
      <c r="A5038" s="258"/>
      <c r="B5038" s="261"/>
      <c r="C5038" s="40"/>
      <c r="D5038" s="40"/>
      <c r="E5038" s="41"/>
      <c r="F5038" s="35" t="s">
        <v>23</v>
      </c>
      <c r="G5038" s="35" t="str">
        <f t="shared" si="87"/>
        <v/>
      </c>
      <c r="H5038" s="39"/>
      <c r="I5038" s="35"/>
      <c r="J5038" s="34">
        <v>0</v>
      </c>
    </row>
    <row r="5039" spans="1:10" ht="15.75" hidden="1" thickBot="1" x14ac:dyDescent="0.3">
      <c r="A5039" s="248" t="s">
        <v>1212</v>
      </c>
      <c r="B5039" s="251" t="s">
        <v>3046</v>
      </c>
      <c r="C5039" s="28"/>
      <c r="D5039" s="29" t="s">
        <v>28</v>
      </c>
      <c r="E5039" s="30"/>
      <c r="F5039" s="45" t="s">
        <v>23</v>
      </c>
      <c r="G5039" s="31" t="str">
        <f t="shared" si="87"/>
        <v/>
      </c>
      <c r="H5039" s="32"/>
      <c r="I5039" s="33"/>
      <c r="J5039" s="34">
        <v>0</v>
      </c>
    </row>
    <row r="5040" spans="1:10" ht="15.75" hidden="1" thickBot="1" x14ac:dyDescent="0.3">
      <c r="A5040" s="249"/>
      <c r="B5040" s="252"/>
      <c r="C5040" s="36"/>
      <c r="D5040" s="36"/>
      <c r="E5040" s="37"/>
      <c r="F5040" s="46" t="s">
        <v>23</v>
      </c>
      <c r="G5040" s="35" t="str">
        <f t="shared" si="87"/>
        <v/>
      </c>
      <c r="H5040" s="39"/>
      <c r="I5040" s="35"/>
      <c r="J5040" s="34">
        <v>0</v>
      </c>
    </row>
    <row r="5041" spans="1:10" ht="39" hidden="1" thickBot="1" x14ac:dyDescent="0.3">
      <c r="A5041" s="249"/>
      <c r="B5041" s="252"/>
      <c r="C5041" s="40" t="s">
        <v>3874</v>
      </c>
      <c r="D5041" s="40" t="s">
        <v>291</v>
      </c>
      <c r="E5041" s="41">
        <v>2</v>
      </c>
      <c r="F5041" s="38">
        <v>22.799999999999997</v>
      </c>
      <c r="G5041" s="38">
        <f t="shared" si="87"/>
        <v>45.599999999999994</v>
      </c>
      <c r="H5041" s="43">
        <f>SUM(G5041:G5045)</f>
        <v>89.287580649999995</v>
      </c>
      <c r="I5041" s="44"/>
      <c r="J5041" s="34">
        <v>0</v>
      </c>
    </row>
    <row r="5042" spans="1:10" ht="26.25" hidden="1" thickBot="1" x14ac:dyDescent="0.3">
      <c r="A5042" s="249"/>
      <c r="B5042" s="252"/>
      <c r="C5042" s="40" t="s">
        <v>3858</v>
      </c>
      <c r="D5042" s="40" t="s">
        <v>291</v>
      </c>
      <c r="E5042" s="41">
        <v>1</v>
      </c>
      <c r="F5042" s="38">
        <v>16.102499999999999</v>
      </c>
      <c r="G5042" s="38">
        <f t="shared" si="87"/>
        <v>16.102499999999999</v>
      </c>
      <c r="H5042" s="39"/>
      <c r="I5042" s="44"/>
      <c r="J5042" s="34">
        <v>0</v>
      </c>
    </row>
    <row r="5043" spans="1:10" ht="15.75" hidden="1" thickBot="1" x14ac:dyDescent="0.3">
      <c r="A5043" s="249"/>
      <c r="B5043" s="252"/>
      <c r="C5043" s="40" t="s">
        <v>4161</v>
      </c>
      <c r="D5043" s="40" t="s">
        <v>1035</v>
      </c>
      <c r="E5043" s="41">
        <v>8.8099999999999998E-2</v>
      </c>
      <c r="F5043" s="38">
        <v>76.36099999999999</v>
      </c>
      <c r="G5043" s="38">
        <f t="shared" si="87"/>
        <v>6.7274040999999993</v>
      </c>
      <c r="H5043" s="39"/>
      <c r="I5043" s="35"/>
      <c r="J5043" s="34">
        <v>0</v>
      </c>
    </row>
    <row r="5044" spans="1:10" ht="26.25" hidden="1" thickBot="1" x14ac:dyDescent="0.3">
      <c r="A5044" s="249"/>
      <c r="B5044" s="252"/>
      <c r="C5044" s="40" t="s">
        <v>4110</v>
      </c>
      <c r="D5044" s="40" t="s">
        <v>3752</v>
      </c>
      <c r="E5044" s="41">
        <v>0.49680000000000002</v>
      </c>
      <c r="F5044" s="35">
        <v>27.341000000000001</v>
      </c>
      <c r="G5044" s="38">
        <f t="shared" si="87"/>
        <v>13.583008800000002</v>
      </c>
      <c r="H5044" s="39"/>
      <c r="I5044" s="35"/>
      <c r="J5044" s="34">
        <v>0</v>
      </c>
    </row>
    <row r="5045" spans="1:10" ht="15.75" hidden="1" thickBot="1" x14ac:dyDescent="0.3">
      <c r="A5045" s="249"/>
      <c r="B5045" s="252"/>
      <c r="C5045" s="40" t="s">
        <v>3754</v>
      </c>
      <c r="D5045" s="40" t="s">
        <v>3752</v>
      </c>
      <c r="E5045" s="41">
        <v>0.34949999999999998</v>
      </c>
      <c r="F5045" s="35">
        <v>20.814499999999999</v>
      </c>
      <c r="G5045" s="38">
        <f t="shared" si="87"/>
        <v>7.274667749999999</v>
      </c>
      <c r="H5045" s="39"/>
      <c r="I5045" s="35"/>
      <c r="J5045" s="34">
        <v>0</v>
      </c>
    </row>
    <row r="5046" spans="1:10" ht="15.75" hidden="1" thickBot="1" x14ac:dyDescent="0.3">
      <c r="A5046" s="250"/>
      <c r="B5046" s="253"/>
      <c r="C5046" s="40"/>
      <c r="D5046" s="40"/>
      <c r="E5046" s="41"/>
      <c r="F5046" s="35" t="s">
        <v>23</v>
      </c>
      <c r="G5046" s="35" t="str">
        <f t="shared" si="87"/>
        <v/>
      </c>
      <c r="H5046" s="39"/>
      <c r="I5046" s="35"/>
      <c r="J5046" s="34">
        <v>0</v>
      </c>
    </row>
    <row r="5047" spans="1:10" ht="15.75" hidden="1" thickBot="1" x14ac:dyDescent="0.3">
      <c r="A5047" s="248" t="s">
        <v>1213</v>
      </c>
      <c r="B5047" s="251" t="s">
        <v>3047</v>
      </c>
      <c r="C5047" s="28"/>
      <c r="D5047" s="29" t="s">
        <v>28</v>
      </c>
      <c r="E5047" s="30"/>
      <c r="F5047" s="45" t="s">
        <v>23</v>
      </c>
      <c r="G5047" s="31" t="str">
        <f t="shared" si="87"/>
        <v/>
      </c>
      <c r="H5047" s="32"/>
      <c r="I5047" s="33"/>
      <c r="J5047" s="34">
        <v>0</v>
      </c>
    </row>
    <row r="5048" spans="1:10" ht="15.75" hidden="1" thickBot="1" x14ac:dyDescent="0.3">
      <c r="A5048" s="249"/>
      <c r="B5048" s="252"/>
      <c r="C5048" s="36"/>
      <c r="D5048" s="36"/>
      <c r="E5048" s="37"/>
      <c r="F5048" s="46" t="s">
        <v>23</v>
      </c>
      <c r="G5048" s="35" t="str">
        <f t="shared" si="87"/>
        <v/>
      </c>
      <c r="H5048" s="39"/>
      <c r="I5048" s="35"/>
      <c r="J5048" s="34">
        <v>0</v>
      </c>
    </row>
    <row r="5049" spans="1:10" ht="26.25" hidden="1" thickBot="1" x14ac:dyDescent="0.3">
      <c r="A5049" s="249"/>
      <c r="B5049" s="252"/>
      <c r="C5049" s="40" t="s">
        <v>4110</v>
      </c>
      <c r="D5049" s="40" t="s">
        <v>3752</v>
      </c>
      <c r="E5049" s="41">
        <v>0.5</v>
      </c>
      <c r="F5049" s="35">
        <v>27.341000000000001</v>
      </c>
      <c r="G5049" s="35">
        <f t="shared" si="87"/>
        <v>13.670500000000001</v>
      </c>
      <c r="H5049" s="43">
        <f>SUM(G5049:G5052)</f>
        <v>24.578628000000002</v>
      </c>
      <c r="I5049" s="44"/>
      <c r="J5049" s="34">
        <v>0</v>
      </c>
    </row>
    <row r="5050" spans="1:10" ht="26.25" hidden="1" thickBot="1" x14ac:dyDescent="0.3">
      <c r="A5050" s="249"/>
      <c r="B5050" s="252"/>
      <c r="C5050" s="40" t="s">
        <v>4119</v>
      </c>
      <c r="D5050" s="40" t="s">
        <v>3752</v>
      </c>
      <c r="E5050" s="41">
        <v>0.5</v>
      </c>
      <c r="F5050" s="38">
        <v>21.555499999999999</v>
      </c>
      <c r="G5050" s="38">
        <f t="shared" si="87"/>
        <v>10.777749999999999</v>
      </c>
      <c r="H5050" s="39"/>
      <c r="I5050" s="35"/>
      <c r="J5050" s="34">
        <v>0</v>
      </c>
    </row>
    <row r="5051" spans="1:10" ht="15.75" hidden="1" thickBot="1" x14ac:dyDescent="0.3">
      <c r="A5051" s="249"/>
      <c r="B5051" s="252"/>
      <c r="C5051" s="40" t="s">
        <v>3867</v>
      </c>
      <c r="D5051" s="40" t="s">
        <v>291</v>
      </c>
      <c r="E5051" s="41">
        <f>0.47/50</f>
        <v>9.3999999999999986E-3</v>
      </c>
      <c r="F5051" s="38">
        <v>13.87</v>
      </c>
      <c r="G5051" s="38">
        <f t="shared" si="87"/>
        <v>0.13037799999999997</v>
      </c>
      <c r="H5051" s="39"/>
      <c r="I5051" s="35"/>
      <c r="J5051" s="34">
        <v>0</v>
      </c>
    </row>
    <row r="5052" spans="1:10" ht="15.75" hidden="1" thickBot="1" x14ac:dyDescent="0.3">
      <c r="A5052" s="249"/>
      <c r="B5052" s="252"/>
      <c r="C5052" s="40" t="s">
        <v>1214</v>
      </c>
      <c r="D5052" s="40" t="s">
        <v>291</v>
      </c>
      <c r="E5052" s="41">
        <v>1</v>
      </c>
      <c r="F5052" s="35" t="s">
        <v>23</v>
      </c>
      <c r="G5052" s="38" t="str">
        <f t="shared" si="87"/>
        <v/>
      </c>
      <c r="H5052" s="39"/>
      <c r="I5052" s="35"/>
      <c r="J5052" s="34">
        <v>0</v>
      </c>
    </row>
    <row r="5053" spans="1:10" ht="15.75" hidden="1" thickBot="1" x14ac:dyDescent="0.3">
      <c r="A5053" s="250"/>
      <c r="B5053" s="253"/>
      <c r="C5053" s="40"/>
      <c r="D5053" s="40"/>
      <c r="E5053" s="41"/>
      <c r="F5053" s="35" t="s">
        <v>23</v>
      </c>
      <c r="G5053" s="35" t="str">
        <f t="shared" si="87"/>
        <v/>
      </c>
      <c r="H5053" s="39"/>
      <c r="I5053" s="35"/>
      <c r="J5053" s="34">
        <v>0</v>
      </c>
    </row>
    <row r="5054" spans="1:10" ht="15.75" hidden="1" thickBot="1" x14ac:dyDescent="0.3">
      <c r="A5054" s="248" t="s">
        <v>1215</v>
      </c>
      <c r="B5054" s="251" t="s">
        <v>3048</v>
      </c>
      <c r="C5054" s="28"/>
      <c r="D5054" s="29" t="s">
        <v>28</v>
      </c>
      <c r="E5054" s="30"/>
      <c r="F5054" s="51" t="s">
        <v>23</v>
      </c>
      <c r="G5054" s="31" t="str">
        <f t="shared" si="87"/>
        <v/>
      </c>
      <c r="H5054" s="32"/>
      <c r="I5054" s="33"/>
      <c r="J5054" s="34">
        <v>0</v>
      </c>
    </row>
    <row r="5055" spans="1:10" ht="15.75" hidden="1" thickBot="1" x14ac:dyDescent="0.3">
      <c r="A5055" s="262"/>
      <c r="B5055" s="252"/>
      <c r="C5055" s="36"/>
      <c r="D5055" s="36"/>
      <c r="E5055" s="37"/>
      <c r="F5055" s="59" t="s">
        <v>23</v>
      </c>
      <c r="G5055" s="59" t="str">
        <f t="shared" si="87"/>
        <v/>
      </c>
      <c r="H5055" s="62"/>
      <c r="I5055" s="63"/>
      <c r="J5055" s="34">
        <v>0</v>
      </c>
    </row>
    <row r="5056" spans="1:10" ht="15.75" hidden="1" thickBot="1" x14ac:dyDescent="0.3">
      <c r="A5056" s="262"/>
      <c r="B5056" s="252"/>
      <c r="C5056" s="40" t="s">
        <v>1216</v>
      </c>
      <c r="D5056" s="40" t="s">
        <v>291</v>
      </c>
      <c r="E5056" s="41">
        <v>1</v>
      </c>
      <c r="F5056" s="59" t="s">
        <v>23</v>
      </c>
      <c r="G5056" s="59" t="str">
        <f t="shared" si="87"/>
        <v/>
      </c>
      <c r="H5056" s="43">
        <f>SUM(G5056:G5059)</f>
        <v>15.220826849999998</v>
      </c>
      <c r="I5056" s="44"/>
      <c r="J5056" s="34">
        <v>0</v>
      </c>
    </row>
    <row r="5057" spans="1:10" ht="15.75" hidden="1" thickBot="1" x14ac:dyDescent="0.3">
      <c r="A5057" s="262"/>
      <c r="B5057" s="252"/>
      <c r="C5057" s="40" t="s">
        <v>3876</v>
      </c>
      <c r="D5057" s="40" t="s">
        <v>291</v>
      </c>
      <c r="E5057" s="41">
        <v>2.1000000000000001E-2</v>
      </c>
      <c r="F5057" s="59">
        <v>3.762</v>
      </c>
      <c r="G5057" s="59">
        <f t="shared" si="87"/>
        <v>7.9002000000000003E-2</v>
      </c>
      <c r="H5057" s="62"/>
      <c r="I5057" s="63"/>
      <c r="J5057" s="34">
        <v>0</v>
      </c>
    </row>
    <row r="5058" spans="1:10" ht="26.25" hidden="1" thickBot="1" x14ac:dyDescent="0.3">
      <c r="A5058" s="262"/>
      <c r="B5058" s="252"/>
      <c r="C5058" s="40" t="s">
        <v>4110</v>
      </c>
      <c r="D5058" s="40" t="s">
        <v>3752</v>
      </c>
      <c r="E5058" s="41">
        <v>0.44669999999999999</v>
      </c>
      <c r="F5058" s="59">
        <v>27.341000000000001</v>
      </c>
      <c r="G5058" s="59">
        <f t="shared" si="87"/>
        <v>12.2132247</v>
      </c>
      <c r="H5058" s="62"/>
      <c r="I5058" s="63"/>
      <c r="J5058" s="34">
        <v>0</v>
      </c>
    </row>
    <row r="5059" spans="1:10" ht="15.75" hidden="1" thickBot="1" x14ac:dyDescent="0.3">
      <c r="A5059" s="262"/>
      <c r="B5059" s="252"/>
      <c r="C5059" s="40" t="s">
        <v>3754</v>
      </c>
      <c r="D5059" s="40" t="s">
        <v>3752</v>
      </c>
      <c r="E5059" s="41">
        <v>0.14069999999999999</v>
      </c>
      <c r="F5059" s="59">
        <v>20.814499999999999</v>
      </c>
      <c r="G5059" s="59">
        <f t="shared" si="87"/>
        <v>2.9286001499999998</v>
      </c>
      <c r="H5059" s="62"/>
      <c r="I5059" s="63"/>
      <c r="J5059" s="34">
        <v>0</v>
      </c>
    </row>
    <row r="5060" spans="1:10" ht="15.75" hidden="1" thickBot="1" x14ac:dyDescent="0.3">
      <c r="A5060" s="263"/>
      <c r="B5060" s="253"/>
      <c r="C5060" s="40"/>
      <c r="D5060" s="40"/>
      <c r="E5060" s="41"/>
      <c r="F5060" s="59" t="s">
        <v>23</v>
      </c>
      <c r="G5060" s="59" t="str">
        <f t="shared" si="87"/>
        <v/>
      </c>
      <c r="H5060" s="62"/>
      <c r="I5060" s="63"/>
      <c r="J5060" s="34">
        <v>0</v>
      </c>
    </row>
    <row r="5061" spans="1:10" ht="15.75" hidden="1" thickBot="1" x14ac:dyDescent="0.3">
      <c r="A5061" s="248" t="s">
        <v>1217</v>
      </c>
      <c r="B5061" s="251" t="s">
        <v>3049</v>
      </c>
      <c r="C5061" s="28"/>
      <c r="D5061" s="29" t="s">
        <v>28</v>
      </c>
      <c r="E5061" s="30"/>
      <c r="F5061" s="51" t="s">
        <v>23</v>
      </c>
      <c r="G5061" s="31" t="str">
        <f t="shared" si="87"/>
        <v/>
      </c>
      <c r="H5061" s="32"/>
      <c r="I5061" s="33"/>
      <c r="J5061" s="34">
        <v>0</v>
      </c>
    </row>
    <row r="5062" spans="1:10" ht="15.75" hidden="1" thickBot="1" x14ac:dyDescent="0.3">
      <c r="A5062" s="262"/>
      <c r="B5062" s="252"/>
      <c r="C5062" s="36"/>
      <c r="D5062" s="36"/>
      <c r="E5062" s="37"/>
      <c r="F5062" s="59" t="s">
        <v>23</v>
      </c>
      <c r="G5062" s="59" t="str">
        <f t="shared" si="87"/>
        <v/>
      </c>
      <c r="H5062" s="62"/>
      <c r="I5062" s="63"/>
      <c r="J5062" s="34">
        <v>0</v>
      </c>
    </row>
    <row r="5063" spans="1:10" ht="26.25" hidden="1" thickBot="1" x14ac:dyDescent="0.3">
      <c r="A5063" s="262"/>
      <c r="B5063" s="252"/>
      <c r="C5063" s="40" t="s">
        <v>4119</v>
      </c>
      <c r="D5063" s="40" t="s">
        <v>3752</v>
      </c>
      <c r="E5063" s="41">
        <v>4</v>
      </c>
      <c r="F5063" s="35">
        <v>21.555499999999999</v>
      </c>
      <c r="G5063" s="59">
        <f t="shared" si="87"/>
        <v>86.221999999999994</v>
      </c>
      <c r="H5063" s="43">
        <f>SUM(G5063:G5067)</f>
        <v>296.59987999999998</v>
      </c>
      <c r="I5063" s="44"/>
      <c r="J5063" s="34">
        <v>0</v>
      </c>
    </row>
    <row r="5064" spans="1:10" ht="26.25" hidden="1" thickBot="1" x14ac:dyDescent="0.3">
      <c r="A5064" s="262"/>
      <c r="B5064" s="252"/>
      <c r="C5064" s="40" t="s">
        <v>4110</v>
      </c>
      <c r="D5064" s="40" t="s">
        <v>3752</v>
      </c>
      <c r="E5064" s="41">
        <v>4</v>
      </c>
      <c r="F5064" s="35">
        <v>27.341000000000001</v>
      </c>
      <c r="G5064" s="59">
        <f t="shared" si="87"/>
        <v>109.364</v>
      </c>
      <c r="H5064" s="62"/>
      <c r="I5064" s="63"/>
      <c r="J5064" s="34">
        <v>0</v>
      </c>
    </row>
    <row r="5065" spans="1:10" ht="15.75" hidden="1" thickBot="1" x14ac:dyDescent="0.3">
      <c r="A5065" s="262"/>
      <c r="B5065" s="252"/>
      <c r="C5065" s="40" t="s">
        <v>3770</v>
      </c>
      <c r="D5065" s="40" t="s">
        <v>3752</v>
      </c>
      <c r="E5065" s="41">
        <v>2</v>
      </c>
      <c r="F5065" s="35">
        <v>21.954499999999999</v>
      </c>
      <c r="G5065" s="59">
        <f t="shared" si="87"/>
        <v>43.908999999999999</v>
      </c>
      <c r="H5065" s="62"/>
      <c r="I5065" s="63"/>
      <c r="J5065" s="34">
        <v>0</v>
      </c>
    </row>
    <row r="5066" spans="1:10" ht="15.75" hidden="1" thickBot="1" x14ac:dyDescent="0.3">
      <c r="A5066" s="262"/>
      <c r="B5066" s="252"/>
      <c r="C5066" s="40" t="s">
        <v>3760</v>
      </c>
      <c r="D5066" s="40" t="s">
        <v>3752</v>
      </c>
      <c r="E5066" s="41">
        <v>2</v>
      </c>
      <c r="F5066" s="35">
        <v>28.385999999999999</v>
      </c>
      <c r="G5066" s="59">
        <f t="shared" si="87"/>
        <v>56.771999999999998</v>
      </c>
      <c r="H5066" s="62"/>
      <c r="I5066" s="63"/>
      <c r="J5066" s="34">
        <v>0</v>
      </c>
    </row>
    <row r="5067" spans="1:10" ht="15.75" hidden="1" thickBot="1" x14ac:dyDescent="0.3">
      <c r="A5067" s="262"/>
      <c r="B5067" s="252"/>
      <c r="C5067" s="40" t="s">
        <v>3867</v>
      </c>
      <c r="D5067" s="40" t="s">
        <v>291</v>
      </c>
      <c r="E5067" s="41">
        <f>1.2/50</f>
        <v>2.4E-2</v>
      </c>
      <c r="F5067" s="59">
        <v>13.87</v>
      </c>
      <c r="G5067" s="59">
        <f t="shared" si="87"/>
        <v>0.33288000000000001</v>
      </c>
      <c r="H5067" s="62"/>
      <c r="I5067" s="63"/>
      <c r="J5067" s="34">
        <v>0</v>
      </c>
    </row>
    <row r="5068" spans="1:10" ht="15.75" hidden="1" thickBot="1" x14ac:dyDescent="0.3">
      <c r="A5068" s="262"/>
      <c r="B5068" s="252"/>
      <c r="C5068" s="40"/>
      <c r="D5068" s="53"/>
      <c r="E5068" s="41"/>
      <c r="F5068" s="59" t="s">
        <v>23</v>
      </c>
      <c r="G5068" s="59" t="str">
        <f t="shared" si="87"/>
        <v/>
      </c>
      <c r="H5068" s="62"/>
      <c r="I5068" s="63"/>
      <c r="J5068" s="34">
        <v>0</v>
      </c>
    </row>
    <row r="5069" spans="1:10" ht="15.75" hidden="1" thickBot="1" x14ac:dyDescent="0.3">
      <c r="A5069" s="248" t="s">
        <v>1218</v>
      </c>
      <c r="B5069" s="251" t="s">
        <v>3050</v>
      </c>
      <c r="C5069" s="28"/>
      <c r="D5069" s="29" t="s">
        <v>28</v>
      </c>
      <c r="E5069" s="30"/>
      <c r="F5069" s="45" t="s">
        <v>23</v>
      </c>
      <c r="G5069" s="31" t="str">
        <f t="shared" si="87"/>
        <v/>
      </c>
      <c r="H5069" s="32"/>
      <c r="I5069" s="33"/>
      <c r="J5069" s="34">
        <v>0</v>
      </c>
    </row>
    <row r="5070" spans="1:10" ht="15.75" hidden="1" thickBot="1" x14ac:dyDescent="0.3">
      <c r="A5070" s="249"/>
      <c r="B5070" s="252"/>
      <c r="C5070" s="36"/>
      <c r="D5070" s="36"/>
      <c r="E5070" s="37"/>
      <c r="F5070" s="46" t="s">
        <v>23</v>
      </c>
      <c r="G5070" s="35" t="str">
        <f t="shared" si="87"/>
        <v/>
      </c>
      <c r="H5070" s="39"/>
      <c r="I5070" s="35"/>
      <c r="J5070" s="34">
        <v>0</v>
      </c>
    </row>
    <row r="5071" spans="1:10" ht="26.25" hidden="1" thickBot="1" x14ac:dyDescent="0.3">
      <c r="A5071" s="249"/>
      <c r="B5071" s="252"/>
      <c r="C5071" s="40" t="s">
        <v>1219</v>
      </c>
      <c r="D5071" s="53" t="s">
        <v>102</v>
      </c>
      <c r="E5071" s="41">
        <v>1</v>
      </c>
      <c r="F5071" s="38" t="s">
        <v>23</v>
      </c>
      <c r="G5071" s="38" t="str">
        <f t="shared" si="87"/>
        <v/>
      </c>
      <c r="H5071" s="43">
        <f>SUM(G5071:G5073)</f>
        <v>21.433962700000002</v>
      </c>
      <c r="I5071" s="44"/>
      <c r="J5071" s="34">
        <v>0</v>
      </c>
    </row>
    <row r="5072" spans="1:10" ht="26.25" hidden="1" thickBot="1" x14ac:dyDescent="0.3">
      <c r="A5072" s="249"/>
      <c r="B5072" s="252"/>
      <c r="C5072" s="40" t="s">
        <v>4110</v>
      </c>
      <c r="D5072" s="40" t="s">
        <v>3752</v>
      </c>
      <c r="E5072" s="41">
        <v>0.63229999999999997</v>
      </c>
      <c r="F5072" s="35">
        <v>27.341000000000001</v>
      </c>
      <c r="G5072" s="38">
        <f t="shared" ref="G5072:G5114" si="88">IF(ISNUMBER(F5072),E5072*F5072,"")</f>
        <v>17.287714300000001</v>
      </c>
      <c r="H5072" s="39"/>
      <c r="I5072" s="35"/>
      <c r="J5072" s="34">
        <v>0</v>
      </c>
    </row>
    <row r="5073" spans="1:10" ht="15.75" hidden="1" thickBot="1" x14ac:dyDescent="0.3">
      <c r="A5073" s="249"/>
      <c r="B5073" s="252"/>
      <c r="C5073" s="40" t="s">
        <v>3754</v>
      </c>
      <c r="D5073" s="40" t="s">
        <v>3752</v>
      </c>
      <c r="E5073" s="41">
        <v>0.19919999999999999</v>
      </c>
      <c r="F5073" s="35">
        <v>20.814499999999999</v>
      </c>
      <c r="G5073" s="38">
        <f t="shared" si="88"/>
        <v>4.1462483999999993</v>
      </c>
      <c r="H5073" s="39"/>
      <c r="I5073" s="35"/>
      <c r="J5073" s="34">
        <v>0</v>
      </c>
    </row>
    <row r="5074" spans="1:10" ht="15.75" hidden="1" thickBot="1" x14ac:dyDescent="0.3">
      <c r="A5074" s="250"/>
      <c r="B5074" s="253"/>
      <c r="C5074" s="40"/>
      <c r="D5074" s="40"/>
      <c r="E5074" s="41"/>
      <c r="F5074" s="35" t="s">
        <v>23</v>
      </c>
      <c r="G5074" s="35" t="str">
        <f t="shared" si="88"/>
        <v/>
      </c>
      <c r="H5074" s="39"/>
      <c r="I5074" s="35"/>
      <c r="J5074" s="34">
        <v>0</v>
      </c>
    </row>
    <row r="5075" spans="1:10" ht="15.75" hidden="1" thickBot="1" x14ac:dyDescent="0.3">
      <c r="A5075" s="248" t="s">
        <v>1220</v>
      </c>
      <c r="B5075" s="251" t="s">
        <v>3051</v>
      </c>
      <c r="C5075" s="28"/>
      <c r="D5075" s="29" t="s">
        <v>28</v>
      </c>
      <c r="E5075" s="30"/>
      <c r="F5075" s="45" t="s">
        <v>23</v>
      </c>
      <c r="G5075" s="31" t="str">
        <f t="shared" si="88"/>
        <v/>
      </c>
      <c r="H5075" s="32"/>
      <c r="I5075" s="33"/>
      <c r="J5075" s="34">
        <v>0</v>
      </c>
    </row>
    <row r="5076" spans="1:10" ht="15.75" hidden="1" thickBot="1" x14ac:dyDescent="0.3">
      <c r="A5076" s="249"/>
      <c r="B5076" s="252"/>
      <c r="C5076" s="36"/>
      <c r="D5076" s="36"/>
      <c r="E5076" s="37"/>
      <c r="F5076" s="46" t="s">
        <v>23</v>
      </c>
      <c r="G5076" s="35" t="str">
        <f t="shared" si="88"/>
        <v/>
      </c>
      <c r="H5076" s="39"/>
      <c r="I5076" s="35"/>
      <c r="J5076" s="34">
        <v>0</v>
      </c>
    </row>
    <row r="5077" spans="1:10" ht="26.25" hidden="1" thickBot="1" x14ac:dyDescent="0.3">
      <c r="A5077" s="249"/>
      <c r="B5077" s="252"/>
      <c r="C5077" s="40" t="s">
        <v>1221</v>
      </c>
      <c r="D5077" s="53" t="s">
        <v>102</v>
      </c>
      <c r="E5077" s="41">
        <v>1</v>
      </c>
      <c r="F5077" s="38" t="s">
        <v>23</v>
      </c>
      <c r="G5077" s="38" t="str">
        <f t="shared" si="88"/>
        <v/>
      </c>
      <c r="H5077" s="43">
        <f>SUM(G5077:G5079)</f>
        <v>10.7183484</v>
      </c>
      <c r="I5077" s="44"/>
      <c r="J5077" s="34">
        <v>0</v>
      </c>
    </row>
    <row r="5078" spans="1:10" ht="26.25" hidden="1" thickBot="1" x14ac:dyDescent="0.3">
      <c r="A5078" s="249"/>
      <c r="B5078" s="252"/>
      <c r="C5078" s="40" t="s">
        <v>4110</v>
      </c>
      <c r="D5078" s="40" t="s">
        <v>3752</v>
      </c>
      <c r="E5078" s="41">
        <v>0.31619999999999998</v>
      </c>
      <c r="F5078" s="35">
        <v>27.341000000000001</v>
      </c>
      <c r="G5078" s="38">
        <f t="shared" si="88"/>
        <v>8.6452241999999995</v>
      </c>
      <c r="H5078" s="39"/>
      <c r="I5078" s="35"/>
      <c r="J5078" s="34">
        <v>0</v>
      </c>
    </row>
    <row r="5079" spans="1:10" ht="15.75" hidden="1" thickBot="1" x14ac:dyDescent="0.3">
      <c r="A5079" s="249"/>
      <c r="B5079" s="252"/>
      <c r="C5079" s="40" t="s">
        <v>3754</v>
      </c>
      <c r="D5079" s="40" t="s">
        <v>3752</v>
      </c>
      <c r="E5079" s="41">
        <v>9.9599999999999994E-2</v>
      </c>
      <c r="F5079" s="35">
        <v>20.814499999999999</v>
      </c>
      <c r="G5079" s="38">
        <f t="shared" si="88"/>
        <v>2.0731241999999996</v>
      </c>
      <c r="H5079" s="39"/>
      <c r="I5079" s="35"/>
      <c r="J5079" s="34">
        <v>0</v>
      </c>
    </row>
    <row r="5080" spans="1:10" ht="15.75" hidden="1" thickBot="1" x14ac:dyDescent="0.3">
      <c r="A5080" s="250"/>
      <c r="B5080" s="253"/>
      <c r="C5080" s="40"/>
      <c r="D5080" s="40"/>
      <c r="E5080" s="41"/>
      <c r="F5080" s="35" t="s">
        <v>23</v>
      </c>
      <c r="G5080" s="35" t="str">
        <f t="shared" si="88"/>
        <v/>
      </c>
      <c r="H5080" s="39"/>
      <c r="I5080" s="35"/>
      <c r="J5080" s="34">
        <v>0</v>
      </c>
    </row>
    <row r="5081" spans="1:10" ht="15.75" hidden="1" thickBot="1" x14ac:dyDescent="0.3">
      <c r="A5081" s="248" t="s">
        <v>1222</v>
      </c>
      <c r="B5081" s="251" t="s">
        <v>3052</v>
      </c>
      <c r="C5081" s="28"/>
      <c r="D5081" s="29" t="s">
        <v>28</v>
      </c>
      <c r="E5081" s="30"/>
      <c r="F5081" s="45" t="s">
        <v>23</v>
      </c>
      <c r="G5081" s="31" t="str">
        <f t="shared" si="88"/>
        <v/>
      </c>
      <c r="H5081" s="32"/>
      <c r="I5081" s="33"/>
      <c r="J5081" s="34">
        <v>0</v>
      </c>
    </row>
    <row r="5082" spans="1:10" ht="15.75" hidden="1" thickBot="1" x14ac:dyDescent="0.3">
      <c r="A5082" s="249"/>
      <c r="B5082" s="252"/>
      <c r="C5082" s="36"/>
      <c r="D5082" s="36"/>
      <c r="E5082" s="37"/>
      <c r="F5082" s="46" t="s">
        <v>23</v>
      </c>
      <c r="G5082" s="35" t="str">
        <f t="shared" si="88"/>
        <v/>
      </c>
      <c r="H5082" s="39"/>
      <c r="I5082" s="35"/>
      <c r="J5082" s="34">
        <v>0</v>
      </c>
    </row>
    <row r="5083" spans="1:10" ht="15.75" hidden="1" thickBot="1" x14ac:dyDescent="0.3">
      <c r="A5083" s="249"/>
      <c r="B5083" s="252"/>
      <c r="C5083" s="40" t="s">
        <v>1223</v>
      </c>
      <c r="D5083" s="40" t="s">
        <v>28</v>
      </c>
      <c r="E5083" s="41">
        <v>1</v>
      </c>
      <c r="F5083" s="38" t="s">
        <v>23</v>
      </c>
      <c r="G5083" s="35" t="str">
        <f t="shared" si="88"/>
        <v/>
      </c>
      <c r="H5083" s="43">
        <f>SUM(G5083:G5085)</f>
        <v>18.172920499999996</v>
      </c>
      <c r="I5083" s="44"/>
      <c r="J5083" s="34">
        <v>0</v>
      </c>
    </row>
    <row r="5084" spans="1:10" ht="15.75" hidden="1" thickBot="1" x14ac:dyDescent="0.3">
      <c r="A5084" s="249"/>
      <c r="B5084" s="252"/>
      <c r="C5084" s="40" t="s">
        <v>3770</v>
      </c>
      <c r="D5084" s="40" t="s">
        <v>3752</v>
      </c>
      <c r="E5084" s="41">
        <v>0.36099999999999999</v>
      </c>
      <c r="F5084" s="35">
        <v>21.954499999999999</v>
      </c>
      <c r="G5084" s="38">
        <f t="shared" si="88"/>
        <v>7.9255744999999997</v>
      </c>
      <c r="H5084" s="39"/>
      <c r="I5084" s="35"/>
      <c r="J5084" s="34">
        <v>0</v>
      </c>
    </row>
    <row r="5085" spans="1:10" ht="15.75" hidden="1" thickBot="1" x14ac:dyDescent="0.3">
      <c r="A5085" s="249"/>
      <c r="B5085" s="252"/>
      <c r="C5085" s="40" t="s">
        <v>3760</v>
      </c>
      <c r="D5085" s="40" t="s">
        <v>3752</v>
      </c>
      <c r="E5085" s="41">
        <v>0.36099999999999999</v>
      </c>
      <c r="F5085" s="35">
        <v>28.385999999999999</v>
      </c>
      <c r="G5085" s="38">
        <f t="shared" si="88"/>
        <v>10.247345999999999</v>
      </c>
      <c r="H5085" s="39"/>
      <c r="I5085" s="35"/>
      <c r="J5085" s="34">
        <v>0</v>
      </c>
    </row>
    <row r="5086" spans="1:10" ht="15.75" hidden="1" thickBot="1" x14ac:dyDescent="0.3">
      <c r="A5086" s="250"/>
      <c r="B5086" s="253"/>
      <c r="C5086" s="40"/>
      <c r="D5086" s="40"/>
      <c r="E5086" s="41"/>
      <c r="F5086" s="35" t="s">
        <v>23</v>
      </c>
      <c r="G5086" s="35" t="str">
        <f t="shared" si="88"/>
        <v/>
      </c>
      <c r="H5086" s="39"/>
      <c r="I5086" s="35"/>
      <c r="J5086" s="34">
        <v>0</v>
      </c>
    </row>
    <row r="5087" spans="1:10" ht="15.75" hidden="1" thickBot="1" x14ac:dyDescent="0.3">
      <c r="A5087" s="248" t="s">
        <v>1224</v>
      </c>
      <c r="B5087" s="251" t="s">
        <v>3053</v>
      </c>
      <c r="C5087" s="28"/>
      <c r="D5087" s="29" t="s">
        <v>28</v>
      </c>
      <c r="E5087" s="30"/>
      <c r="F5087" s="45" t="s">
        <v>23</v>
      </c>
      <c r="G5087" s="31" t="str">
        <f t="shared" si="88"/>
        <v/>
      </c>
      <c r="H5087" s="32"/>
      <c r="I5087" s="33"/>
      <c r="J5087" s="34">
        <v>0</v>
      </c>
    </row>
    <row r="5088" spans="1:10" ht="15.75" hidden="1" thickBot="1" x14ac:dyDescent="0.3">
      <c r="A5088" s="249"/>
      <c r="B5088" s="252"/>
      <c r="C5088" s="36"/>
      <c r="D5088" s="36"/>
      <c r="E5088" s="37"/>
      <c r="F5088" s="46" t="s">
        <v>23</v>
      </c>
      <c r="G5088" s="35" t="str">
        <f t="shared" si="88"/>
        <v/>
      </c>
      <c r="H5088" s="39"/>
      <c r="I5088" s="35"/>
      <c r="J5088" s="34">
        <v>0</v>
      </c>
    </row>
    <row r="5089" spans="1:10" ht="15.75" hidden="1" thickBot="1" x14ac:dyDescent="0.3">
      <c r="A5089" s="249"/>
      <c r="B5089" s="252"/>
      <c r="C5089" s="40" t="s">
        <v>4195</v>
      </c>
      <c r="D5089" s="40" t="s">
        <v>291</v>
      </c>
      <c r="E5089" s="41">
        <v>1</v>
      </c>
      <c r="F5089" s="38">
        <v>6.5074999999999994</v>
      </c>
      <c r="G5089" s="35">
        <f t="shared" si="88"/>
        <v>6.5074999999999994</v>
      </c>
      <c r="H5089" s="43">
        <f>SUM(G5089:G5091)</f>
        <v>18.186495999999998</v>
      </c>
      <c r="I5089" s="44"/>
      <c r="J5089" s="34">
        <v>0</v>
      </c>
    </row>
    <row r="5090" spans="1:10" ht="15.75" hidden="1" thickBot="1" x14ac:dyDescent="0.3">
      <c r="A5090" s="249"/>
      <c r="B5090" s="252"/>
      <c r="C5090" s="40" t="s">
        <v>3770</v>
      </c>
      <c r="D5090" s="40" t="s">
        <v>3752</v>
      </c>
      <c r="E5090" s="41">
        <v>0.23200000000000001</v>
      </c>
      <c r="F5090" s="35">
        <v>21.954499999999999</v>
      </c>
      <c r="G5090" s="38">
        <f t="shared" si="88"/>
        <v>5.0934439999999999</v>
      </c>
      <c r="H5090" s="39"/>
      <c r="I5090" s="35"/>
      <c r="J5090" s="34">
        <v>0</v>
      </c>
    </row>
    <row r="5091" spans="1:10" ht="15.75" hidden="1" thickBot="1" x14ac:dyDescent="0.3">
      <c r="A5091" s="249"/>
      <c r="B5091" s="252"/>
      <c r="C5091" s="40" t="s">
        <v>3760</v>
      </c>
      <c r="D5091" s="40" t="s">
        <v>3752</v>
      </c>
      <c r="E5091" s="41">
        <v>0.23200000000000001</v>
      </c>
      <c r="F5091" s="35">
        <v>28.385999999999999</v>
      </c>
      <c r="G5091" s="38">
        <f t="shared" si="88"/>
        <v>6.5855519999999999</v>
      </c>
      <c r="H5091" s="39"/>
      <c r="I5091" s="35"/>
      <c r="J5091" s="34">
        <v>0</v>
      </c>
    </row>
    <row r="5092" spans="1:10" ht="15.75" hidden="1" thickBot="1" x14ac:dyDescent="0.3">
      <c r="A5092" s="250"/>
      <c r="B5092" s="253"/>
      <c r="C5092" s="40"/>
      <c r="D5092" s="40"/>
      <c r="E5092" s="41"/>
      <c r="F5092" s="35" t="s">
        <v>23</v>
      </c>
      <c r="G5092" s="35" t="str">
        <f t="shared" si="88"/>
        <v/>
      </c>
      <c r="H5092" s="39"/>
      <c r="I5092" s="35"/>
      <c r="J5092" s="34">
        <v>0</v>
      </c>
    </row>
    <row r="5093" spans="1:10" ht="15.75" hidden="1" thickBot="1" x14ac:dyDescent="0.3">
      <c r="A5093" s="248" t="s">
        <v>1225</v>
      </c>
      <c r="B5093" s="251" t="s">
        <v>3054</v>
      </c>
      <c r="C5093" s="28"/>
      <c r="D5093" s="29" t="s">
        <v>28</v>
      </c>
      <c r="E5093" s="30"/>
      <c r="F5093" s="45" t="s">
        <v>23</v>
      </c>
      <c r="G5093" s="31" t="str">
        <f t="shared" si="88"/>
        <v/>
      </c>
      <c r="H5093" s="32"/>
      <c r="I5093" s="33"/>
      <c r="J5093" s="34">
        <v>0</v>
      </c>
    </row>
    <row r="5094" spans="1:10" ht="15.75" hidden="1" thickBot="1" x14ac:dyDescent="0.3">
      <c r="A5094" s="249"/>
      <c r="B5094" s="252"/>
      <c r="C5094" s="36"/>
      <c r="D5094" s="36"/>
      <c r="E5094" s="37"/>
      <c r="F5094" s="46" t="s">
        <v>23</v>
      </c>
      <c r="G5094" s="35" t="str">
        <f t="shared" si="88"/>
        <v/>
      </c>
      <c r="H5094" s="39"/>
      <c r="I5094" s="35"/>
      <c r="J5094" s="34">
        <v>0</v>
      </c>
    </row>
    <row r="5095" spans="1:10" ht="39" hidden="1" thickBot="1" x14ac:dyDescent="0.3">
      <c r="A5095" s="249"/>
      <c r="B5095" s="252"/>
      <c r="C5095" s="40" t="s">
        <v>4196</v>
      </c>
      <c r="D5095" s="40" t="s">
        <v>291</v>
      </c>
      <c r="E5095" s="41">
        <v>1</v>
      </c>
      <c r="F5095" s="38">
        <v>65.825500000000005</v>
      </c>
      <c r="G5095" s="38">
        <f t="shared" si="88"/>
        <v>65.825500000000005</v>
      </c>
      <c r="H5095" s="43">
        <f>SUM(G5095:G5098)</f>
        <v>120.22209435000002</v>
      </c>
      <c r="I5095" s="44"/>
      <c r="J5095" s="34">
        <v>0</v>
      </c>
    </row>
    <row r="5096" spans="1:10" ht="26.25" hidden="1" thickBot="1" x14ac:dyDescent="0.3">
      <c r="A5096" s="249"/>
      <c r="B5096" s="252"/>
      <c r="C5096" s="40" t="s">
        <v>4197</v>
      </c>
      <c r="D5096" s="40" t="s">
        <v>291</v>
      </c>
      <c r="E5096" s="41">
        <v>2</v>
      </c>
      <c r="F5096" s="38">
        <v>14.212</v>
      </c>
      <c r="G5096" s="38">
        <f t="shared" si="88"/>
        <v>28.423999999999999</v>
      </c>
      <c r="H5096" s="48"/>
      <c r="I5096" s="49"/>
      <c r="J5096" s="34">
        <v>0</v>
      </c>
    </row>
    <row r="5097" spans="1:10" ht="15.75" hidden="1" thickBot="1" x14ac:dyDescent="0.3">
      <c r="A5097" s="249"/>
      <c r="B5097" s="252"/>
      <c r="C5097" s="40" t="s">
        <v>3770</v>
      </c>
      <c r="D5097" s="40" t="s">
        <v>3752</v>
      </c>
      <c r="E5097" s="41">
        <v>0.2883</v>
      </c>
      <c r="F5097" s="35">
        <v>21.954499999999999</v>
      </c>
      <c r="G5097" s="35">
        <f t="shared" si="88"/>
        <v>6.3294823500000001</v>
      </c>
      <c r="H5097" s="39"/>
      <c r="I5097" s="35"/>
      <c r="J5097" s="34">
        <v>0</v>
      </c>
    </row>
    <row r="5098" spans="1:10" ht="15.75" hidden="1" thickBot="1" x14ac:dyDescent="0.3">
      <c r="A5098" s="249"/>
      <c r="B5098" s="252"/>
      <c r="C5098" s="40" t="s">
        <v>3760</v>
      </c>
      <c r="D5098" s="40" t="s">
        <v>3752</v>
      </c>
      <c r="E5098" s="41">
        <v>0.69199999999999995</v>
      </c>
      <c r="F5098" s="35">
        <v>28.385999999999999</v>
      </c>
      <c r="G5098" s="35">
        <f t="shared" si="88"/>
        <v>19.643111999999999</v>
      </c>
      <c r="H5098" s="39"/>
      <c r="I5098" s="35"/>
      <c r="J5098" s="34">
        <v>0</v>
      </c>
    </row>
    <row r="5099" spans="1:10" ht="15.75" hidden="1" thickBot="1" x14ac:dyDescent="0.3">
      <c r="A5099" s="250"/>
      <c r="B5099" s="253"/>
      <c r="C5099" s="40"/>
      <c r="D5099" s="40"/>
      <c r="E5099" s="41"/>
      <c r="F5099" s="35" t="s">
        <v>23</v>
      </c>
      <c r="G5099" s="35" t="str">
        <f t="shared" si="88"/>
        <v/>
      </c>
      <c r="H5099" s="39"/>
      <c r="I5099" s="35"/>
      <c r="J5099" s="34">
        <v>0</v>
      </c>
    </row>
    <row r="5100" spans="1:10" ht="15.75" hidden="1" thickBot="1" x14ac:dyDescent="0.3">
      <c r="A5100" s="256" t="s">
        <v>1226</v>
      </c>
      <c r="B5100" s="259" t="s">
        <v>3055</v>
      </c>
      <c r="C5100" s="28"/>
      <c r="D5100" s="29" t="s">
        <v>78</v>
      </c>
      <c r="E5100" s="30"/>
      <c r="F5100" s="45" t="s">
        <v>23</v>
      </c>
      <c r="G5100" s="31" t="str">
        <f t="shared" si="88"/>
        <v/>
      </c>
      <c r="H5100" s="32"/>
      <c r="I5100" s="33"/>
      <c r="J5100" s="34">
        <v>0</v>
      </c>
    </row>
    <row r="5101" spans="1:10" ht="15.75" hidden="1" thickBot="1" x14ac:dyDescent="0.3">
      <c r="A5101" s="257"/>
      <c r="B5101" s="260"/>
      <c r="C5101" s="36"/>
      <c r="D5101" s="36"/>
      <c r="E5101" s="37"/>
      <c r="F5101" s="46" t="s">
        <v>23</v>
      </c>
      <c r="G5101" s="35" t="str">
        <f t="shared" si="88"/>
        <v/>
      </c>
      <c r="H5101" s="39"/>
      <c r="I5101" s="35"/>
      <c r="J5101" s="34">
        <v>0</v>
      </c>
    </row>
    <row r="5102" spans="1:10" ht="51.75" hidden="1" thickBot="1" x14ac:dyDescent="0.3">
      <c r="A5102" s="257"/>
      <c r="B5102" s="260"/>
      <c r="C5102" s="40" t="s">
        <v>4192</v>
      </c>
      <c r="D5102" s="40" t="s">
        <v>291</v>
      </c>
      <c r="E5102" s="41">
        <f>1/(0.8*2.1)</f>
        <v>0.59523809523809523</v>
      </c>
      <c r="F5102" s="38">
        <v>300.69399999999996</v>
      </c>
      <c r="G5102" s="38">
        <f t="shared" si="88"/>
        <v>178.98452380952378</v>
      </c>
      <c r="H5102" s="43">
        <f>SUM(G5102:G5105)</f>
        <v>229.89679175952381</v>
      </c>
      <c r="I5102" s="44"/>
      <c r="J5102" s="34">
        <v>0</v>
      </c>
    </row>
    <row r="5103" spans="1:10" ht="15.75" hidden="1" thickBot="1" x14ac:dyDescent="0.3">
      <c r="A5103" s="257"/>
      <c r="B5103" s="260"/>
      <c r="C5103" s="40" t="s">
        <v>4198</v>
      </c>
      <c r="D5103" s="40" t="s">
        <v>1286</v>
      </c>
      <c r="E5103" s="41">
        <f>1/0.8</f>
        <v>1.25</v>
      </c>
      <c r="F5103" s="35">
        <v>18.962</v>
      </c>
      <c r="G5103" s="38">
        <f t="shared" si="88"/>
        <v>23.702500000000001</v>
      </c>
      <c r="H5103" s="39"/>
      <c r="I5103" s="35"/>
      <c r="J5103" s="34">
        <v>0</v>
      </c>
    </row>
    <row r="5104" spans="1:10" ht="15.75" hidden="1" thickBot="1" x14ac:dyDescent="0.3">
      <c r="A5104" s="257"/>
      <c r="B5104" s="260"/>
      <c r="C5104" s="40" t="s">
        <v>3766</v>
      </c>
      <c r="D5104" s="40" t="s">
        <v>3752</v>
      </c>
      <c r="E5104" s="41">
        <f>ROUND(1.546*0.8/(2.1*0.8),4)</f>
        <v>0.73619999999999997</v>
      </c>
      <c r="F5104" s="35">
        <v>26.552499999999998</v>
      </c>
      <c r="G5104" s="38">
        <f t="shared" si="88"/>
        <v>19.547950499999999</v>
      </c>
      <c r="H5104" s="39"/>
      <c r="I5104" s="35"/>
      <c r="J5104" s="34">
        <v>0</v>
      </c>
    </row>
    <row r="5105" spans="1:10" ht="15.75" hidden="1" thickBot="1" x14ac:dyDescent="0.3">
      <c r="A5105" s="257"/>
      <c r="B5105" s="260"/>
      <c r="C5105" s="40" t="s">
        <v>3754</v>
      </c>
      <c r="D5105" s="40" t="s">
        <v>3752</v>
      </c>
      <c r="E5105" s="41">
        <f>ROUND(0.773*0.8/(2.1*0.8),4)</f>
        <v>0.36809999999999998</v>
      </c>
      <c r="F5105" s="35">
        <v>20.814499999999999</v>
      </c>
      <c r="G5105" s="38">
        <f t="shared" si="88"/>
        <v>7.6618174499999991</v>
      </c>
      <c r="H5105" s="39"/>
      <c r="I5105" s="35"/>
      <c r="J5105" s="34">
        <v>0</v>
      </c>
    </row>
    <row r="5106" spans="1:10" ht="15.75" hidden="1" thickBot="1" x14ac:dyDescent="0.3">
      <c r="A5106" s="257"/>
      <c r="B5106" s="260"/>
      <c r="C5106" s="40"/>
      <c r="D5106" s="53"/>
      <c r="E5106" s="41"/>
      <c r="F5106" s="38" t="s">
        <v>23</v>
      </c>
      <c r="G5106" s="38" t="str">
        <f t="shared" si="88"/>
        <v/>
      </c>
      <c r="H5106" s="39"/>
      <c r="I5106" s="35"/>
      <c r="J5106" s="34">
        <v>0</v>
      </c>
    </row>
    <row r="5107" spans="1:10" ht="15.75" hidden="1" thickBot="1" x14ac:dyDescent="0.3">
      <c r="A5107" s="256" t="s">
        <v>1227</v>
      </c>
      <c r="B5107" s="259" t="s">
        <v>3056</v>
      </c>
      <c r="C5107" s="28"/>
      <c r="D5107" s="29" t="s">
        <v>78</v>
      </c>
      <c r="E5107" s="30"/>
      <c r="F5107" s="45" t="s">
        <v>23</v>
      </c>
      <c r="G5107" s="31" t="str">
        <f t="shared" si="88"/>
        <v/>
      </c>
      <c r="H5107" s="32"/>
      <c r="I5107" s="33"/>
      <c r="J5107" s="34">
        <v>0</v>
      </c>
    </row>
    <row r="5108" spans="1:10" ht="15.75" hidden="1" thickBot="1" x14ac:dyDescent="0.3">
      <c r="A5108" s="257"/>
      <c r="B5108" s="260"/>
      <c r="C5108" s="36"/>
      <c r="D5108" s="36"/>
      <c r="E5108" s="37"/>
      <c r="F5108" s="46" t="s">
        <v>23</v>
      </c>
      <c r="G5108" s="35" t="str">
        <f t="shared" si="88"/>
        <v/>
      </c>
      <c r="H5108" s="39"/>
      <c r="I5108" s="35"/>
      <c r="J5108" s="34">
        <v>0</v>
      </c>
    </row>
    <row r="5109" spans="1:10" ht="51.75" hidden="1" thickBot="1" x14ac:dyDescent="0.3">
      <c r="A5109" s="257"/>
      <c r="B5109" s="260"/>
      <c r="C5109" s="40" t="s">
        <v>3932</v>
      </c>
      <c r="D5109" s="40" t="s">
        <v>291</v>
      </c>
      <c r="E5109" s="41">
        <f>1/(0.8*2.1)</f>
        <v>0.59523809523809523</v>
      </c>
      <c r="F5109" s="38">
        <v>293.721</v>
      </c>
      <c r="G5109" s="38">
        <f t="shared" si="88"/>
        <v>174.83392857142857</v>
      </c>
      <c r="H5109" s="43">
        <f>SUM(G5109:G5114)</f>
        <v>249.50875932142861</v>
      </c>
      <c r="I5109" s="44"/>
      <c r="J5109" s="34">
        <v>0</v>
      </c>
    </row>
    <row r="5110" spans="1:10" ht="15.75" hidden="1" thickBot="1" x14ac:dyDescent="0.3">
      <c r="A5110" s="257"/>
      <c r="B5110" s="260"/>
      <c r="C5110" s="40" t="s">
        <v>4198</v>
      </c>
      <c r="D5110" s="40" t="s">
        <v>1286</v>
      </c>
      <c r="E5110" s="41">
        <f>1/0.8</f>
        <v>1.25</v>
      </c>
      <c r="F5110" s="35">
        <v>18.962</v>
      </c>
      <c r="G5110" s="38">
        <f t="shared" si="88"/>
        <v>23.702500000000001</v>
      </c>
      <c r="H5110" s="39"/>
      <c r="I5110" s="35"/>
      <c r="J5110" s="34">
        <v>0</v>
      </c>
    </row>
    <row r="5111" spans="1:10" ht="15.75" hidden="1" thickBot="1" x14ac:dyDescent="0.3">
      <c r="A5111" s="257"/>
      <c r="B5111" s="260"/>
      <c r="C5111" s="40" t="s">
        <v>3766</v>
      </c>
      <c r="D5111" s="40" t="s">
        <v>3752</v>
      </c>
      <c r="E5111" s="41">
        <f>ROUND(1.546*0.8/(0.8*2.1),4)</f>
        <v>0.73619999999999997</v>
      </c>
      <c r="F5111" s="35">
        <v>26.552499999999998</v>
      </c>
      <c r="G5111" s="38">
        <f t="shared" si="88"/>
        <v>19.547950499999999</v>
      </c>
      <c r="H5111" s="39"/>
      <c r="I5111" s="35"/>
      <c r="J5111" s="34">
        <v>0</v>
      </c>
    </row>
    <row r="5112" spans="1:10" ht="15.75" hidden="1" thickBot="1" x14ac:dyDescent="0.3">
      <c r="A5112" s="257"/>
      <c r="B5112" s="260"/>
      <c r="C5112" s="40" t="s">
        <v>3754</v>
      </c>
      <c r="D5112" s="40" t="s">
        <v>3752</v>
      </c>
      <c r="E5112" s="41">
        <f>ROUND(0.773*0.8/(0.8*2.1),4)</f>
        <v>0.36809999999999998</v>
      </c>
      <c r="F5112" s="35">
        <v>20.814499999999999</v>
      </c>
      <c r="G5112" s="38">
        <f t="shared" si="88"/>
        <v>7.6618174499999991</v>
      </c>
      <c r="H5112" s="39"/>
      <c r="I5112" s="35"/>
      <c r="J5112" s="34">
        <v>0</v>
      </c>
    </row>
    <row r="5113" spans="1:10" ht="15.75" hidden="1" thickBot="1" x14ac:dyDescent="0.3">
      <c r="A5113" s="257"/>
      <c r="B5113" s="260"/>
      <c r="C5113" s="40" t="s">
        <v>138</v>
      </c>
      <c r="D5113" s="58" t="s">
        <v>80</v>
      </c>
      <c r="E5113" s="41">
        <v>0.108</v>
      </c>
      <c r="F5113" s="38">
        <v>28.69</v>
      </c>
      <c r="G5113" s="35">
        <f t="shared" si="88"/>
        <v>3.0985200000000002</v>
      </c>
      <c r="H5113" s="39"/>
      <c r="I5113" s="35"/>
      <c r="J5113" s="34">
        <v>0</v>
      </c>
    </row>
    <row r="5114" spans="1:10" ht="15.75" hidden="1" thickBot="1" x14ac:dyDescent="0.3">
      <c r="A5114" s="257"/>
      <c r="B5114" s="260"/>
      <c r="C5114" s="40" t="s">
        <v>3753</v>
      </c>
      <c r="D5114" s="40" t="s">
        <v>3752</v>
      </c>
      <c r="E5114" s="41">
        <v>0.70760000000000001</v>
      </c>
      <c r="F5114" s="35">
        <v>29.202999999999996</v>
      </c>
      <c r="G5114" s="35">
        <f t="shared" si="88"/>
        <v>20.664042799999997</v>
      </c>
      <c r="H5114" s="39"/>
      <c r="I5114" s="35"/>
      <c r="J5114" s="34">
        <v>0</v>
      </c>
    </row>
    <row r="5115" spans="1:10" ht="15.75" hidden="1" thickBot="1" x14ac:dyDescent="0.3">
      <c r="A5115" s="257"/>
      <c r="B5115" s="260"/>
      <c r="C5115" s="40"/>
      <c r="D5115" s="40"/>
      <c r="E5115" s="41"/>
      <c r="F5115" s="35" t="s">
        <v>23</v>
      </c>
      <c r="G5115" s="35"/>
      <c r="H5115" s="39"/>
      <c r="I5115" s="35"/>
      <c r="J5115" s="34">
        <v>0</v>
      </c>
    </row>
    <row r="5116" spans="1:10" ht="39" hidden="1" thickBot="1" x14ac:dyDescent="0.3">
      <c r="A5116" s="257"/>
      <c r="B5116" s="260"/>
      <c r="C5116" s="54" t="s">
        <v>139</v>
      </c>
      <c r="D5116" s="40"/>
      <c r="E5116" s="41"/>
      <c r="F5116" s="35" t="s">
        <v>23</v>
      </c>
      <c r="G5116" s="35"/>
      <c r="H5116" s="39"/>
      <c r="I5116" s="35"/>
      <c r="J5116" s="34">
        <v>0</v>
      </c>
    </row>
    <row r="5117" spans="1:10" ht="15.75" hidden="1" thickBot="1" x14ac:dyDescent="0.3">
      <c r="A5117" s="257"/>
      <c r="B5117" s="260"/>
      <c r="C5117" s="40"/>
      <c r="D5117" s="53"/>
      <c r="E5117" s="41"/>
      <c r="F5117" s="38" t="s">
        <v>23</v>
      </c>
      <c r="G5117" s="38" t="str">
        <f t="shared" ref="G5117:G5148" si="89">IF(ISNUMBER(F5117),E5117*F5117,"")</f>
        <v/>
      </c>
      <c r="H5117" s="39"/>
      <c r="I5117" s="35"/>
      <c r="J5117" s="34">
        <v>0</v>
      </c>
    </row>
    <row r="5118" spans="1:10" ht="15.75" hidden="1" thickBot="1" x14ac:dyDescent="0.3">
      <c r="A5118" s="248" t="s">
        <v>1228</v>
      </c>
      <c r="B5118" s="251" t="s">
        <v>3057</v>
      </c>
      <c r="C5118" s="28"/>
      <c r="D5118" s="29" t="s">
        <v>28</v>
      </c>
      <c r="E5118" s="30"/>
      <c r="F5118" s="51" t="s">
        <v>23</v>
      </c>
      <c r="G5118" s="31" t="str">
        <f t="shared" si="89"/>
        <v/>
      </c>
      <c r="H5118" s="32"/>
      <c r="I5118" s="33"/>
      <c r="J5118" s="34">
        <v>0</v>
      </c>
    </row>
    <row r="5119" spans="1:10" ht="15.75" hidden="1" thickBot="1" x14ac:dyDescent="0.3">
      <c r="A5119" s="262"/>
      <c r="B5119" s="252"/>
      <c r="C5119" s="36"/>
      <c r="D5119" s="36"/>
      <c r="E5119" s="37"/>
      <c r="F5119" s="59" t="s">
        <v>23</v>
      </c>
      <c r="G5119" s="59" t="str">
        <f t="shared" si="89"/>
        <v/>
      </c>
      <c r="H5119" s="62"/>
      <c r="I5119" s="63"/>
      <c r="J5119" s="34">
        <v>0</v>
      </c>
    </row>
    <row r="5120" spans="1:10" ht="26.25" hidden="1" thickBot="1" x14ac:dyDescent="0.3">
      <c r="A5120" s="262"/>
      <c r="B5120" s="252"/>
      <c r="C5120" s="40" t="s">
        <v>4119</v>
      </c>
      <c r="D5120" s="40" t="s">
        <v>3752</v>
      </c>
      <c r="E5120" s="41">
        <v>0.93</v>
      </c>
      <c r="F5120" s="35">
        <v>21.555499999999999</v>
      </c>
      <c r="G5120" s="59">
        <f t="shared" si="89"/>
        <v>20.046614999999999</v>
      </c>
      <c r="H5120" s="43">
        <f>SUM(G5120:G5122)</f>
        <v>45.473745000000001</v>
      </c>
      <c r="I5120" s="44"/>
      <c r="J5120" s="34">
        <v>0</v>
      </c>
    </row>
    <row r="5121" spans="1:10" ht="26.25" hidden="1" thickBot="1" x14ac:dyDescent="0.3">
      <c r="A5121" s="262"/>
      <c r="B5121" s="252"/>
      <c r="C5121" s="40" t="s">
        <v>4110</v>
      </c>
      <c r="D5121" s="40" t="s">
        <v>3752</v>
      </c>
      <c r="E5121" s="41">
        <v>0.93</v>
      </c>
      <c r="F5121" s="35">
        <v>27.341000000000001</v>
      </c>
      <c r="G5121" s="59">
        <f t="shared" si="89"/>
        <v>25.427130000000002</v>
      </c>
      <c r="H5121" s="62"/>
      <c r="I5121" s="63"/>
      <c r="J5121" s="34">
        <v>0</v>
      </c>
    </row>
    <row r="5122" spans="1:10" ht="15.75" hidden="1" thickBot="1" x14ac:dyDescent="0.3">
      <c r="A5122" s="262"/>
      <c r="B5122" s="252"/>
      <c r="C5122" s="40" t="s">
        <v>1229</v>
      </c>
      <c r="D5122" s="40" t="s">
        <v>291</v>
      </c>
      <c r="E5122" s="41">
        <v>1</v>
      </c>
      <c r="F5122" s="35" t="s">
        <v>23</v>
      </c>
      <c r="G5122" s="59" t="str">
        <f t="shared" si="89"/>
        <v/>
      </c>
      <c r="H5122" s="62"/>
      <c r="I5122" s="63"/>
      <c r="J5122" s="34">
        <v>0</v>
      </c>
    </row>
    <row r="5123" spans="1:10" ht="15.75" hidden="1" thickBot="1" x14ac:dyDescent="0.3">
      <c r="A5123" s="262"/>
      <c r="B5123" s="252"/>
      <c r="C5123" s="40"/>
      <c r="D5123" s="53"/>
      <c r="E5123" s="41"/>
      <c r="F5123" s="59" t="s">
        <v>23</v>
      </c>
      <c r="G5123" s="59" t="str">
        <f t="shared" si="89"/>
        <v/>
      </c>
      <c r="H5123" s="62"/>
      <c r="I5123" s="63"/>
      <c r="J5123" s="34">
        <v>0</v>
      </c>
    </row>
    <row r="5124" spans="1:10" ht="15.75" hidden="1" thickBot="1" x14ac:dyDescent="0.3">
      <c r="A5124" s="248" t="s">
        <v>1230</v>
      </c>
      <c r="B5124" s="251" t="s">
        <v>3058</v>
      </c>
      <c r="C5124" s="28"/>
      <c r="D5124" s="29" t="s">
        <v>28</v>
      </c>
      <c r="E5124" s="30"/>
      <c r="F5124" s="51" t="s">
        <v>23</v>
      </c>
      <c r="G5124" s="31" t="str">
        <f t="shared" si="89"/>
        <v/>
      </c>
      <c r="H5124" s="32"/>
      <c r="I5124" s="33"/>
      <c r="J5124" s="34">
        <v>0</v>
      </c>
    </row>
    <row r="5125" spans="1:10" ht="15.75" hidden="1" thickBot="1" x14ac:dyDescent="0.3">
      <c r="A5125" s="262"/>
      <c r="B5125" s="252"/>
      <c r="C5125" s="36"/>
      <c r="D5125" s="36"/>
      <c r="E5125" s="37"/>
      <c r="F5125" s="59" t="s">
        <v>23</v>
      </c>
      <c r="G5125" s="59" t="str">
        <f t="shared" si="89"/>
        <v/>
      </c>
      <c r="H5125" s="62"/>
      <c r="I5125" s="63"/>
      <c r="J5125" s="34">
        <v>0</v>
      </c>
    </row>
    <row r="5126" spans="1:10" ht="15.75" hidden="1" thickBot="1" x14ac:dyDescent="0.3">
      <c r="A5126" s="262"/>
      <c r="B5126" s="252"/>
      <c r="C5126" s="40" t="s">
        <v>4084</v>
      </c>
      <c r="D5126" s="40" t="s">
        <v>1035</v>
      </c>
      <c r="E5126" s="41">
        <f>ROUND(0.089*1.3,4)</f>
        <v>0.1157</v>
      </c>
      <c r="F5126" s="35">
        <v>36.489499999999992</v>
      </c>
      <c r="G5126" s="59">
        <f t="shared" si="89"/>
        <v>4.2218351499999986</v>
      </c>
      <c r="H5126" s="43">
        <f>SUM(G5126:G5130)</f>
        <v>97.977971650000001</v>
      </c>
      <c r="I5126" s="44"/>
      <c r="J5126" s="34">
        <v>0</v>
      </c>
    </row>
    <row r="5127" spans="1:10" ht="26.25" hidden="1" thickBot="1" x14ac:dyDescent="0.3">
      <c r="A5127" s="262"/>
      <c r="B5127" s="252"/>
      <c r="C5127" s="40" t="s">
        <v>1231</v>
      </c>
      <c r="D5127" s="40" t="s">
        <v>291</v>
      </c>
      <c r="E5127" s="41">
        <v>1</v>
      </c>
      <c r="F5127" s="35" t="s">
        <v>23</v>
      </c>
      <c r="G5127" s="59" t="str">
        <f t="shared" si="89"/>
        <v/>
      </c>
      <c r="H5127" s="62"/>
      <c r="I5127" s="63"/>
      <c r="J5127" s="34">
        <v>0</v>
      </c>
    </row>
    <row r="5128" spans="1:10" ht="26.25" hidden="1" thickBot="1" x14ac:dyDescent="0.3">
      <c r="A5128" s="262"/>
      <c r="B5128" s="252"/>
      <c r="C5128" s="40" t="s">
        <v>4119</v>
      </c>
      <c r="D5128" s="40" t="s">
        <v>3752</v>
      </c>
      <c r="E5128" s="41">
        <f>ROUND(0.93*1.3,4)</f>
        <v>1.2090000000000001</v>
      </c>
      <c r="F5128" s="35">
        <v>21.555499999999999</v>
      </c>
      <c r="G5128" s="59">
        <f t="shared" si="89"/>
        <v>26.060599499999999</v>
      </c>
      <c r="H5128" s="62"/>
      <c r="I5128" s="63"/>
      <c r="J5128" s="34">
        <v>0</v>
      </c>
    </row>
    <row r="5129" spans="1:10" ht="26.25" hidden="1" thickBot="1" x14ac:dyDescent="0.3">
      <c r="A5129" s="262"/>
      <c r="B5129" s="252"/>
      <c r="C5129" s="40" t="s">
        <v>4110</v>
      </c>
      <c r="D5129" s="40" t="s">
        <v>3752</v>
      </c>
      <c r="E5129" s="41">
        <f>ROUND(0.93*1.3,4)</f>
        <v>1.2090000000000001</v>
      </c>
      <c r="F5129" s="35">
        <v>27.341000000000001</v>
      </c>
      <c r="G5129" s="59">
        <f t="shared" si="89"/>
        <v>33.055269000000003</v>
      </c>
      <c r="H5129" s="62"/>
      <c r="I5129" s="63"/>
      <c r="J5129" s="34">
        <v>0</v>
      </c>
    </row>
    <row r="5130" spans="1:10" ht="15.75" hidden="1" thickBot="1" x14ac:dyDescent="0.3">
      <c r="A5130" s="262"/>
      <c r="B5130" s="252"/>
      <c r="C5130" s="40" t="s">
        <v>4017</v>
      </c>
      <c r="D5130" s="40" t="s">
        <v>3752</v>
      </c>
      <c r="E5130" s="41">
        <f>ROUND(0.93*1.3,4)</f>
        <v>1.2090000000000001</v>
      </c>
      <c r="F5130" s="59">
        <v>28.651999999999997</v>
      </c>
      <c r="G5130" s="59">
        <f t="shared" si="89"/>
        <v>34.640267999999999</v>
      </c>
      <c r="H5130" s="62"/>
      <c r="I5130" s="63"/>
      <c r="J5130" s="34">
        <v>0</v>
      </c>
    </row>
    <row r="5131" spans="1:10" ht="15.75" hidden="1" thickBot="1" x14ac:dyDescent="0.3">
      <c r="A5131" s="262"/>
      <c r="B5131" s="252"/>
      <c r="C5131" s="40"/>
      <c r="D5131" s="53"/>
      <c r="E5131" s="41"/>
      <c r="F5131" s="59" t="s">
        <v>23</v>
      </c>
      <c r="G5131" s="59" t="str">
        <f t="shared" si="89"/>
        <v/>
      </c>
      <c r="H5131" s="62"/>
      <c r="I5131" s="63"/>
      <c r="J5131" s="34">
        <v>0</v>
      </c>
    </row>
    <row r="5132" spans="1:10" ht="15.75" hidden="1" thickBot="1" x14ac:dyDescent="0.3">
      <c r="A5132" s="248" t="s">
        <v>1232</v>
      </c>
      <c r="B5132" s="251" t="s">
        <v>3059</v>
      </c>
      <c r="C5132" s="28"/>
      <c r="D5132" s="29" t="s">
        <v>28</v>
      </c>
      <c r="E5132" s="30"/>
      <c r="F5132" s="51" t="s">
        <v>23</v>
      </c>
      <c r="G5132" s="31" t="str">
        <f t="shared" si="89"/>
        <v/>
      </c>
      <c r="H5132" s="32"/>
      <c r="I5132" s="33"/>
      <c r="J5132" s="34">
        <v>0</v>
      </c>
    </row>
    <row r="5133" spans="1:10" ht="15.75" hidden="1" thickBot="1" x14ac:dyDescent="0.3">
      <c r="A5133" s="262"/>
      <c r="B5133" s="252"/>
      <c r="C5133" s="36"/>
      <c r="D5133" s="36"/>
      <c r="E5133" s="37"/>
      <c r="F5133" s="59" t="s">
        <v>23</v>
      </c>
      <c r="G5133" s="59" t="str">
        <f t="shared" si="89"/>
        <v/>
      </c>
      <c r="H5133" s="62"/>
      <c r="I5133" s="63"/>
      <c r="J5133" s="34">
        <v>0</v>
      </c>
    </row>
    <row r="5134" spans="1:10" ht="15.75" hidden="1" thickBot="1" x14ac:dyDescent="0.3">
      <c r="A5134" s="262"/>
      <c r="B5134" s="252"/>
      <c r="C5134" s="40" t="s">
        <v>4084</v>
      </c>
      <c r="D5134" s="40" t="s">
        <v>1035</v>
      </c>
      <c r="E5134" s="41">
        <f>ROUND(0.089*1.3,4)</f>
        <v>0.1157</v>
      </c>
      <c r="F5134" s="35">
        <v>36.489499999999992</v>
      </c>
      <c r="G5134" s="59">
        <f t="shared" si="89"/>
        <v>4.2218351499999986</v>
      </c>
      <c r="H5134" s="43">
        <f>SUM(G5134:G5138)</f>
        <v>97.977971650000001</v>
      </c>
      <c r="I5134" s="44"/>
      <c r="J5134" s="34">
        <v>0</v>
      </c>
    </row>
    <row r="5135" spans="1:10" ht="26.25" hidden="1" thickBot="1" x14ac:dyDescent="0.3">
      <c r="A5135" s="262"/>
      <c r="B5135" s="252"/>
      <c r="C5135" s="40" t="s">
        <v>1233</v>
      </c>
      <c r="D5135" s="40" t="s">
        <v>291</v>
      </c>
      <c r="E5135" s="41">
        <v>1</v>
      </c>
      <c r="F5135" s="35" t="s">
        <v>23</v>
      </c>
      <c r="G5135" s="59" t="str">
        <f t="shared" si="89"/>
        <v/>
      </c>
      <c r="H5135" s="62"/>
      <c r="I5135" s="63"/>
      <c r="J5135" s="34">
        <v>0</v>
      </c>
    </row>
    <row r="5136" spans="1:10" ht="26.25" hidden="1" thickBot="1" x14ac:dyDescent="0.3">
      <c r="A5136" s="262"/>
      <c r="B5136" s="252"/>
      <c r="C5136" s="40" t="s">
        <v>4119</v>
      </c>
      <c r="D5136" s="40" t="s">
        <v>3752</v>
      </c>
      <c r="E5136" s="41">
        <f>ROUND(0.93*1.3,4)</f>
        <v>1.2090000000000001</v>
      </c>
      <c r="F5136" s="35">
        <v>21.555499999999999</v>
      </c>
      <c r="G5136" s="59">
        <f t="shared" si="89"/>
        <v>26.060599499999999</v>
      </c>
      <c r="H5136" s="62"/>
      <c r="I5136" s="63"/>
      <c r="J5136" s="34">
        <v>0</v>
      </c>
    </row>
    <row r="5137" spans="1:10" ht="26.25" hidden="1" thickBot="1" x14ac:dyDescent="0.3">
      <c r="A5137" s="262"/>
      <c r="B5137" s="252"/>
      <c r="C5137" s="40" t="s">
        <v>4110</v>
      </c>
      <c r="D5137" s="40" t="s">
        <v>3752</v>
      </c>
      <c r="E5137" s="41">
        <f>ROUND(0.93*1.3,4)</f>
        <v>1.2090000000000001</v>
      </c>
      <c r="F5137" s="35">
        <v>27.341000000000001</v>
      </c>
      <c r="G5137" s="59">
        <f t="shared" si="89"/>
        <v>33.055269000000003</v>
      </c>
      <c r="H5137" s="62"/>
      <c r="I5137" s="63"/>
      <c r="J5137" s="34">
        <v>0</v>
      </c>
    </row>
    <row r="5138" spans="1:10" ht="15.75" hidden="1" thickBot="1" x14ac:dyDescent="0.3">
      <c r="A5138" s="262"/>
      <c r="B5138" s="252"/>
      <c r="C5138" s="40" t="s">
        <v>4017</v>
      </c>
      <c r="D5138" s="40" t="s">
        <v>3752</v>
      </c>
      <c r="E5138" s="41">
        <f>ROUND(0.93*1.3,4)</f>
        <v>1.2090000000000001</v>
      </c>
      <c r="F5138" s="59">
        <v>28.651999999999997</v>
      </c>
      <c r="G5138" s="59">
        <f t="shared" si="89"/>
        <v>34.640267999999999</v>
      </c>
      <c r="H5138" s="62"/>
      <c r="I5138" s="63"/>
      <c r="J5138" s="34">
        <v>0</v>
      </c>
    </row>
    <row r="5139" spans="1:10" ht="15.75" hidden="1" thickBot="1" x14ac:dyDescent="0.3">
      <c r="A5139" s="262"/>
      <c r="B5139" s="252"/>
      <c r="C5139" s="40"/>
      <c r="D5139" s="53"/>
      <c r="E5139" s="41"/>
      <c r="F5139" s="59" t="s">
        <v>23</v>
      </c>
      <c r="G5139" s="59" t="str">
        <f t="shared" si="89"/>
        <v/>
      </c>
      <c r="H5139" s="62"/>
      <c r="I5139" s="63"/>
      <c r="J5139" s="34">
        <v>0</v>
      </c>
    </row>
    <row r="5140" spans="1:10" ht="15.75" hidden="1" thickBot="1" x14ac:dyDescent="0.3">
      <c r="A5140" s="248" t="s">
        <v>1234</v>
      </c>
      <c r="B5140" s="251" t="s">
        <v>3060</v>
      </c>
      <c r="C5140" s="28"/>
      <c r="D5140" s="29" t="s">
        <v>28</v>
      </c>
      <c r="E5140" s="30"/>
      <c r="F5140" s="51" t="s">
        <v>23</v>
      </c>
      <c r="G5140" s="31" t="str">
        <f t="shared" si="89"/>
        <v/>
      </c>
      <c r="H5140" s="32"/>
      <c r="I5140" s="33"/>
      <c r="J5140" s="34">
        <v>0</v>
      </c>
    </row>
    <row r="5141" spans="1:10" ht="15.75" hidden="1" thickBot="1" x14ac:dyDescent="0.3">
      <c r="A5141" s="262"/>
      <c r="B5141" s="252"/>
      <c r="C5141" s="36"/>
      <c r="D5141" s="36"/>
      <c r="E5141" s="37"/>
      <c r="F5141" s="59" t="s">
        <v>23</v>
      </c>
      <c r="G5141" s="59" t="str">
        <f t="shared" si="89"/>
        <v/>
      </c>
      <c r="H5141" s="62"/>
      <c r="I5141" s="63"/>
      <c r="J5141" s="34">
        <v>0</v>
      </c>
    </row>
    <row r="5142" spans="1:10" ht="15.75" hidden="1" thickBot="1" x14ac:dyDescent="0.3">
      <c r="A5142" s="262"/>
      <c r="B5142" s="252"/>
      <c r="C5142" s="40" t="s">
        <v>4084</v>
      </c>
      <c r="D5142" s="40" t="s">
        <v>1035</v>
      </c>
      <c r="E5142" s="41">
        <f>ROUND(0.089*1.3,4)</f>
        <v>0.1157</v>
      </c>
      <c r="F5142" s="35">
        <v>36.489499999999992</v>
      </c>
      <c r="G5142" s="59">
        <f t="shared" si="89"/>
        <v>4.2218351499999986</v>
      </c>
      <c r="H5142" s="43">
        <f>SUM(G5142:G5146)</f>
        <v>97.977971650000001</v>
      </c>
      <c r="I5142" s="44"/>
      <c r="J5142" s="34">
        <v>0</v>
      </c>
    </row>
    <row r="5143" spans="1:10" ht="26.25" hidden="1" thickBot="1" x14ac:dyDescent="0.3">
      <c r="A5143" s="262"/>
      <c r="B5143" s="252"/>
      <c r="C5143" s="40" t="s">
        <v>1235</v>
      </c>
      <c r="D5143" s="40" t="s">
        <v>291</v>
      </c>
      <c r="E5143" s="41">
        <v>1</v>
      </c>
      <c r="F5143" s="35" t="s">
        <v>23</v>
      </c>
      <c r="G5143" s="59" t="str">
        <f t="shared" si="89"/>
        <v/>
      </c>
      <c r="H5143" s="62"/>
      <c r="I5143" s="63"/>
      <c r="J5143" s="34">
        <v>0</v>
      </c>
    </row>
    <row r="5144" spans="1:10" ht="26.25" hidden="1" thickBot="1" x14ac:dyDescent="0.3">
      <c r="A5144" s="262"/>
      <c r="B5144" s="252"/>
      <c r="C5144" s="40" t="s">
        <v>4119</v>
      </c>
      <c r="D5144" s="40" t="s">
        <v>3752</v>
      </c>
      <c r="E5144" s="41">
        <f>ROUND(0.93*1.3,4)</f>
        <v>1.2090000000000001</v>
      </c>
      <c r="F5144" s="35">
        <v>21.555499999999999</v>
      </c>
      <c r="G5144" s="59">
        <f t="shared" si="89"/>
        <v>26.060599499999999</v>
      </c>
      <c r="H5144" s="62"/>
      <c r="I5144" s="63"/>
      <c r="J5144" s="34">
        <v>0</v>
      </c>
    </row>
    <row r="5145" spans="1:10" ht="26.25" hidden="1" thickBot="1" x14ac:dyDescent="0.3">
      <c r="A5145" s="262"/>
      <c r="B5145" s="252"/>
      <c r="C5145" s="40" t="s">
        <v>4110</v>
      </c>
      <c r="D5145" s="40" t="s">
        <v>3752</v>
      </c>
      <c r="E5145" s="41">
        <f>ROUND(0.93*1.3,4)</f>
        <v>1.2090000000000001</v>
      </c>
      <c r="F5145" s="35">
        <v>27.341000000000001</v>
      </c>
      <c r="G5145" s="59">
        <f t="shared" si="89"/>
        <v>33.055269000000003</v>
      </c>
      <c r="H5145" s="62"/>
      <c r="I5145" s="63"/>
      <c r="J5145" s="34">
        <v>0</v>
      </c>
    </row>
    <row r="5146" spans="1:10" ht="15.75" hidden="1" thickBot="1" x14ac:dyDescent="0.3">
      <c r="A5146" s="262"/>
      <c r="B5146" s="252"/>
      <c r="C5146" s="40" t="s">
        <v>4017</v>
      </c>
      <c r="D5146" s="40" t="s">
        <v>3752</v>
      </c>
      <c r="E5146" s="41">
        <f>ROUND(0.93*1.3,4)</f>
        <v>1.2090000000000001</v>
      </c>
      <c r="F5146" s="59">
        <v>28.651999999999997</v>
      </c>
      <c r="G5146" s="59">
        <f t="shared" si="89"/>
        <v>34.640267999999999</v>
      </c>
      <c r="H5146" s="62"/>
      <c r="I5146" s="63"/>
      <c r="J5146" s="34">
        <v>0</v>
      </c>
    </row>
    <row r="5147" spans="1:10" ht="15.75" hidden="1" thickBot="1" x14ac:dyDescent="0.3">
      <c r="A5147" s="262"/>
      <c r="B5147" s="252"/>
      <c r="C5147" s="40"/>
      <c r="D5147" s="53"/>
      <c r="E5147" s="41"/>
      <c r="F5147" s="59" t="s">
        <v>23</v>
      </c>
      <c r="G5147" s="59" t="str">
        <f t="shared" si="89"/>
        <v/>
      </c>
      <c r="H5147" s="62"/>
      <c r="I5147" s="63"/>
      <c r="J5147" s="34">
        <v>0</v>
      </c>
    </row>
    <row r="5148" spans="1:10" ht="15.75" hidden="1" thickBot="1" x14ac:dyDescent="0.3">
      <c r="A5148" s="248" t="s">
        <v>1236</v>
      </c>
      <c r="B5148" s="251" t="s">
        <v>3061</v>
      </c>
      <c r="C5148" s="28"/>
      <c r="D5148" s="29" t="s">
        <v>28</v>
      </c>
      <c r="E5148" s="30"/>
      <c r="F5148" s="51" t="s">
        <v>23</v>
      </c>
      <c r="G5148" s="31" t="str">
        <f t="shared" si="89"/>
        <v/>
      </c>
      <c r="H5148" s="32"/>
      <c r="I5148" s="33"/>
      <c r="J5148" s="34">
        <v>0</v>
      </c>
    </row>
    <row r="5149" spans="1:10" ht="15.75" hidden="1" thickBot="1" x14ac:dyDescent="0.3">
      <c r="A5149" s="262"/>
      <c r="B5149" s="252"/>
      <c r="C5149" s="36"/>
      <c r="D5149" s="36"/>
      <c r="E5149" s="37"/>
      <c r="F5149" s="59" t="s">
        <v>23</v>
      </c>
      <c r="G5149" s="59" t="str">
        <f t="shared" ref="G5149:G5180" si="90">IF(ISNUMBER(F5149),E5149*F5149,"")</f>
        <v/>
      </c>
      <c r="H5149" s="62"/>
      <c r="I5149" s="63"/>
      <c r="J5149" s="34">
        <v>0</v>
      </c>
    </row>
    <row r="5150" spans="1:10" ht="15.75" hidden="1" thickBot="1" x14ac:dyDescent="0.3">
      <c r="A5150" s="262"/>
      <c r="B5150" s="252"/>
      <c r="C5150" s="40" t="s">
        <v>4084</v>
      </c>
      <c r="D5150" s="40" t="s">
        <v>1035</v>
      </c>
      <c r="E5150" s="41">
        <f>ROUND(0.089*1.5,4)</f>
        <v>0.13350000000000001</v>
      </c>
      <c r="F5150" s="35">
        <v>36.489499999999992</v>
      </c>
      <c r="G5150" s="59">
        <f t="shared" si="90"/>
        <v>4.8713482499999996</v>
      </c>
      <c r="H5150" s="43">
        <f>SUM(G5150:G5154)</f>
        <v>113.05150574999999</v>
      </c>
      <c r="I5150" s="44"/>
      <c r="J5150" s="34">
        <v>0</v>
      </c>
    </row>
    <row r="5151" spans="1:10" ht="26.25" hidden="1" thickBot="1" x14ac:dyDescent="0.3">
      <c r="A5151" s="262"/>
      <c r="B5151" s="252"/>
      <c r="C5151" s="40" t="s">
        <v>1237</v>
      </c>
      <c r="D5151" s="40" t="s">
        <v>291</v>
      </c>
      <c r="E5151" s="41">
        <v>1</v>
      </c>
      <c r="F5151" s="35" t="s">
        <v>23</v>
      </c>
      <c r="G5151" s="59" t="str">
        <f t="shared" si="90"/>
        <v/>
      </c>
      <c r="H5151" s="62"/>
      <c r="I5151" s="63"/>
      <c r="J5151" s="34">
        <v>0</v>
      </c>
    </row>
    <row r="5152" spans="1:10" ht="26.25" hidden="1" thickBot="1" x14ac:dyDescent="0.3">
      <c r="A5152" s="262"/>
      <c r="B5152" s="252"/>
      <c r="C5152" s="40" t="s">
        <v>4119</v>
      </c>
      <c r="D5152" s="40" t="s">
        <v>3752</v>
      </c>
      <c r="E5152" s="41">
        <f>ROUND(0.93*1.5,4)</f>
        <v>1.395</v>
      </c>
      <c r="F5152" s="35">
        <v>21.555499999999999</v>
      </c>
      <c r="G5152" s="59">
        <f t="shared" si="90"/>
        <v>30.069922499999997</v>
      </c>
      <c r="H5152" s="62"/>
      <c r="I5152" s="63"/>
      <c r="J5152" s="34">
        <v>0</v>
      </c>
    </row>
    <row r="5153" spans="1:10" ht="26.25" hidden="1" thickBot="1" x14ac:dyDescent="0.3">
      <c r="A5153" s="262"/>
      <c r="B5153" s="252"/>
      <c r="C5153" s="40" t="s">
        <v>4110</v>
      </c>
      <c r="D5153" s="40" t="s">
        <v>3752</v>
      </c>
      <c r="E5153" s="41">
        <f>ROUND(0.93*1.5,4)</f>
        <v>1.395</v>
      </c>
      <c r="F5153" s="35">
        <v>27.341000000000001</v>
      </c>
      <c r="G5153" s="59">
        <f t="shared" si="90"/>
        <v>38.140695000000001</v>
      </c>
      <c r="H5153" s="62"/>
      <c r="I5153" s="63"/>
      <c r="J5153" s="34">
        <v>0</v>
      </c>
    </row>
    <row r="5154" spans="1:10" ht="15.75" hidden="1" thickBot="1" x14ac:dyDescent="0.3">
      <c r="A5154" s="262"/>
      <c r="B5154" s="252"/>
      <c r="C5154" s="40" t="s">
        <v>4017</v>
      </c>
      <c r="D5154" s="40" t="s">
        <v>3752</v>
      </c>
      <c r="E5154" s="41">
        <f>ROUND(0.93*1.5,4)</f>
        <v>1.395</v>
      </c>
      <c r="F5154" s="59">
        <v>28.651999999999997</v>
      </c>
      <c r="G5154" s="59">
        <f t="shared" si="90"/>
        <v>39.969539999999995</v>
      </c>
      <c r="H5154" s="62"/>
      <c r="I5154" s="63"/>
      <c r="J5154" s="34">
        <v>0</v>
      </c>
    </row>
    <row r="5155" spans="1:10" ht="15.75" hidden="1" thickBot="1" x14ac:dyDescent="0.3">
      <c r="A5155" s="262"/>
      <c r="B5155" s="252"/>
      <c r="C5155" s="40"/>
      <c r="D5155" s="53"/>
      <c r="E5155" s="41"/>
      <c r="F5155" s="59" t="s">
        <v>23</v>
      </c>
      <c r="G5155" s="59" t="str">
        <f t="shared" si="90"/>
        <v/>
      </c>
      <c r="H5155" s="62"/>
      <c r="I5155" s="63"/>
      <c r="J5155" s="34">
        <v>0</v>
      </c>
    </row>
    <row r="5156" spans="1:10" ht="15.75" hidden="1" thickBot="1" x14ac:dyDescent="0.3">
      <c r="A5156" s="248" t="s">
        <v>1238</v>
      </c>
      <c r="B5156" s="251" t="s">
        <v>3062</v>
      </c>
      <c r="C5156" s="28"/>
      <c r="D5156" s="29" t="s">
        <v>28</v>
      </c>
      <c r="E5156" s="30"/>
      <c r="F5156" s="51" t="s">
        <v>23</v>
      </c>
      <c r="G5156" s="31" t="str">
        <f t="shared" si="90"/>
        <v/>
      </c>
      <c r="H5156" s="32"/>
      <c r="I5156" s="33"/>
      <c r="J5156" s="34">
        <v>0</v>
      </c>
    </row>
    <row r="5157" spans="1:10" ht="15.75" hidden="1" thickBot="1" x14ac:dyDescent="0.3">
      <c r="A5157" s="262"/>
      <c r="B5157" s="252"/>
      <c r="C5157" s="36"/>
      <c r="D5157" s="36"/>
      <c r="E5157" s="37"/>
      <c r="F5157" s="59" t="s">
        <v>23</v>
      </c>
      <c r="G5157" s="59" t="str">
        <f t="shared" si="90"/>
        <v/>
      </c>
      <c r="H5157" s="62"/>
      <c r="I5157" s="63"/>
      <c r="J5157" s="34">
        <v>0</v>
      </c>
    </row>
    <row r="5158" spans="1:10" ht="26.25" hidden="1" thickBot="1" x14ac:dyDescent="0.3">
      <c r="A5158" s="262"/>
      <c r="B5158" s="252"/>
      <c r="C5158" s="40" t="s">
        <v>1239</v>
      </c>
      <c r="D5158" s="40" t="s">
        <v>291</v>
      </c>
      <c r="E5158" s="41">
        <v>1</v>
      </c>
      <c r="F5158" s="35" t="s">
        <v>23</v>
      </c>
      <c r="G5158" s="59" t="str">
        <f t="shared" si="90"/>
        <v/>
      </c>
      <c r="H5158" s="43">
        <f>SUM(G5158:G5160)</f>
        <v>19.167428000000001</v>
      </c>
      <c r="I5158" s="44"/>
      <c r="J5158" s="34">
        <v>0</v>
      </c>
    </row>
    <row r="5159" spans="1:10" ht="26.25" hidden="1" thickBot="1" x14ac:dyDescent="0.3">
      <c r="A5159" s="262"/>
      <c r="B5159" s="252"/>
      <c r="C5159" s="40" t="s">
        <v>4119</v>
      </c>
      <c r="D5159" s="40" t="s">
        <v>3752</v>
      </c>
      <c r="E5159" s="41">
        <v>0.39200000000000002</v>
      </c>
      <c r="F5159" s="35">
        <v>21.555499999999999</v>
      </c>
      <c r="G5159" s="59">
        <f t="shared" si="90"/>
        <v>8.4497559999999989</v>
      </c>
      <c r="H5159" s="62"/>
      <c r="I5159" s="63"/>
      <c r="J5159" s="34">
        <v>0</v>
      </c>
    </row>
    <row r="5160" spans="1:10" ht="26.25" hidden="1" thickBot="1" x14ac:dyDescent="0.3">
      <c r="A5160" s="262"/>
      <c r="B5160" s="252"/>
      <c r="C5160" s="40" t="s">
        <v>4110</v>
      </c>
      <c r="D5160" s="40" t="s">
        <v>3752</v>
      </c>
      <c r="E5160" s="41">
        <v>0.39200000000000002</v>
      </c>
      <c r="F5160" s="35">
        <v>27.341000000000001</v>
      </c>
      <c r="G5160" s="59">
        <f t="shared" si="90"/>
        <v>10.717672</v>
      </c>
      <c r="H5160" s="62"/>
      <c r="I5160" s="63"/>
      <c r="J5160" s="34">
        <v>0</v>
      </c>
    </row>
    <row r="5161" spans="1:10" ht="15.75" hidden="1" thickBot="1" x14ac:dyDescent="0.3">
      <c r="A5161" s="262"/>
      <c r="B5161" s="252"/>
      <c r="C5161" s="40"/>
      <c r="D5161" s="53"/>
      <c r="E5161" s="41"/>
      <c r="F5161" s="59" t="s">
        <v>23</v>
      </c>
      <c r="G5161" s="59" t="str">
        <f t="shared" si="90"/>
        <v/>
      </c>
      <c r="H5161" s="62"/>
      <c r="I5161" s="63"/>
      <c r="J5161" s="34">
        <v>0</v>
      </c>
    </row>
    <row r="5162" spans="1:10" ht="15.75" hidden="1" thickBot="1" x14ac:dyDescent="0.3">
      <c r="A5162" s="248" t="s">
        <v>1240</v>
      </c>
      <c r="B5162" s="251" t="s">
        <v>3063</v>
      </c>
      <c r="C5162" s="28"/>
      <c r="D5162" s="29" t="s">
        <v>28</v>
      </c>
      <c r="E5162" s="30"/>
      <c r="F5162" s="51" t="s">
        <v>23</v>
      </c>
      <c r="G5162" s="31" t="str">
        <f t="shared" si="90"/>
        <v/>
      </c>
      <c r="H5162" s="32"/>
      <c r="I5162" s="33"/>
      <c r="J5162" s="34">
        <v>0</v>
      </c>
    </row>
    <row r="5163" spans="1:10" ht="15.75" hidden="1" thickBot="1" x14ac:dyDescent="0.3">
      <c r="A5163" s="262"/>
      <c r="B5163" s="252"/>
      <c r="C5163" s="36"/>
      <c r="D5163" s="36"/>
      <c r="E5163" s="37"/>
      <c r="F5163" s="59" t="s">
        <v>23</v>
      </c>
      <c r="G5163" s="59" t="str">
        <f t="shared" si="90"/>
        <v/>
      </c>
      <c r="H5163" s="62"/>
      <c r="I5163" s="63"/>
      <c r="J5163" s="34">
        <v>0</v>
      </c>
    </row>
    <row r="5164" spans="1:10" ht="15.75" hidden="1" thickBot="1" x14ac:dyDescent="0.3">
      <c r="A5164" s="262"/>
      <c r="B5164" s="252"/>
      <c r="C5164" s="40" t="s">
        <v>4084</v>
      </c>
      <c r="D5164" s="40" t="s">
        <v>1035</v>
      </c>
      <c r="E5164" s="41">
        <f>ROUND(0.089*1.3,4)</f>
        <v>0.1157</v>
      </c>
      <c r="F5164" s="35">
        <v>36.489499999999992</v>
      </c>
      <c r="G5164" s="59">
        <f t="shared" si="90"/>
        <v>4.2218351499999986</v>
      </c>
      <c r="H5164" s="43">
        <f>SUM(G5164:G5168)</f>
        <v>97.977971650000001</v>
      </c>
      <c r="I5164" s="44"/>
      <c r="J5164" s="34">
        <v>0</v>
      </c>
    </row>
    <row r="5165" spans="1:10" ht="15.75" hidden="1" thickBot="1" x14ac:dyDescent="0.3">
      <c r="A5165" s="262"/>
      <c r="B5165" s="252"/>
      <c r="C5165" s="40" t="s">
        <v>1241</v>
      </c>
      <c r="D5165" s="40" t="s">
        <v>291</v>
      </c>
      <c r="E5165" s="41">
        <v>1</v>
      </c>
      <c r="F5165" s="35" t="s">
        <v>23</v>
      </c>
      <c r="G5165" s="59" t="str">
        <f t="shared" si="90"/>
        <v/>
      </c>
      <c r="H5165" s="62"/>
      <c r="I5165" s="63"/>
      <c r="J5165" s="34">
        <v>0</v>
      </c>
    </row>
    <row r="5166" spans="1:10" ht="26.25" hidden="1" thickBot="1" x14ac:dyDescent="0.3">
      <c r="A5166" s="262"/>
      <c r="B5166" s="252"/>
      <c r="C5166" s="40" t="s">
        <v>4119</v>
      </c>
      <c r="D5166" s="40" t="s">
        <v>3752</v>
      </c>
      <c r="E5166" s="41">
        <f>ROUND(0.93*1.3,4)</f>
        <v>1.2090000000000001</v>
      </c>
      <c r="F5166" s="35">
        <v>21.555499999999999</v>
      </c>
      <c r="G5166" s="59">
        <f t="shared" si="90"/>
        <v>26.060599499999999</v>
      </c>
      <c r="H5166" s="62"/>
      <c r="I5166" s="63"/>
      <c r="J5166" s="34">
        <v>0</v>
      </c>
    </row>
    <row r="5167" spans="1:10" ht="26.25" hidden="1" thickBot="1" x14ac:dyDescent="0.3">
      <c r="A5167" s="262"/>
      <c r="B5167" s="252"/>
      <c r="C5167" s="40" t="s">
        <v>4110</v>
      </c>
      <c r="D5167" s="40" t="s">
        <v>3752</v>
      </c>
      <c r="E5167" s="41">
        <f>ROUND(0.93*1.3,4)</f>
        <v>1.2090000000000001</v>
      </c>
      <c r="F5167" s="35">
        <v>27.341000000000001</v>
      </c>
      <c r="G5167" s="59">
        <f t="shared" si="90"/>
        <v>33.055269000000003</v>
      </c>
      <c r="H5167" s="62"/>
      <c r="I5167" s="63"/>
      <c r="J5167" s="34">
        <v>0</v>
      </c>
    </row>
    <row r="5168" spans="1:10" ht="15.75" hidden="1" thickBot="1" x14ac:dyDescent="0.3">
      <c r="A5168" s="262"/>
      <c r="B5168" s="252"/>
      <c r="C5168" s="40" t="s">
        <v>4017</v>
      </c>
      <c r="D5168" s="40" t="s">
        <v>3752</v>
      </c>
      <c r="E5168" s="41">
        <f>ROUND(0.93*1.3,4)</f>
        <v>1.2090000000000001</v>
      </c>
      <c r="F5168" s="59">
        <v>28.651999999999997</v>
      </c>
      <c r="G5168" s="59">
        <f t="shared" si="90"/>
        <v>34.640267999999999</v>
      </c>
      <c r="H5168" s="62"/>
      <c r="I5168" s="63"/>
      <c r="J5168" s="34">
        <v>0</v>
      </c>
    </row>
    <row r="5169" spans="1:10" ht="15.75" hidden="1" thickBot="1" x14ac:dyDescent="0.3">
      <c r="A5169" s="262"/>
      <c r="B5169" s="252"/>
      <c r="C5169" s="40"/>
      <c r="D5169" s="53"/>
      <c r="E5169" s="41"/>
      <c r="F5169" s="59" t="s">
        <v>23</v>
      </c>
      <c r="G5169" s="59" t="str">
        <f t="shared" si="90"/>
        <v/>
      </c>
      <c r="H5169" s="62"/>
      <c r="I5169" s="63"/>
      <c r="J5169" s="34">
        <v>0</v>
      </c>
    </row>
    <row r="5170" spans="1:10" ht="15.75" hidden="1" thickBot="1" x14ac:dyDescent="0.3">
      <c r="A5170" s="248" t="s">
        <v>1242</v>
      </c>
      <c r="B5170" s="251" t="s">
        <v>3064</v>
      </c>
      <c r="C5170" s="28"/>
      <c r="D5170" s="29" t="s">
        <v>121</v>
      </c>
      <c r="E5170" s="30"/>
      <c r="F5170" s="51" t="s">
        <v>23</v>
      </c>
      <c r="G5170" s="31" t="str">
        <f t="shared" si="90"/>
        <v/>
      </c>
      <c r="H5170" s="32"/>
      <c r="I5170" s="33"/>
      <c r="J5170" s="34">
        <v>0</v>
      </c>
    </row>
    <row r="5171" spans="1:10" ht="15.75" hidden="1" thickBot="1" x14ac:dyDescent="0.3">
      <c r="A5171" s="262"/>
      <c r="B5171" s="252"/>
      <c r="C5171" s="36"/>
      <c r="D5171" s="36"/>
      <c r="E5171" s="37"/>
      <c r="F5171" s="59" t="s">
        <v>23</v>
      </c>
      <c r="G5171" s="59" t="str">
        <f t="shared" si="90"/>
        <v/>
      </c>
      <c r="H5171" s="62"/>
      <c r="I5171" s="63"/>
      <c r="J5171" s="34">
        <v>0</v>
      </c>
    </row>
    <row r="5172" spans="1:10" ht="39" hidden="1" thickBot="1" x14ac:dyDescent="0.3">
      <c r="A5172" s="262"/>
      <c r="B5172" s="252"/>
      <c r="C5172" s="40" t="s">
        <v>1243</v>
      </c>
      <c r="D5172" s="40" t="s">
        <v>121</v>
      </c>
      <c r="E5172" s="41">
        <v>1.0210999999999999</v>
      </c>
      <c r="F5172" s="35" t="s">
        <v>23</v>
      </c>
      <c r="G5172" s="59" t="str">
        <f t="shared" si="90"/>
        <v/>
      </c>
      <c r="H5172" s="43">
        <f>SUM(G5172:G5174)</f>
        <v>4.694064</v>
      </c>
      <c r="I5172" s="44"/>
      <c r="J5172" s="34">
        <v>0</v>
      </c>
    </row>
    <row r="5173" spans="1:10" ht="26.25" hidden="1" thickBot="1" x14ac:dyDescent="0.3">
      <c r="A5173" s="262"/>
      <c r="B5173" s="252"/>
      <c r="C5173" s="40" t="s">
        <v>4119</v>
      </c>
      <c r="D5173" s="40" t="s">
        <v>3752</v>
      </c>
      <c r="E5173" s="41">
        <f>5*0.064*0.3</f>
        <v>9.6000000000000002E-2</v>
      </c>
      <c r="F5173" s="35">
        <v>21.555499999999999</v>
      </c>
      <c r="G5173" s="59">
        <f t="shared" si="90"/>
        <v>2.0693280000000001</v>
      </c>
      <c r="H5173" s="62"/>
      <c r="I5173" s="63"/>
      <c r="J5173" s="34">
        <v>0</v>
      </c>
    </row>
    <row r="5174" spans="1:10" ht="26.25" hidden="1" thickBot="1" x14ac:dyDescent="0.3">
      <c r="A5174" s="262"/>
      <c r="B5174" s="252"/>
      <c r="C5174" s="40" t="s">
        <v>4110</v>
      </c>
      <c r="D5174" s="40" t="s">
        <v>3752</v>
      </c>
      <c r="E5174" s="41">
        <f>5*0.064*0.3</f>
        <v>9.6000000000000002E-2</v>
      </c>
      <c r="F5174" s="35">
        <v>27.341000000000001</v>
      </c>
      <c r="G5174" s="59">
        <f t="shared" si="90"/>
        <v>2.624736</v>
      </c>
      <c r="H5174" s="62"/>
      <c r="I5174" s="63"/>
      <c r="J5174" s="34">
        <v>0</v>
      </c>
    </row>
    <row r="5175" spans="1:10" ht="15.75" hidden="1" thickBot="1" x14ac:dyDescent="0.3">
      <c r="A5175" s="262"/>
      <c r="B5175" s="252"/>
      <c r="C5175" s="40"/>
      <c r="D5175" s="53"/>
      <c r="E5175" s="41"/>
      <c r="F5175" s="59" t="s">
        <v>23</v>
      </c>
      <c r="G5175" s="59" t="str">
        <f t="shared" si="90"/>
        <v/>
      </c>
      <c r="H5175" s="62"/>
      <c r="I5175" s="63"/>
      <c r="J5175" s="34">
        <v>0</v>
      </c>
    </row>
    <row r="5176" spans="1:10" ht="15.75" hidden="1" thickBot="1" x14ac:dyDescent="0.3">
      <c r="A5176" s="248" t="s">
        <v>1244</v>
      </c>
      <c r="B5176" s="251" t="s">
        <v>3065</v>
      </c>
      <c r="C5176" s="28"/>
      <c r="D5176" s="29" t="s">
        <v>28</v>
      </c>
      <c r="E5176" s="30"/>
      <c r="F5176" s="51" t="s">
        <v>23</v>
      </c>
      <c r="G5176" s="31" t="str">
        <f t="shared" si="90"/>
        <v/>
      </c>
      <c r="H5176" s="32"/>
      <c r="I5176" s="33"/>
      <c r="J5176" s="34">
        <v>0</v>
      </c>
    </row>
    <row r="5177" spans="1:10" ht="15.75" hidden="1" thickBot="1" x14ac:dyDescent="0.3">
      <c r="A5177" s="262"/>
      <c r="B5177" s="252"/>
      <c r="C5177" s="36"/>
      <c r="D5177" s="36"/>
      <c r="E5177" s="37"/>
      <c r="F5177" s="59" t="s">
        <v>23</v>
      </c>
      <c r="G5177" s="59" t="str">
        <f t="shared" si="90"/>
        <v/>
      </c>
      <c r="H5177" s="62"/>
      <c r="I5177" s="63"/>
      <c r="J5177" s="34">
        <v>0</v>
      </c>
    </row>
    <row r="5178" spans="1:10" ht="15.75" hidden="1" thickBot="1" x14ac:dyDescent="0.3">
      <c r="A5178" s="262"/>
      <c r="B5178" s="252"/>
      <c r="C5178" s="40" t="s">
        <v>4084</v>
      </c>
      <c r="D5178" s="40" t="s">
        <v>1035</v>
      </c>
      <c r="E5178" s="41">
        <v>8.9999999999999993E-3</v>
      </c>
      <c r="F5178" s="35">
        <v>36.489499999999992</v>
      </c>
      <c r="G5178" s="59">
        <f t="shared" si="90"/>
        <v>0.32840549999999991</v>
      </c>
      <c r="H5178" s="43">
        <f>SUM(G5178:G5182)</f>
        <v>9.1689344999999989</v>
      </c>
      <c r="I5178" s="44"/>
      <c r="J5178" s="34">
        <v>0</v>
      </c>
    </row>
    <row r="5179" spans="1:10" ht="26.25" hidden="1" thickBot="1" x14ac:dyDescent="0.3">
      <c r="A5179" s="262"/>
      <c r="B5179" s="252"/>
      <c r="C5179" s="40" t="s">
        <v>1245</v>
      </c>
      <c r="D5179" s="40" t="s">
        <v>291</v>
      </c>
      <c r="E5179" s="41">
        <v>1</v>
      </c>
      <c r="F5179" s="35" t="s">
        <v>23</v>
      </c>
      <c r="G5179" s="59" t="str">
        <f t="shared" si="90"/>
        <v/>
      </c>
      <c r="H5179" s="62"/>
      <c r="I5179" s="63"/>
      <c r="J5179" s="34">
        <v>0</v>
      </c>
    </row>
    <row r="5180" spans="1:10" ht="26.25" hidden="1" thickBot="1" x14ac:dyDescent="0.3">
      <c r="A5180" s="262"/>
      <c r="B5180" s="252"/>
      <c r="C5180" s="40" t="s">
        <v>4119</v>
      </c>
      <c r="D5180" s="40" t="s">
        <v>3752</v>
      </c>
      <c r="E5180" s="41">
        <v>0.114</v>
      </c>
      <c r="F5180" s="35">
        <v>21.555499999999999</v>
      </c>
      <c r="G5180" s="59">
        <f t="shared" si="90"/>
        <v>2.4573269999999998</v>
      </c>
      <c r="H5180" s="62"/>
      <c r="I5180" s="63"/>
      <c r="J5180" s="34">
        <v>0</v>
      </c>
    </row>
    <row r="5181" spans="1:10" ht="26.25" hidden="1" thickBot="1" x14ac:dyDescent="0.3">
      <c r="A5181" s="262"/>
      <c r="B5181" s="252"/>
      <c r="C5181" s="40" t="s">
        <v>4110</v>
      </c>
      <c r="D5181" s="40" t="s">
        <v>3752</v>
      </c>
      <c r="E5181" s="41">
        <v>0.114</v>
      </c>
      <c r="F5181" s="35">
        <v>27.341000000000001</v>
      </c>
      <c r="G5181" s="59">
        <f t="shared" ref="G5181:G5212" si="91">IF(ISNUMBER(F5181),E5181*F5181,"")</f>
        <v>3.1168740000000001</v>
      </c>
      <c r="H5181" s="62"/>
      <c r="I5181" s="63"/>
      <c r="J5181" s="34">
        <v>0</v>
      </c>
    </row>
    <row r="5182" spans="1:10" ht="15.75" hidden="1" thickBot="1" x14ac:dyDescent="0.3">
      <c r="A5182" s="262"/>
      <c r="B5182" s="252"/>
      <c r="C5182" s="40" t="s">
        <v>4017</v>
      </c>
      <c r="D5182" s="40" t="s">
        <v>3752</v>
      </c>
      <c r="E5182" s="41">
        <v>0.114</v>
      </c>
      <c r="F5182" s="59">
        <v>28.651999999999997</v>
      </c>
      <c r="G5182" s="59">
        <f t="shared" si="91"/>
        <v>3.2663279999999997</v>
      </c>
      <c r="H5182" s="62"/>
      <c r="I5182" s="63"/>
      <c r="J5182" s="34">
        <v>0</v>
      </c>
    </row>
    <row r="5183" spans="1:10" ht="15.75" hidden="1" thickBot="1" x14ac:dyDescent="0.3">
      <c r="A5183" s="262"/>
      <c r="B5183" s="252"/>
      <c r="C5183" s="40"/>
      <c r="D5183" s="53"/>
      <c r="E5183" s="41"/>
      <c r="F5183" s="59" t="s">
        <v>23</v>
      </c>
      <c r="G5183" s="59" t="str">
        <f t="shared" si="91"/>
        <v/>
      </c>
      <c r="H5183" s="62"/>
      <c r="I5183" s="63"/>
      <c r="J5183" s="34">
        <v>0</v>
      </c>
    </row>
    <row r="5184" spans="1:10" ht="15.75" hidden="1" thickBot="1" x14ac:dyDescent="0.3">
      <c r="A5184" s="248" t="s">
        <v>1246</v>
      </c>
      <c r="B5184" s="251" t="s">
        <v>3066</v>
      </c>
      <c r="C5184" s="28"/>
      <c r="D5184" s="29" t="s">
        <v>28</v>
      </c>
      <c r="E5184" s="30"/>
      <c r="F5184" s="51" t="s">
        <v>23</v>
      </c>
      <c r="G5184" s="31" t="str">
        <f t="shared" si="91"/>
        <v/>
      </c>
      <c r="H5184" s="32"/>
      <c r="I5184" s="33"/>
      <c r="J5184" s="34">
        <v>0</v>
      </c>
    </row>
    <row r="5185" spans="1:10" ht="15.75" hidden="1" thickBot="1" x14ac:dyDescent="0.3">
      <c r="A5185" s="262"/>
      <c r="B5185" s="252"/>
      <c r="C5185" s="36"/>
      <c r="D5185" s="36"/>
      <c r="E5185" s="37"/>
      <c r="F5185" s="59" t="s">
        <v>23</v>
      </c>
      <c r="G5185" s="59" t="str">
        <f t="shared" si="91"/>
        <v/>
      </c>
      <c r="H5185" s="62"/>
      <c r="I5185" s="63"/>
      <c r="J5185" s="34">
        <v>0</v>
      </c>
    </row>
    <row r="5186" spans="1:10" ht="15.75" hidden="1" thickBot="1" x14ac:dyDescent="0.3">
      <c r="A5186" s="262"/>
      <c r="B5186" s="252"/>
      <c r="C5186" s="40" t="s">
        <v>4084</v>
      </c>
      <c r="D5186" s="40" t="s">
        <v>1035</v>
      </c>
      <c r="E5186" s="41">
        <f>ROUND(0.089*1.3,4)</f>
        <v>0.1157</v>
      </c>
      <c r="F5186" s="35">
        <v>36.489499999999992</v>
      </c>
      <c r="G5186" s="59">
        <f t="shared" si="91"/>
        <v>4.2218351499999986</v>
      </c>
      <c r="H5186" s="43">
        <f>SUM(G5186:G5190)</f>
        <v>66.725926150000006</v>
      </c>
      <c r="I5186" s="44"/>
      <c r="J5186" s="34">
        <v>0</v>
      </c>
    </row>
    <row r="5187" spans="1:10" ht="26.25" hidden="1" thickBot="1" x14ac:dyDescent="0.3">
      <c r="A5187" s="262"/>
      <c r="B5187" s="252"/>
      <c r="C5187" s="40" t="s">
        <v>1247</v>
      </c>
      <c r="D5187" s="40" t="s">
        <v>291</v>
      </c>
      <c r="E5187" s="41">
        <v>1</v>
      </c>
      <c r="F5187" s="35" t="s">
        <v>23</v>
      </c>
      <c r="G5187" s="59" t="str">
        <f t="shared" si="91"/>
        <v/>
      </c>
      <c r="H5187" s="62"/>
      <c r="I5187" s="63"/>
      <c r="J5187" s="34">
        <v>0</v>
      </c>
    </row>
    <row r="5188" spans="1:10" ht="26.25" hidden="1" thickBot="1" x14ac:dyDescent="0.3">
      <c r="A5188" s="262"/>
      <c r="B5188" s="252"/>
      <c r="C5188" s="40" t="s">
        <v>4119</v>
      </c>
      <c r="D5188" s="40" t="s">
        <v>3752</v>
      </c>
      <c r="E5188" s="41">
        <f>ROUND(0.62*1.3,4)</f>
        <v>0.80600000000000005</v>
      </c>
      <c r="F5188" s="35">
        <v>21.555499999999999</v>
      </c>
      <c r="G5188" s="59">
        <f t="shared" si="91"/>
        <v>17.373733000000001</v>
      </c>
      <c r="H5188" s="62"/>
      <c r="I5188" s="63"/>
      <c r="J5188" s="34">
        <v>0</v>
      </c>
    </row>
    <row r="5189" spans="1:10" ht="26.25" hidden="1" thickBot="1" x14ac:dyDescent="0.3">
      <c r="A5189" s="262"/>
      <c r="B5189" s="252"/>
      <c r="C5189" s="40" t="s">
        <v>4110</v>
      </c>
      <c r="D5189" s="40" t="s">
        <v>3752</v>
      </c>
      <c r="E5189" s="41">
        <f>ROUND(0.62*1.3,4)</f>
        <v>0.80600000000000005</v>
      </c>
      <c r="F5189" s="35">
        <v>27.341000000000001</v>
      </c>
      <c r="G5189" s="59">
        <f t="shared" si="91"/>
        <v>22.036846000000001</v>
      </c>
      <c r="H5189" s="62"/>
      <c r="I5189" s="63"/>
      <c r="J5189" s="34">
        <v>0</v>
      </c>
    </row>
    <row r="5190" spans="1:10" ht="15.75" hidden="1" thickBot="1" x14ac:dyDescent="0.3">
      <c r="A5190" s="262"/>
      <c r="B5190" s="252"/>
      <c r="C5190" s="40" t="s">
        <v>4017</v>
      </c>
      <c r="D5190" s="40" t="s">
        <v>3752</v>
      </c>
      <c r="E5190" s="41">
        <f>ROUND(0.62*1.3,4)</f>
        <v>0.80600000000000005</v>
      </c>
      <c r="F5190" s="59">
        <v>28.651999999999997</v>
      </c>
      <c r="G5190" s="59">
        <f t="shared" si="91"/>
        <v>23.093512</v>
      </c>
      <c r="H5190" s="62"/>
      <c r="I5190" s="63"/>
      <c r="J5190" s="34">
        <v>0</v>
      </c>
    </row>
    <row r="5191" spans="1:10" ht="15.75" hidden="1" thickBot="1" x14ac:dyDescent="0.3">
      <c r="A5191" s="262"/>
      <c r="B5191" s="252"/>
      <c r="C5191" s="40"/>
      <c r="D5191" s="53"/>
      <c r="E5191" s="41"/>
      <c r="F5191" s="59" t="s">
        <v>23</v>
      </c>
      <c r="G5191" s="59" t="str">
        <f t="shared" si="91"/>
        <v/>
      </c>
      <c r="H5191" s="62"/>
      <c r="I5191" s="63"/>
      <c r="J5191" s="34">
        <v>0</v>
      </c>
    </row>
    <row r="5192" spans="1:10" ht="15.75" hidden="1" thickBot="1" x14ac:dyDescent="0.3">
      <c r="A5192" s="248" t="s">
        <v>1248</v>
      </c>
      <c r="B5192" s="251" t="s">
        <v>3067</v>
      </c>
      <c r="C5192" s="28"/>
      <c r="D5192" s="29" t="s">
        <v>28</v>
      </c>
      <c r="E5192" s="30"/>
      <c r="F5192" s="51" t="s">
        <v>23</v>
      </c>
      <c r="G5192" s="31" t="str">
        <f t="shared" si="91"/>
        <v/>
      </c>
      <c r="H5192" s="32"/>
      <c r="I5192" s="33"/>
      <c r="J5192" s="34">
        <v>0</v>
      </c>
    </row>
    <row r="5193" spans="1:10" ht="15.75" hidden="1" thickBot="1" x14ac:dyDescent="0.3">
      <c r="A5193" s="262"/>
      <c r="B5193" s="252"/>
      <c r="C5193" s="36"/>
      <c r="D5193" s="36"/>
      <c r="E5193" s="37"/>
      <c r="F5193" s="59" t="s">
        <v>23</v>
      </c>
      <c r="G5193" s="59" t="str">
        <f t="shared" si="91"/>
        <v/>
      </c>
      <c r="H5193" s="62"/>
      <c r="I5193" s="63"/>
      <c r="J5193" s="34">
        <v>0</v>
      </c>
    </row>
    <row r="5194" spans="1:10" ht="15.75" hidden="1" thickBot="1" x14ac:dyDescent="0.3">
      <c r="A5194" s="262"/>
      <c r="B5194" s="252"/>
      <c r="C5194" s="40" t="s">
        <v>4084</v>
      </c>
      <c r="D5194" s="40" t="s">
        <v>1035</v>
      </c>
      <c r="E5194" s="41">
        <f>ROUND(0.133*1.3,4)</f>
        <v>0.1729</v>
      </c>
      <c r="F5194" s="35">
        <v>36.489499999999992</v>
      </c>
      <c r="G5194" s="59">
        <f t="shared" si="91"/>
        <v>6.3090345499999989</v>
      </c>
      <c r="H5194" s="43">
        <f>SUM(G5194:G5198)</f>
        <v>103.29118865</v>
      </c>
      <c r="I5194" s="44"/>
      <c r="J5194" s="34">
        <v>0</v>
      </c>
    </row>
    <row r="5195" spans="1:10" ht="15.75" hidden="1" thickBot="1" x14ac:dyDescent="0.3">
      <c r="A5195" s="262"/>
      <c r="B5195" s="252"/>
      <c r="C5195" s="40" t="s">
        <v>1249</v>
      </c>
      <c r="D5195" s="40" t="s">
        <v>291</v>
      </c>
      <c r="E5195" s="41">
        <v>1</v>
      </c>
      <c r="F5195" s="35" t="s">
        <v>23</v>
      </c>
      <c r="G5195" s="59" t="str">
        <f t="shared" si="91"/>
        <v/>
      </c>
      <c r="H5195" s="62"/>
      <c r="I5195" s="63"/>
      <c r="J5195" s="34">
        <v>0</v>
      </c>
    </row>
    <row r="5196" spans="1:10" ht="26.25" hidden="1" thickBot="1" x14ac:dyDescent="0.3">
      <c r="A5196" s="262"/>
      <c r="B5196" s="252"/>
      <c r="C5196" s="40" t="s">
        <v>4119</v>
      </c>
      <c r="D5196" s="40" t="s">
        <v>3752</v>
      </c>
      <c r="E5196" s="41">
        <f>ROUND(0.962*1.3,4)</f>
        <v>1.2505999999999999</v>
      </c>
      <c r="F5196" s="35">
        <v>21.555499999999999</v>
      </c>
      <c r="G5196" s="59">
        <f t="shared" si="91"/>
        <v>26.957308299999998</v>
      </c>
      <c r="H5196" s="62"/>
      <c r="I5196" s="63"/>
      <c r="J5196" s="34">
        <v>0</v>
      </c>
    </row>
    <row r="5197" spans="1:10" ht="26.25" hidden="1" thickBot="1" x14ac:dyDescent="0.3">
      <c r="A5197" s="262"/>
      <c r="B5197" s="252"/>
      <c r="C5197" s="40" t="s">
        <v>4110</v>
      </c>
      <c r="D5197" s="40" t="s">
        <v>3752</v>
      </c>
      <c r="E5197" s="41">
        <f>ROUND(0.962*1.3,4)</f>
        <v>1.2505999999999999</v>
      </c>
      <c r="F5197" s="35">
        <v>27.341000000000001</v>
      </c>
      <c r="G5197" s="59">
        <f t="shared" si="91"/>
        <v>34.192654599999997</v>
      </c>
      <c r="H5197" s="62"/>
      <c r="I5197" s="63"/>
      <c r="J5197" s="34">
        <v>0</v>
      </c>
    </row>
    <row r="5198" spans="1:10" ht="15.75" hidden="1" thickBot="1" x14ac:dyDescent="0.3">
      <c r="A5198" s="262"/>
      <c r="B5198" s="252"/>
      <c r="C5198" s="40" t="s">
        <v>4017</v>
      </c>
      <c r="D5198" s="40" t="s">
        <v>3752</v>
      </c>
      <c r="E5198" s="41">
        <f>ROUND(0.962*1.3,4)</f>
        <v>1.2505999999999999</v>
      </c>
      <c r="F5198" s="59">
        <v>28.651999999999997</v>
      </c>
      <c r="G5198" s="59">
        <f t="shared" si="91"/>
        <v>35.832191199999997</v>
      </c>
      <c r="H5198" s="62"/>
      <c r="I5198" s="63"/>
      <c r="J5198" s="34">
        <v>0</v>
      </c>
    </row>
    <row r="5199" spans="1:10" ht="15.75" hidden="1" thickBot="1" x14ac:dyDescent="0.3">
      <c r="A5199" s="262"/>
      <c r="B5199" s="252"/>
      <c r="C5199" s="40"/>
      <c r="D5199" s="53"/>
      <c r="E5199" s="41"/>
      <c r="F5199" s="59" t="s">
        <v>23</v>
      </c>
      <c r="G5199" s="59" t="str">
        <f t="shared" si="91"/>
        <v/>
      </c>
      <c r="H5199" s="62"/>
      <c r="I5199" s="63"/>
      <c r="J5199" s="34">
        <v>0</v>
      </c>
    </row>
    <row r="5200" spans="1:10" ht="15.75" hidden="1" thickBot="1" x14ac:dyDescent="0.3">
      <c r="A5200" s="248" t="s">
        <v>1250</v>
      </c>
      <c r="B5200" s="251" t="s">
        <v>3068</v>
      </c>
      <c r="C5200" s="28"/>
      <c r="D5200" s="29" t="s">
        <v>121</v>
      </c>
      <c r="E5200" s="30"/>
      <c r="F5200" s="51" t="s">
        <v>23</v>
      </c>
      <c r="G5200" s="31" t="str">
        <f t="shared" si="91"/>
        <v/>
      </c>
      <c r="H5200" s="32"/>
      <c r="I5200" s="33"/>
      <c r="J5200" s="34">
        <v>0</v>
      </c>
    </row>
    <row r="5201" spans="1:10" ht="15.75" hidden="1" thickBot="1" x14ac:dyDescent="0.3">
      <c r="A5201" s="262"/>
      <c r="B5201" s="252"/>
      <c r="C5201" s="36"/>
      <c r="D5201" s="36"/>
      <c r="E5201" s="37"/>
      <c r="F5201" s="59" t="s">
        <v>23</v>
      </c>
      <c r="G5201" s="59" t="str">
        <f t="shared" si="91"/>
        <v/>
      </c>
      <c r="H5201" s="62"/>
      <c r="I5201" s="63"/>
      <c r="J5201" s="34">
        <v>0</v>
      </c>
    </row>
    <row r="5202" spans="1:10" ht="39" hidden="1" thickBot="1" x14ac:dyDescent="0.3">
      <c r="A5202" s="262"/>
      <c r="B5202" s="252"/>
      <c r="C5202" s="40" t="s">
        <v>4199</v>
      </c>
      <c r="D5202" s="40" t="s">
        <v>1041</v>
      </c>
      <c r="E5202" s="41">
        <f>0.0211/2</f>
        <v>1.055E-2</v>
      </c>
      <c r="F5202" s="35">
        <v>184.30949999999999</v>
      </c>
      <c r="G5202" s="59">
        <f t="shared" si="91"/>
        <v>1.9444652249999999</v>
      </c>
      <c r="H5202" s="43">
        <f>SUM(G5202:G5211)</f>
        <v>611.73973733496257</v>
      </c>
      <c r="I5202" s="44"/>
      <c r="J5202" s="34">
        <v>0</v>
      </c>
    </row>
    <row r="5203" spans="1:10" ht="39" hidden="1" thickBot="1" x14ac:dyDescent="0.3">
      <c r="A5203" s="262"/>
      <c r="B5203" s="252"/>
      <c r="C5203" s="40" t="s">
        <v>4200</v>
      </c>
      <c r="D5203" s="40" t="s">
        <v>1052</v>
      </c>
      <c r="E5203" s="41">
        <f>0.1011/2</f>
        <v>5.0549999999999998E-2</v>
      </c>
      <c r="F5203" s="35">
        <v>75.733999999999995</v>
      </c>
      <c r="G5203" s="59">
        <f t="shared" si="91"/>
        <v>3.8283536999999996</v>
      </c>
      <c r="H5203" s="62"/>
      <c r="I5203" s="63"/>
      <c r="J5203" s="34">
        <v>0</v>
      </c>
    </row>
    <row r="5204" spans="1:10" ht="15.75" hidden="1" thickBot="1" x14ac:dyDescent="0.3">
      <c r="A5204" s="262"/>
      <c r="B5204" s="252"/>
      <c r="C5204" s="40" t="s">
        <v>4141</v>
      </c>
      <c r="D5204" s="40" t="s">
        <v>1035</v>
      </c>
      <c r="E5204" s="41">
        <f>0.1875/2</f>
        <v>9.375E-2</v>
      </c>
      <c r="F5204" s="35">
        <v>38</v>
      </c>
      <c r="G5204" s="59">
        <f t="shared" si="91"/>
        <v>3.5625</v>
      </c>
      <c r="H5204" s="62"/>
      <c r="I5204" s="63"/>
      <c r="J5204" s="34">
        <v>0</v>
      </c>
    </row>
    <row r="5205" spans="1:10" ht="15.75" hidden="1" thickBot="1" x14ac:dyDescent="0.3">
      <c r="A5205" s="262"/>
      <c r="B5205" s="252"/>
      <c r="C5205" s="40" t="s">
        <v>4201</v>
      </c>
      <c r="D5205" s="40" t="s">
        <v>3752</v>
      </c>
      <c r="E5205" s="41">
        <f>0.1083/2</f>
        <v>5.4149999999999997E-2</v>
      </c>
      <c r="F5205" s="35">
        <v>21.906999999999996</v>
      </c>
      <c r="G5205" s="59">
        <f t="shared" si="91"/>
        <v>1.1862640499999997</v>
      </c>
      <c r="H5205" s="62"/>
      <c r="I5205" s="63"/>
      <c r="J5205" s="34">
        <v>0</v>
      </c>
    </row>
    <row r="5206" spans="1:10" ht="15.75" hidden="1" thickBot="1" x14ac:dyDescent="0.3">
      <c r="A5206" s="262"/>
      <c r="B5206" s="252"/>
      <c r="C5206" s="40" t="s">
        <v>3754</v>
      </c>
      <c r="D5206" s="40" t="s">
        <v>3752</v>
      </c>
      <c r="E5206" s="41">
        <f>0.1083/2</f>
        <v>5.4149999999999997E-2</v>
      </c>
      <c r="F5206" s="59">
        <v>20.814499999999999</v>
      </c>
      <c r="G5206" s="59">
        <f t="shared" si="91"/>
        <v>1.1271051749999998</v>
      </c>
      <c r="H5206" s="62"/>
      <c r="I5206" s="63"/>
      <c r="J5206" s="34">
        <v>0</v>
      </c>
    </row>
    <row r="5207" spans="1:10" ht="15.75" hidden="1" thickBot="1" x14ac:dyDescent="0.3">
      <c r="A5207" s="262"/>
      <c r="B5207" s="252"/>
      <c r="C5207" s="40" t="s">
        <v>4017</v>
      </c>
      <c r="D5207" s="40" t="s">
        <v>3752</v>
      </c>
      <c r="E5207" s="41">
        <f>0.4792/2</f>
        <v>0.23960000000000001</v>
      </c>
      <c r="F5207" s="59">
        <v>28.651999999999997</v>
      </c>
      <c r="G5207" s="59">
        <f t="shared" si="91"/>
        <v>6.8650191999999999</v>
      </c>
      <c r="H5207" s="62"/>
      <c r="I5207" s="63"/>
      <c r="J5207" s="34">
        <v>0</v>
      </c>
    </row>
    <row r="5208" spans="1:10" ht="26.25" hidden="1" thickBot="1" x14ac:dyDescent="0.3">
      <c r="A5208" s="262"/>
      <c r="B5208" s="252"/>
      <c r="C5208" s="40" t="s">
        <v>4202</v>
      </c>
      <c r="D5208" s="40" t="s">
        <v>1286</v>
      </c>
      <c r="E5208" s="41">
        <v>1</v>
      </c>
      <c r="F5208" s="59">
        <v>516.10649999999998</v>
      </c>
      <c r="G5208" s="59">
        <f t="shared" si="91"/>
        <v>516.10649999999998</v>
      </c>
      <c r="H5208" s="62"/>
      <c r="I5208" s="63"/>
      <c r="J5208" s="34">
        <v>0</v>
      </c>
    </row>
    <row r="5209" spans="1:10" ht="39" hidden="1" thickBot="1" x14ac:dyDescent="0.3">
      <c r="A5209" s="262"/>
      <c r="B5209" s="252"/>
      <c r="C5209" s="40" t="s">
        <v>4755</v>
      </c>
      <c r="D5209" s="40" t="s">
        <v>4753</v>
      </c>
      <c r="E5209" s="41">
        <f>21.75/1000</f>
        <v>2.1749999999999999E-2</v>
      </c>
      <c r="F5209" s="59">
        <v>34.671161049999995</v>
      </c>
      <c r="G5209" s="59">
        <f t="shared" si="91"/>
        <v>0.7540977528374998</v>
      </c>
      <c r="H5209" s="62"/>
      <c r="I5209" s="63"/>
      <c r="J5209" s="34">
        <v>0</v>
      </c>
    </row>
    <row r="5210" spans="1:10" ht="39" hidden="1" thickBot="1" x14ac:dyDescent="0.3">
      <c r="A5210" s="262"/>
      <c r="B5210" s="252"/>
      <c r="C5210" s="40" t="s">
        <v>4750</v>
      </c>
      <c r="D5210" s="40" t="s">
        <v>4715</v>
      </c>
      <c r="E5210" s="41">
        <f>21.75/1000*1030</f>
        <v>22.4025</v>
      </c>
      <c r="F5210" s="59">
        <v>2.4586218500000001</v>
      </c>
      <c r="G5210" s="59">
        <f t="shared" si="91"/>
        <v>55.079275994625</v>
      </c>
      <c r="H5210" s="62"/>
      <c r="I5210" s="63"/>
      <c r="J5210" s="34">
        <v>0</v>
      </c>
    </row>
    <row r="5211" spans="1:10" ht="51.75" hidden="1" thickBot="1" x14ac:dyDescent="0.3">
      <c r="A5211" s="262"/>
      <c r="B5211" s="252"/>
      <c r="C5211" s="40" t="s">
        <v>4751</v>
      </c>
      <c r="D5211" s="40" t="s">
        <v>4715</v>
      </c>
      <c r="E5211" s="41">
        <f>21.75/1000*1000</f>
        <v>21.75</v>
      </c>
      <c r="F5211" s="59">
        <v>0.97867385000000007</v>
      </c>
      <c r="G5211" s="59">
        <f t="shared" si="91"/>
        <v>21.286156237500002</v>
      </c>
      <c r="H5211" s="62"/>
      <c r="I5211" s="63"/>
      <c r="J5211" s="34">
        <v>0</v>
      </c>
    </row>
    <row r="5212" spans="1:10" ht="15.75" hidden="1" thickBot="1" x14ac:dyDescent="0.3">
      <c r="A5212" s="262"/>
      <c r="B5212" s="252"/>
      <c r="C5212" s="40"/>
      <c r="D5212" s="40"/>
      <c r="E5212" s="41"/>
      <c r="F5212" s="59" t="s">
        <v>23</v>
      </c>
      <c r="G5212" s="59" t="str">
        <f t="shared" si="91"/>
        <v/>
      </c>
      <c r="H5212" s="62"/>
      <c r="I5212" s="63"/>
      <c r="J5212" s="34">
        <v>0</v>
      </c>
    </row>
    <row r="5213" spans="1:10" ht="15.75" hidden="1" thickBot="1" x14ac:dyDescent="0.3">
      <c r="A5213" s="262"/>
      <c r="B5213" s="252"/>
      <c r="C5213" s="50" t="s">
        <v>1251</v>
      </c>
      <c r="D5213" s="40"/>
      <c r="E5213" s="41"/>
      <c r="F5213" s="59" t="s">
        <v>23</v>
      </c>
      <c r="G5213" s="59" t="str">
        <f t="shared" ref="G5213:G5226" si="92">IF(ISNUMBER(F5213),E5213*F5213,"")</f>
        <v/>
      </c>
      <c r="H5213" s="62"/>
      <c r="I5213" s="63"/>
      <c r="J5213" s="34">
        <v>0</v>
      </c>
    </row>
    <row r="5214" spans="1:10" ht="15.75" hidden="1" thickBot="1" x14ac:dyDescent="0.3">
      <c r="A5214" s="262"/>
      <c r="B5214" s="252"/>
      <c r="C5214" s="40"/>
      <c r="D5214" s="53"/>
      <c r="E5214" s="41"/>
      <c r="F5214" s="59" t="s">
        <v>23</v>
      </c>
      <c r="G5214" s="59" t="str">
        <f t="shared" si="92"/>
        <v/>
      </c>
      <c r="H5214" s="62"/>
      <c r="I5214" s="63"/>
      <c r="J5214" s="34">
        <v>0</v>
      </c>
    </row>
    <row r="5215" spans="1:10" ht="15.75" hidden="1" thickBot="1" x14ac:dyDescent="0.3">
      <c r="A5215" s="248" t="s">
        <v>1252</v>
      </c>
      <c r="B5215" s="251" t="s">
        <v>3069</v>
      </c>
      <c r="C5215" s="28"/>
      <c r="D5215" s="29" t="s">
        <v>121</v>
      </c>
      <c r="E5215" s="30"/>
      <c r="F5215" s="51" t="s">
        <v>23</v>
      </c>
      <c r="G5215" s="31" t="str">
        <f t="shared" si="92"/>
        <v/>
      </c>
      <c r="H5215" s="32"/>
      <c r="I5215" s="33"/>
      <c r="J5215" s="34">
        <v>0</v>
      </c>
    </row>
    <row r="5216" spans="1:10" ht="15.75" hidden="1" thickBot="1" x14ac:dyDescent="0.3">
      <c r="A5216" s="262"/>
      <c r="B5216" s="252"/>
      <c r="C5216" s="36"/>
      <c r="D5216" s="36"/>
      <c r="E5216" s="37"/>
      <c r="F5216" s="59" t="s">
        <v>23</v>
      </c>
      <c r="G5216" s="59" t="str">
        <f t="shared" si="92"/>
        <v/>
      </c>
      <c r="H5216" s="62"/>
      <c r="I5216" s="63"/>
      <c r="J5216" s="34">
        <v>0</v>
      </c>
    </row>
    <row r="5217" spans="1:10" ht="39" hidden="1" thickBot="1" x14ac:dyDescent="0.3">
      <c r="A5217" s="262"/>
      <c r="B5217" s="252"/>
      <c r="C5217" s="40" t="s">
        <v>4199</v>
      </c>
      <c r="D5217" s="40" t="s">
        <v>1041</v>
      </c>
      <c r="E5217" s="41">
        <f>0.0211/2</f>
        <v>1.055E-2</v>
      </c>
      <c r="F5217" s="35">
        <v>184.30949999999999</v>
      </c>
      <c r="G5217" s="59">
        <f t="shared" si="92"/>
        <v>1.9444652249999999</v>
      </c>
      <c r="H5217" s="43">
        <f>SUM(G5217:G5228)</f>
        <v>970.20145342116246</v>
      </c>
      <c r="I5217" s="44"/>
      <c r="J5217" s="34">
        <v>0</v>
      </c>
    </row>
    <row r="5218" spans="1:10" ht="39" hidden="1" thickBot="1" x14ac:dyDescent="0.3">
      <c r="A5218" s="262"/>
      <c r="B5218" s="252"/>
      <c r="C5218" s="40" t="s">
        <v>4200</v>
      </c>
      <c r="D5218" s="40" t="s">
        <v>1052</v>
      </c>
      <c r="E5218" s="41">
        <f>0.1011/2</f>
        <v>5.0549999999999998E-2</v>
      </c>
      <c r="F5218" s="35">
        <v>75.733999999999995</v>
      </c>
      <c r="G5218" s="59">
        <f t="shared" si="92"/>
        <v>3.8283536999999996</v>
      </c>
      <c r="H5218" s="62"/>
      <c r="I5218" s="63"/>
      <c r="J5218" s="34">
        <v>0</v>
      </c>
    </row>
    <row r="5219" spans="1:10" ht="15.75" hidden="1" thickBot="1" x14ac:dyDescent="0.3">
      <c r="A5219" s="262"/>
      <c r="B5219" s="252"/>
      <c r="C5219" s="40" t="s">
        <v>4141</v>
      </c>
      <c r="D5219" s="40" t="s">
        <v>1035</v>
      </c>
      <c r="E5219" s="41">
        <f>0.1875/2</f>
        <v>9.375E-2</v>
      </c>
      <c r="F5219" s="35">
        <v>38</v>
      </c>
      <c r="G5219" s="59">
        <f t="shared" si="92"/>
        <v>3.5625</v>
      </c>
      <c r="H5219" s="62"/>
      <c r="I5219" s="63"/>
      <c r="J5219" s="34">
        <v>0</v>
      </c>
    </row>
    <row r="5220" spans="1:10" ht="15.75" hidden="1" thickBot="1" x14ac:dyDescent="0.3">
      <c r="A5220" s="262"/>
      <c r="B5220" s="252"/>
      <c r="C5220" s="40" t="s">
        <v>4201</v>
      </c>
      <c r="D5220" s="40" t="s">
        <v>3752</v>
      </c>
      <c r="E5220" s="41">
        <f>0.1083/2</f>
        <v>5.4149999999999997E-2</v>
      </c>
      <c r="F5220" s="35">
        <v>21.906999999999996</v>
      </c>
      <c r="G5220" s="59">
        <f t="shared" si="92"/>
        <v>1.1862640499999997</v>
      </c>
      <c r="H5220" s="62"/>
      <c r="I5220" s="63"/>
      <c r="J5220" s="34">
        <v>0</v>
      </c>
    </row>
    <row r="5221" spans="1:10" ht="15.75" hidden="1" thickBot="1" x14ac:dyDescent="0.3">
      <c r="A5221" s="262"/>
      <c r="B5221" s="252"/>
      <c r="C5221" s="40" t="s">
        <v>3754</v>
      </c>
      <c r="D5221" s="40" t="s">
        <v>3752</v>
      </c>
      <c r="E5221" s="41">
        <f>0.1083/2</f>
        <v>5.4149999999999997E-2</v>
      </c>
      <c r="F5221" s="59">
        <v>20.814499999999999</v>
      </c>
      <c r="G5221" s="59">
        <f t="shared" si="92"/>
        <v>1.1271051749999998</v>
      </c>
      <c r="H5221" s="62"/>
      <c r="I5221" s="63"/>
      <c r="J5221" s="34">
        <v>0</v>
      </c>
    </row>
    <row r="5222" spans="1:10" ht="15.75" hidden="1" thickBot="1" x14ac:dyDescent="0.3">
      <c r="A5222" s="262"/>
      <c r="B5222" s="252"/>
      <c r="C5222" s="40" t="s">
        <v>4017</v>
      </c>
      <c r="D5222" s="40" t="s">
        <v>3752</v>
      </c>
      <c r="E5222" s="41">
        <f>0.4792/2</f>
        <v>0.23960000000000001</v>
      </c>
      <c r="F5222" s="59">
        <v>28.651999999999997</v>
      </c>
      <c r="G5222" s="59">
        <f t="shared" si="92"/>
        <v>6.8650191999999999</v>
      </c>
      <c r="H5222" s="62"/>
      <c r="I5222" s="63"/>
      <c r="J5222" s="34">
        <v>0</v>
      </c>
    </row>
    <row r="5223" spans="1:10" ht="26.25" hidden="1" thickBot="1" x14ac:dyDescent="0.3">
      <c r="A5223" s="262"/>
      <c r="B5223" s="252"/>
      <c r="C5223" s="40" t="s">
        <v>4203</v>
      </c>
      <c r="D5223" s="40" t="s">
        <v>1286</v>
      </c>
      <c r="E5223" s="41">
        <v>1</v>
      </c>
      <c r="F5223" s="59">
        <v>874.75049999999987</v>
      </c>
      <c r="G5223" s="59">
        <f t="shared" si="92"/>
        <v>874.75049999999987</v>
      </c>
      <c r="H5223" s="62"/>
      <c r="I5223" s="63"/>
      <c r="J5223" s="34">
        <v>0</v>
      </c>
    </row>
    <row r="5224" spans="1:10" ht="39" hidden="1" thickBot="1" x14ac:dyDescent="0.3">
      <c r="A5224" s="262"/>
      <c r="B5224" s="252"/>
      <c r="C5224" s="40" t="s">
        <v>4756</v>
      </c>
      <c r="D5224" s="40" t="s">
        <v>4753</v>
      </c>
      <c r="E5224" s="41">
        <f>21.75/1000</f>
        <v>2.1749999999999999E-2</v>
      </c>
      <c r="F5224" s="59">
        <v>26.290291449999998</v>
      </c>
      <c r="G5224" s="59">
        <f t="shared" si="92"/>
        <v>0.57181383903749994</v>
      </c>
      <c r="H5224" s="62"/>
      <c r="I5224" s="63"/>
      <c r="J5224" s="34">
        <v>0</v>
      </c>
    </row>
    <row r="5225" spans="1:10" ht="39" hidden="1" thickBot="1" x14ac:dyDescent="0.3">
      <c r="A5225" s="262"/>
      <c r="B5225" s="252"/>
      <c r="C5225" s="40" t="s">
        <v>4750</v>
      </c>
      <c r="D5225" s="40" t="s">
        <v>4715</v>
      </c>
      <c r="E5225" s="41">
        <f>21.75/1000*1030</f>
        <v>22.4025</v>
      </c>
      <c r="F5225" s="59">
        <v>2.4586218500000001</v>
      </c>
      <c r="G5225" s="59">
        <f t="shared" si="92"/>
        <v>55.079275994625</v>
      </c>
      <c r="H5225" s="62"/>
      <c r="I5225" s="63"/>
      <c r="J5225" s="34">
        <v>0</v>
      </c>
    </row>
    <row r="5226" spans="1:10" ht="51.75" hidden="1" thickBot="1" x14ac:dyDescent="0.3">
      <c r="A5226" s="262"/>
      <c r="B5226" s="252"/>
      <c r="C5226" s="40" t="s">
        <v>4751</v>
      </c>
      <c r="D5226" s="40" t="s">
        <v>4715</v>
      </c>
      <c r="E5226" s="41">
        <f>21.75/1000*1000</f>
        <v>21.75</v>
      </c>
      <c r="F5226" s="59">
        <v>0.97867385000000007</v>
      </c>
      <c r="G5226" s="59">
        <f t="shared" si="92"/>
        <v>21.286156237500002</v>
      </c>
      <c r="H5226" s="62"/>
      <c r="I5226" s="63"/>
      <c r="J5226" s="34">
        <v>0</v>
      </c>
    </row>
    <row r="5227" spans="1:10" ht="15.75" hidden="1" thickBot="1" x14ac:dyDescent="0.3">
      <c r="A5227" s="262"/>
      <c r="B5227" s="252"/>
      <c r="C5227" s="40"/>
      <c r="D5227" s="40"/>
      <c r="E5227" s="41"/>
      <c r="F5227" s="59"/>
      <c r="G5227" s="59"/>
      <c r="H5227" s="62"/>
      <c r="I5227" s="63"/>
      <c r="J5227" s="34">
        <v>0</v>
      </c>
    </row>
    <row r="5228" spans="1:10" ht="15.75" hidden="1" thickBot="1" x14ac:dyDescent="0.3">
      <c r="A5228" s="262"/>
      <c r="B5228" s="252"/>
      <c r="C5228" s="50" t="s">
        <v>1251</v>
      </c>
      <c r="D5228" s="40"/>
      <c r="E5228" s="41"/>
      <c r="F5228" s="59" t="s">
        <v>23</v>
      </c>
      <c r="G5228" s="59" t="str">
        <f t="shared" ref="G5228:G5291" si="93">IF(ISNUMBER(F5228),E5228*F5228,"")</f>
        <v/>
      </c>
      <c r="H5228" s="62"/>
      <c r="I5228" s="63"/>
      <c r="J5228" s="34">
        <v>0</v>
      </c>
    </row>
    <row r="5229" spans="1:10" ht="15.75" hidden="1" thickBot="1" x14ac:dyDescent="0.3">
      <c r="A5229" s="262"/>
      <c r="B5229" s="252"/>
      <c r="C5229" s="40"/>
      <c r="D5229" s="53"/>
      <c r="E5229" s="41"/>
      <c r="F5229" s="59" t="s">
        <v>23</v>
      </c>
      <c r="G5229" s="59" t="str">
        <f t="shared" si="93"/>
        <v/>
      </c>
      <c r="H5229" s="62"/>
      <c r="I5229" s="63"/>
      <c r="J5229" s="34">
        <v>0</v>
      </c>
    </row>
    <row r="5230" spans="1:10" ht="15.75" hidden="1" thickBot="1" x14ac:dyDescent="0.3">
      <c r="A5230" s="248" t="s">
        <v>1253</v>
      </c>
      <c r="B5230" s="251" t="s">
        <v>3070</v>
      </c>
      <c r="C5230" s="28"/>
      <c r="D5230" s="29" t="s">
        <v>28</v>
      </c>
      <c r="E5230" s="30"/>
      <c r="F5230" s="51" t="s">
        <v>23</v>
      </c>
      <c r="G5230" s="31" t="str">
        <f t="shared" si="93"/>
        <v/>
      </c>
      <c r="H5230" s="32"/>
      <c r="I5230" s="33"/>
      <c r="J5230" s="34">
        <v>0</v>
      </c>
    </row>
    <row r="5231" spans="1:10" ht="15.75" hidden="1" thickBot="1" x14ac:dyDescent="0.3">
      <c r="A5231" s="262"/>
      <c r="B5231" s="252"/>
      <c r="C5231" s="36"/>
      <c r="D5231" s="36"/>
      <c r="E5231" s="37"/>
      <c r="F5231" s="59" t="s">
        <v>23</v>
      </c>
      <c r="G5231" s="59" t="str">
        <f t="shared" si="93"/>
        <v/>
      </c>
      <c r="H5231" s="62"/>
      <c r="I5231" s="63"/>
      <c r="J5231" s="34">
        <v>0</v>
      </c>
    </row>
    <row r="5232" spans="1:10" ht="15.75" hidden="1" thickBot="1" x14ac:dyDescent="0.3">
      <c r="A5232" s="262"/>
      <c r="B5232" s="252"/>
      <c r="C5232" s="40" t="s">
        <v>3867</v>
      </c>
      <c r="D5232" s="40" t="s">
        <v>291</v>
      </c>
      <c r="E5232" s="41">
        <v>8.3999999999999995E-3</v>
      </c>
      <c r="F5232" s="35">
        <v>13.87</v>
      </c>
      <c r="G5232" s="59">
        <f t="shared" si="93"/>
        <v>0.11650799999999999</v>
      </c>
      <c r="H5232" s="43">
        <f>SUM(G5232:G5235)</f>
        <v>67.158666350000004</v>
      </c>
      <c r="I5232" s="44"/>
      <c r="J5232" s="34">
        <v>0</v>
      </c>
    </row>
    <row r="5233" spans="1:10" ht="15.75" hidden="1" thickBot="1" x14ac:dyDescent="0.3">
      <c r="A5233" s="262"/>
      <c r="B5233" s="252"/>
      <c r="C5233" s="40" t="s">
        <v>4071</v>
      </c>
      <c r="D5233" s="40" t="s">
        <v>291</v>
      </c>
      <c r="E5233" s="41">
        <v>1</v>
      </c>
      <c r="F5233" s="35">
        <v>63.526499999999999</v>
      </c>
      <c r="G5233" s="59">
        <f t="shared" si="93"/>
        <v>63.526499999999999</v>
      </c>
      <c r="H5233" s="62"/>
      <c r="I5233" s="63"/>
      <c r="J5233" s="34">
        <v>0</v>
      </c>
    </row>
    <row r="5234" spans="1:10" ht="26.25" hidden="1" thickBot="1" x14ac:dyDescent="0.3">
      <c r="A5234" s="262"/>
      <c r="B5234" s="252"/>
      <c r="C5234" s="40" t="s">
        <v>4119</v>
      </c>
      <c r="D5234" s="40" t="s">
        <v>3752</v>
      </c>
      <c r="E5234" s="41">
        <v>7.1900000000000006E-2</v>
      </c>
      <c r="F5234" s="35">
        <v>21.555499999999999</v>
      </c>
      <c r="G5234" s="59">
        <f t="shared" si="93"/>
        <v>1.54984045</v>
      </c>
      <c r="H5234" s="62"/>
      <c r="I5234" s="63"/>
      <c r="J5234" s="34">
        <v>0</v>
      </c>
    </row>
    <row r="5235" spans="1:10" ht="26.25" hidden="1" thickBot="1" x14ac:dyDescent="0.3">
      <c r="A5235" s="262"/>
      <c r="B5235" s="252"/>
      <c r="C5235" s="40" t="s">
        <v>4110</v>
      </c>
      <c r="D5235" s="40" t="s">
        <v>3752</v>
      </c>
      <c r="E5235" s="41">
        <v>7.1900000000000006E-2</v>
      </c>
      <c r="F5235" s="35">
        <v>27.341000000000001</v>
      </c>
      <c r="G5235" s="59">
        <f t="shared" si="93"/>
        <v>1.9658179000000002</v>
      </c>
      <c r="H5235" s="62"/>
      <c r="I5235" s="63"/>
      <c r="J5235" s="34">
        <v>0</v>
      </c>
    </row>
    <row r="5236" spans="1:10" ht="15.75" hidden="1" thickBot="1" x14ac:dyDescent="0.3">
      <c r="A5236" s="262"/>
      <c r="B5236" s="252"/>
      <c r="C5236" s="40"/>
      <c r="D5236" s="53"/>
      <c r="E5236" s="41"/>
      <c r="F5236" s="59" t="s">
        <v>23</v>
      </c>
      <c r="G5236" s="59" t="str">
        <f t="shared" si="93"/>
        <v/>
      </c>
      <c r="H5236" s="62"/>
      <c r="I5236" s="63"/>
      <c r="J5236" s="34">
        <v>0</v>
      </c>
    </row>
    <row r="5237" spans="1:10" ht="15.75" hidden="1" thickBot="1" x14ac:dyDescent="0.3">
      <c r="A5237" s="248" t="s">
        <v>1254</v>
      </c>
      <c r="B5237" s="251" t="s">
        <v>1255</v>
      </c>
      <c r="C5237" s="28"/>
      <c r="D5237" s="29" t="s">
        <v>28</v>
      </c>
      <c r="E5237" s="30"/>
      <c r="F5237" s="51" t="s">
        <v>23</v>
      </c>
      <c r="G5237" s="31" t="str">
        <f t="shared" si="93"/>
        <v/>
      </c>
      <c r="H5237" s="32"/>
      <c r="I5237" s="33"/>
      <c r="J5237" s="34">
        <v>0</v>
      </c>
    </row>
    <row r="5238" spans="1:10" ht="15.75" hidden="1" thickBot="1" x14ac:dyDescent="0.3">
      <c r="A5238" s="262"/>
      <c r="B5238" s="252"/>
      <c r="C5238" s="36"/>
      <c r="D5238" s="36"/>
      <c r="E5238" s="37"/>
      <c r="F5238" s="59" t="s">
        <v>23</v>
      </c>
      <c r="G5238" s="59" t="str">
        <f t="shared" si="93"/>
        <v/>
      </c>
      <c r="H5238" s="62"/>
      <c r="I5238" s="63"/>
      <c r="J5238" s="34">
        <v>0</v>
      </c>
    </row>
    <row r="5239" spans="1:10" ht="15.75" hidden="1" thickBot="1" x14ac:dyDescent="0.3">
      <c r="A5239" s="262"/>
      <c r="B5239" s="252"/>
      <c r="C5239" s="40" t="s">
        <v>3867</v>
      </c>
      <c r="D5239" s="40" t="s">
        <v>291</v>
      </c>
      <c r="E5239" s="41">
        <v>4.5199999999999997E-2</v>
      </c>
      <c r="F5239" s="35">
        <v>13.87</v>
      </c>
      <c r="G5239" s="59">
        <f t="shared" si="93"/>
        <v>0.62692399999999993</v>
      </c>
      <c r="H5239" s="43">
        <f>SUM(G5239:G5242)</f>
        <v>35.954645249999999</v>
      </c>
      <c r="I5239" s="44"/>
      <c r="J5239" s="34">
        <v>0</v>
      </c>
    </row>
    <row r="5240" spans="1:10" ht="15.75" hidden="1" thickBot="1" x14ac:dyDescent="0.3">
      <c r="A5240" s="262"/>
      <c r="B5240" s="252"/>
      <c r="C5240" s="40" t="s">
        <v>1255</v>
      </c>
      <c r="D5240" s="40" t="s">
        <v>291</v>
      </c>
      <c r="E5240" s="41">
        <v>1</v>
      </c>
      <c r="F5240" s="35" t="s">
        <v>23</v>
      </c>
      <c r="G5240" s="59" t="str">
        <f t="shared" si="93"/>
        <v/>
      </c>
      <c r="H5240" s="62"/>
      <c r="I5240" s="63"/>
      <c r="J5240" s="34">
        <v>0</v>
      </c>
    </row>
    <row r="5241" spans="1:10" ht="26.25" hidden="1" thickBot="1" x14ac:dyDescent="0.3">
      <c r="A5241" s="262"/>
      <c r="B5241" s="252"/>
      <c r="C5241" s="40" t="s">
        <v>4119</v>
      </c>
      <c r="D5241" s="40" t="s">
        <v>3752</v>
      </c>
      <c r="E5241" s="41">
        <v>0.72250000000000003</v>
      </c>
      <c r="F5241" s="35">
        <v>21.555499999999999</v>
      </c>
      <c r="G5241" s="59">
        <f t="shared" si="93"/>
        <v>15.57384875</v>
      </c>
      <c r="H5241" s="62"/>
      <c r="I5241" s="63"/>
      <c r="J5241" s="34">
        <v>0</v>
      </c>
    </row>
    <row r="5242" spans="1:10" ht="26.25" hidden="1" thickBot="1" x14ac:dyDescent="0.3">
      <c r="A5242" s="262"/>
      <c r="B5242" s="252"/>
      <c r="C5242" s="40" t="s">
        <v>4110</v>
      </c>
      <c r="D5242" s="40" t="s">
        <v>3752</v>
      </c>
      <c r="E5242" s="41">
        <v>0.72250000000000003</v>
      </c>
      <c r="F5242" s="35">
        <v>27.341000000000001</v>
      </c>
      <c r="G5242" s="59">
        <f t="shared" si="93"/>
        <v>19.7538725</v>
      </c>
      <c r="H5242" s="62"/>
      <c r="I5242" s="63"/>
      <c r="J5242" s="34">
        <v>0</v>
      </c>
    </row>
    <row r="5243" spans="1:10" ht="15.75" hidden="1" thickBot="1" x14ac:dyDescent="0.3">
      <c r="A5243" s="262"/>
      <c r="B5243" s="252"/>
      <c r="C5243" s="40"/>
      <c r="D5243" s="53"/>
      <c r="E5243" s="41"/>
      <c r="F5243" s="59" t="s">
        <v>23</v>
      </c>
      <c r="G5243" s="59" t="str">
        <f t="shared" si="93"/>
        <v/>
      </c>
      <c r="H5243" s="62"/>
      <c r="I5243" s="63"/>
      <c r="J5243" s="34">
        <v>0</v>
      </c>
    </row>
    <row r="5244" spans="1:10" ht="15.75" hidden="1" thickBot="1" x14ac:dyDescent="0.3">
      <c r="A5244" s="248" t="s">
        <v>1256</v>
      </c>
      <c r="B5244" s="251" t="s">
        <v>3071</v>
      </c>
      <c r="C5244" s="28"/>
      <c r="D5244" s="29" t="s">
        <v>121</v>
      </c>
      <c r="E5244" s="30"/>
      <c r="F5244" s="51" t="s">
        <v>23</v>
      </c>
      <c r="G5244" s="31" t="str">
        <f t="shared" si="93"/>
        <v/>
      </c>
      <c r="H5244" s="32"/>
      <c r="I5244" s="33"/>
      <c r="J5244" s="34">
        <v>0</v>
      </c>
    </row>
    <row r="5245" spans="1:10" ht="15.75" hidden="1" thickBot="1" x14ac:dyDescent="0.3">
      <c r="A5245" s="262"/>
      <c r="B5245" s="252"/>
      <c r="C5245" s="36"/>
      <c r="D5245" s="36"/>
      <c r="E5245" s="37"/>
      <c r="F5245" s="59" t="s">
        <v>23</v>
      </c>
      <c r="G5245" s="59" t="str">
        <f t="shared" si="93"/>
        <v/>
      </c>
      <c r="H5245" s="62"/>
      <c r="I5245" s="63"/>
      <c r="J5245" s="34">
        <v>0</v>
      </c>
    </row>
    <row r="5246" spans="1:10" ht="15.75" hidden="1" thickBot="1" x14ac:dyDescent="0.3">
      <c r="A5246" s="262"/>
      <c r="B5246" s="252"/>
      <c r="C5246" s="40" t="s">
        <v>1257</v>
      </c>
      <c r="D5246" s="40" t="s">
        <v>121</v>
      </c>
      <c r="E5246" s="41">
        <v>1.05</v>
      </c>
      <c r="F5246" s="35" t="s">
        <v>23</v>
      </c>
      <c r="G5246" s="59" t="str">
        <f t="shared" si="93"/>
        <v/>
      </c>
      <c r="H5246" s="43">
        <f>SUM(G5246:G5248)</f>
        <v>3.5792095499999999</v>
      </c>
      <c r="I5246" s="44"/>
      <c r="J5246" s="34">
        <v>0</v>
      </c>
    </row>
    <row r="5247" spans="1:10" ht="15.75" hidden="1" thickBot="1" x14ac:dyDescent="0.3">
      <c r="A5247" s="262"/>
      <c r="B5247" s="252"/>
      <c r="C5247" s="40" t="s">
        <v>3770</v>
      </c>
      <c r="D5247" s="40" t="s">
        <v>3752</v>
      </c>
      <c r="E5247" s="41">
        <v>7.1099999999999997E-2</v>
      </c>
      <c r="F5247" s="35">
        <v>21.954499999999999</v>
      </c>
      <c r="G5247" s="59">
        <f t="shared" si="93"/>
        <v>1.5609649499999998</v>
      </c>
      <c r="H5247" s="62"/>
      <c r="I5247" s="63"/>
      <c r="J5247" s="34">
        <v>0</v>
      </c>
    </row>
    <row r="5248" spans="1:10" ht="15.75" hidden="1" thickBot="1" x14ac:dyDescent="0.3">
      <c r="A5248" s="262"/>
      <c r="B5248" s="252"/>
      <c r="C5248" s="40" t="s">
        <v>3760</v>
      </c>
      <c r="D5248" s="40" t="s">
        <v>3752</v>
      </c>
      <c r="E5248" s="41">
        <v>7.1099999999999997E-2</v>
      </c>
      <c r="F5248" s="35">
        <v>28.385999999999999</v>
      </c>
      <c r="G5248" s="59">
        <f t="shared" si="93"/>
        <v>2.0182446000000001</v>
      </c>
      <c r="H5248" s="62"/>
      <c r="I5248" s="63"/>
      <c r="J5248" s="34">
        <v>0</v>
      </c>
    </row>
    <row r="5249" spans="1:10" ht="15.75" hidden="1" thickBot="1" x14ac:dyDescent="0.3">
      <c r="A5249" s="262"/>
      <c r="B5249" s="252"/>
      <c r="C5249" s="40"/>
      <c r="D5249" s="53"/>
      <c r="E5249" s="41"/>
      <c r="F5249" s="59" t="s">
        <v>23</v>
      </c>
      <c r="G5249" s="59" t="str">
        <f t="shared" si="93"/>
        <v/>
      </c>
      <c r="H5249" s="62"/>
      <c r="I5249" s="63"/>
      <c r="J5249" s="34">
        <v>0</v>
      </c>
    </row>
    <row r="5250" spans="1:10" ht="15.75" hidden="1" thickBot="1" x14ac:dyDescent="0.3">
      <c r="A5250" s="248" t="s">
        <v>1258</v>
      </c>
      <c r="B5250" s="251" t="s">
        <v>3072</v>
      </c>
      <c r="C5250" s="28"/>
      <c r="D5250" s="29" t="s">
        <v>121</v>
      </c>
      <c r="E5250" s="30"/>
      <c r="F5250" s="51" t="s">
        <v>23</v>
      </c>
      <c r="G5250" s="31" t="str">
        <f t="shared" si="93"/>
        <v/>
      </c>
      <c r="H5250" s="32"/>
      <c r="I5250" s="33"/>
      <c r="J5250" s="34">
        <v>0</v>
      </c>
    </row>
    <row r="5251" spans="1:10" ht="15.75" hidden="1" thickBot="1" x14ac:dyDescent="0.3">
      <c r="A5251" s="262"/>
      <c r="B5251" s="252"/>
      <c r="C5251" s="36"/>
      <c r="D5251" s="36"/>
      <c r="E5251" s="37"/>
      <c r="F5251" s="59" t="s">
        <v>23</v>
      </c>
      <c r="G5251" s="59" t="str">
        <f t="shared" si="93"/>
        <v/>
      </c>
      <c r="H5251" s="62"/>
      <c r="I5251" s="63"/>
      <c r="J5251" s="34">
        <v>0</v>
      </c>
    </row>
    <row r="5252" spans="1:10" ht="15.75" hidden="1" thickBot="1" x14ac:dyDescent="0.3">
      <c r="A5252" s="262"/>
      <c r="B5252" s="252"/>
      <c r="C5252" s="40" t="s">
        <v>1259</v>
      </c>
      <c r="D5252" s="40" t="s">
        <v>121</v>
      </c>
      <c r="E5252" s="41">
        <v>1.05</v>
      </c>
      <c r="F5252" s="35" t="s">
        <v>23</v>
      </c>
      <c r="G5252" s="59" t="str">
        <f t="shared" si="93"/>
        <v/>
      </c>
      <c r="H5252" s="43">
        <f>SUM(G5252:G5254)</f>
        <v>6.9872614000000004</v>
      </c>
      <c r="I5252" s="44"/>
      <c r="J5252" s="34">
        <v>0</v>
      </c>
    </row>
    <row r="5253" spans="1:10" ht="15.75" hidden="1" thickBot="1" x14ac:dyDescent="0.3">
      <c r="A5253" s="262"/>
      <c r="B5253" s="252"/>
      <c r="C5253" s="40" t="s">
        <v>3770</v>
      </c>
      <c r="D5253" s="40" t="s">
        <v>3752</v>
      </c>
      <c r="E5253" s="41">
        <v>0.13880000000000001</v>
      </c>
      <c r="F5253" s="35">
        <v>21.954499999999999</v>
      </c>
      <c r="G5253" s="59">
        <f t="shared" si="93"/>
        <v>3.0472846000000002</v>
      </c>
      <c r="H5253" s="62"/>
      <c r="I5253" s="63"/>
      <c r="J5253" s="34">
        <v>0</v>
      </c>
    </row>
    <row r="5254" spans="1:10" ht="15.75" hidden="1" thickBot="1" x14ac:dyDescent="0.3">
      <c r="A5254" s="262"/>
      <c r="B5254" s="252"/>
      <c r="C5254" s="40" t="s">
        <v>3760</v>
      </c>
      <c r="D5254" s="40" t="s">
        <v>3752</v>
      </c>
      <c r="E5254" s="41">
        <v>0.13880000000000001</v>
      </c>
      <c r="F5254" s="35">
        <v>28.385999999999999</v>
      </c>
      <c r="G5254" s="59">
        <f t="shared" si="93"/>
        <v>3.9399768000000002</v>
      </c>
      <c r="H5254" s="62"/>
      <c r="I5254" s="63"/>
      <c r="J5254" s="34">
        <v>0</v>
      </c>
    </row>
    <row r="5255" spans="1:10" ht="15.75" hidden="1" thickBot="1" x14ac:dyDescent="0.3">
      <c r="A5255" s="262"/>
      <c r="B5255" s="252"/>
      <c r="C5255" s="40"/>
      <c r="D5255" s="53"/>
      <c r="E5255" s="41"/>
      <c r="F5255" s="59" t="s">
        <v>23</v>
      </c>
      <c r="G5255" s="59" t="str">
        <f t="shared" si="93"/>
        <v/>
      </c>
      <c r="H5255" s="62"/>
      <c r="I5255" s="63"/>
      <c r="J5255" s="34">
        <v>0</v>
      </c>
    </row>
    <row r="5256" spans="1:10" ht="15.75" hidden="1" thickBot="1" x14ac:dyDescent="0.3">
      <c r="A5256" s="248" t="s">
        <v>1260</v>
      </c>
      <c r="B5256" s="251" t="s">
        <v>3073</v>
      </c>
      <c r="C5256" s="28"/>
      <c r="D5256" s="29" t="s">
        <v>121</v>
      </c>
      <c r="E5256" s="30"/>
      <c r="F5256" s="45" t="s">
        <v>23</v>
      </c>
      <c r="G5256" s="31" t="str">
        <f t="shared" si="93"/>
        <v/>
      </c>
      <c r="H5256" s="32"/>
      <c r="I5256" s="33"/>
      <c r="J5256" s="34">
        <v>0</v>
      </c>
    </row>
    <row r="5257" spans="1:10" ht="15.75" hidden="1" thickBot="1" x14ac:dyDescent="0.3">
      <c r="A5257" s="249"/>
      <c r="B5257" s="252"/>
      <c r="C5257" s="36"/>
      <c r="D5257" s="36"/>
      <c r="E5257" s="37"/>
      <c r="F5257" s="46" t="s">
        <v>23</v>
      </c>
      <c r="G5257" s="35" t="str">
        <f t="shared" si="93"/>
        <v/>
      </c>
      <c r="H5257" s="39"/>
      <c r="I5257" s="35"/>
      <c r="J5257" s="34">
        <v>0</v>
      </c>
    </row>
    <row r="5258" spans="1:10" ht="39" hidden="1" thickBot="1" x14ac:dyDescent="0.3">
      <c r="A5258" s="249"/>
      <c r="B5258" s="252"/>
      <c r="C5258" s="40" t="s">
        <v>4204</v>
      </c>
      <c r="D5258" s="40" t="s">
        <v>1286</v>
      </c>
      <c r="E5258" s="41">
        <v>1.1000000000000001</v>
      </c>
      <c r="F5258" s="35">
        <v>3.5339999999999998</v>
      </c>
      <c r="G5258" s="38">
        <f t="shared" si="93"/>
        <v>3.8874</v>
      </c>
      <c r="H5258" s="43">
        <f>SUM(G5258:G5261)</f>
        <v>13.212590500000001</v>
      </c>
      <c r="I5258" s="44"/>
      <c r="J5258" s="34">
        <v>0</v>
      </c>
    </row>
    <row r="5259" spans="1:10" ht="15.75" hidden="1" thickBot="1" x14ac:dyDescent="0.3">
      <c r="A5259" s="249"/>
      <c r="B5259" s="252"/>
      <c r="C5259" s="40" t="s">
        <v>3770</v>
      </c>
      <c r="D5259" s="40" t="s">
        <v>3752</v>
      </c>
      <c r="E5259" s="41">
        <v>0.123</v>
      </c>
      <c r="F5259" s="35">
        <v>21.954499999999999</v>
      </c>
      <c r="G5259" s="38">
        <f t="shared" si="93"/>
        <v>2.7004034999999997</v>
      </c>
      <c r="H5259" s="39"/>
      <c r="I5259" s="35"/>
      <c r="J5259" s="34">
        <v>0</v>
      </c>
    </row>
    <row r="5260" spans="1:10" ht="15.75" hidden="1" thickBot="1" x14ac:dyDescent="0.3">
      <c r="A5260" s="249"/>
      <c r="B5260" s="252"/>
      <c r="C5260" s="40" t="s">
        <v>3760</v>
      </c>
      <c r="D5260" s="40" t="s">
        <v>3752</v>
      </c>
      <c r="E5260" s="41">
        <v>0.123</v>
      </c>
      <c r="F5260" s="35">
        <v>28.385999999999999</v>
      </c>
      <c r="G5260" s="38">
        <f t="shared" si="93"/>
        <v>3.4914779999999999</v>
      </c>
      <c r="H5260" s="39"/>
      <c r="I5260" s="35"/>
      <c r="J5260" s="34">
        <v>0</v>
      </c>
    </row>
    <row r="5261" spans="1:10" ht="51.75" hidden="1" thickBot="1" x14ac:dyDescent="0.3">
      <c r="A5261" s="249"/>
      <c r="B5261" s="252"/>
      <c r="C5261" s="40" t="s">
        <v>4711</v>
      </c>
      <c r="D5261" s="40" t="s">
        <v>1286</v>
      </c>
      <c r="E5261" s="41">
        <v>1</v>
      </c>
      <c r="F5261" s="38">
        <v>3.1333090000000001</v>
      </c>
      <c r="G5261" s="35">
        <f t="shared" si="93"/>
        <v>3.1333090000000001</v>
      </c>
      <c r="H5261" s="39"/>
      <c r="I5261" s="35"/>
      <c r="J5261" s="34">
        <v>0</v>
      </c>
    </row>
    <row r="5262" spans="1:10" ht="15.75" hidden="1" thickBot="1" x14ac:dyDescent="0.3">
      <c r="A5262" s="250"/>
      <c r="B5262" s="253"/>
      <c r="C5262" s="40"/>
      <c r="D5262" s="40"/>
      <c r="E5262" s="41"/>
      <c r="F5262" s="35" t="s">
        <v>23</v>
      </c>
      <c r="G5262" s="35" t="str">
        <f t="shared" si="93"/>
        <v/>
      </c>
      <c r="H5262" s="39"/>
      <c r="I5262" s="35"/>
      <c r="J5262" s="34">
        <v>0</v>
      </c>
    </row>
    <row r="5263" spans="1:10" ht="15.75" hidden="1" thickBot="1" x14ac:dyDescent="0.3">
      <c r="A5263" s="256" t="s">
        <v>1261</v>
      </c>
      <c r="B5263" s="259" t="s">
        <v>3074</v>
      </c>
      <c r="C5263" s="28"/>
      <c r="D5263" s="29" t="s">
        <v>28</v>
      </c>
      <c r="E5263" s="30"/>
      <c r="F5263" s="45" t="s">
        <v>23</v>
      </c>
      <c r="G5263" s="31" t="str">
        <f t="shared" si="93"/>
        <v/>
      </c>
      <c r="H5263" s="32"/>
      <c r="I5263" s="33"/>
      <c r="J5263" s="34">
        <v>0</v>
      </c>
    </row>
    <row r="5264" spans="1:10" ht="15.75" hidden="1" thickBot="1" x14ac:dyDescent="0.3">
      <c r="A5264" s="257"/>
      <c r="B5264" s="260"/>
      <c r="C5264" s="36"/>
      <c r="D5264" s="36"/>
      <c r="E5264" s="37"/>
      <c r="F5264" s="46" t="s">
        <v>23</v>
      </c>
      <c r="G5264" s="35" t="str">
        <f t="shared" si="93"/>
        <v/>
      </c>
      <c r="H5264" s="39"/>
      <c r="I5264" s="35"/>
      <c r="J5264" s="34">
        <v>0</v>
      </c>
    </row>
    <row r="5265" spans="1:10" ht="51.75" hidden="1" thickBot="1" x14ac:dyDescent="0.3">
      <c r="A5265" s="257"/>
      <c r="B5265" s="260"/>
      <c r="C5265" s="40" t="s">
        <v>4044</v>
      </c>
      <c r="D5265" s="40" t="s">
        <v>1041</v>
      </c>
      <c r="E5265" s="41">
        <f>ROUND(0.0087*3.33,4)</f>
        <v>2.9000000000000001E-2</v>
      </c>
      <c r="F5265" s="35">
        <v>123.91799999999999</v>
      </c>
      <c r="G5265" s="38">
        <f t="shared" si="93"/>
        <v>3.5936219999999999</v>
      </c>
      <c r="H5265" s="43">
        <f>SUM(G5265:G5273)</f>
        <v>1695.979244856801</v>
      </c>
      <c r="I5265" s="44"/>
      <c r="J5265" s="34">
        <v>0</v>
      </c>
    </row>
    <row r="5266" spans="1:10" ht="51.75" hidden="1" thickBot="1" x14ac:dyDescent="0.3">
      <c r="A5266" s="257"/>
      <c r="B5266" s="260"/>
      <c r="C5266" s="40" t="s">
        <v>4045</v>
      </c>
      <c r="D5266" s="40" t="s">
        <v>1052</v>
      </c>
      <c r="E5266" s="41">
        <f>ROUND(0.0178*3.33,4)</f>
        <v>5.9299999999999999E-2</v>
      </c>
      <c r="F5266" s="35">
        <v>52.392499999999998</v>
      </c>
      <c r="G5266" s="38">
        <f t="shared" si="93"/>
        <v>3.1068752499999999</v>
      </c>
      <c r="H5266" s="39"/>
      <c r="I5266" s="35"/>
      <c r="J5266" s="34">
        <v>0</v>
      </c>
    </row>
    <row r="5267" spans="1:10" ht="15.75" hidden="1" thickBot="1" x14ac:dyDescent="0.3">
      <c r="A5267" s="257"/>
      <c r="B5267" s="260"/>
      <c r="C5267" s="40" t="s">
        <v>4015</v>
      </c>
      <c r="D5267" s="40" t="s">
        <v>291</v>
      </c>
      <c r="E5267" s="41">
        <f>ROUND(134.764*3.33,4)</f>
        <v>448.76409999999998</v>
      </c>
      <c r="F5267" s="38">
        <v>0.63649999999999995</v>
      </c>
      <c r="G5267" s="35">
        <f t="shared" si="93"/>
        <v>285.63834964999995</v>
      </c>
      <c r="H5267" s="39"/>
      <c r="I5267" s="35"/>
      <c r="J5267" s="34">
        <v>0</v>
      </c>
    </row>
    <row r="5268" spans="1:10" ht="39" hidden="1" thickBot="1" x14ac:dyDescent="0.3">
      <c r="A5268" s="257"/>
      <c r="B5268" s="260"/>
      <c r="C5268" s="40" t="s">
        <v>4732</v>
      </c>
      <c r="D5268" s="40" t="s">
        <v>3764</v>
      </c>
      <c r="E5268" s="41">
        <f>ROUND(0.00136*3.33,4)</f>
        <v>4.4999999999999997E-3</v>
      </c>
      <c r="F5268" s="35">
        <v>587.39179487499985</v>
      </c>
      <c r="G5268" s="38">
        <f t="shared" si="93"/>
        <v>2.6432630769374992</v>
      </c>
      <c r="H5268" s="39"/>
      <c r="I5268" s="44"/>
      <c r="J5268" s="34">
        <v>0</v>
      </c>
    </row>
    <row r="5269" spans="1:10" ht="15.75" hidden="1" thickBot="1" x14ac:dyDescent="0.3">
      <c r="A5269" s="257"/>
      <c r="B5269" s="260"/>
      <c r="C5269" s="40" t="s">
        <v>3757</v>
      </c>
      <c r="D5269" s="40" t="s">
        <v>3752</v>
      </c>
      <c r="E5269" s="41">
        <f>ROUND(4.5403*3.33,4)</f>
        <v>15.119199999999999</v>
      </c>
      <c r="F5269" s="35">
        <v>28.0535</v>
      </c>
      <c r="G5269" s="38">
        <f t="shared" si="93"/>
        <v>424.14647719999999</v>
      </c>
      <c r="H5269" s="39"/>
      <c r="I5269" s="35"/>
      <c r="J5269" s="34">
        <v>0</v>
      </c>
    </row>
    <row r="5270" spans="1:10" ht="15.75" hidden="1" thickBot="1" x14ac:dyDescent="0.3">
      <c r="A5270" s="257"/>
      <c r="B5270" s="260"/>
      <c r="C5270" s="40" t="s">
        <v>3754</v>
      </c>
      <c r="D5270" s="40" t="s">
        <v>3752</v>
      </c>
      <c r="E5270" s="41">
        <f>ROUND(3.5674*3.33,4)</f>
        <v>11.8794</v>
      </c>
      <c r="F5270" s="38">
        <v>20.814499999999999</v>
      </c>
      <c r="G5270" s="35">
        <f t="shared" si="93"/>
        <v>247.2637713</v>
      </c>
      <c r="H5270" s="39"/>
      <c r="I5270" s="35"/>
      <c r="J5270" s="34">
        <v>0</v>
      </c>
    </row>
    <row r="5271" spans="1:10" ht="26.25" hidden="1" thickBot="1" x14ac:dyDescent="0.3">
      <c r="A5271" s="257"/>
      <c r="B5271" s="260"/>
      <c r="C5271" s="40" t="s">
        <v>4739</v>
      </c>
      <c r="D5271" s="40" t="s">
        <v>3764</v>
      </c>
      <c r="E5271" s="41">
        <f>ROUND(0.1012*3.33,4)</f>
        <v>0.33700000000000002</v>
      </c>
      <c r="F5271" s="35">
        <v>659.4423539375</v>
      </c>
      <c r="G5271" s="38">
        <f t="shared" si="93"/>
        <v>222.23207327693751</v>
      </c>
      <c r="H5271" s="39"/>
      <c r="I5271" s="44"/>
      <c r="J5271" s="34">
        <v>0</v>
      </c>
    </row>
    <row r="5272" spans="1:10" ht="26.25" hidden="1" thickBot="1" x14ac:dyDescent="0.3">
      <c r="A5272" s="257"/>
      <c r="B5272" s="260"/>
      <c r="C5272" s="40" t="s">
        <v>4710</v>
      </c>
      <c r="D5272" s="40" t="s">
        <v>3764</v>
      </c>
      <c r="E5272" s="41">
        <f>ROUND(0.0448*3.33,4)</f>
        <v>0.1492</v>
      </c>
      <c r="F5272" s="35">
        <v>2617.6528209237504</v>
      </c>
      <c r="G5272" s="38">
        <f t="shared" si="93"/>
        <v>390.55380088182358</v>
      </c>
      <c r="H5272" s="39"/>
      <c r="I5272" s="35"/>
      <c r="J5272" s="34">
        <v>0</v>
      </c>
    </row>
    <row r="5273" spans="1:10" ht="26.25" hidden="1" thickBot="1" x14ac:dyDescent="0.3">
      <c r="A5273" s="257"/>
      <c r="B5273" s="260"/>
      <c r="C5273" s="40" t="s">
        <v>4719</v>
      </c>
      <c r="D5273" s="40" t="s">
        <v>3764</v>
      </c>
      <c r="E5273" s="41">
        <f>ROUND(0.081*3.33,4)</f>
        <v>0.2697</v>
      </c>
      <c r="F5273" s="38">
        <v>433.07753882500003</v>
      </c>
      <c r="G5273" s="35">
        <f t="shared" si="93"/>
        <v>116.80101222110251</v>
      </c>
      <c r="H5273" s="39"/>
      <c r="I5273" s="35"/>
      <c r="J5273" s="34">
        <v>0</v>
      </c>
    </row>
    <row r="5274" spans="1:10" ht="15.75" hidden="1" thickBot="1" x14ac:dyDescent="0.3">
      <c r="A5274" s="258"/>
      <c r="B5274" s="261"/>
      <c r="C5274" s="40"/>
      <c r="D5274" s="40"/>
      <c r="E5274" s="41"/>
      <c r="F5274" s="35" t="s">
        <v>23</v>
      </c>
      <c r="G5274" s="35" t="str">
        <f t="shared" si="93"/>
        <v/>
      </c>
      <c r="H5274" s="39"/>
      <c r="I5274" s="35"/>
      <c r="J5274" s="34">
        <v>0</v>
      </c>
    </row>
    <row r="5275" spans="1:10" ht="15.75" hidden="1" thickBot="1" x14ac:dyDescent="0.3">
      <c r="A5275" s="248" t="s">
        <v>1262</v>
      </c>
      <c r="B5275" s="251" t="s">
        <v>3075</v>
      </c>
      <c r="C5275" s="28"/>
      <c r="D5275" s="29" t="s">
        <v>28</v>
      </c>
      <c r="E5275" s="30"/>
      <c r="F5275" s="45" t="s">
        <v>23</v>
      </c>
      <c r="G5275" s="31" t="str">
        <f t="shared" si="93"/>
        <v/>
      </c>
      <c r="H5275" s="32"/>
      <c r="I5275" s="33"/>
      <c r="J5275" s="34">
        <v>0</v>
      </c>
    </row>
    <row r="5276" spans="1:10" ht="15.75" hidden="1" thickBot="1" x14ac:dyDescent="0.3">
      <c r="A5276" s="249"/>
      <c r="B5276" s="252"/>
      <c r="C5276" s="36"/>
      <c r="D5276" s="36"/>
      <c r="E5276" s="37"/>
      <c r="F5276" s="46" t="s">
        <v>23</v>
      </c>
      <c r="G5276" s="35" t="str">
        <f t="shared" si="93"/>
        <v/>
      </c>
      <c r="H5276" s="39"/>
      <c r="I5276" s="35"/>
      <c r="J5276" s="34">
        <v>0</v>
      </c>
    </row>
    <row r="5277" spans="1:10" ht="15.75" hidden="1" thickBot="1" x14ac:dyDescent="0.3">
      <c r="A5277" s="249"/>
      <c r="B5277" s="252"/>
      <c r="C5277" s="40" t="s">
        <v>3806</v>
      </c>
      <c r="D5277" s="40" t="s">
        <v>3752</v>
      </c>
      <c r="E5277" s="41">
        <v>40</v>
      </c>
      <c r="F5277" s="35">
        <v>120.06099999999999</v>
      </c>
      <c r="G5277" s="38">
        <f t="shared" si="93"/>
        <v>4802.4399999999996</v>
      </c>
      <c r="H5277" s="43">
        <f>SUM(G5277:G5281)</f>
        <v>6048.45</v>
      </c>
      <c r="I5277" s="44"/>
      <c r="J5277" s="34">
        <v>0</v>
      </c>
    </row>
    <row r="5278" spans="1:10" ht="15.75" hidden="1" thickBot="1" x14ac:dyDescent="0.3">
      <c r="A5278" s="249"/>
      <c r="B5278" s="252"/>
      <c r="C5278" s="40" t="s">
        <v>4205</v>
      </c>
      <c r="D5278" s="40" t="s">
        <v>3752</v>
      </c>
      <c r="E5278" s="41">
        <v>20</v>
      </c>
      <c r="F5278" s="35">
        <v>16.587</v>
      </c>
      <c r="G5278" s="38">
        <f t="shared" si="93"/>
        <v>331.74</v>
      </c>
      <c r="H5278" s="39"/>
      <c r="I5278" s="35"/>
      <c r="J5278" s="34">
        <v>0</v>
      </c>
    </row>
    <row r="5279" spans="1:10" ht="15.75" hidden="1" thickBot="1" x14ac:dyDescent="0.3">
      <c r="A5279" s="249"/>
      <c r="B5279" s="252"/>
      <c r="C5279" s="40" t="s">
        <v>4206</v>
      </c>
      <c r="D5279" s="40" t="s">
        <v>3752</v>
      </c>
      <c r="E5279" s="41">
        <v>20</v>
      </c>
      <c r="F5279" s="35">
        <v>22.04</v>
      </c>
      <c r="G5279" s="38">
        <f t="shared" si="93"/>
        <v>440.79999999999995</v>
      </c>
      <c r="H5279" s="39"/>
      <c r="I5279" s="35"/>
      <c r="J5279" s="34">
        <v>0</v>
      </c>
    </row>
    <row r="5280" spans="1:10" ht="15.75" hidden="1" thickBot="1" x14ac:dyDescent="0.3">
      <c r="A5280" s="249"/>
      <c r="B5280" s="252"/>
      <c r="C5280" s="40" t="s">
        <v>4207</v>
      </c>
      <c r="D5280" s="40" t="s">
        <v>3752</v>
      </c>
      <c r="E5280" s="41">
        <v>20</v>
      </c>
      <c r="F5280" s="35">
        <v>10.943999999999999</v>
      </c>
      <c r="G5280" s="38">
        <f t="shared" si="93"/>
        <v>218.88</v>
      </c>
      <c r="H5280" s="39"/>
      <c r="I5280" s="35"/>
      <c r="J5280" s="34">
        <v>0</v>
      </c>
    </row>
    <row r="5281" spans="1:10" ht="15.75" hidden="1" thickBot="1" x14ac:dyDescent="0.3">
      <c r="A5281" s="249"/>
      <c r="B5281" s="252"/>
      <c r="C5281" s="40" t="s">
        <v>27</v>
      </c>
      <c r="D5281" s="40" t="s">
        <v>28</v>
      </c>
      <c r="E5281" s="41">
        <v>1</v>
      </c>
      <c r="F5281" s="38">
        <v>254.59</v>
      </c>
      <c r="G5281" s="35">
        <f t="shared" si="93"/>
        <v>254.59</v>
      </c>
      <c r="H5281" s="39"/>
      <c r="I5281" s="35"/>
      <c r="J5281" s="34">
        <v>0</v>
      </c>
    </row>
    <row r="5282" spans="1:10" ht="15.75" hidden="1" thickBot="1" x14ac:dyDescent="0.3">
      <c r="A5282" s="250"/>
      <c r="B5282" s="253"/>
      <c r="C5282" s="40"/>
      <c r="D5282" s="40"/>
      <c r="E5282" s="41"/>
      <c r="F5282" s="35" t="s">
        <v>23</v>
      </c>
      <c r="G5282" s="35" t="str">
        <f t="shared" si="93"/>
        <v/>
      </c>
      <c r="H5282" s="39"/>
      <c r="I5282" s="35"/>
      <c r="J5282" s="34">
        <v>0</v>
      </c>
    </row>
    <row r="5283" spans="1:10" ht="15.75" hidden="1" thickBot="1" x14ac:dyDescent="0.3">
      <c r="A5283" s="248" t="s">
        <v>1263</v>
      </c>
      <c r="B5283" s="251" t="s">
        <v>3076</v>
      </c>
      <c r="C5283" s="28"/>
      <c r="D5283" s="29" t="s">
        <v>121</v>
      </c>
      <c r="E5283" s="30"/>
      <c r="F5283" s="45" t="s">
        <v>23</v>
      </c>
      <c r="G5283" s="31" t="str">
        <f t="shared" si="93"/>
        <v/>
      </c>
      <c r="H5283" s="32"/>
      <c r="I5283" s="33"/>
      <c r="J5283" s="34">
        <v>0</v>
      </c>
    </row>
    <row r="5284" spans="1:10" ht="15.75" hidden="1" thickBot="1" x14ac:dyDescent="0.3">
      <c r="A5284" s="249"/>
      <c r="B5284" s="252"/>
      <c r="C5284" s="36"/>
      <c r="D5284" s="36"/>
      <c r="E5284" s="37"/>
      <c r="F5284" s="46" t="s">
        <v>23</v>
      </c>
      <c r="G5284" s="35" t="str">
        <f t="shared" si="93"/>
        <v/>
      </c>
      <c r="H5284" s="39"/>
      <c r="I5284" s="35"/>
      <c r="J5284" s="34">
        <v>0</v>
      </c>
    </row>
    <row r="5285" spans="1:10" ht="39" hidden="1" thickBot="1" x14ac:dyDescent="0.3">
      <c r="A5285" s="249"/>
      <c r="B5285" s="252"/>
      <c r="C5285" s="40" t="s">
        <v>4208</v>
      </c>
      <c r="D5285" s="40" t="s">
        <v>1286</v>
      </c>
      <c r="E5285" s="41">
        <v>1.1000000000000001</v>
      </c>
      <c r="F5285" s="35">
        <v>5.8234999999999992</v>
      </c>
      <c r="G5285" s="38">
        <f t="shared" si="93"/>
        <v>6.40585</v>
      </c>
      <c r="H5285" s="43">
        <f>SUM(G5285:G5287)</f>
        <v>11.163027250000001</v>
      </c>
      <c r="I5285" s="44"/>
      <c r="J5285" s="34">
        <v>0</v>
      </c>
    </row>
    <row r="5286" spans="1:10" ht="15.75" hidden="1" thickBot="1" x14ac:dyDescent="0.3">
      <c r="A5286" s="249"/>
      <c r="B5286" s="252"/>
      <c r="C5286" s="40" t="s">
        <v>3770</v>
      </c>
      <c r="D5286" s="40" t="s">
        <v>3752</v>
      </c>
      <c r="E5286" s="41">
        <v>9.4500000000000001E-2</v>
      </c>
      <c r="F5286" s="35">
        <v>21.954499999999999</v>
      </c>
      <c r="G5286" s="38">
        <f t="shared" si="93"/>
        <v>2.0747002499999998</v>
      </c>
      <c r="H5286" s="39"/>
      <c r="I5286" s="35"/>
      <c r="J5286" s="34">
        <v>0</v>
      </c>
    </row>
    <row r="5287" spans="1:10" ht="15.75" hidden="1" thickBot="1" x14ac:dyDescent="0.3">
      <c r="A5287" s="249"/>
      <c r="B5287" s="252"/>
      <c r="C5287" s="40" t="s">
        <v>3760</v>
      </c>
      <c r="D5287" s="40" t="s">
        <v>3752</v>
      </c>
      <c r="E5287" s="41">
        <v>9.4500000000000001E-2</v>
      </c>
      <c r="F5287" s="38">
        <v>28.385999999999999</v>
      </c>
      <c r="G5287" s="35">
        <f t="shared" si="93"/>
        <v>2.682477</v>
      </c>
      <c r="H5287" s="39"/>
      <c r="I5287" s="35"/>
      <c r="J5287" s="34">
        <v>0</v>
      </c>
    </row>
    <row r="5288" spans="1:10" ht="15.75" hidden="1" thickBot="1" x14ac:dyDescent="0.3">
      <c r="A5288" s="250"/>
      <c r="B5288" s="253"/>
      <c r="C5288" s="40"/>
      <c r="D5288" s="40"/>
      <c r="E5288" s="41"/>
      <c r="F5288" s="35" t="s">
        <v>23</v>
      </c>
      <c r="G5288" s="35" t="str">
        <f t="shared" si="93"/>
        <v/>
      </c>
      <c r="H5288" s="39"/>
      <c r="I5288" s="35"/>
      <c r="J5288" s="34">
        <v>0</v>
      </c>
    </row>
    <row r="5289" spans="1:10" ht="15.75" hidden="1" thickBot="1" x14ac:dyDescent="0.3">
      <c r="A5289" s="248" t="s">
        <v>1264</v>
      </c>
      <c r="B5289" s="251" t="s">
        <v>3077</v>
      </c>
      <c r="C5289" s="28"/>
      <c r="D5289" s="29" t="s">
        <v>28</v>
      </c>
      <c r="E5289" s="30"/>
      <c r="F5289" s="51" t="s">
        <v>23</v>
      </c>
      <c r="G5289" s="31" t="str">
        <f t="shared" si="93"/>
        <v/>
      </c>
      <c r="H5289" s="32"/>
      <c r="I5289" s="33"/>
      <c r="J5289" s="34">
        <v>0</v>
      </c>
    </row>
    <row r="5290" spans="1:10" ht="15.75" hidden="1" thickBot="1" x14ac:dyDescent="0.3">
      <c r="A5290" s="262"/>
      <c r="B5290" s="266"/>
      <c r="C5290" s="95"/>
      <c r="D5290" s="95"/>
      <c r="E5290" s="96"/>
      <c r="F5290" s="59" t="s">
        <v>23</v>
      </c>
      <c r="G5290" s="59" t="str">
        <f t="shared" si="93"/>
        <v/>
      </c>
      <c r="H5290" s="62"/>
      <c r="I5290" s="63"/>
      <c r="J5290" s="34">
        <v>0</v>
      </c>
    </row>
    <row r="5291" spans="1:10" ht="39" hidden="1" thickBot="1" x14ac:dyDescent="0.3">
      <c r="A5291" s="262"/>
      <c r="B5291" s="266"/>
      <c r="C5291" s="40" t="s">
        <v>4209</v>
      </c>
      <c r="D5291" s="40" t="s">
        <v>291</v>
      </c>
      <c r="E5291" s="75">
        <v>1</v>
      </c>
      <c r="F5291" s="35">
        <v>732.31700000000001</v>
      </c>
      <c r="G5291" s="59">
        <f t="shared" si="93"/>
        <v>732.31700000000001</v>
      </c>
      <c r="H5291" s="43">
        <f>SUM(G5291:G5294)</f>
        <v>780.02137665732494</v>
      </c>
      <c r="I5291" s="44"/>
      <c r="J5291" s="34">
        <v>0</v>
      </c>
    </row>
    <row r="5292" spans="1:10" ht="15.75" hidden="1" thickBot="1" x14ac:dyDescent="0.3">
      <c r="A5292" s="262"/>
      <c r="B5292" s="266"/>
      <c r="C5292" s="40" t="s">
        <v>3757</v>
      </c>
      <c r="D5292" s="40" t="s">
        <v>3752</v>
      </c>
      <c r="E5292" s="75">
        <v>1.0088999999999999</v>
      </c>
      <c r="F5292" s="35">
        <v>28.0535</v>
      </c>
      <c r="G5292" s="59">
        <f t="shared" ref="G5292:G5355" si="94">IF(ISNUMBER(F5292),E5292*F5292,"")</f>
        <v>28.303176149999999</v>
      </c>
      <c r="H5292" s="62"/>
      <c r="I5292" s="63"/>
      <c r="J5292" s="34">
        <v>0</v>
      </c>
    </row>
    <row r="5293" spans="1:10" ht="15.75" hidden="1" thickBot="1" x14ac:dyDescent="0.3">
      <c r="A5293" s="262"/>
      <c r="B5293" s="266"/>
      <c r="C5293" s="40" t="s">
        <v>3754</v>
      </c>
      <c r="D5293" s="40" t="s">
        <v>3752</v>
      </c>
      <c r="E5293" s="75">
        <v>0.79269999999999996</v>
      </c>
      <c r="F5293" s="35">
        <v>20.814499999999999</v>
      </c>
      <c r="G5293" s="59">
        <f t="shared" si="94"/>
        <v>16.499654149999998</v>
      </c>
      <c r="H5293" s="62"/>
      <c r="I5293" s="63"/>
      <c r="J5293" s="34">
        <v>0</v>
      </c>
    </row>
    <row r="5294" spans="1:10" ht="26.25" hidden="1" thickBot="1" x14ac:dyDescent="0.3">
      <c r="A5294" s="262"/>
      <c r="B5294" s="266"/>
      <c r="C5294" s="40" t="s">
        <v>4739</v>
      </c>
      <c r="D5294" s="40" t="s">
        <v>3764</v>
      </c>
      <c r="E5294" s="75">
        <v>4.4000000000000003E-3</v>
      </c>
      <c r="F5294" s="35">
        <v>659.4423539375</v>
      </c>
      <c r="G5294" s="59">
        <f t="shared" si="94"/>
        <v>2.901546357325</v>
      </c>
      <c r="H5294" s="62"/>
      <c r="I5294" s="63"/>
      <c r="J5294" s="34">
        <v>0</v>
      </c>
    </row>
    <row r="5295" spans="1:10" ht="15.75" hidden="1" thickBot="1" x14ac:dyDescent="0.3">
      <c r="A5295" s="263"/>
      <c r="B5295" s="253"/>
      <c r="C5295" s="60"/>
      <c r="D5295" s="78"/>
      <c r="E5295" s="79"/>
      <c r="F5295" s="80" t="s">
        <v>23</v>
      </c>
      <c r="G5295" s="80" t="str">
        <f t="shared" si="94"/>
        <v/>
      </c>
      <c r="H5295" s="81"/>
      <c r="I5295" s="63"/>
      <c r="J5295" s="34">
        <v>0</v>
      </c>
    </row>
    <row r="5296" spans="1:10" ht="15.75" hidden="1" thickBot="1" x14ac:dyDescent="0.3">
      <c r="A5296" s="248" t="s">
        <v>1265</v>
      </c>
      <c r="B5296" s="251" t="s">
        <v>3078</v>
      </c>
      <c r="C5296" s="28"/>
      <c r="D5296" s="29" t="s">
        <v>121</v>
      </c>
      <c r="E5296" s="30"/>
      <c r="F5296" s="51" t="s">
        <v>23</v>
      </c>
      <c r="G5296" s="31" t="str">
        <f t="shared" si="94"/>
        <v/>
      </c>
      <c r="H5296" s="32"/>
      <c r="I5296" s="33"/>
      <c r="J5296" s="34">
        <v>0</v>
      </c>
    </row>
    <row r="5297" spans="1:10" ht="15.75" hidden="1" thickBot="1" x14ac:dyDescent="0.3">
      <c r="A5297" s="262"/>
      <c r="B5297" s="252"/>
      <c r="C5297" s="97"/>
      <c r="D5297" s="97"/>
      <c r="E5297" s="98"/>
      <c r="F5297" s="59" t="s">
        <v>23</v>
      </c>
      <c r="G5297" s="59" t="str">
        <f t="shared" si="94"/>
        <v/>
      </c>
      <c r="H5297" s="62"/>
      <c r="I5297" s="63"/>
      <c r="J5297" s="34">
        <v>0</v>
      </c>
    </row>
    <row r="5298" spans="1:10" ht="26.25" hidden="1" thickBot="1" x14ac:dyDescent="0.3">
      <c r="A5298" s="262"/>
      <c r="B5298" s="252"/>
      <c r="C5298" s="40" t="s">
        <v>4210</v>
      </c>
      <c r="D5298" s="40" t="s">
        <v>1286</v>
      </c>
      <c r="E5298" s="41">
        <v>1.0216000000000001</v>
      </c>
      <c r="F5298" s="35">
        <v>16.814999999999998</v>
      </c>
      <c r="G5298" s="59">
        <f t="shared" si="94"/>
        <v>17.178203999999997</v>
      </c>
      <c r="H5298" s="43">
        <f>SUM(G5298:G5300)</f>
        <v>26.323513899999995</v>
      </c>
      <c r="I5298" s="44"/>
      <c r="J5298" s="34">
        <v>0</v>
      </c>
    </row>
    <row r="5299" spans="1:10" ht="26.25" hidden="1" thickBot="1" x14ac:dyDescent="0.3">
      <c r="A5299" s="262"/>
      <c r="B5299" s="252"/>
      <c r="C5299" s="40" t="s">
        <v>4119</v>
      </c>
      <c r="D5299" s="40" t="s">
        <v>3752</v>
      </c>
      <c r="E5299" s="41">
        <v>8.1799999999999998E-2</v>
      </c>
      <c r="F5299" s="35">
        <v>21.555499999999999</v>
      </c>
      <c r="G5299" s="59">
        <f t="shared" si="94"/>
        <v>1.7632398999999999</v>
      </c>
      <c r="H5299" s="62"/>
      <c r="I5299" s="63"/>
      <c r="J5299" s="34">
        <v>0</v>
      </c>
    </row>
    <row r="5300" spans="1:10" ht="26.25" hidden="1" thickBot="1" x14ac:dyDescent="0.3">
      <c r="A5300" s="262"/>
      <c r="B5300" s="252"/>
      <c r="C5300" s="40" t="s">
        <v>4110</v>
      </c>
      <c r="D5300" s="40" t="s">
        <v>3752</v>
      </c>
      <c r="E5300" s="41">
        <v>0.27</v>
      </c>
      <c r="F5300" s="35">
        <v>27.341000000000001</v>
      </c>
      <c r="G5300" s="59">
        <f t="shared" si="94"/>
        <v>7.3820700000000006</v>
      </c>
      <c r="H5300" s="62"/>
      <c r="I5300" s="63"/>
      <c r="J5300" s="34">
        <v>0</v>
      </c>
    </row>
    <row r="5301" spans="1:10" ht="15.75" hidden="1" thickBot="1" x14ac:dyDescent="0.3">
      <c r="A5301" s="262"/>
      <c r="B5301" s="252"/>
      <c r="C5301" s="40"/>
      <c r="D5301" s="53"/>
      <c r="E5301" s="41"/>
      <c r="F5301" s="59" t="s">
        <v>23</v>
      </c>
      <c r="G5301" s="59" t="str">
        <f t="shared" si="94"/>
        <v/>
      </c>
      <c r="H5301" s="62"/>
      <c r="I5301" s="63"/>
      <c r="J5301" s="34">
        <v>0</v>
      </c>
    </row>
    <row r="5302" spans="1:10" ht="15.75" hidden="1" thickBot="1" x14ac:dyDescent="0.3">
      <c r="A5302" s="248" t="s">
        <v>1266</v>
      </c>
      <c r="B5302" s="251" t="s">
        <v>3079</v>
      </c>
      <c r="C5302" s="28"/>
      <c r="D5302" s="29" t="s">
        <v>121</v>
      </c>
      <c r="E5302" s="30"/>
      <c r="F5302" s="51" t="s">
        <v>23</v>
      </c>
      <c r="G5302" s="31" t="str">
        <f t="shared" si="94"/>
        <v/>
      </c>
      <c r="H5302" s="32"/>
      <c r="I5302" s="33"/>
      <c r="J5302" s="34">
        <v>0</v>
      </c>
    </row>
    <row r="5303" spans="1:10" ht="15.75" hidden="1" thickBot="1" x14ac:dyDescent="0.3">
      <c r="A5303" s="262"/>
      <c r="B5303" s="266"/>
      <c r="C5303" s="76"/>
      <c r="D5303" s="76"/>
      <c r="E5303" s="77"/>
      <c r="F5303" s="59" t="s">
        <v>23</v>
      </c>
      <c r="G5303" s="59" t="str">
        <f t="shared" si="94"/>
        <v/>
      </c>
      <c r="H5303" s="62"/>
      <c r="I5303" s="63"/>
      <c r="J5303" s="34">
        <v>0</v>
      </c>
    </row>
    <row r="5304" spans="1:10" ht="26.25" hidden="1" thickBot="1" x14ac:dyDescent="0.3">
      <c r="A5304" s="262"/>
      <c r="B5304" s="266"/>
      <c r="C5304" s="40" t="s">
        <v>4211</v>
      </c>
      <c r="D5304" s="40" t="s">
        <v>1286</v>
      </c>
      <c r="E5304" s="75">
        <v>1.0216000000000001</v>
      </c>
      <c r="F5304" s="35">
        <v>23.274999999999999</v>
      </c>
      <c r="G5304" s="59">
        <f t="shared" si="94"/>
        <v>23.777740000000001</v>
      </c>
      <c r="H5304" s="43">
        <f>SUM(G5304:G5306)</f>
        <v>34.719166450000003</v>
      </c>
      <c r="I5304" s="44"/>
      <c r="J5304" s="34">
        <v>0</v>
      </c>
    </row>
    <row r="5305" spans="1:10" ht="26.25" hidden="1" thickBot="1" x14ac:dyDescent="0.3">
      <c r="A5305" s="262"/>
      <c r="B5305" s="266"/>
      <c r="C5305" s="40" t="s">
        <v>4119</v>
      </c>
      <c r="D5305" s="40" t="s">
        <v>3752</v>
      </c>
      <c r="E5305" s="75">
        <v>9.7900000000000001E-2</v>
      </c>
      <c r="F5305" s="35">
        <v>21.555499999999999</v>
      </c>
      <c r="G5305" s="59">
        <f t="shared" si="94"/>
        <v>2.1102834499999998</v>
      </c>
      <c r="H5305" s="62"/>
      <c r="I5305" s="63"/>
      <c r="J5305" s="34">
        <v>0</v>
      </c>
    </row>
    <row r="5306" spans="1:10" ht="26.25" hidden="1" thickBot="1" x14ac:dyDescent="0.3">
      <c r="A5306" s="262"/>
      <c r="B5306" s="266"/>
      <c r="C5306" s="40" t="s">
        <v>4110</v>
      </c>
      <c r="D5306" s="40" t="s">
        <v>3752</v>
      </c>
      <c r="E5306" s="75">
        <v>0.32300000000000001</v>
      </c>
      <c r="F5306" s="35">
        <v>27.341000000000001</v>
      </c>
      <c r="G5306" s="59">
        <f t="shared" si="94"/>
        <v>8.8311430000000009</v>
      </c>
      <c r="H5306" s="62"/>
      <c r="I5306" s="63"/>
      <c r="J5306" s="34">
        <v>0</v>
      </c>
    </row>
    <row r="5307" spans="1:10" ht="15.75" hidden="1" thickBot="1" x14ac:dyDescent="0.3">
      <c r="A5307" s="263"/>
      <c r="B5307" s="253"/>
      <c r="C5307" s="60"/>
      <c r="D5307" s="78"/>
      <c r="E5307" s="79"/>
      <c r="F5307" s="80" t="s">
        <v>23</v>
      </c>
      <c r="G5307" s="80" t="str">
        <f t="shared" si="94"/>
        <v/>
      </c>
      <c r="H5307" s="81"/>
      <c r="I5307" s="63"/>
      <c r="J5307" s="34">
        <v>0</v>
      </c>
    </row>
    <row r="5308" spans="1:10" ht="15.75" hidden="1" thickBot="1" x14ac:dyDescent="0.3">
      <c r="A5308" s="248" t="s">
        <v>1267</v>
      </c>
      <c r="B5308" s="251" t="s">
        <v>3080</v>
      </c>
      <c r="C5308" s="28"/>
      <c r="D5308" s="29" t="s">
        <v>28</v>
      </c>
      <c r="E5308" s="30"/>
      <c r="F5308" s="51" t="s">
        <v>23</v>
      </c>
      <c r="G5308" s="31" t="str">
        <f t="shared" si="94"/>
        <v/>
      </c>
      <c r="H5308" s="32"/>
      <c r="I5308" s="33"/>
      <c r="J5308" s="34">
        <v>0</v>
      </c>
    </row>
    <row r="5309" spans="1:10" ht="15.75" hidden="1" thickBot="1" x14ac:dyDescent="0.3">
      <c r="A5309" s="262"/>
      <c r="B5309" s="266"/>
      <c r="C5309" s="76"/>
      <c r="D5309" s="76"/>
      <c r="E5309" s="77"/>
      <c r="F5309" s="59" t="s">
        <v>23</v>
      </c>
      <c r="G5309" s="59" t="str">
        <f t="shared" si="94"/>
        <v/>
      </c>
      <c r="H5309" s="62"/>
      <c r="I5309" s="63"/>
      <c r="J5309" s="34">
        <v>0</v>
      </c>
    </row>
    <row r="5310" spans="1:10" ht="15.75" hidden="1" thickBot="1" x14ac:dyDescent="0.3">
      <c r="A5310" s="262"/>
      <c r="B5310" s="266"/>
      <c r="C5310" s="40" t="s">
        <v>1268</v>
      </c>
      <c r="D5310" s="99" t="s">
        <v>291</v>
      </c>
      <c r="E5310" s="75">
        <v>1</v>
      </c>
      <c r="F5310" s="35" t="s">
        <v>23</v>
      </c>
      <c r="G5310" s="59" t="str">
        <f t="shared" si="94"/>
        <v/>
      </c>
      <c r="H5310" s="43">
        <f>SUM(G5310:G5312)</f>
        <v>6.7374836</v>
      </c>
      <c r="I5310" s="44"/>
      <c r="J5310" s="34">
        <v>0</v>
      </c>
    </row>
    <row r="5311" spans="1:10" ht="15.75" hidden="1" thickBot="1" x14ac:dyDescent="0.3">
      <c r="A5311" s="262"/>
      <c r="B5311" s="266"/>
      <c r="C5311" s="40" t="s">
        <v>3770</v>
      </c>
      <c r="D5311" s="40" t="s">
        <v>3752</v>
      </c>
      <c r="E5311" s="75">
        <v>7.4800000000000005E-2</v>
      </c>
      <c r="F5311" s="35">
        <v>21.954499999999999</v>
      </c>
      <c r="G5311" s="59">
        <f t="shared" si="94"/>
        <v>1.6421966000000001</v>
      </c>
      <c r="H5311" s="62"/>
      <c r="I5311" s="63"/>
      <c r="J5311" s="34">
        <v>0</v>
      </c>
    </row>
    <row r="5312" spans="1:10" ht="15.75" hidden="1" thickBot="1" x14ac:dyDescent="0.3">
      <c r="A5312" s="262"/>
      <c r="B5312" s="266"/>
      <c r="C5312" s="40" t="s">
        <v>3760</v>
      </c>
      <c r="D5312" s="40" t="s">
        <v>3752</v>
      </c>
      <c r="E5312" s="75">
        <v>0.17949999999999999</v>
      </c>
      <c r="F5312" s="35">
        <v>28.385999999999999</v>
      </c>
      <c r="G5312" s="59">
        <f t="shared" si="94"/>
        <v>5.0952869999999999</v>
      </c>
      <c r="H5312" s="62"/>
      <c r="I5312" s="63"/>
      <c r="J5312" s="34">
        <v>0</v>
      </c>
    </row>
    <row r="5313" spans="1:10" ht="15.75" hidden="1" thickBot="1" x14ac:dyDescent="0.3">
      <c r="A5313" s="263"/>
      <c r="B5313" s="253"/>
      <c r="C5313" s="60"/>
      <c r="D5313" s="78"/>
      <c r="E5313" s="79"/>
      <c r="F5313" s="80" t="s">
        <v>23</v>
      </c>
      <c r="G5313" s="80" t="str">
        <f t="shared" si="94"/>
        <v/>
      </c>
      <c r="H5313" s="81"/>
      <c r="I5313" s="63"/>
      <c r="J5313" s="34">
        <v>0</v>
      </c>
    </row>
    <row r="5314" spans="1:10" ht="15.75" hidden="1" thickBot="1" x14ac:dyDescent="0.3">
      <c r="A5314" s="256" t="s">
        <v>1269</v>
      </c>
      <c r="B5314" s="251" t="s">
        <v>3081</v>
      </c>
      <c r="C5314" s="28"/>
      <c r="D5314" s="29" t="s">
        <v>121</v>
      </c>
      <c r="E5314" s="30"/>
      <c r="F5314" s="51" t="s">
        <v>23</v>
      </c>
      <c r="G5314" s="31" t="str">
        <f t="shared" si="94"/>
        <v/>
      </c>
      <c r="H5314" s="32"/>
      <c r="I5314" s="33"/>
      <c r="J5314" s="34">
        <v>0</v>
      </c>
    </row>
    <row r="5315" spans="1:10" ht="15.75" hidden="1" thickBot="1" x14ac:dyDescent="0.3">
      <c r="A5315" s="264"/>
      <c r="B5315" s="266"/>
      <c r="C5315" s="36"/>
      <c r="D5315" s="36"/>
      <c r="E5315" s="37"/>
      <c r="F5315" s="59" t="s">
        <v>23</v>
      </c>
      <c r="G5315" s="59" t="str">
        <f t="shared" si="94"/>
        <v/>
      </c>
      <c r="H5315" s="62"/>
      <c r="I5315" s="63"/>
      <c r="J5315" s="34">
        <v>0</v>
      </c>
    </row>
    <row r="5316" spans="1:10" ht="15.75" hidden="1" thickBot="1" x14ac:dyDescent="0.3">
      <c r="A5316" s="264"/>
      <c r="B5316" s="266"/>
      <c r="C5316" s="40" t="s">
        <v>1270</v>
      </c>
      <c r="D5316" s="40" t="s">
        <v>121</v>
      </c>
      <c r="E5316" s="41">
        <v>1.05</v>
      </c>
      <c r="F5316" s="35" t="s">
        <v>23</v>
      </c>
      <c r="G5316" s="59" t="str">
        <f t="shared" si="94"/>
        <v/>
      </c>
      <c r="H5316" s="43">
        <f>SUM(G5316:G5318)</f>
        <v>0.14095339999999998</v>
      </c>
      <c r="I5316" s="44"/>
      <c r="J5316" s="34">
        <v>0</v>
      </c>
    </row>
    <row r="5317" spans="1:10" ht="15.75" hidden="1" thickBot="1" x14ac:dyDescent="0.3">
      <c r="A5317" s="264"/>
      <c r="B5317" s="266"/>
      <c r="C5317" s="40" t="s">
        <v>3770</v>
      </c>
      <c r="D5317" s="40" t="s">
        <v>3752</v>
      </c>
      <c r="E5317" s="41">
        <v>2.8E-3</v>
      </c>
      <c r="F5317" s="35">
        <v>21.954499999999999</v>
      </c>
      <c r="G5317" s="59">
        <f t="shared" si="94"/>
        <v>6.1472599999999995E-2</v>
      </c>
      <c r="H5317" s="62"/>
      <c r="I5317" s="63"/>
      <c r="J5317" s="34">
        <v>0</v>
      </c>
    </row>
    <row r="5318" spans="1:10" ht="15.75" hidden="1" thickBot="1" x14ac:dyDescent="0.3">
      <c r="A5318" s="264"/>
      <c r="B5318" s="266"/>
      <c r="C5318" s="40" t="s">
        <v>3760</v>
      </c>
      <c r="D5318" s="40" t="s">
        <v>3752</v>
      </c>
      <c r="E5318" s="41">
        <v>2.8E-3</v>
      </c>
      <c r="F5318" s="35">
        <v>28.385999999999999</v>
      </c>
      <c r="G5318" s="59">
        <f t="shared" si="94"/>
        <v>7.948079999999999E-2</v>
      </c>
      <c r="H5318" s="62"/>
      <c r="I5318" s="63"/>
      <c r="J5318" s="34">
        <v>0</v>
      </c>
    </row>
    <row r="5319" spans="1:10" ht="15.75" hidden="1" thickBot="1" x14ac:dyDescent="0.3">
      <c r="A5319" s="264"/>
      <c r="B5319" s="266"/>
      <c r="C5319" s="40"/>
      <c r="D5319" s="53"/>
      <c r="E5319" s="41"/>
      <c r="F5319" s="59" t="s">
        <v>23</v>
      </c>
      <c r="G5319" s="59" t="str">
        <f t="shared" si="94"/>
        <v/>
      </c>
      <c r="H5319" s="62"/>
      <c r="I5319" s="63"/>
      <c r="J5319" s="34">
        <v>0</v>
      </c>
    </row>
    <row r="5320" spans="1:10" ht="15.75" hidden="1" thickBot="1" x14ac:dyDescent="0.3">
      <c r="A5320" s="256" t="s">
        <v>1271</v>
      </c>
      <c r="B5320" s="251" t="s">
        <v>3082</v>
      </c>
      <c r="C5320" s="28"/>
      <c r="D5320" s="29" t="s">
        <v>121</v>
      </c>
      <c r="E5320" s="30"/>
      <c r="F5320" s="51" t="s">
        <v>23</v>
      </c>
      <c r="G5320" s="31" t="str">
        <f t="shared" si="94"/>
        <v/>
      </c>
      <c r="H5320" s="32"/>
      <c r="I5320" s="33"/>
      <c r="J5320" s="34">
        <v>0</v>
      </c>
    </row>
    <row r="5321" spans="1:10" ht="15.75" hidden="1" thickBot="1" x14ac:dyDescent="0.3">
      <c r="A5321" s="264"/>
      <c r="B5321" s="266"/>
      <c r="C5321" s="36"/>
      <c r="D5321" s="36"/>
      <c r="E5321" s="37"/>
      <c r="F5321" s="59" t="s">
        <v>23</v>
      </c>
      <c r="G5321" s="59" t="str">
        <f t="shared" si="94"/>
        <v/>
      </c>
      <c r="H5321" s="62"/>
      <c r="I5321" s="63"/>
      <c r="J5321" s="34">
        <v>0</v>
      </c>
    </row>
    <row r="5322" spans="1:10" ht="15.75" hidden="1" thickBot="1" x14ac:dyDescent="0.3">
      <c r="A5322" s="264"/>
      <c r="B5322" s="266"/>
      <c r="C5322" s="40" t="s">
        <v>1272</v>
      </c>
      <c r="D5322" s="40" t="s">
        <v>121</v>
      </c>
      <c r="E5322" s="41">
        <v>1.05</v>
      </c>
      <c r="F5322" s="35" t="s">
        <v>23</v>
      </c>
      <c r="G5322" s="59" t="str">
        <f t="shared" si="94"/>
        <v/>
      </c>
      <c r="H5322" s="43">
        <f>SUM(G5322:G5324)</f>
        <v>3.5792095499999999</v>
      </c>
      <c r="I5322" s="44"/>
      <c r="J5322" s="34">
        <v>0</v>
      </c>
    </row>
    <row r="5323" spans="1:10" ht="15.75" hidden="1" thickBot="1" x14ac:dyDescent="0.3">
      <c r="A5323" s="264"/>
      <c r="B5323" s="266"/>
      <c r="C5323" s="40" t="s">
        <v>3770</v>
      </c>
      <c r="D5323" s="40" t="s">
        <v>3752</v>
      </c>
      <c r="E5323" s="41">
        <v>7.1099999999999997E-2</v>
      </c>
      <c r="F5323" s="35">
        <v>21.954499999999999</v>
      </c>
      <c r="G5323" s="59">
        <f t="shared" si="94"/>
        <v>1.5609649499999998</v>
      </c>
      <c r="H5323" s="62"/>
      <c r="I5323" s="63"/>
      <c r="J5323" s="34">
        <v>0</v>
      </c>
    </row>
    <row r="5324" spans="1:10" ht="15.75" hidden="1" thickBot="1" x14ac:dyDescent="0.3">
      <c r="A5324" s="264"/>
      <c r="B5324" s="266"/>
      <c r="C5324" s="40" t="s">
        <v>3760</v>
      </c>
      <c r="D5324" s="40" t="s">
        <v>3752</v>
      </c>
      <c r="E5324" s="41">
        <v>7.1099999999999997E-2</v>
      </c>
      <c r="F5324" s="35">
        <v>28.385999999999999</v>
      </c>
      <c r="G5324" s="59">
        <f t="shared" si="94"/>
        <v>2.0182446000000001</v>
      </c>
      <c r="H5324" s="62"/>
      <c r="I5324" s="63"/>
      <c r="J5324" s="34">
        <v>0</v>
      </c>
    </row>
    <row r="5325" spans="1:10" ht="15.75" hidden="1" thickBot="1" x14ac:dyDescent="0.3">
      <c r="A5325" s="264"/>
      <c r="B5325" s="266"/>
      <c r="C5325" s="40"/>
      <c r="D5325" s="53"/>
      <c r="E5325" s="41"/>
      <c r="F5325" s="59" t="s">
        <v>23</v>
      </c>
      <c r="G5325" s="59" t="str">
        <f t="shared" si="94"/>
        <v/>
      </c>
      <c r="H5325" s="62"/>
      <c r="I5325" s="63"/>
      <c r="J5325" s="34">
        <v>0</v>
      </c>
    </row>
    <row r="5326" spans="1:10" ht="15.75" hidden="1" thickBot="1" x14ac:dyDescent="0.3">
      <c r="A5326" s="256" t="s">
        <v>1273</v>
      </c>
      <c r="B5326" s="251" t="s">
        <v>3083</v>
      </c>
      <c r="C5326" s="28"/>
      <c r="D5326" s="29" t="s">
        <v>121</v>
      </c>
      <c r="E5326" s="30"/>
      <c r="F5326" s="51" t="s">
        <v>23</v>
      </c>
      <c r="G5326" s="31" t="str">
        <f t="shared" si="94"/>
        <v/>
      </c>
      <c r="H5326" s="32"/>
      <c r="I5326" s="33"/>
      <c r="J5326" s="34">
        <v>0</v>
      </c>
    </row>
    <row r="5327" spans="1:10" ht="15.75" hidden="1" thickBot="1" x14ac:dyDescent="0.3">
      <c r="A5327" s="264"/>
      <c r="B5327" s="266"/>
      <c r="C5327" s="36"/>
      <c r="D5327" s="36"/>
      <c r="E5327" s="37"/>
      <c r="F5327" s="59" t="s">
        <v>23</v>
      </c>
      <c r="G5327" s="59" t="str">
        <f t="shared" si="94"/>
        <v/>
      </c>
      <c r="H5327" s="62"/>
      <c r="I5327" s="63"/>
      <c r="J5327" s="34">
        <v>0</v>
      </c>
    </row>
    <row r="5328" spans="1:10" ht="15.75" hidden="1" thickBot="1" x14ac:dyDescent="0.3">
      <c r="A5328" s="264"/>
      <c r="B5328" s="266"/>
      <c r="C5328" s="70" t="s">
        <v>1274</v>
      </c>
      <c r="D5328" s="40" t="s">
        <v>121</v>
      </c>
      <c r="E5328" s="41">
        <v>1.05</v>
      </c>
      <c r="F5328" s="35" t="s">
        <v>23</v>
      </c>
      <c r="G5328" s="59" t="str">
        <f t="shared" si="94"/>
        <v/>
      </c>
      <c r="H5328" s="43">
        <f>SUM(G5328:G5330)</f>
        <v>0.14095339999999998</v>
      </c>
      <c r="I5328" s="44"/>
      <c r="J5328" s="34">
        <v>0</v>
      </c>
    </row>
    <row r="5329" spans="1:10" ht="15.75" hidden="1" thickBot="1" x14ac:dyDescent="0.3">
      <c r="A5329" s="264"/>
      <c r="B5329" s="266"/>
      <c r="C5329" s="40" t="s">
        <v>3770</v>
      </c>
      <c r="D5329" s="40" t="s">
        <v>3752</v>
      </c>
      <c r="E5329" s="41">
        <v>2.8E-3</v>
      </c>
      <c r="F5329" s="35">
        <v>21.954499999999999</v>
      </c>
      <c r="G5329" s="59">
        <f t="shared" si="94"/>
        <v>6.1472599999999995E-2</v>
      </c>
      <c r="H5329" s="62"/>
      <c r="I5329" s="63"/>
      <c r="J5329" s="34">
        <v>0</v>
      </c>
    </row>
    <row r="5330" spans="1:10" ht="15.75" hidden="1" thickBot="1" x14ac:dyDescent="0.3">
      <c r="A5330" s="264"/>
      <c r="B5330" s="266"/>
      <c r="C5330" s="40" t="s">
        <v>3760</v>
      </c>
      <c r="D5330" s="40" t="s">
        <v>3752</v>
      </c>
      <c r="E5330" s="41">
        <v>2.8E-3</v>
      </c>
      <c r="F5330" s="35">
        <v>28.385999999999999</v>
      </c>
      <c r="G5330" s="59">
        <f t="shared" si="94"/>
        <v>7.948079999999999E-2</v>
      </c>
      <c r="H5330" s="62"/>
      <c r="I5330" s="63"/>
      <c r="J5330" s="34">
        <v>0</v>
      </c>
    </row>
    <row r="5331" spans="1:10" ht="15.75" hidden="1" thickBot="1" x14ac:dyDescent="0.3">
      <c r="A5331" s="264"/>
      <c r="B5331" s="266"/>
      <c r="C5331" s="40"/>
      <c r="D5331" s="53"/>
      <c r="E5331" s="41"/>
      <c r="F5331" s="59" t="s">
        <v>23</v>
      </c>
      <c r="G5331" s="59" t="str">
        <f t="shared" si="94"/>
        <v/>
      </c>
      <c r="H5331" s="62"/>
      <c r="I5331" s="63"/>
      <c r="J5331" s="34">
        <v>0</v>
      </c>
    </row>
    <row r="5332" spans="1:10" ht="15.75" hidden="1" thickBot="1" x14ac:dyDescent="0.3">
      <c r="A5332" s="256" t="s">
        <v>1275</v>
      </c>
      <c r="B5332" s="251" t="s">
        <v>3084</v>
      </c>
      <c r="C5332" s="28"/>
      <c r="D5332" s="29" t="s">
        <v>121</v>
      </c>
      <c r="E5332" s="30"/>
      <c r="F5332" s="51" t="s">
        <v>23</v>
      </c>
      <c r="G5332" s="31" t="str">
        <f t="shared" si="94"/>
        <v/>
      </c>
      <c r="H5332" s="32"/>
      <c r="I5332" s="33"/>
      <c r="J5332" s="34">
        <v>0</v>
      </c>
    </row>
    <row r="5333" spans="1:10" ht="15.75" hidden="1" thickBot="1" x14ac:dyDescent="0.3">
      <c r="A5333" s="264"/>
      <c r="B5333" s="266"/>
      <c r="C5333" s="36"/>
      <c r="D5333" s="36"/>
      <c r="E5333" s="37"/>
      <c r="F5333" s="59" t="s">
        <v>23</v>
      </c>
      <c r="G5333" s="59" t="str">
        <f t="shared" si="94"/>
        <v/>
      </c>
      <c r="H5333" s="62"/>
      <c r="I5333" s="63"/>
      <c r="J5333" s="34">
        <v>0</v>
      </c>
    </row>
    <row r="5334" spans="1:10" ht="15.75" hidden="1" thickBot="1" x14ac:dyDescent="0.3">
      <c r="A5334" s="264"/>
      <c r="B5334" s="266"/>
      <c r="C5334" s="70" t="s">
        <v>1276</v>
      </c>
      <c r="D5334" s="40" t="s">
        <v>121</v>
      </c>
      <c r="E5334" s="41">
        <v>1.05</v>
      </c>
      <c r="F5334" s="35" t="s">
        <v>23</v>
      </c>
      <c r="G5334" s="59" t="str">
        <f t="shared" si="94"/>
        <v/>
      </c>
      <c r="H5334" s="43">
        <f>SUM(G5334:G5336)</f>
        <v>0.14095339999999998</v>
      </c>
      <c r="I5334" s="44"/>
      <c r="J5334" s="34">
        <v>0</v>
      </c>
    </row>
    <row r="5335" spans="1:10" ht="15.75" hidden="1" thickBot="1" x14ac:dyDescent="0.3">
      <c r="A5335" s="264"/>
      <c r="B5335" s="266"/>
      <c r="C5335" s="40" t="s">
        <v>3770</v>
      </c>
      <c r="D5335" s="40" t="s">
        <v>3752</v>
      </c>
      <c r="E5335" s="41">
        <v>2.8E-3</v>
      </c>
      <c r="F5335" s="35">
        <v>21.954499999999999</v>
      </c>
      <c r="G5335" s="59">
        <f t="shared" si="94"/>
        <v>6.1472599999999995E-2</v>
      </c>
      <c r="H5335" s="62"/>
      <c r="I5335" s="63"/>
      <c r="J5335" s="34">
        <v>0</v>
      </c>
    </row>
    <row r="5336" spans="1:10" ht="15.75" hidden="1" thickBot="1" x14ac:dyDescent="0.3">
      <c r="A5336" s="264"/>
      <c r="B5336" s="266"/>
      <c r="C5336" s="40" t="s">
        <v>3760</v>
      </c>
      <c r="D5336" s="40" t="s">
        <v>3752</v>
      </c>
      <c r="E5336" s="41">
        <v>2.8E-3</v>
      </c>
      <c r="F5336" s="35">
        <v>28.385999999999999</v>
      </c>
      <c r="G5336" s="59">
        <f t="shared" si="94"/>
        <v>7.948079999999999E-2</v>
      </c>
      <c r="H5336" s="62"/>
      <c r="I5336" s="63"/>
      <c r="J5336" s="34">
        <v>0</v>
      </c>
    </row>
    <row r="5337" spans="1:10" ht="15.75" hidden="1" thickBot="1" x14ac:dyDescent="0.3">
      <c r="A5337" s="264"/>
      <c r="B5337" s="266"/>
      <c r="C5337" s="40"/>
      <c r="D5337" s="53"/>
      <c r="E5337" s="41"/>
      <c r="F5337" s="59" t="s">
        <v>23</v>
      </c>
      <c r="G5337" s="59" t="str">
        <f t="shared" si="94"/>
        <v/>
      </c>
      <c r="H5337" s="62"/>
      <c r="I5337" s="63"/>
      <c r="J5337" s="34">
        <v>0</v>
      </c>
    </row>
    <row r="5338" spans="1:10" ht="15.75" hidden="1" thickBot="1" x14ac:dyDescent="0.3">
      <c r="A5338" s="256" t="s">
        <v>1277</v>
      </c>
      <c r="B5338" s="251" t="s">
        <v>3085</v>
      </c>
      <c r="C5338" s="28"/>
      <c r="D5338" s="29" t="s">
        <v>28</v>
      </c>
      <c r="E5338" s="30"/>
      <c r="F5338" s="45" t="s">
        <v>23</v>
      </c>
      <c r="G5338" s="31" t="str">
        <f t="shared" si="94"/>
        <v/>
      </c>
      <c r="H5338" s="32"/>
      <c r="I5338" s="33"/>
      <c r="J5338" s="34">
        <v>0</v>
      </c>
    </row>
    <row r="5339" spans="1:10" ht="15.75" hidden="1" thickBot="1" x14ac:dyDescent="0.3">
      <c r="A5339" s="257"/>
      <c r="B5339" s="266"/>
      <c r="C5339" s="36"/>
      <c r="D5339" s="36"/>
      <c r="E5339" s="37"/>
      <c r="F5339" s="46" t="s">
        <v>23</v>
      </c>
      <c r="G5339" s="35" t="str">
        <f t="shared" si="94"/>
        <v/>
      </c>
      <c r="H5339" s="39"/>
      <c r="I5339" s="35"/>
      <c r="J5339" s="34">
        <v>0</v>
      </c>
    </row>
    <row r="5340" spans="1:10" ht="15.75" hidden="1" thickBot="1" x14ac:dyDescent="0.3">
      <c r="A5340" s="257"/>
      <c r="B5340" s="266"/>
      <c r="C5340" s="40" t="s">
        <v>3770</v>
      </c>
      <c r="D5340" s="40" t="s">
        <v>3752</v>
      </c>
      <c r="E5340" s="41">
        <v>0.59730000000000005</v>
      </c>
      <c r="F5340" s="35">
        <v>21.954499999999999</v>
      </c>
      <c r="G5340" s="38">
        <f t="shared" si="94"/>
        <v>13.113422850000001</v>
      </c>
      <c r="H5340" s="43">
        <f>SUM(G5340:G5343)</f>
        <v>72.295880650000001</v>
      </c>
      <c r="I5340" s="44"/>
      <c r="J5340" s="34">
        <v>0</v>
      </c>
    </row>
    <row r="5341" spans="1:10" ht="15.75" hidden="1" thickBot="1" x14ac:dyDescent="0.3">
      <c r="A5341" s="257"/>
      <c r="B5341" s="266"/>
      <c r="C5341" s="40" t="s">
        <v>3760</v>
      </c>
      <c r="D5341" s="40" t="s">
        <v>3752</v>
      </c>
      <c r="E5341" s="41">
        <v>0.59730000000000005</v>
      </c>
      <c r="F5341" s="35">
        <v>28.385999999999999</v>
      </c>
      <c r="G5341" s="38">
        <f t="shared" si="94"/>
        <v>16.954957800000003</v>
      </c>
      <c r="H5341" s="39"/>
      <c r="I5341" s="35"/>
      <c r="J5341" s="34">
        <v>0</v>
      </c>
    </row>
    <row r="5342" spans="1:10" ht="39" hidden="1" thickBot="1" x14ac:dyDescent="0.3">
      <c r="A5342" s="257"/>
      <c r="B5342" s="266"/>
      <c r="C5342" s="40" t="s">
        <v>4148</v>
      </c>
      <c r="D5342" s="40" t="s">
        <v>291</v>
      </c>
      <c r="E5342" s="41">
        <v>2</v>
      </c>
      <c r="F5342" s="38">
        <v>0.35149999999999998</v>
      </c>
      <c r="G5342" s="38">
        <f t="shared" si="94"/>
        <v>0.70299999999999996</v>
      </c>
      <c r="H5342" s="39"/>
      <c r="I5342" s="35"/>
      <c r="J5342" s="34">
        <v>0</v>
      </c>
    </row>
    <row r="5343" spans="1:10" ht="26.25" hidden="1" thickBot="1" x14ac:dyDescent="0.3">
      <c r="A5343" s="257"/>
      <c r="B5343" s="266"/>
      <c r="C5343" s="40" t="s">
        <v>4212</v>
      </c>
      <c r="D5343" s="40" t="s">
        <v>291</v>
      </c>
      <c r="E5343" s="41">
        <v>1</v>
      </c>
      <c r="F5343" s="38">
        <v>41.524499999999996</v>
      </c>
      <c r="G5343" s="35">
        <f t="shared" si="94"/>
        <v>41.524499999999996</v>
      </c>
      <c r="H5343" s="39"/>
      <c r="I5343" s="35"/>
      <c r="J5343" s="34">
        <v>0</v>
      </c>
    </row>
    <row r="5344" spans="1:10" ht="15.75" hidden="1" thickBot="1" x14ac:dyDescent="0.3">
      <c r="A5344" s="258"/>
      <c r="B5344" s="253"/>
      <c r="C5344" s="40"/>
      <c r="D5344" s="40"/>
      <c r="E5344" s="41"/>
      <c r="F5344" s="35" t="s">
        <v>23</v>
      </c>
      <c r="G5344" s="35" t="str">
        <f t="shared" si="94"/>
        <v/>
      </c>
      <c r="H5344" s="39"/>
      <c r="I5344" s="35"/>
      <c r="J5344" s="34">
        <v>0</v>
      </c>
    </row>
    <row r="5345" spans="1:10" ht="15.75" hidden="1" thickBot="1" x14ac:dyDescent="0.3">
      <c r="A5345" s="256" t="s">
        <v>1278</v>
      </c>
      <c r="B5345" s="251" t="s">
        <v>1279</v>
      </c>
      <c r="C5345" s="28"/>
      <c r="D5345" s="29" t="s">
        <v>121</v>
      </c>
      <c r="E5345" s="30"/>
      <c r="F5345" s="45" t="s">
        <v>23</v>
      </c>
      <c r="G5345" s="31" t="str">
        <f t="shared" si="94"/>
        <v/>
      </c>
      <c r="H5345" s="32"/>
      <c r="I5345" s="33"/>
      <c r="J5345" s="34">
        <v>0</v>
      </c>
    </row>
    <row r="5346" spans="1:10" ht="15.75" hidden="1" thickBot="1" x14ac:dyDescent="0.3">
      <c r="A5346" s="257"/>
      <c r="B5346" s="266"/>
      <c r="C5346" s="36"/>
      <c r="D5346" s="36"/>
      <c r="E5346" s="37"/>
      <c r="F5346" s="46" t="s">
        <v>23</v>
      </c>
      <c r="G5346" s="35" t="str">
        <f t="shared" si="94"/>
        <v/>
      </c>
      <c r="H5346" s="39"/>
      <c r="I5346" s="35"/>
      <c r="J5346" s="34">
        <v>0</v>
      </c>
    </row>
    <row r="5347" spans="1:10" ht="15.75" hidden="1" thickBot="1" x14ac:dyDescent="0.3">
      <c r="A5347" s="257"/>
      <c r="B5347" s="266"/>
      <c r="C5347" s="40" t="s">
        <v>3770</v>
      </c>
      <c r="D5347" s="40" t="s">
        <v>3752</v>
      </c>
      <c r="E5347" s="41">
        <v>0.12280000000000001</v>
      </c>
      <c r="F5347" s="35">
        <v>21.954499999999999</v>
      </c>
      <c r="G5347" s="38">
        <f t="shared" si="94"/>
        <v>2.6960126</v>
      </c>
      <c r="H5347" s="43">
        <f>SUM(G5347:G5350)</f>
        <v>6.2170394</v>
      </c>
      <c r="I5347" s="44"/>
      <c r="J5347" s="34">
        <v>0</v>
      </c>
    </row>
    <row r="5348" spans="1:10" ht="15.75" hidden="1" thickBot="1" x14ac:dyDescent="0.3">
      <c r="A5348" s="257"/>
      <c r="B5348" s="266"/>
      <c r="C5348" s="40" t="s">
        <v>3760</v>
      </c>
      <c r="D5348" s="40" t="s">
        <v>3752</v>
      </c>
      <c r="E5348" s="41">
        <v>0.12280000000000001</v>
      </c>
      <c r="F5348" s="35">
        <v>28.385999999999999</v>
      </c>
      <c r="G5348" s="38">
        <f t="shared" si="94"/>
        <v>3.4858008000000003</v>
      </c>
      <c r="H5348" s="39"/>
      <c r="I5348" s="35"/>
      <c r="J5348" s="34">
        <v>0</v>
      </c>
    </row>
    <row r="5349" spans="1:10" ht="26.25" hidden="1" thickBot="1" x14ac:dyDescent="0.3">
      <c r="A5349" s="257"/>
      <c r="B5349" s="266"/>
      <c r="C5349" s="40" t="s">
        <v>3907</v>
      </c>
      <c r="D5349" s="40" t="s">
        <v>291</v>
      </c>
      <c r="E5349" s="41">
        <v>8.9999999999999993E-3</v>
      </c>
      <c r="F5349" s="38">
        <v>3.9139999999999997</v>
      </c>
      <c r="G5349" s="38">
        <f t="shared" si="94"/>
        <v>3.5225999999999993E-2</v>
      </c>
      <c r="H5349" s="39"/>
      <c r="I5349" s="35"/>
      <c r="J5349" s="34">
        <v>0</v>
      </c>
    </row>
    <row r="5350" spans="1:10" ht="15.75" hidden="1" thickBot="1" x14ac:dyDescent="0.3">
      <c r="A5350" s="257"/>
      <c r="B5350" s="266"/>
      <c r="C5350" s="40" t="s">
        <v>1279</v>
      </c>
      <c r="D5350" s="40" t="s">
        <v>121</v>
      </c>
      <c r="E5350" s="41">
        <v>1.0149999999999999</v>
      </c>
      <c r="F5350" s="38" t="s">
        <v>23</v>
      </c>
      <c r="G5350" s="35" t="str">
        <f t="shared" si="94"/>
        <v/>
      </c>
      <c r="H5350" s="39"/>
      <c r="I5350" s="35"/>
      <c r="J5350" s="34">
        <v>0</v>
      </c>
    </row>
    <row r="5351" spans="1:10" ht="15.75" hidden="1" thickBot="1" x14ac:dyDescent="0.3">
      <c r="A5351" s="258"/>
      <c r="B5351" s="253"/>
      <c r="C5351" s="40"/>
      <c r="D5351" s="40"/>
      <c r="E5351" s="41"/>
      <c r="F5351" s="35" t="s">
        <v>23</v>
      </c>
      <c r="G5351" s="35" t="str">
        <f t="shared" si="94"/>
        <v/>
      </c>
      <c r="H5351" s="39"/>
      <c r="I5351" s="35"/>
      <c r="J5351" s="34">
        <v>0</v>
      </c>
    </row>
    <row r="5352" spans="1:10" ht="15.75" hidden="1" thickBot="1" x14ac:dyDescent="0.3">
      <c r="A5352" s="256" t="s">
        <v>1280</v>
      </c>
      <c r="B5352" s="251" t="s">
        <v>1281</v>
      </c>
      <c r="C5352" s="28"/>
      <c r="D5352" s="29" t="s">
        <v>121</v>
      </c>
      <c r="E5352" s="30"/>
      <c r="F5352" s="45" t="s">
        <v>23</v>
      </c>
      <c r="G5352" s="31" t="str">
        <f t="shared" si="94"/>
        <v/>
      </c>
      <c r="H5352" s="32"/>
      <c r="I5352" s="33"/>
      <c r="J5352" s="34">
        <v>0</v>
      </c>
    </row>
    <row r="5353" spans="1:10" ht="15.75" hidden="1" thickBot="1" x14ac:dyDescent="0.3">
      <c r="A5353" s="257"/>
      <c r="B5353" s="266"/>
      <c r="C5353" s="36"/>
      <c r="D5353" s="36"/>
      <c r="E5353" s="37"/>
      <c r="F5353" s="46" t="s">
        <v>23</v>
      </c>
      <c r="G5353" s="35" t="str">
        <f t="shared" si="94"/>
        <v/>
      </c>
      <c r="H5353" s="39"/>
      <c r="I5353" s="35"/>
      <c r="J5353" s="34">
        <v>0</v>
      </c>
    </row>
    <row r="5354" spans="1:10" ht="15.75" hidden="1" thickBot="1" x14ac:dyDescent="0.3">
      <c r="A5354" s="257"/>
      <c r="B5354" s="266"/>
      <c r="C5354" s="40" t="s">
        <v>3770</v>
      </c>
      <c r="D5354" s="40" t="s">
        <v>3752</v>
      </c>
      <c r="E5354" s="41">
        <v>0.25119999999999998</v>
      </c>
      <c r="F5354" s="35">
        <v>21.954499999999999</v>
      </c>
      <c r="G5354" s="38">
        <f t="shared" si="94"/>
        <v>5.5149703999999993</v>
      </c>
      <c r="H5354" s="43">
        <f>SUM(G5354:G5357)</f>
        <v>12.680759599999998</v>
      </c>
      <c r="I5354" s="44"/>
      <c r="J5354" s="34">
        <v>0</v>
      </c>
    </row>
    <row r="5355" spans="1:10" ht="15.75" hidden="1" thickBot="1" x14ac:dyDescent="0.3">
      <c r="A5355" s="257"/>
      <c r="B5355" s="266"/>
      <c r="C5355" s="40" t="s">
        <v>3760</v>
      </c>
      <c r="D5355" s="40" t="s">
        <v>3752</v>
      </c>
      <c r="E5355" s="41">
        <v>0.25119999999999998</v>
      </c>
      <c r="F5355" s="35">
        <v>28.385999999999999</v>
      </c>
      <c r="G5355" s="38">
        <f t="shared" si="94"/>
        <v>7.1305631999999992</v>
      </c>
      <c r="H5355" s="39"/>
      <c r="I5355" s="35"/>
      <c r="J5355" s="34">
        <v>0</v>
      </c>
    </row>
    <row r="5356" spans="1:10" ht="26.25" hidden="1" thickBot="1" x14ac:dyDescent="0.3">
      <c r="A5356" s="257"/>
      <c r="B5356" s="266"/>
      <c r="C5356" s="40" t="s">
        <v>3907</v>
      </c>
      <c r="D5356" s="40" t="s">
        <v>291</v>
      </c>
      <c r="E5356" s="41">
        <v>8.9999999999999993E-3</v>
      </c>
      <c r="F5356" s="38">
        <v>3.9139999999999997</v>
      </c>
      <c r="G5356" s="38">
        <f t="shared" ref="G5356:G5419" si="95">IF(ISNUMBER(F5356),E5356*F5356,"")</f>
        <v>3.5225999999999993E-2</v>
      </c>
      <c r="H5356" s="39"/>
      <c r="I5356" s="35"/>
      <c r="J5356" s="34">
        <v>0</v>
      </c>
    </row>
    <row r="5357" spans="1:10" ht="15.75" hidden="1" thickBot="1" x14ac:dyDescent="0.3">
      <c r="A5357" s="257"/>
      <c r="B5357" s="266"/>
      <c r="C5357" s="40" t="s">
        <v>1281</v>
      </c>
      <c r="D5357" s="40" t="s">
        <v>121</v>
      </c>
      <c r="E5357" s="41">
        <v>1.0149999999999999</v>
      </c>
      <c r="F5357" s="38" t="s">
        <v>23</v>
      </c>
      <c r="G5357" s="35" t="str">
        <f t="shared" si="95"/>
        <v/>
      </c>
      <c r="H5357" s="39"/>
      <c r="I5357" s="35"/>
      <c r="J5357" s="34">
        <v>0</v>
      </c>
    </row>
    <row r="5358" spans="1:10" ht="15.75" hidden="1" thickBot="1" x14ac:dyDescent="0.3">
      <c r="A5358" s="258"/>
      <c r="B5358" s="253"/>
      <c r="C5358" s="40"/>
      <c r="D5358" s="40"/>
      <c r="E5358" s="41"/>
      <c r="F5358" s="35" t="s">
        <v>23</v>
      </c>
      <c r="G5358" s="35" t="str">
        <f t="shared" si="95"/>
        <v/>
      </c>
      <c r="H5358" s="39"/>
      <c r="I5358" s="35"/>
      <c r="J5358" s="34">
        <v>0</v>
      </c>
    </row>
    <row r="5359" spans="1:10" ht="15.75" hidden="1" thickBot="1" x14ac:dyDescent="0.3">
      <c r="A5359" s="256" t="s">
        <v>1282</v>
      </c>
      <c r="B5359" s="251" t="s">
        <v>3086</v>
      </c>
      <c r="C5359" s="28"/>
      <c r="D5359" s="29" t="s">
        <v>28</v>
      </c>
      <c r="E5359" s="30"/>
      <c r="F5359" s="51" t="s">
        <v>23</v>
      </c>
      <c r="G5359" s="31" t="str">
        <f t="shared" si="95"/>
        <v/>
      </c>
      <c r="H5359" s="32"/>
      <c r="I5359" s="33"/>
      <c r="J5359" s="34">
        <v>0</v>
      </c>
    </row>
    <row r="5360" spans="1:10" ht="15.75" hidden="1" thickBot="1" x14ac:dyDescent="0.3">
      <c r="A5360" s="264"/>
      <c r="B5360" s="266"/>
      <c r="C5360" s="36"/>
      <c r="D5360" s="36"/>
      <c r="E5360" s="37"/>
      <c r="F5360" s="59" t="s">
        <v>23</v>
      </c>
      <c r="G5360" s="59" t="str">
        <f t="shared" si="95"/>
        <v/>
      </c>
      <c r="H5360" s="62"/>
      <c r="I5360" s="63"/>
      <c r="J5360" s="34">
        <v>0</v>
      </c>
    </row>
    <row r="5361" spans="1:10" ht="15.75" hidden="1" thickBot="1" x14ac:dyDescent="0.3">
      <c r="A5361" s="264"/>
      <c r="B5361" s="266"/>
      <c r="C5361" s="70" t="s">
        <v>1283</v>
      </c>
      <c r="D5361" s="40" t="s">
        <v>28</v>
      </c>
      <c r="E5361" s="41">
        <v>1</v>
      </c>
      <c r="F5361" s="35" t="s">
        <v>23</v>
      </c>
      <c r="G5361" s="59" t="str">
        <f t="shared" si="95"/>
        <v/>
      </c>
      <c r="H5361" s="43">
        <f>SUM(G5361:G5363)</f>
        <v>125.85124999999999</v>
      </c>
      <c r="I5361" s="44"/>
      <c r="J5361" s="34">
        <v>0</v>
      </c>
    </row>
    <row r="5362" spans="1:10" ht="15.75" hidden="1" thickBot="1" x14ac:dyDescent="0.3">
      <c r="A5362" s="264"/>
      <c r="B5362" s="266"/>
      <c r="C5362" s="40" t="s">
        <v>3770</v>
      </c>
      <c r="D5362" s="40" t="s">
        <v>3752</v>
      </c>
      <c r="E5362" s="41">
        <v>2.5</v>
      </c>
      <c r="F5362" s="35">
        <v>21.954499999999999</v>
      </c>
      <c r="G5362" s="59">
        <f t="shared" si="95"/>
        <v>54.886249999999997</v>
      </c>
      <c r="H5362" s="62"/>
      <c r="I5362" s="63"/>
      <c r="J5362" s="34">
        <v>0</v>
      </c>
    </row>
    <row r="5363" spans="1:10" ht="15.75" hidden="1" thickBot="1" x14ac:dyDescent="0.3">
      <c r="A5363" s="264"/>
      <c r="B5363" s="266"/>
      <c r="C5363" s="40" t="s">
        <v>3760</v>
      </c>
      <c r="D5363" s="40" t="s">
        <v>3752</v>
      </c>
      <c r="E5363" s="41">
        <v>2.5</v>
      </c>
      <c r="F5363" s="35">
        <v>28.385999999999999</v>
      </c>
      <c r="G5363" s="59">
        <f t="shared" si="95"/>
        <v>70.965000000000003</v>
      </c>
      <c r="H5363" s="62"/>
      <c r="I5363" s="63"/>
      <c r="J5363" s="34">
        <v>0</v>
      </c>
    </row>
    <row r="5364" spans="1:10" ht="15.75" hidden="1" thickBot="1" x14ac:dyDescent="0.3">
      <c r="A5364" s="264"/>
      <c r="B5364" s="266"/>
      <c r="C5364" s="40"/>
      <c r="D5364" s="53"/>
      <c r="E5364" s="41"/>
      <c r="F5364" s="59" t="s">
        <v>23</v>
      </c>
      <c r="G5364" s="59" t="str">
        <f t="shared" si="95"/>
        <v/>
      </c>
      <c r="H5364" s="62"/>
      <c r="I5364" s="63"/>
      <c r="J5364" s="34">
        <v>0</v>
      </c>
    </row>
    <row r="5365" spans="1:10" ht="15.75" hidden="1" thickBot="1" x14ac:dyDescent="0.3">
      <c r="A5365" s="248" t="s">
        <v>1284</v>
      </c>
      <c r="B5365" s="251" t="s">
        <v>3087</v>
      </c>
      <c r="C5365" s="28"/>
      <c r="D5365" s="29" t="s">
        <v>121</v>
      </c>
      <c r="E5365" s="30"/>
      <c r="F5365" s="45" t="s">
        <v>23</v>
      </c>
      <c r="G5365" s="31" t="str">
        <f t="shared" si="95"/>
        <v/>
      </c>
      <c r="H5365" s="32"/>
      <c r="I5365" s="33"/>
      <c r="J5365" s="34">
        <v>0</v>
      </c>
    </row>
    <row r="5366" spans="1:10" ht="15.75" hidden="1" thickBot="1" x14ac:dyDescent="0.3">
      <c r="A5366" s="249"/>
      <c r="B5366" s="266"/>
      <c r="C5366" s="36"/>
      <c r="D5366" s="36"/>
      <c r="E5366" s="37"/>
      <c r="F5366" s="46" t="s">
        <v>23</v>
      </c>
      <c r="G5366" s="35" t="str">
        <f t="shared" si="95"/>
        <v/>
      </c>
      <c r="H5366" s="39"/>
      <c r="I5366" s="35"/>
      <c r="J5366" s="34">
        <v>0</v>
      </c>
    </row>
    <row r="5367" spans="1:10" ht="39" hidden="1" thickBot="1" x14ac:dyDescent="0.3">
      <c r="A5367" s="249"/>
      <c r="B5367" s="266"/>
      <c r="C5367" s="40" t="s">
        <v>1285</v>
      </c>
      <c r="D5367" s="40" t="s">
        <v>1286</v>
      </c>
      <c r="E5367" s="41">
        <v>1.1000000000000001</v>
      </c>
      <c r="F5367" s="35">
        <v>0</v>
      </c>
      <c r="G5367" s="38">
        <f t="shared" si="95"/>
        <v>0</v>
      </c>
      <c r="H5367" s="43">
        <f>SUM(G5367:G5369)</f>
        <v>8.6636000499999994</v>
      </c>
      <c r="I5367" s="44"/>
      <c r="J5367" s="34">
        <v>0</v>
      </c>
    </row>
    <row r="5368" spans="1:10" ht="15.75" hidden="1" thickBot="1" x14ac:dyDescent="0.3">
      <c r="A5368" s="249"/>
      <c r="B5368" s="266"/>
      <c r="C5368" s="40" t="s">
        <v>3770</v>
      </c>
      <c r="D5368" s="40" t="s">
        <v>3752</v>
      </c>
      <c r="E5368" s="41">
        <v>0.1721</v>
      </c>
      <c r="F5368" s="35">
        <v>21.954499999999999</v>
      </c>
      <c r="G5368" s="38">
        <f t="shared" si="95"/>
        <v>3.77836945</v>
      </c>
      <c r="H5368" s="39"/>
      <c r="I5368" s="35"/>
      <c r="J5368" s="34">
        <v>0</v>
      </c>
    </row>
    <row r="5369" spans="1:10" ht="15.75" hidden="1" thickBot="1" x14ac:dyDescent="0.3">
      <c r="A5369" s="249"/>
      <c r="B5369" s="266"/>
      <c r="C5369" s="40" t="s">
        <v>3760</v>
      </c>
      <c r="D5369" s="40" t="s">
        <v>3752</v>
      </c>
      <c r="E5369" s="41">
        <v>0.1721</v>
      </c>
      <c r="F5369" s="38">
        <v>28.385999999999999</v>
      </c>
      <c r="G5369" s="35">
        <f t="shared" si="95"/>
        <v>4.8852305999999999</v>
      </c>
      <c r="H5369" s="39"/>
      <c r="I5369" s="35"/>
      <c r="J5369" s="34">
        <v>0</v>
      </c>
    </row>
    <row r="5370" spans="1:10" ht="15.75" hidden="1" thickBot="1" x14ac:dyDescent="0.3">
      <c r="A5370" s="250"/>
      <c r="B5370" s="253"/>
      <c r="C5370" s="40"/>
      <c r="D5370" s="40"/>
      <c r="E5370" s="41"/>
      <c r="F5370" s="35" t="s">
        <v>23</v>
      </c>
      <c r="G5370" s="35" t="str">
        <f t="shared" si="95"/>
        <v/>
      </c>
      <c r="H5370" s="39"/>
      <c r="I5370" s="35"/>
      <c r="J5370" s="34">
        <v>0</v>
      </c>
    </row>
    <row r="5371" spans="1:10" ht="15.75" hidden="1" thickBot="1" x14ac:dyDescent="0.3">
      <c r="A5371" s="248" t="s">
        <v>1287</v>
      </c>
      <c r="B5371" s="251" t="s">
        <v>3088</v>
      </c>
      <c r="C5371" s="28"/>
      <c r="D5371" s="29" t="s">
        <v>28</v>
      </c>
      <c r="E5371" s="30"/>
      <c r="F5371" s="45" t="s">
        <v>23</v>
      </c>
      <c r="G5371" s="31" t="str">
        <f t="shared" si="95"/>
        <v/>
      </c>
      <c r="H5371" s="32"/>
      <c r="I5371" s="33"/>
      <c r="J5371" s="34">
        <v>0</v>
      </c>
    </row>
    <row r="5372" spans="1:10" ht="15.75" hidden="1" thickBot="1" x14ac:dyDescent="0.3">
      <c r="A5372" s="249"/>
      <c r="B5372" s="266"/>
      <c r="C5372" s="36"/>
      <c r="D5372" s="36"/>
      <c r="E5372" s="37"/>
      <c r="F5372" s="46" t="s">
        <v>23</v>
      </c>
      <c r="G5372" s="35" t="str">
        <f t="shared" si="95"/>
        <v/>
      </c>
      <c r="H5372" s="39"/>
      <c r="I5372" s="35"/>
      <c r="J5372" s="34">
        <v>0</v>
      </c>
    </row>
    <row r="5373" spans="1:10" ht="15.75" hidden="1" thickBot="1" x14ac:dyDescent="0.3">
      <c r="A5373" s="249"/>
      <c r="B5373" s="266"/>
      <c r="C5373" s="40" t="s">
        <v>3760</v>
      </c>
      <c r="D5373" s="40" t="s">
        <v>3752</v>
      </c>
      <c r="E5373" s="41">
        <f>0.3/2</f>
        <v>0.15</v>
      </c>
      <c r="F5373" s="35">
        <v>28.385999999999999</v>
      </c>
      <c r="G5373" s="38">
        <f t="shared" si="95"/>
        <v>4.2578999999999994</v>
      </c>
      <c r="H5373" s="43">
        <f>SUM(G5373:G5376)</f>
        <v>7.5510749999999991</v>
      </c>
      <c r="I5373" s="44"/>
      <c r="J5373" s="34">
        <v>0</v>
      </c>
    </row>
    <row r="5374" spans="1:10" ht="15.75" hidden="1" thickBot="1" x14ac:dyDescent="0.3">
      <c r="A5374" s="249"/>
      <c r="B5374" s="266"/>
      <c r="C5374" s="40" t="s">
        <v>3770</v>
      </c>
      <c r="D5374" s="40" t="s">
        <v>3752</v>
      </c>
      <c r="E5374" s="41">
        <f>0.3/2</f>
        <v>0.15</v>
      </c>
      <c r="F5374" s="35">
        <v>21.954499999999999</v>
      </c>
      <c r="G5374" s="38">
        <f t="shared" si="95"/>
        <v>3.2931749999999997</v>
      </c>
      <c r="H5374" s="39"/>
      <c r="I5374" s="35"/>
      <c r="J5374" s="34">
        <v>0</v>
      </c>
    </row>
    <row r="5375" spans="1:10" ht="26.25" hidden="1" thickBot="1" x14ac:dyDescent="0.3">
      <c r="A5375" s="249"/>
      <c r="B5375" s="266"/>
      <c r="C5375" s="40" t="s">
        <v>394</v>
      </c>
      <c r="D5375" s="40" t="s">
        <v>28</v>
      </c>
      <c r="E5375" s="41">
        <v>1</v>
      </c>
      <c r="F5375" s="38" t="s">
        <v>23</v>
      </c>
      <c r="G5375" s="38" t="str">
        <f t="shared" si="95"/>
        <v/>
      </c>
      <c r="H5375" s="39"/>
      <c r="I5375" s="35"/>
      <c r="J5375" s="34">
        <v>0</v>
      </c>
    </row>
    <row r="5376" spans="1:10" ht="26.25" hidden="1" thickBot="1" x14ac:dyDescent="0.3">
      <c r="A5376" s="249"/>
      <c r="B5376" s="266"/>
      <c r="C5376" s="40" t="s">
        <v>1288</v>
      </c>
      <c r="D5376" s="40" t="s">
        <v>28</v>
      </c>
      <c r="E5376" s="41">
        <v>1</v>
      </c>
      <c r="F5376" s="38" t="s">
        <v>23</v>
      </c>
      <c r="G5376" s="35" t="str">
        <f t="shared" si="95"/>
        <v/>
      </c>
      <c r="H5376" s="39"/>
      <c r="I5376" s="35"/>
      <c r="J5376" s="34">
        <v>0</v>
      </c>
    </row>
    <row r="5377" spans="1:10" ht="15.75" hidden="1" thickBot="1" x14ac:dyDescent="0.3">
      <c r="A5377" s="250"/>
      <c r="B5377" s="253"/>
      <c r="C5377" s="40"/>
      <c r="D5377" s="40"/>
      <c r="E5377" s="41"/>
      <c r="F5377" s="35" t="s">
        <v>23</v>
      </c>
      <c r="G5377" s="35" t="str">
        <f t="shared" si="95"/>
        <v/>
      </c>
      <c r="H5377" s="39"/>
      <c r="I5377" s="35"/>
      <c r="J5377" s="34">
        <v>0</v>
      </c>
    </row>
    <row r="5378" spans="1:10" ht="15.75" hidden="1" thickBot="1" x14ac:dyDescent="0.3">
      <c r="A5378" s="248" t="s">
        <v>1289</v>
      </c>
      <c r="B5378" s="251" t="s">
        <v>3089</v>
      </c>
      <c r="C5378" s="28"/>
      <c r="D5378" s="29" t="s">
        <v>121</v>
      </c>
      <c r="E5378" s="30"/>
      <c r="F5378" s="45" t="s">
        <v>23</v>
      </c>
      <c r="G5378" s="31" t="str">
        <f t="shared" si="95"/>
        <v/>
      </c>
      <c r="H5378" s="32"/>
      <c r="I5378" s="33"/>
      <c r="J5378" s="34">
        <v>0</v>
      </c>
    </row>
    <row r="5379" spans="1:10" ht="15.75" hidden="1" thickBot="1" x14ac:dyDescent="0.3">
      <c r="A5379" s="249"/>
      <c r="B5379" s="266"/>
      <c r="C5379" s="36"/>
      <c r="D5379" s="36"/>
      <c r="E5379" s="37"/>
      <c r="F5379" s="46" t="s">
        <v>23</v>
      </c>
      <c r="G5379" s="35" t="str">
        <f t="shared" si="95"/>
        <v/>
      </c>
      <c r="H5379" s="39"/>
      <c r="I5379" s="35"/>
      <c r="J5379" s="34">
        <v>0</v>
      </c>
    </row>
    <row r="5380" spans="1:10" ht="15.75" hidden="1" thickBot="1" x14ac:dyDescent="0.3">
      <c r="A5380" s="249"/>
      <c r="B5380" s="266"/>
      <c r="C5380" s="40" t="s">
        <v>3760</v>
      </c>
      <c r="D5380" s="40" t="s">
        <v>3752</v>
      </c>
      <c r="E5380" s="41">
        <v>0.65</v>
      </c>
      <c r="F5380" s="35">
        <v>28.385999999999999</v>
      </c>
      <c r="G5380" s="38">
        <f t="shared" si="95"/>
        <v>18.450900000000001</v>
      </c>
      <c r="H5380" s="43">
        <f>SUM(G5380:G5382)</f>
        <v>32.721325</v>
      </c>
      <c r="I5380" s="44"/>
      <c r="J5380" s="34">
        <v>0</v>
      </c>
    </row>
    <row r="5381" spans="1:10" ht="15.75" hidden="1" thickBot="1" x14ac:dyDescent="0.3">
      <c r="A5381" s="249"/>
      <c r="B5381" s="266"/>
      <c r="C5381" s="40" t="s">
        <v>3770</v>
      </c>
      <c r="D5381" s="40" t="s">
        <v>3752</v>
      </c>
      <c r="E5381" s="41">
        <v>0.65</v>
      </c>
      <c r="F5381" s="35">
        <v>21.954499999999999</v>
      </c>
      <c r="G5381" s="38">
        <f t="shared" si="95"/>
        <v>14.270424999999999</v>
      </c>
      <c r="H5381" s="39"/>
      <c r="I5381" s="35"/>
      <c r="J5381" s="34">
        <v>0</v>
      </c>
    </row>
    <row r="5382" spans="1:10" ht="26.25" hidden="1" thickBot="1" x14ac:dyDescent="0.3">
      <c r="A5382" s="249"/>
      <c r="B5382" s="266"/>
      <c r="C5382" s="40" t="s">
        <v>1290</v>
      </c>
      <c r="D5382" s="40" t="s">
        <v>121</v>
      </c>
      <c r="E5382" s="41">
        <v>1.05</v>
      </c>
      <c r="F5382" s="35" t="s">
        <v>23</v>
      </c>
      <c r="G5382" s="38" t="str">
        <f t="shared" si="95"/>
        <v/>
      </c>
      <c r="H5382" s="39"/>
      <c r="I5382" s="35"/>
      <c r="J5382" s="34">
        <v>0</v>
      </c>
    </row>
    <row r="5383" spans="1:10" ht="15.75" hidden="1" thickBot="1" x14ac:dyDescent="0.3">
      <c r="A5383" s="250"/>
      <c r="B5383" s="253"/>
      <c r="C5383" s="40"/>
      <c r="D5383" s="40"/>
      <c r="E5383" s="41"/>
      <c r="F5383" s="35" t="s">
        <v>23</v>
      </c>
      <c r="G5383" s="35" t="str">
        <f t="shared" si="95"/>
        <v/>
      </c>
      <c r="H5383" s="39"/>
      <c r="I5383" s="35"/>
      <c r="J5383" s="34">
        <v>0</v>
      </c>
    </row>
    <row r="5384" spans="1:10" ht="15.75" hidden="1" thickBot="1" x14ac:dyDescent="0.3">
      <c r="A5384" s="248" t="s">
        <v>1291</v>
      </c>
      <c r="B5384" s="251" t="s">
        <v>3090</v>
      </c>
      <c r="C5384" s="28"/>
      <c r="D5384" s="29" t="s">
        <v>121</v>
      </c>
      <c r="E5384" s="30"/>
      <c r="F5384" s="45" t="s">
        <v>23</v>
      </c>
      <c r="G5384" s="31" t="str">
        <f t="shared" si="95"/>
        <v/>
      </c>
      <c r="H5384" s="32"/>
      <c r="I5384" s="33"/>
      <c r="J5384" s="34">
        <v>0</v>
      </c>
    </row>
    <row r="5385" spans="1:10" ht="15.75" hidden="1" thickBot="1" x14ac:dyDescent="0.3">
      <c r="A5385" s="249"/>
      <c r="B5385" s="266"/>
      <c r="C5385" s="36"/>
      <c r="D5385" s="36"/>
      <c r="E5385" s="37"/>
      <c r="F5385" s="46" t="s">
        <v>23</v>
      </c>
      <c r="G5385" s="35" t="str">
        <f t="shared" si="95"/>
        <v/>
      </c>
      <c r="H5385" s="39"/>
      <c r="I5385" s="35"/>
      <c r="J5385" s="34">
        <v>0</v>
      </c>
    </row>
    <row r="5386" spans="1:10" ht="15.75" hidden="1" thickBot="1" x14ac:dyDescent="0.3">
      <c r="A5386" s="249"/>
      <c r="B5386" s="266"/>
      <c r="C5386" s="40" t="s">
        <v>3760</v>
      </c>
      <c r="D5386" s="40" t="s">
        <v>3752</v>
      </c>
      <c r="E5386" s="41">
        <v>0.65</v>
      </c>
      <c r="F5386" s="35">
        <v>28.385999999999999</v>
      </c>
      <c r="G5386" s="38">
        <f t="shared" si="95"/>
        <v>18.450900000000001</v>
      </c>
      <c r="H5386" s="43">
        <f>SUM(G5386:G5388)</f>
        <v>32.721325</v>
      </c>
      <c r="I5386" s="44"/>
      <c r="J5386" s="34">
        <v>0</v>
      </c>
    </row>
    <row r="5387" spans="1:10" ht="15.75" hidden="1" thickBot="1" x14ac:dyDescent="0.3">
      <c r="A5387" s="249"/>
      <c r="B5387" s="266"/>
      <c r="C5387" s="40" t="s">
        <v>3770</v>
      </c>
      <c r="D5387" s="40" t="s">
        <v>3752</v>
      </c>
      <c r="E5387" s="41">
        <v>0.65</v>
      </c>
      <c r="F5387" s="35">
        <v>21.954499999999999</v>
      </c>
      <c r="G5387" s="38">
        <f t="shared" si="95"/>
        <v>14.270424999999999</v>
      </c>
      <c r="H5387" s="39"/>
      <c r="I5387" s="35"/>
      <c r="J5387" s="34">
        <v>0</v>
      </c>
    </row>
    <row r="5388" spans="1:10" ht="26.25" hidden="1" thickBot="1" x14ac:dyDescent="0.3">
      <c r="A5388" s="249"/>
      <c r="B5388" s="266"/>
      <c r="C5388" s="40" t="s">
        <v>1292</v>
      </c>
      <c r="D5388" s="40" t="s">
        <v>121</v>
      </c>
      <c r="E5388" s="41">
        <v>1.05</v>
      </c>
      <c r="F5388" s="35" t="s">
        <v>23</v>
      </c>
      <c r="G5388" s="38" t="str">
        <f t="shared" si="95"/>
        <v/>
      </c>
      <c r="H5388" s="39"/>
      <c r="I5388" s="35"/>
      <c r="J5388" s="34">
        <v>0</v>
      </c>
    </row>
    <row r="5389" spans="1:10" ht="15.75" hidden="1" thickBot="1" x14ac:dyDescent="0.3">
      <c r="A5389" s="250"/>
      <c r="B5389" s="253"/>
      <c r="C5389" s="40"/>
      <c r="D5389" s="40"/>
      <c r="E5389" s="41"/>
      <c r="F5389" s="35" t="s">
        <v>23</v>
      </c>
      <c r="G5389" s="35" t="str">
        <f t="shared" si="95"/>
        <v/>
      </c>
      <c r="H5389" s="39"/>
      <c r="I5389" s="35"/>
      <c r="J5389" s="34">
        <v>0</v>
      </c>
    </row>
    <row r="5390" spans="1:10" ht="15.75" hidden="1" thickBot="1" x14ac:dyDescent="0.3">
      <c r="A5390" s="248" t="s">
        <v>1293</v>
      </c>
      <c r="B5390" s="251" t="s">
        <v>3091</v>
      </c>
      <c r="C5390" s="28"/>
      <c r="D5390" s="29" t="s">
        <v>28</v>
      </c>
      <c r="E5390" s="30"/>
      <c r="F5390" s="45" t="s">
        <v>23</v>
      </c>
      <c r="G5390" s="31" t="str">
        <f t="shared" si="95"/>
        <v/>
      </c>
      <c r="H5390" s="32"/>
      <c r="I5390" s="33"/>
      <c r="J5390" s="34">
        <v>0</v>
      </c>
    </row>
    <row r="5391" spans="1:10" ht="15.75" hidden="1" thickBot="1" x14ac:dyDescent="0.3">
      <c r="A5391" s="249"/>
      <c r="B5391" s="266"/>
      <c r="C5391" s="36"/>
      <c r="D5391" s="36"/>
      <c r="E5391" s="37"/>
      <c r="F5391" s="46" t="s">
        <v>23</v>
      </c>
      <c r="G5391" s="35" t="str">
        <f t="shared" si="95"/>
        <v/>
      </c>
      <c r="H5391" s="39"/>
      <c r="I5391" s="35"/>
      <c r="J5391" s="34">
        <v>0</v>
      </c>
    </row>
    <row r="5392" spans="1:10" ht="51.75" hidden="1" thickBot="1" x14ac:dyDescent="0.3">
      <c r="A5392" s="249"/>
      <c r="B5392" s="266"/>
      <c r="C5392" s="40" t="s">
        <v>1294</v>
      </c>
      <c r="D5392" s="40" t="s">
        <v>102</v>
      </c>
      <c r="E5392" s="41">
        <v>1</v>
      </c>
      <c r="F5392" s="38" t="s">
        <v>23</v>
      </c>
      <c r="G5392" s="35" t="str">
        <f t="shared" si="95"/>
        <v/>
      </c>
      <c r="H5392" s="43">
        <f>SUM(G5392:G5396)</f>
        <v>15.55470055</v>
      </c>
      <c r="I5392" s="44"/>
      <c r="J5392" s="34">
        <v>0</v>
      </c>
    </row>
    <row r="5393" spans="1:10" ht="26.25" hidden="1" thickBot="1" x14ac:dyDescent="0.3">
      <c r="A5393" s="249"/>
      <c r="B5393" s="266"/>
      <c r="C5393" s="40" t="s">
        <v>1295</v>
      </c>
      <c r="D5393" s="40" t="s">
        <v>102</v>
      </c>
      <c r="E5393" s="41">
        <v>1</v>
      </c>
      <c r="F5393" s="38" t="s">
        <v>23</v>
      </c>
      <c r="G5393" s="35" t="str">
        <f t="shared" si="95"/>
        <v/>
      </c>
      <c r="H5393" s="48"/>
      <c r="I5393" s="49"/>
      <c r="J5393" s="34">
        <v>0</v>
      </c>
    </row>
    <row r="5394" spans="1:10" ht="39" hidden="1" thickBot="1" x14ac:dyDescent="0.3">
      <c r="A5394" s="249"/>
      <c r="B5394" s="266"/>
      <c r="C5394" s="40" t="s">
        <v>1296</v>
      </c>
      <c r="D5394" s="40" t="s">
        <v>102</v>
      </c>
      <c r="E5394" s="41">
        <v>2</v>
      </c>
      <c r="F5394" s="38" t="s">
        <v>23</v>
      </c>
      <c r="G5394" s="35" t="str">
        <f t="shared" si="95"/>
        <v/>
      </c>
      <c r="H5394" s="48"/>
      <c r="I5394" s="49"/>
      <c r="J5394" s="34">
        <v>0</v>
      </c>
    </row>
    <row r="5395" spans="1:10" ht="15.75" hidden="1" thickBot="1" x14ac:dyDescent="0.3">
      <c r="A5395" s="249"/>
      <c r="B5395" s="266"/>
      <c r="C5395" s="40" t="s">
        <v>3770</v>
      </c>
      <c r="D5395" s="40" t="s">
        <v>3752</v>
      </c>
      <c r="E5395" s="41">
        <v>0.17269999999999999</v>
      </c>
      <c r="F5395" s="35">
        <v>21.954499999999999</v>
      </c>
      <c r="G5395" s="35">
        <f t="shared" si="95"/>
        <v>3.7915421499999997</v>
      </c>
      <c r="H5395" s="39"/>
      <c r="I5395" s="35"/>
      <c r="J5395" s="34">
        <v>0</v>
      </c>
    </row>
    <row r="5396" spans="1:10" ht="15.75" hidden="1" thickBot="1" x14ac:dyDescent="0.3">
      <c r="A5396" s="249"/>
      <c r="B5396" s="266"/>
      <c r="C5396" s="40" t="s">
        <v>3760</v>
      </c>
      <c r="D5396" s="40" t="s">
        <v>3752</v>
      </c>
      <c r="E5396" s="41">
        <v>0.41439999999999999</v>
      </c>
      <c r="F5396" s="35">
        <v>28.385999999999999</v>
      </c>
      <c r="G5396" s="35">
        <f t="shared" si="95"/>
        <v>11.7631584</v>
      </c>
      <c r="H5396" s="39"/>
      <c r="I5396" s="35"/>
      <c r="J5396" s="34">
        <v>0</v>
      </c>
    </row>
    <row r="5397" spans="1:10" ht="15.75" hidden="1" thickBot="1" x14ac:dyDescent="0.3">
      <c r="A5397" s="250"/>
      <c r="B5397" s="253"/>
      <c r="C5397" s="40"/>
      <c r="D5397" s="40"/>
      <c r="E5397" s="41"/>
      <c r="F5397" s="35" t="s">
        <v>23</v>
      </c>
      <c r="G5397" s="35" t="str">
        <f t="shared" si="95"/>
        <v/>
      </c>
      <c r="H5397" s="39"/>
      <c r="I5397" s="35"/>
      <c r="J5397" s="34">
        <v>0</v>
      </c>
    </row>
    <row r="5398" spans="1:10" ht="15.75" hidden="1" thickBot="1" x14ac:dyDescent="0.3">
      <c r="A5398" s="248" t="s">
        <v>1297</v>
      </c>
      <c r="B5398" s="251" t="s">
        <v>3092</v>
      </c>
      <c r="C5398" s="28"/>
      <c r="D5398" s="29" t="s">
        <v>28</v>
      </c>
      <c r="E5398" s="30"/>
      <c r="F5398" s="45" t="s">
        <v>23</v>
      </c>
      <c r="G5398" s="31" t="str">
        <f t="shared" si="95"/>
        <v/>
      </c>
      <c r="H5398" s="32"/>
      <c r="I5398" s="33"/>
      <c r="J5398" s="34">
        <v>0</v>
      </c>
    </row>
    <row r="5399" spans="1:10" ht="15.75" hidden="1" thickBot="1" x14ac:dyDescent="0.3">
      <c r="A5399" s="249"/>
      <c r="B5399" s="266"/>
      <c r="C5399" s="36"/>
      <c r="D5399" s="36"/>
      <c r="E5399" s="37"/>
      <c r="F5399" s="46" t="s">
        <v>23</v>
      </c>
      <c r="G5399" s="35" t="str">
        <f t="shared" si="95"/>
        <v/>
      </c>
      <c r="H5399" s="39"/>
      <c r="I5399" s="35"/>
      <c r="J5399" s="34">
        <v>0</v>
      </c>
    </row>
    <row r="5400" spans="1:10" ht="51.75" hidden="1" thickBot="1" x14ac:dyDescent="0.3">
      <c r="A5400" s="249"/>
      <c r="B5400" s="266"/>
      <c r="C5400" s="40" t="s">
        <v>4213</v>
      </c>
      <c r="D5400" s="40" t="s">
        <v>1041</v>
      </c>
      <c r="E5400" s="41">
        <v>0.23880000000000001</v>
      </c>
      <c r="F5400" s="38">
        <v>238.74449999999999</v>
      </c>
      <c r="G5400" s="35">
        <f t="shared" si="95"/>
        <v>57.0121866</v>
      </c>
      <c r="H5400" s="43">
        <f>SUM(G5400:G5404)</f>
        <v>430.45205564999998</v>
      </c>
      <c r="I5400" s="44"/>
      <c r="J5400" s="34">
        <v>0</v>
      </c>
    </row>
    <row r="5401" spans="1:10" ht="26.25" hidden="1" thickBot="1" x14ac:dyDescent="0.3">
      <c r="A5401" s="249"/>
      <c r="B5401" s="266"/>
      <c r="C5401" s="40" t="s">
        <v>3907</v>
      </c>
      <c r="D5401" s="40" t="s">
        <v>291</v>
      </c>
      <c r="E5401" s="41">
        <v>1.4E-2</v>
      </c>
      <c r="F5401" s="38">
        <v>3.9139999999999997</v>
      </c>
      <c r="G5401" s="35">
        <f t="shared" si="95"/>
        <v>5.4795999999999997E-2</v>
      </c>
      <c r="H5401" s="48"/>
      <c r="I5401" s="49"/>
      <c r="J5401" s="34">
        <v>0</v>
      </c>
    </row>
    <row r="5402" spans="1:10" ht="26.25" hidden="1" thickBot="1" x14ac:dyDescent="0.3">
      <c r="A5402" s="249"/>
      <c r="B5402" s="266"/>
      <c r="C5402" s="40" t="s">
        <v>4214</v>
      </c>
      <c r="D5402" s="40" t="s">
        <v>291</v>
      </c>
      <c r="E5402" s="41">
        <v>1</v>
      </c>
      <c r="F5402" s="38">
        <v>361.399</v>
      </c>
      <c r="G5402" s="35">
        <f t="shared" si="95"/>
        <v>361.399</v>
      </c>
      <c r="H5402" s="48"/>
      <c r="I5402" s="49"/>
      <c r="J5402" s="34">
        <v>0</v>
      </c>
    </row>
    <row r="5403" spans="1:10" ht="15.75" hidden="1" thickBot="1" x14ac:dyDescent="0.3">
      <c r="A5403" s="249"/>
      <c r="B5403" s="266"/>
      <c r="C5403" s="40" t="s">
        <v>3770</v>
      </c>
      <c r="D5403" s="40" t="s">
        <v>3752</v>
      </c>
      <c r="E5403" s="41">
        <v>0.23810000000000001</v>
      </c>
      <c r="F5403" s="35">
        <v>21.954499999999999</v>
      </c>
      <c r="G5403" s="35">
        <f t="shared" si="95"/>
        <v>5.2273664499999999</v>
      </c>
      <c r="H5403" s="39"/>
      <c r="I5403" s="35"/>
      <c r="J5403" s="34">
        <v>0</v>
      </c>
    </row>
    <row r="5404" spans="1:10" ht="15.75" hidden="1" thickBot="1" x14ac:dyDescent="0.3">
      <c r="A5404" s="249"/>
      <c r="B5404" s="266"/>
      <c r="C5404" s="40" t="s">
        <v>3760</v>
      </c>
      <c r="D5404" s="40" t="s">
        <v>3752</v>
      </c>
      <c r="E5404" s="41">
        <v>0.23810000000000001</v>
      </c>
      <c r="F5404" s="35">
        <v>28.385999999999999</v>
      </c>
      <c r="G5404" s="35">
        <f t="shared" si="95"/>
        <v>6.7587066</v>
      </c>
      <c r="H5404" s="39"/>
      <c r="I5404" s="35"/>
      <c r="J5404" s="34">
        <v>0</v>
      </c>
    </row>
    <row r="5405" spans="1:10" ht="15.75" hidden="1" thickBot="1" x14ac:dyDescent="0.3">
      <c r="A5405" s="250"/>
      <c r="B5405" s="253"/>
      <c r="C5405" s="40"/>
      <c r="D5405" s="40"/>
      <c r="E5405" s="41"/>
      <c r="F5405" s="35" t="s">
        <v>23</v>
      </c>
      <c r="G5405" s="35" t="str">
        <f t="shared" si="95"/>
        <v/>
      </c>
      <c r="H5405" s="39"/>
      <c r="I5405" s="35"/>
      <c r="J5405" s="34">
        <v>0</v>
      </c>
    </row>
    <row r="5406" spans="1:10" ht="15.75" hidden="1" thickBot="1" x14ac:dyDescent="0.3">
      <c r="A5406" s="248" t="s">
        <v>1298</v>
      </c>
      <c r="B5406" s="251" t="s">
        <v>3093</v>
      </c>
      <c r="C5406" s="28"/>
      <c r="D5406" s="29" t="s">
        <v>28</v>
      </c>
      <c r="E5406" s="30"/>
      <c r="F5406" s="45" t="s">
        <v>23</v>
      </c>
      <c r="G5406" s="31" t="str">
        <f t="shared" si="95"/>
        <v/>
      </c>
      <c r="H5406" s="32"/>
      <c r="I5406" s="33"/>
      <c r="J5406" s="34">
        <v>0</v>
      </c>
    </row>
    <row r="5407" spans="1:10" ht="15.75" hidden="1" thickBot="1" x14ac:dyDescent="0.3">
      <c r="A5407" s="249"/>
      <c r="B5407" s="266"/>
      <c r="C5407" s="36"/>
      <c r="D5407" s="36"/>
      <c r="E5407" s="37"/>
      <c r="F5407" s="46" t="s">
        <v>23</v>
      </c>
      <c r="G5407" s="35" t="str">
        <f t="shared" si="95"/>
        <v/>
      </c>
      <c r="H5407" s="39"/>
      <c r="I5407" s="35"/>
      <c r="J5407" s="34">
        <v>0</v>
      </c>
    </row>
    <row r="5408" spans="1:10" ht="51.75" hidden="1" thickBot="1" x14ac:dyDescent="0.3">
      <c r="A5408" s="249"/>
      <c r="B5408" s="266"/>
      <c r="C5408" s="40" t="s">
        <v>4213</v>
      </c>
      <c r="D5408" s="40" t="s">
        <v>1041</v>
      </c>
      <c r="E5408" s="41">
        <v>0.23880000000000001</v>
      </c>
      <c r="F5408" s="38">
        <v>238.74449999999999</v>
      </c>
      <c r="G5408" s="35">
        <f t="shared" si="95"/>
        <v>57.0121866</v>
      </c>
      <c r="H5408" s="43">
        <f>SUM(G5408:G5412)</f>
        <v>551.43455564999988</v>
      </c>
      <c r="I5408" s="44"/>
      <c r="J5408" s="34">
        <v>0</v>
      </c>
    </row>
    <row r="5409" spans="1:10" ht="26.25" hidden="1" thickBot="1" x14ac:dyDescent="0.3">
      <c r="A5409" s="249"/>
      <c r="B5409" s="266"/>
      <c r="C5409" s="40" t="s">
        <v>3907</v>
      </c>
      <c r="D5409" s="40" t="s">
        <v>291</v>
      </c>
      <c r="E5409" s="41">
        <v>1.4E-2</v>
      </c>
      <c r="F5409" s="38">
        <v>3.9139999999999997</v>
      </c>
      <c r="G5409" s="35">
        <f t="shared" si="95"/>
        <v>5.4795999999999997E-2</v>
      </c>
      <c r="H5409" s="48"/>
      <c r="I5409" s="49"/>
      <c r="J5409" s="34">
        <v>0</v>
      </c>
    </row>
    <row r="5410" spans="1:10" ht="26.25" hidden="1" thickBot="1" x14ac:dyDescent="0.3">
      <c r="A5410" s="249"/>
      <c r="B5410" s="266"/>
      <c r="C5410" s="40" t="s">
        <v>4215</v>
      </c>
      <c r="D5410" s="40" t="s">
        <v>291</v>
      </c>
      <c r="E5410" s="41">
        <v>1</v>
      </c>
      <c r="F5410" s="38">
        <v>482.38149999999996</v>
      </c>
      <c r="G5410" s="35">
        <f t="shared" si="95"/>
        <v>482.38149999999996</v>
      </c>
      <c r="H5410" s="48"/>
      <c r="I5410" s="49"/>
      <c r="J5410" s="34">
        <v>0</v>
      </c>
    </row>
    <row r="5411" spans="1:10" ht="15.75" hidden="1" thickBot="1" x14ac:dyDescent="0.3">
      <c r="A5411" s="249"/>
      <c r="B5411" s="266"/>
      <c r="C5411" s="40" t="s">
        <v>3770</v>
      </c>
      <c r="D5411" s="40" t="s">
        <v>3752</v>
      </c>
      <c r="E5411" s="41">
        <v>0.23810000000000001</v>
      </c>
      <c r="F5411" s="35">
        <v>21.954499999999999</v>
      </c>
      <c r="G5411" s="35">
        <f t="shared" si="95"/>
        <v>5.2273664499999999</v>
      </c>
      <c r="H5411" s="39"/>
      <c r="I5411" s="35"/>
      <c r="J5411" s="34">
        <v>0</v>
      </c>
    </row>
    <row r="5412" spans="1:10" ht="15.75" hidden="1" thickBot="1" x14ac:dyDescent="0.3">
      <c r="A5412" s="249"/>
      <c r="B5412" s="266"/>
      <c r="C5412" s="40" t="s">
        <v>3760</v>
      </c>
      <c r="D5412" s="40" t="s">
        <v>3752</v>
      </c>
      <c r="E5412" s="41">
        <v>0.23810000000000001</v>
      </c>
      <c r="F5412" s="35">
        <v>28.385999999999999</v>
      </c>
      <c r="G5412" s="35">
        <f t="shared" si="95"/>
        <v>6.7587066</v>
      </c>
      <c r="H5412" s="39"/>
      <c r="I5412" s="35"/>
      <c r="J5412" s="34">
        <v>0</v>
      </c>
    </row>
    <row r="5413" spans="1:10" ht="15.75" hidden="1" thickBot="1" x14ac:dyDescent="0.3">
      <c r="A5413" s="250"/>
      <c r="B5413" s="253"/>
      <c r="C5413" s="40"/>
      <c r="D5413" s="40"/>
      <c r="E5413" s="41"/>
      <c r="F5413" s="35" t="s">
        <v>23</v>
      </c>
      <c r="G5413" s="35" t="str">
        <f t="shared" si="95"/>
        <v/>
      </c>
      <c r="H5413" s="39"/>
      <c r="I5413" s="35"/>
      <c r="J5413" s="34">
        <v>0</v>
      </c>
    </row>
    <row r="5414" spans="1:10" ht="15.75" hidden="1" thickBot="1" x14ac:dyDescent="0.3">
      <c r="A5414" s="248" t="s">
        <v>1299</v>
      </c>
      <c r="B5414" s="251" t="s">
        <v>3094</v>
      </c>
      <c r="C5414" s="28"/>
      <c r="D5414" s="29" t="s">
        <v>28</v>
      </c>
      <c r="E5414" s="30"/>
      <c r="F5414" s="45" t="s">
        <v>23</v>
      </c>
      <c r="G5414" s="31" t="str">
        <f t="shared" si="95"/>
        <v/>
      </c>
      <c r="H5414" s="32"/>
      <c r="I5414" s="33"/>
      <c r="J5414" s="34">
        <v>0</v>
      </c>
    </row>
    <row r="5415" spans="1:10" ht="15.75" hidden="1" thickBot="1" x14ac:dyDescent="0.3">
      <c r="A5415" s="249"/>
      <c r="B5415" s="266"/>
      <c r="C5415" s="36"/>
      <c r="D5415" s="36"/>
      <c r="E5415" s="37"/>
      <c r="F5415" s="46" t="s">
        <v>23</v>
      </c>
      <c r="G5415" s="35" t="str">
        <f t="shared" si="95"/>
        <v/>
      </c>
      <c r="H5415" s="39"/>
      <c r="I5415" s="35"/>
      <c r="J5415" s="34">
        <v>0</v>
      </c>
    </row>
    <row r="5416" spans="1:10" ht="26.25" hidden="1" thickBot="1" x14ac:dyDescent="0.3">
      <c r="A5416" s="249"/>
      <c r="B5416" s="266"/>
      <c r="C5416" s="40" t="s">
        <v>4216</v>
      </c>
      <c r="D5416" s="40" t="s">
        <v>291</v>
      </c>
      <c r="E5416" s="41">
        <v>1</v>
      </c>
      <c r="F5416" s="38">
        <v>1845.6599999999999</v>
      </c>
      <c r="G5416" s="35">
        <f t="shared" si="95"/>
        <v>1845.6599999999999</v>
      </c>
      <c r="H5416" s="43">
        <f>SUM(G5416:G5419)</f>
        <v>1952.8599427499998</v>
      </c>
      <c r="I5416" s="44"/>
      <c r="J5416" s="34">
        <v>0</v>
      </c>
    </row>
    <row r="5417" spans="1:10" ht="51.75" hidden="1" thickBot="1" x14ac:dyDescent="0.3">
      <c r="A5417" s="249"/>
      <c r="B5417" s="266"/>
      <c r="C5417" s="40" t="s">
        <v>4213</v>
      </c>
      <c r="D5417" s="40" t="s">
        <v>1041</v>
      </c>
      <c r="E5417" s="41">
        <v>0.111</v>
      </c>
      <c r="F5417" s="38">
        <v>238.74449999999999</v>
      </c>
      <c r="G5417" s="35">
        <f t="shared" si="95"/>
        <v>26.500639499999998</v>
      </c>
      <c r="H5417" s="48"/>
      <c r="I5417" s="49"/>
      <c r="J5417" s="34">
        <v>0</v>
      </c>
    </row>
    <row r="5418" spans="1:10" ht="15.75" hidden="1" thickBot="1" x14ac:dyDescent="0.3">
      <c r="A5418" s="249"/>
      <c r="B5418" s="266"/>
      <c r="C5418" s="40" t="s">
        <v>3770</v>
      </c>
      <c r="D5418" s="40" t="s">
        <v>3752</v>
      </c>
      <c r="E5418" s="41">
        <f>1.413/2</f>
        <v>0.70650000000000002</v>
      </c>
      <c r="F5418" s="38">
        <v>21.954499999999999</v>
      </c>
      <c r="G5418" s="35">
        <f t="shared" si="95"/>
        <v>15.51085425</v>
      </c>
      <c r="H5418" s="48"/>
      <c r="I5418" s="49"/>
      <c r="J5418" s="34">
        <v>0</v>
      </c>
    </row>
    <row r="5419" spans="1:10" ht="15.75" hidden="1" thickBot="1" x14ac:dyDescent="0.3">
      <c r="A5419" s="249"/>
      <c r="B5419" s="266"/>
      <c r="C5419" s="40" t="s">
        <v>3760</v>
      </c>
      <c r="D5419" s="40" t="s">
        <v>3752</v>
      </c>
      <c r="E5419" s="41">
        <f>4.593/2</f>
        <v>2.2965</v>
      </c>
      <c r="F5419" s="35">
        <v>28.385999999999999</v>
      </c>
      <c r="G5419" s="35">
        <f t="shared" si="95"/>
        <v>65.188448999999991</v>
      </c>
      <c r="H5419" s="39"/>
      <c r="I5419" s="35"/>
      <c r="J5419" s="34">
        <v>0</v>
      </c>
    </row>
    <row r="5420" spans="1:10" ht="15.75" hidden="1" thickBot="1" x14ac:dyDescent="0.3">
      <c r="A5420" s="250"/>
      <c r="B5420" s="253"/>
      <c r="C5420" s="40"/>
      <c r="D5420" s="40"/>
      <c r="E5420" s="41"/>
      <c r="F5420" s="35" t="s">
        <v>23</v>
      </c>
      <c r="G5420" s="35" t="str">
        <f t="shared" ref="G5420:G5483" si="96">IF(ISNUMBER(F5420),E5420*F5420,"")</f>
        <v/>
      </c>
      <c r="H5420" s="39"/>
      <c r="I5420" s="35"/>
      <c r="J5420" s="34">
        <v>0</v>
      </c>
    </row>
    <row r="5421" spans="1:10" ht="15.75" hidden="1" thickBot="1" x14ac:dyDescent="0.3">
      <c r="A5421" s="256" t="s">
        <v>1300</v>
      </c>
      <c r="B5421" s="259" t="s">
        <v>3095</v>
      </c>
      <c r="C5421" s="28"/>
      <c r="D5421" s="29" t="s">
        <v>28</v>
      </c>
      <c r="E5421" s="30"/>
      <c r="F5421" s="45" t="s">
        <v>23</v>
      </c>
      <c r="G5421" s="31" t="str">
        <f t="shared" si="96"/>
        <v/>
      </c>
      <c r="H5421" s="32"/>
      <c r="I5421" s="33"/>
      <c r="J5421" s="34">
        <v>0</v>
      </c>
    </row>
    <row r="5422" spans="1:10" ht="15.75" hidden="1" thickBot="1" x14ac:dyDescent="0.3">
      <c r="A5422" s="257"/>
      <c r="B5422" s="267"/>
      <c r="C5422" s="36"/>
      <c r="D5422" s="36"/>
      <c r="E5422" s="37"/>
      <c r="F5422" s="46" t="s">
        <v>23</v>
      </c>
      <c r="G5422" s="35" t="str">
        <f t="shared" si="96"/>
        <v/>
      </c>
      <c r="H5422" s="39"/>
      <c r="I5422" s="35"/>
      <c r="J5422" s="34">
        <v>0</v>
      </c>
    </row>
    <row r="5423" spans="1:10" ht="15.75" hidden="1" thickBot="1" x14ac:dyDescent="0.3">
      <c r="A5423" s="257"/>
      <c r="B5423" s="267"/>
      <c r="C5423" s="40" t="s">
        <v>4015</v>
      </c>
      <c r="D5423" s="40" t="s">
        <v>291</v>
      </c>
      <c r="E5423" s="41">
        <f>38.691*5/3</f>
        <v>64.484999999999999</v>
      </c>
      <c r="F5423" s="35">
        <v>0.63649999999999995</v>
      </c>
      <c r="G5423" s="38">
        <f t="shared" si="96"/>
        <v>41.0447025</v>
      </c>
      <c r="H5423" s="43">
        <f>SUM(G5423:G5429)</f>
        <v>284.24849558109065</v>
      </c>
      <c r="I5423" s="44"/>
      <c r="J5423" s="34">
        <v>0</v>
      </c>
    </row>
    <row r="5424" spans="1:10" ht="39" hidden="1" thickBot="1" x14ac:dyDescent="0.3">
      <c r="A5424" s="257"/>
      <c r="B5424" s="267"/>
      <c r="C5424" s="40" t="s">
        <v>4732</v>
      </c>
      <c r="D5424" s="40" t="s">
        <v>3764</v>
      </c>
      <c r="E5424" s="41">
        <f>0.0039*5/3</f>
        <v>6.4999999999999997E-3</v>
      </c>
      <c r="F5424" s="35">
        <v>587.39179487499985</v>
      </c>
      <c r="G5424" s="38">
        <f t="shared" si="96"/>
        <v>3.8180466666874988</v>
      </c>
      <c r="H5424" s="39"/>
      <c r="I5424" s="35"/>
      <c r="J5424" s="34">
        <v>0</v>
      </c>
    </row>
    <row r="5425" spans="1:10" ht="15.75" hidden="1" thickBot="1" x14ac:dyDescent="0.3">
      <c r="A5425" s="257"/>
      <c r="B5425" s="267"/>
      <c r="C5425" s="40" t="s">
        <v>3757</v>
      </c>
      <c r="D5425" s="40" t="s">
        <v>3752</v>
      </c>
      <c r="E5425" s="41">
        <f>1.2686*5/3</f>
        <v>2.1143333333333332</v>
      </c>
      <c r="F5425" s="38">
        <v>28.0535</v>
      </c>
      <c r="G5425" s="35">
        <f t="shared" si="96"/>
        <v>59.31445016666666</v>
      </c>
      <c r="H5425" s="39"/>
      <c r="I5425" s="35"/>
      <c r="J5425" s="34">
        <v>0</v>
      </c>
    </row>
    <row r="5426" spans="1:10" ht="15.75" hidden="1" thickBot="1" x14ac:dyDescent="0.3">
      <c r="A5426" s="257"/>
      <c r="B5426" s="267"/>
      <c r="C5426" s="40" t="s">
        <v>3754</v>
      </c>
      <c r="D5426" s="40" t="s">
        <v>3752</v>
      </c>
      <c r="E5426" s="41">
        <f>0.9967*5/3</f>
        <v>1.6611666666666667</v>
      </c>
      <c r="F5426" s="35">
        <v>20.814499999999999</v>
      </c>
      <c r="G5426" s="38">
        <f t="shared" si="96"/>
        <v>34.576353583333329</v>
      </c>
      <c r="H5426" s="39"/>
      <c r="I5426" s="44"/>
      <c r="J5426" s="34">
        <v>0</v>
      </c>
    </row>
    <row r="5427" spans="1:10" ht="26.25" hidden="1" thickBot="1" x14ac:dyDescent="0.3">
      <c r="A5427" s="257"/>
      <c r="B5427" s="267"/>
      <c r="C5427" s="40" t="s">
        <v>4709</v>
      </c>
      <c r="D5427" s="40" t="s">
        <v>3764</v>
      </c>
      <c r="E5427" s="41">
        <f>0.0175*5/3</f>
        <v>2.9166666666666671E-2</v>
      </c>
      <c r="F5427" s="35">
        <v>3133.8540509812501</v>
      </c>
      <c r="G5427" s="38">
        <f t="shared" si="96"/>
        <v>91.404076486953144</v>
      </c>
      <c r="H5427" s="39"/>
      <c r="I5427" s="35"/>
      <c r="J5427" s="34">
        <v>0</v>
      </c>
    </row>
    <row r="5428" spans="1:10" ht="39" hidden="1" thickBot="1" x14ac:dyDescent="0.3">
      <c r="A5428" s="257"/>
      <c r="B5428" s="267"/>
      <c r="C5428" s="40" t="s">
        <v>4743</v>
      </c>
      <c r="D5428" s="40" t="s">
        <v>3764</v>
      </c>
      <c r="E5428" s="41">
        <f>0.0278*5/3</f>
        <v>4.6333333333333331E-2</v>
      </c>
      <c r="F5428" s="38">
        <v>830.93686574999992</v>
      </c>
      <c r="G5428" s="35">
        <f t="shared" si="96"/>
        <v>38.500074779749994</v>
      </c>
      <c r="H5428" s="39"/>
      <c r="I5428" s="35"/>
      <c r="J5428" s="34">
        <v>0</v>
      </c>
    </row>
    <row r="5429" spans="1:10" ht="26.25" hidden="1" thickBot="1" x14ac:dyDescent="0.3">
      <c r="A5429" s="257"/>
      <c r="B5429" s="267"/>
      <c r="C5429" s="40" t="s">
        <v>4719</v>
      </c>
      <c r="D5429" s="40" t="s">
        <v>3764</v>
      </c>
      <c r="E5429" s="41">
        <f>0.036</f>
        <v>3.5999999999999997E-2</v>
      </c>
      <c r="F5429" s="35">
        <v>433.07753882500003</v>
      </c>
      <c r="G5429" s="38">
        <f t="shared" si="96"/>
        <v>15.5907913977</v>
      </c>
      <c r="H5429" s="39"/>
      <c r="I5429" s="44"/>
      <c r="J5429" s="34">
        <v>0</v>
      </c>
    </row>
    <row r="5430" spans="1:10" ht="15.75" hidden="1" thickBot="1" x14ac:dyDescent="0.3">
      <c r="A5430" s="258"/>
      <c r="B5430" s="261"/>
      <c r="C5430" s="40"/>
      <c r="D5430" s="40"/>
      <c r="E5430" s="41"/>
      <c r="F5430" s="35" t="s">
        <v>23</v>
      </c>
      <c r="G5430" s="35" t="str">
        <f t="shared" si="96"/>
        <v/>
      </c>
      <c r="H5430" s="39"/>
      <c r="I5430" s="35"/>
      <c r="J5430" s="34">
        <v>0</v>
      </c>
    </row>
    <row r="5431" spans="1:10" ht="15.75" hidden="1" thickBot="1" x14ac:dyDescent="0.3">
      <c r="A5431" s="256" t="s">
        <v>1301</v>
      </c>
      <c r="B5431" s="259" t="s">
        <v>3096</v>
      </c>
      <c r="C5431" s="28"/>
      <c r="D5431" s="29" t="s">
        <v>28</v>
      </c>
      <c r="E5431" s="30"/>
      <c r="F5431" s="45" t="s">
        <v>23</v>
      </c>
      <c r="G5431" s="31" t="str">
        <f t="shared" si="96"/>
        <v/>
      </c>
      <c r="H5431" s="32"/>
      <c r="I5431" s="33"/>
      <c r="J5431" s="34">
        <v>0</v>
      </c>
    </row>
    <row r="5432" spans="1:10" ht="15.75" hidden="1" thickBot="1" x14ac:dyDescent="0.3">
      <c r="A5432" s="257"/>
      <c r="B5432" s="267"/>
      <c r="C5432" s="36"/>
      <c r="D5432" s="36"/>
      <c r="E5432" s="37"/>
      <c r="F5432" s="46" t="s">
        <v>23</v>
      </c>
      <c r="G5432" s="35" t="str">
        <f t="shared" si="96"/>
        <v/>
      </c>
      <c r="H5432" s="39"/>
      <c r="I5432" s="35"/>
      <c r="J5432" s="34">
        <v>0</v>
      </c>
    </row>
    <row r="5433" spans="1:10" ht="51.75" hidden="1" thickBot="1" x14ac:dyDescent="0.3">
      <c r="A5433" s="257"/>
      <c r="B5433" s="267"/>
      <c r="C5433" s="40" t="s">
        <v>4044</v>
      </c>
      <c r="D5433" s="40" t="s">
        <v>1041</v>
      </c>
      <c r="E5433" s="41">
        <f>ROUND(0.0087*8/6,4)</f>
        <v>1.1599999999999999E-2</v>
      </c>
      <c r="F5433" s="35">
        <v>123.91799999999999</v>
      </c>
      <c r="G5433" s="38">
        <f t="shared" si="96"/>
        <v>1.4374487999999999</v>
      </c>
      <c r="H5433" s="43">
        <f>SUM(G5433:G5441)</f>
        <v>634.27101794176519</v>
      </c>
      <c r="I5433" s="44"/>
      <c r="J5433" s="34">
        <v>0</v>
      </c>
    </row>
    <row r="5434" spans="1:10" ht="51.75" hidden="1" thickBot="1" x14ac:dyDescent="0.3">
      <c r="A5434" s="257"/>
      <c r="B5434" s="267"/>
      <c r="C5434" s="40" t="s">
        <v>4045</v>
      </c>
      <c r="D5434" s="40" t="s">
        <v>1052</v>
      </c>
      <c r="E5434" s="41">
        <f>ROUND(0.0178*8/6,4)</f>
        <v>2.3699999999999999E-2</v>
      </c>
      <c r="F5434" s="35">
        <v>52.392499999999998</v>
      </c>
      <c r="G5434" s="38">
        <f t="shared" si="96"/>
        <v>1.2417022499999999</v>
      </c>
      <c r="H5434" s="39"/>
      <c r="I5434" s="35"/>
      <c r="J5434" s="34">
        <v>0</v>
      </c>
    </row>
    <row r="5435" spans="1:10" ht="15.75" hidden="1" thickBot="1" x14ac:dyDescent="0.3">
      <c r="A5435" s="257"/>
      <c r="B5435" s="267"/>
      <c r="C5435" s="40" t="s">
        <v>4015</v>
      </c>
      <c r="D5435" s="40" t="s">
        <v>291</v>
      </c>
      <c r="E5435" s="41">
        <f>ROUND(134.764*8/6,4)</f>
        <v>179.68530000000001</v>
      </c>
      <c r="F5435" s="38">
        <v>0.63649999999999995</v>
      </c>
      <c r="G5435" s="35">
        <f t="shared" si="96"/>
        <v>114.36969345</v>
      </c>
      <c r="H5435" s="39"/>
      <c r="I5435" s="35"/>
      <c r="J5435" s="34">
        <v>0</v>
      </c>
    </row>
    <row r="5436" spans="1:10" ht="39" hidden="1" thickBot="1" x14ac:dyDescent="0.3">
      <c r="A5436" s="257"/>
      <c r="B5436" s="267"/>
      <c r="C5436" s="40" t="s">
        <v>4732</v>
      </c>
      <c r="D5436" s="40" t="s">
        <v>3764</v>
      </c>
      <c r="E5436" s="41">
        <f>ROUND(0.0136*8/6,4)</f>
        <v>1.8100000000000002E-2</v>
      </c>
      <c r="F5436" s="35">
        <v>587.39179487499985</v>
      </c>
      <c r="G5436" s="38">
        <f t="shared" si="96"/>
        <v>10.631791487237498</v>
      </c>
      <c r="H5436" s="39"/>
      <c r="I5436" s="44"/>
      <c r="J5436" s="34">
        <v>0</v>
      </c>
    </row>
    <row r="5437" spans="1:10" ht="15.75" hidden="1" thickBot="1" x14ac:dyDescent="0.3">
      <c r="A5437" s="257"/>
      <c r="B5437" s="267"/>
      <c r="C5437" s="40" t="s">
        <v>3757</v>
      </c>
      <c r="D5437" s="40" t="s">
        <v>3752</v>
      </c>
      <c r="E5437" s="41">
        <f>ROUND(4.5403*8/6,4)</f>
        <v>6.0537000000000001</v>
      </c>
      <c r="F5437" s="35">
        <v>28.0535</v>
      </c>
      <c r="G5437" s="38">
        <f t="shared" si="96"/>
        <v>169.82747294999999</v>
      </c>
      <c r="H5437" s="39"/>
      <c r="I5437" s="35"/>
      <c r="J5437" s="34">
        <v>0</v>
      </c>
    </row>
    <row r="5438" spans="1:10" ht="15.75" hidden="1" thickBot="1" x14ac:dyDescent="0.3">
      <c r="A5438" s="257"/>
      <c r="B5438" s="267"/>
      <c r="C5438" s="40" t="s">
        <v>3754</v>
      </c>
      <c r="D5438" s="40" t="s">
        <v>3752</v>
      </c>
      <c r="E5438" s="41">
        <f>ROUND(3.5674*8/6,4)</f>
        <v>4.7565</v>
      </c>
      <c r="F5438" s="38">
        <v>20.814499999999999</v>
      </c>
      <c r="G5438" s="35">
        <f t="shared" si="96"/>
        <v>99.00416924999999</v>
      </c>
      <c r="H5438" s="39"/>
      <c r="I5438" s="35"/>
      <c r="J5438" s="34">
        <v>0</v>
      </c>
    </row>
    <row r="5439" spans="1:10" ht="26.25" hidden="1" thickBot="1" x14ac:dyDescent="0.3">
      <c r="A5439" s="257"/>
      <c r="B5439" s="267"/>
      <c r="C5439" s="40" t="s">
        <v>4739</v>
      </c>
      <c r="D5439" s="40" t="s">
        <v>3764</v>
      </c>
      <c r="E5439" s="41">
        <f>ROUND(0.1012*8/6,4)</f>
        <v>0.13489999999999999</v>
      </c>
      <c r="F5439" s="35">
        <v>659.4423539375</v>
      </c>
      <c r="G5439" s="38">
        <f t="shared" si="96"/>
        <v>88.958773546168743</v>
      </c>
      <c r="H5439" s="39"/>
      <c r="I5439" s="44"/>
      <c r="J5439" s="34">
        <v>0</v>
      </c>
    </row>
    <row r="5440" spans="1:10" ht="26.25" hidden="1" thickBot="1" x14ac:dyDescent="0.3">
      <c r="A5440" s="257"/>
      <c r="B5440" s="267"/>
      <c r="C5440" s="40" t="s">
        <v>4710</v>
      </c>
      <c r="D5440" s="40" t="s">
        <v>3764</v>
      </c>
      <c r="E5440" s="41">
        <v>4.48E-2</v>
      </c>
      <c r="F5440" s="35">
        <v>2617.6528209237504</v>
      </c>
      <c r="G5440" s="38">
        <f t="shared" si="96"/>
        <v>117.27084637738402</v>
      </c>
      <c r="H5440" s="39"/>
      <c r="I5440" s="35"/>
      <c r="J5440" s="34">
        <v>0</v>
      </c>
    </row>
    <row r="5441" spans="1:10" ht="26.25" hidden="1" thickBot="1" x14ac:dyDescent="0.3">
      <c r="A5441" s="257"/>
      <c r="B5441" s="267"/>
      <c r="C5441" s="40" t="s">
        <v>4720</v>
      </c>
      <c r="D5441" s="40" t="s">
        <v>3764</v>
      </c>
      <c r="E5441" s="41">
        <v>8.1000000000000003E-2</v>
      </c>
      <c r="F5441" s="38">
        <v>389.24839297499994</v>
      </c>
      <c r="G5441" s="35">
        <f t="shared" si="96"/>
        <v>31.529119830974995</v>
      </c>
      <c r="H5441" s="39"/>
      <c r="I5441" s="35"/>
      <c r="J5441" s="34">
        <v>0</v>
      </c>
    </row>
    <row r="5442" spans="1:10" ht="15.75" hidden="1" thickBot="1" x14ac:dyDescent="0.3">
      <c r="A5442" s="258"/>
      <c r="B5442" s="261"/>
      <c r="C5442" s="40"/>
      <c r="D5442" s="40"/>
      <c r="E5442" s="41"/>
      <c r="F5442" s="35" t="s">
        <v>23</v>
      </c>
      <c r="G5442" s="35" t="str">
        <f t="shared" si="96"/>
        <v/>
      </c>
      <c r="H5442" s="39"/>
      <c r="I5442" s="35"/>
      <c r="J5442" s="34">
        <v>0</v>
      </c>
    </row>
    <row r="5443" spans="1:10" ht="15.75" hidden="1" thickBot="1" x14ac:dyDescent="0.3">
      <c r="A5443" s="248" t="s">
        <v>1302</v>
      </c>
      <c r="B5443" s="251" t="s">
        <v>3097</v>
      </c>
      <c r="C5443" s="28"/>
      <c r="D5443" s="29" t="s">
        <v>28</v>
      </c>
      <c r="E5443" s="30"/>
      <c r="F5443" s="45" t="s">
        <v>23</v>
      </c>
      <c r="G5443" s="31" t="str">
        <f t="shared" si="96"/>
        <v/>
      </c>
      <c r="H5443" s="32"/>
      <c r="I5443" s="33"/>
      <c r="J5443" s="34">
        <v>0</v>
      </c>
    </row>
    <row r="5444" spans="1:10" ht="15.75" hidden="1" thickBot="1" x14ac:dyDescent="0.3">
      <c r="A5444" s="249"/>
      <c r="B5444" s="266"/>
      <c r="C5444" s="36"/>
      <c r="D5444" s="36"/>
      <c r="E5444" s="37"/>
      <c r="F5444" s="46" t="s">
        <v>23</v>
      </c>
      <c r="G5444" s="35" t="str">
        <f t="shared" si="96"/>
        <v/>
      </c>
      <c r="H5444" s="39"/>
      <c r="I5444" s="35"/>
      <c r="J5444" s="34">
        <v>0</v>
      </c>
    </row>
    <row r="5445" spans="1:10" ht="15.75" hidden="1" thickBot="1" x14ac:dyDescent="0.3">
      <c r="A5445" s="249"/>
      <c r="B5445" s="266"/>
      <c r="C5445" s="40" t="s">
        <v>1303</v>
      </c>
      <c r="D5445" s="40" t="s">
        <v>291</v>
      </c>
      <c r="E5445" s="41">
        <v>1</v>
      </c>
      <c r="F5445" s="38" t="s">
        <v>23</v>
      </c>
      <c r="G5445" s="35" t="str">
        <f t="shared" si="96"/>
        <v/>
      </c>
      <c r="H5445" s="43">
        <f>SUM(G5445:G5447)</f>
        <v>100.681</v>
      </c>
      <c r="I5445" s="44"/>
      <c r="J5445" s="34">
        <v>0</v>
      </c>
    </row>
    <row r="5446" spans="1:10" ht="15.75" hidden="1" thickBot="1" x14ac:dyDescent="0.3">
      <c r="A5446" s="249"/>
      <c r="B5446" s="266"/>
      <c r="C5446" s="40" t="s">
        <v>3770</v>
      </c>
      <c r="D5446" s="40" t="s">
        <v>3752</v>
      </c>
      <c r="E5446" s="41">
        <v>2</v>
      </c>
      <c r="F5446" s="38">
        <v>21.954499999999999</v>
      </c>
      <c r="G5446" s="35">
        <f t="shared" si="96"/>
        <v>43.908999999999999</v>
      </c>
      <c r="H5446" s="48"/>
      <c r="I5446" s="49"/>
      <c r="J5446" s="34">
        <v>0</v>
      </c>
    </row>
    <row r="5447" spans="1:10" ht="15.75" hidden="1" thickBot="1" x14ac:dyDescent="0.3">
      <c r="A5447" s="249"/>
      <c r="B5447" s="266"/>
      <c r="C5447" s="40" t="s">
        <v>3760</v>
      </c>
      <c r="D5447" s="40" t="s">
        <v>3752</v>
      </c>
      <c r="E5447" s="41">
        <v>2</v>
      </c>
      <c r="F5447" s="35">
        <v>28.385999999999999</v>
      </c>
      <c r="G5447" s="35">
        <f t="shared" si="96"/>
        <v>56.771999999999998</v>
      </c>
      <c r="H5447" s="39"/>
      <c r="I5447" s="35"/>
      <c r="J5447" s="34">
        <v>0</v>
      </c>
    </row>
    <row r="5448" spans="1:10" ht="15.75" hidden="1" thickBot="1" x14ac:dyDescent="0.3">
      <c r="A5448" s="250"/>
      <c r="B5448" s="253"/>
      <c r="C5448" s="40"/>
      <c r="D5448" s="40"/>
      <c r="E5448" s="41"/>
      <c r="F5448" s="35" t="s">
        <v>23</v>
      </c>
      <c r="G5448" s="35" t="str">
        <f t="shared" si="96"/>
        <v/>
      </c>
      <c r="H5448" s="39"/>
      <c r="I5448" s="35"/>
      <c r="J5448" s="34">
        <v>0</v>
      </c>
    </row>
    <row r="5449" spans="1:10" ht="15.75" hidden="1" thickBot="1" x14ac:dyDescent="0.3">
      <c r="A5449" s="248" t="s">
        <v>1304</v>
      </c>
      <c r="B5449" s="251" t="s">
        <v>3098</v>
      </c>
      <c r="C5449" s="28"/>
      <c r="D5449" s="29" t="s">
        <v>28</v>
      </c>
      <c r="E5449" s="30"/>
      <c r="F5449" s="45" t="s">
        <v>23</v>
      </c>
      <c r="G5449" s="31" t="str">
        <f t="shared" si="96"/>
        <v/>
      </c>
      <c r="H5449" s="32"/>
      <c r="I5449" s="33"/>
      <c r="J5449" s="34">
        <v>0</v>
      </c>
    </row>
    <row r="5450" spans="1:10" ht="15.75" hidden="1" thickBot="1" x14ac:dyDescent="0.3">
      <c r="A5450" s="249"/>
      <c r="B5450" s="266"/>
      <c r="C5450" s="36"/>
      <c r="D5450" s="36"/>
      <c r="E5450" s="37"/>
      <c r="F5450" s="46" t="s">
        <v>23</v>
      </c>
      <c r="G5450" s="35" t="str">
        <f t="shared" si="96"/>
        <v/>
      </c>
      <c r="H5450" s="39"/>
      <c r="I5450" s="35"/>
      <c r="J5450" s="34">
        <v>0</v>
      </c>
    </row>
    <row r="5451" spans="1:10" ht="15.75" hidden="1" thickBot="1" x14ac:dyDescent="0.3">
      <c r="A5451" s="249"/>
      <c r="B5451" s="266"/>
      <c r="C5451" s="40" t="s">
        <v>1305</v>
      </c>
      <c r="D5451" s="40" t="s">
        <v>291</v>
      </c>
      <c r="E5451" s="41">
        <v>1</v>
      </c>
      <c r="F5451" s="38" t="s">
        <v>23</v>
      </c>
      <c r="G5451" s="35" t="str">
        <f t="shared" si="96"/>
        <v/>
      </c>
      <c r="H5451" s="43">
        <f>SUM(G5451:G5453)</f>
        <v>100.681</v>
      </c>
      <c r="I5451" s="44"/>
      <c r="J5451" s="34">
        <v>0</v>
      </c>
    </row>
    <row r="5452" spans="1:10" ht="15.75" hidden="1" thickBot="1" x14ac:dyDescent="0.3">
      <c r="A5452" s="249"/>
      <c r="B5452" s="266"/>
      <c r="C5452" s="40" t="s">
        <v>3770</v>
      </c>
      <c r="D5452" s="40" t="s">
        <v>3752</v>
      </c>
      <c r="E5452" s="41">
        <v>2</v>
      </c>
      <c r="F5452" s="38">
        <v>21.954499999999999</v>
      </c>
      <c r="G5452" s="35">
        <f t="shared" si="96"/>
        <v>43.908999999999999</v>
      </c>
      <c r="H5452" s="48"/>
      <c r="I5452" s="49"/>
      <c r="J5452" s="34">
        <v>0</v>
      </c>
    </row>
    <row r="5453" spans="1:10" ht="15.75" hidden="1" thickBot="1" x14ac:dyDescent="0.3">
      <c r="A5453" s="249"/>
      <c r="B5453" s="266"/>
      <c r="C5453" s="40" t="s">
        <v>3760</v>
      </c>
      <c r="D5453" s="40" t="s">
        <v>3752</v>
      </c>
      <c r="E5453" s="41">
        <v>2</v>
      </c>
      <c r="F5453" s="35">
        <v>28.385999999999999</v>
      </c>
      <c r="G5453" s="35">
        <f t="shared" si="96"/>
        <v>56.771999999999998</v>
      </c>
      <c r="H5453" s="39"/>
      <c r="I5453" s="35"/>
      <c r="J5453" s="34">
        <v>0</v>
      </c>
    </row>
    <row r="5454" spans="1:10" ht="15.75" hidden="1" thickBot="1" x14ac:dyDescent="0.3">
      <c r="A5454" s="250"/>
      <c r="B5454" s="253"/>
      <c r="C5454" s="40"/>
      <c r="D5454" s="40"/>
      <c r="E5454" s="41"/>
      <c r="F5454" s="35" t="s">
        <v>23</v>
      </c>
      <c r="G5454" s="35" t="str">
        <f t="shared" si="96"/>
        <v/>
      </c>
      <c r="H5454" s="39"/>
      <c r="I5454" s="35"/>
      <c r="J5454" s="34">
        <v>0</v>
      </c>
    </row>
    <row r="5455" spans="1:10" ht="15.75" hidden="1" thickBot="1" x14ac:dyDescent="0.3">
      <c r="A5455" s="248" t="s">
        <v>1306</v>
      </c>
      <c r="B5455" s="251" t="s">
        <v>3099</v>
      </c>
      <c r="C5455" s="28"/>
      <c r="D5455" s="29" t="s">
        <v>28</v>
      </c>
      <c r="E5455" s="30"/>
      <c r="F5455" s="45" t="s">
        <v>23</v>
      </c>
      <c r="G5455" s="31" t="str">
        <f t="shared" si="96"/>
        <v/>
      </c>
      <c r="H5455" s="32"/>
      <c r="I5455" s="33"/>
      <c r="J5455" s="34">
        <v>0</v>
      </c>
    </row>
    <row r="5456" spans="1:10" ht="15.75" hidden="1" thickBot="1" x14ac:dyDescent="0.3">
      <c r="A5456" s="249"/>
      <c r="B5456" s="266"/>
      <c r="C5456" s="36"/>
      <c r="D5456" s="36"/>
      <c r="E5456" s="37"/>
      <c r="F5456" s="46" t="s">
        <v>23</v>
      </c>
      <c r="G5456" s="35" t="str">
        <f t="shared" si="96"/>
        <v/>
      </c>
      <c r="H5456" s="39"/>
      <c r="I5456" s="35"/>
      <c r="J5456" s="34">
        <v>0</v>
      </c>
    </row>
    <row r="5457" spans="1:10" ht="15.75" hidden="1" thickBot="1" x14ac:dyDescent="0.3">
      <c r="A5457" s="249"/>
      <c r="B5457" s="266"/>
      <c r="C5457" s="40" t="s">
        <v>3760</v>
      </c>
      <c r="D5457" s="40" t="s">
        <v>3752</v>
      </c>
      <c r="E5457" s="41">
        <v>0.317</v>
      </c>
      <c r="F5457" s="35">
        <v>28.385999999999999</v>
      </c>
      <c r="G5457" s="38">
        <f t="shared" si="96"/>
        <v>8.9983620000000002</v>
      </c>
      <c r="H5457" s="43">
        <f>SUM(G5457:G5460)</f>
        <v>15.957938500000001</v>
      </c>
      <c r="I5457" s="44"/>
      <c r="J5457" s="34">
        <v>0</v>
      </c>
    </row>
    <row r="5458" spans="1:10" ht="15.75" hidden="1" thickBot="1" x14ac:dyDescent="0.3">
      <c r="A5458" s="249"/>
      <c r="B5458" s="266"/>
      <c r="C5458" s="40" t="s">
        <v>3770</v>
      </c>
      <c r="D5458" s="40" t="s">
        <v>3752</v>
      </c>
      <c r="E5458" s="41">
        <v>0.317</v>
      </c>
      <c r="F5458" s="35">
        <v>21.954499999999999</v>
      </c>
      <c r="G5458" s="38">
        <f t="shared" si="96"/>
        <v>6.9595764999999998</v>
      </c>
      <c r="H5458" s="39"/>
      <c r="I5458" s="35"/>
      <c r="J5458" s="34">
        <v>0</v>
      </c>
    </row>
    <row r="5459" spans="1:10" ht="26.25" hidden="1" thickBot="1" x14ac:dyDescent="0.3">
      <c r="A5459" s="249"/>
      <c r="B5459" s="266"/>
      <c r="C5459" s="40" t="s">
        <v>394</v>
      </c>
      <c r="D5459" s="40" t="s">
        <v>28</v>
      </c>
      <c r="E5459" s="41">
        <v>1</v>
      </c>
      <c r="F5459" s="38" t="s">
        <v>23</v>
      </c>
      <c r="G5459" s="38" t="str">
        <f t="shared" si="96"/>
        <v/>
      </c>
      <c r="H5459" s="39"/>
      <c r="I5459" s="35"/>
      <c r="J5459" s="34">
        <v>0</v>
      </c>
    </row>
    <row r="5460" spans="1:10" ht="26.25" hidden="1" thickBot="1" x14ac:dyDescent="0.3">
      <c r="A5460" s="249"/>
      <c r="B5460" s="266"/>
      <c r="C5460" s="40" t="s">
        <v>1307</v>
      </c>
      <c r="D5460" s="40" t="s">
        <v>28</v>
      </c>
      <c r="E5460" s="41">
        <v>1</v>
      </c>
      <c r="F5460" s="38" t="s">
        <v>23</v>
      </c>
      <c r="G5460" s="35" t="str">
        <f t="shared" si="96"/>
        <v/>
      </c>
      <c r="H5460" s="39"/>
      <c r="I5460" s="35"/>
      <c r="J5460" s="34">
        <v>0</v>
      </c>
    </row>
    <row r="5461" spans="1:10" ht="15.75" hidden="1" thickBot="1" x14ac:dyDescent="0.3">
      <c r="A5461" s="250"/>
      <c r="B5461" s="253"/>
      <c r="C5461" s="40"/>
      <c r="D5461" s="40"/>
      <c r="E5461" s="41"/>
      <c r="F5461" s="35" t="s">
        <v>23</v>
      </c>
      <c r="G5461" s="35" t="str">
        <f t="shared" si="96"/>
        <v/>
      </c>
      <c r="H5461" s="39"/>
      <c r="I5461" s="35"/>
      <c r="J5461" s="34">
        <v>0</v>
      </c>
    </row>
    <row r="5462" spans="1:10" ht="15.75" hidden="1" thickBot="1" x14ac:dyDescent="0.3">
      <c r="A5462" s="248" t="s">
        <v>1308</v>
      </c>
      <c r="B5462" s="251" t="s">
        <v>3101</v>
      </c>
      <c r="C5462" s="28"/>
      <c r="D5462" s="29" t="s">
        <v>121</v>
      </c>
      <c r="E5462" s="30"/>
      <c r="F5462" s="45" t="s">
        <v>23</v>
      </c>
      <c r="G5462" s="31" t="str">
        <f t="shared" si="96"/>
        <v/>
      </c>
      <c r="H5462" s="32"/>
      <c r="I5462" s="33"/>
      <c r="J5462" s="34">
        <v>0</v>
      </c>
    </row>
    <row r="5463" spans="1:10" ht="15.75" hidden="1" thickBot="1" x14ac:dyDescent="0.3">
      <c r="A5463" s="249"/>
      <c r="B5463" s="266"/>
      <c r="C5463" s="36"/>
      <c r="D5463" s="36"/>
      <c r="E5463" s="37"/>
      <c r="F5463" s="46" t="s">
        <v>23</v>
      </c>
      <c r="G5463" s="35" t="str">
        <f t="shared" si="96"/>
        <v/>
      </c>
      <c r="H5463" s="39"/>
      <c r="I5463" s="35"/>
      <c r="J5463" s="34">
        <v>0</v>
      </c>
    </row>
    <row r="5464" spans="1:10" ht="15.75" hidden="1" thickBot="1" x14ac:dyDescent="0.3">
      <c r="A5464" s="249"/>
      <c r="B5464" s="266"/>
      <c r="C5464" s="40" t="s">
        <v>4217</v>
      </c>
      <c r="D5464" s="40" t="s">
        <v>1286</v>
      </c>
      <c r="E5464" s="41">
        <v>1.1000000000000001</v>
      </c>
      <c r="F5464" s="38">
        <v>53.997999999999998</v>
      </c>
      <c r="G5464" s="35">
        <f t="shared" si="96"/>
        <v>59.397800000000004</v>
      </c>
      <c r="H5464" s="43">
        <f>SUM(G5464:G5466)</f>
        <v>61.094274850000005</v>
      </c>
      <c r="I5464" s="44"/>
      <c r="J5464" s="34">
        <v>0</v>
      </c>
    </row>
    <row r="5465" spans="1:10" ht="15.75" hidden="1" thickBot="1" x14ac:dyDescent="0.3">
      <c r="A5465" s="249"/>
      <c r="B5465" s="266"/>
      <c r="C5465" s="40" t="s">
        <v>3770</v>
      </c>
      <c r="D5465" s="40" t="s">
        <v>3752</v>
      </c>
      <c r="E5465" s="41">
        <v>3.3700000000000001E-2</v>
      </c>
      <c r="F5465" s="38">
        <v>21.954499999999999</v>
      </c>
      <c r="G5465" s="35">
        <f t="shared" si="96"/>
        <v>0.73986664999999996</v>
      </c>
      <c r="H5465" s="48"/>
      <c r="I5465" s="49"/>
      <c r="J5465" s="34">
        <v>0</v>
      </c>
    </row>
    <row r="5466" spans="1:10" ht="15.75" hidden="1" thickBot="1" x14ac:dyDescent="0.3">
      <c r="A5466" s="249"/>
      <c r="B5466" s="266"/>
      <c r="C5466" s="40" t="s">
        <v>3760</v>
      </c>
      <c r="D5466" s="40" t="s">
        <v>3752</v>
      </c>
      <c r="E5466" s="41">
        <v>3.3700000000000001E-2</v>
      </c>
      <c r="F5466" s="35">
        <v>28.385999999999999</v>
      </c>
      <c r="G5466" s="35">
        <f t="shared" si="96"/>
        <v>0.95660820000000002</v>
      </c>
      <c r="H5466" s="39"/>
      <c r="I5466" s="35"/>
      <c r="J5466" s="34">
        <v>0</v>
      </c>
    </row>
    <row r="5467" spans="1:10" ht="15.75" hidden="1" thickBot="1" x14ac:dyDescent="0.3">
      <c r="A5467" s="250"/>
      <c r="B5467" s="253"/>
      <c r="C5467" s="40"/>
      <c r="D5467" s="40"/>
      <c r="E5467" s="41"/>
      <c r="F5467" s="35" t="s">
        <v>23</v>
      </c>
      <c r="G5467" s="35" t="str">
        <f t="shared" si="96"/>
        <v/>
      </c>
      <c r="H5467" s="39"/>
      <c r="I5467" s="35"/>
      <c r="J5467" s="34">
        <v>0</v>
      </c>
    </row>
    <row r="5468" spans="1:10" ht="15.75" hidden="1" thickBot="1" x14ac:dyDescent="0.3">
      <c r="A5468" s="248" t="s">
        <v>1309</v>
      </c>
      <c r="B5468" s="251" t="s">
        <v>3102</v>
      </c>
      <c r="C5468" s="28"/>
      <c r="D5468" s="29" t="s">
        <v>28</v>
      </c>
      <c r="E5468" s="30"/>
      <c r="F5468" s="45" t="s">
        <v>23</v>
      </c>
      <c r="G5468" s="31" t="str">
        <f t="shared" si="96"/>
        <v/>
      </c>
      <c r="H5468" s="32"/>
      <c r="I5468" s="33"/>
      <c r="J5468" s="34">
        <v>0</v>
      </c>
    </row>
    <row r="5469" spans="1:10" ht="15.75" hidden="1" thickBot="1" x14ac:dyDescent="0.3">
      <c r="A5469" s="249"/>
      <c r="B5469" s="266"/>
      <c r="C5469" s="36"/>
      <c r="D5469" s="36"/>
      <c r="E5469" s="37"/>
      <c r="F5469" s="46" t="s">
        <v>23</v>
      </c>
      <c r="G5469" s="35" t="str">
        <f t="shared" si="96"/>
        <v/>
      </c>
      <c r="H5469" s="39"/>
      <c r="I5469" s="35"/>
      <c r="J5469" s="34">
        <v>0</v>
      </c>
    </row>
    <row r="5470" spans="1:10" ht="15.75" hidden="1" thickBot="1" x14ac:dyDescent="0.3">
      <c r="A5470" s="249"/>
      <c r="B5470" s="266"/>
      <c r="C5470" s="40" t="s">
        <v>1310</v>
      </c>
      <c r="D5470" s="40" t="s">
        <v>28</v>
      </c>
      <c r="E5470" s="41">
        <v>1</v>
      </c>
      <c r="F5470" s="38" t="s">
        <v>23</v>
      </c>
      <c r="G5470" s="35" t="str">
        <f t="shared" si="96"/>
        <v/>
      </c>
      <c r="H5470" s="43">
        <f>SUM(G5470:G5472)</f>
        <v>19.909667750000001</v>
      </c>
      <c r="I5470" s="44"/>
      <c r="J5470" s="34">
        <v>0</v>
      </c>
    </row>
    <row r="5471" spans="1:10" ht="15.75" hidden="1" thickBot="1" x14ac:dyDescent="0.3">
      <c r="A5471" s="249"/>
      <c r="B5471" s="266"/>
      <c r="C5471" s="40" t="s">
        <v>3770</v>
      </c>
      <c r="D5471" s="40" t="s">
        <v>3752</v>
      </c>
      <c r="E5471" s="41">
        <v>0.39550000000000002</v>
      </c>
      <c r="F5471" s="38">
        <v>21.954499999999999</v>
      </c>
      <c r="G5471" s="35">
        <f t="shared" si="96"/>
        <v>8.6830047500000003</v>
      </c>
      <c r="H5471" s="48"/>
      <c r="I5471" s="49"/>
      <c r="J5471" s="34">
        <v>0</v>
      </c>
    </row>
    <row r="5472" spans="1:10" ht="15.75" hidden="1" thickBot="1" x14ac:dyDescent="0.3">
      <c r="A5472" s="249"/>
      <c r="B5472" s="266"/>
      <c r="C5472" s="40" t="s">
        <v>3760</v>
      </c>
      <c r="D5472" s="40" t="s">
        <v>3752</v>
      </c>
      <c r="E5472" s="41">
        <v>0.39550000000000002</v>
      </c>
      <c r="F5472" s="35">
        <v>28.385999999999999</v>
      </c>
      <c r="G5472" s="35">
        <f t="shared" si="96"/>
        <v>11.226663</v>
      </c>
      <c r="H5472" s="39"/>
      <c r="I5472" s="35"/>
      <c r="J5472" s="34">
        <v>0</v>
      </c>
    </row>
    <row r="5473" spans="1:10" ht="15.75" hidden="1" thickBot="1" x14ac:dyDescent="0.3">
      <c r="A5473" s="250"/>
      <c r="B5473" s="253"/>
      <c r="C5473" s="40"/>
      <c r="D5473" s="40"/>
      <c r="E5473" s="41"/>
      <c r="F5473" s="35" t="s">
        <v>23</v>
      </c>
      <c r="G5473" s="35" t="str">
        <f t="shared" si="96"/>
        <v/>
      </c>
      <c r="H5473" s="39"/>
      <c r="I5473" s="35"/>
      <c r="J5473" s="34">
        <v>0</v>
      </c>
    </row>
    <row r="5474" spans="1:10" ht="15.75" hidden="1" thickBot="1" x14ac:dyDescent="0.3">
      <c r="A5474" s="248" t="s">
        <v>1311</v>
      </c>
      <c r="B5474" s="251" t="s">
        <v>3103</v>
      </c>
      <c r="C5474" s="28"/>
      <c r="D5474" s="29" t="s">
        <v>121</v>
      </c>
      <c r="E5474" s="30"/>
      <c r="F5474" s="45" t="s">
        <v>23</v>
      </c>
      <c r="G5474" s="31" t="str">
        <f t="shared" si="96"/>
        <v/>
      </c>
      <c r="H5474" s="32"/>
      <c r="I5474" s="33"/>
      <c r="J5474" s="34">
        <v>0</v>
      </c>
    </row>
    <row r="5475" spans="1:10" ht="15.75" hidden="1" thickBot="1" x14ac:dyDescent="0.3">
      <c r="A5475" s="249"/>
      <c r="B5475" s="266"/>
      <c r="C5475" s="36"/>
      <c r="D5475" s="36"/>
      <c r="E5475" s="37"/>
      <c r="F5475" s="46" t="s">
        <v>23</v>
      </c>
      <c r="G5475" s="35" t="str">
        <f t="shared" si="96"/>
        <v/>
      </c>
      <c r="H5475" s="39"/>
      <c r="I5475" s="35"/>
      <c r="J5475" s="34">
        <v>0</v>
      </c>
    </row>
    <row r="5476" spans="1:10" ht="15.75" hidden="1" thickBot="1" x14ac:dyDescent="0.3">
      <c r="A5476" s="249"/>
      <c r="B5476" s="266"/>
      <c r="C5476" s="40" t="s">
        <v>3760</v>
      </c>
      <c r="D5476" s="40" t="s">
        <v>3752</v>
      </c>
      <c r="E5476" s="41">
        <v>0.75</v>
      </c>
      <c r="F5476" s="35">
        <v>28.385999999999999</v>
      </c>
      <c r="G5476" s="38">
        <f t="shared" si="96"/>
        <v>21.2895</v>
      </c>
      <c r="H5476" s="43">
        <f>SUM(G5476:G5478)</f>
        <v>37.755375000000001</v>
      </c>
      <c r="I5476" s="44"/>
      <c r="J5476" s="34">
        <v>0</v>
      </c>
    </row>
    <row r="5477" spans="1:10" ht="15.75" hidden="1" thickBot="1" x14ac:dyDescent="0.3">
      <c r="A5477" s="249"/>
      <c r="B5477" s="266"/>
      <c r="C5477" s="40" t="s">
        <v>3770</v>
      </c>
      <c r="D5477" s="40" t="s">
        <v>3752</v>
      </c>
      <c r="E5477" s="41">
        <v>0.75</v>
      </c>
      <c r="F5477" s="35">
        <v>21.954499999999999</v>
      </c>
      <c r="G5477" s="38">
        <f t="shared" si="96"/>
        <v>16.465875</v>
      </c>
      <c r="H5477" s="39"/>
      <c r="I5477" s="35"/>
      <c r="J5477" s="34">
        <v>0</v>
      </c>
    </row>
    <row r="5478" spans="1:10" ht="26.25" hidden="1" thickBot="1" x14ac:dyDescent="0.3">
      <c r="A5478" s="249"/>
      <c r="B5478" s="266"/>
      <c r="C5478" s="40" t="s">
        <v>1312</v>
      </c>
      <c r="D5478" s="40" t="s">
        <v>121</v>
      </c>
      <c r="E5478" s="41">
        <v>1.05</v>
      </c>
      <c r="F5478" s="35" t="s">
        <v>23</v>
      </c>
      <c r="G5478" s="38" t="str">
        <f t="shared" si="96"/>
        <v/>
      </c>
      <c r="H5478" s="39"/>
      <c r="I5478" s="35"/>
      <c r="J5478" s="34">
        <v>0</v>
      </c>
    </row>
    <row r="5479" spans="1:10" ht="15.75" hidden="1" thickBot="1" x14ac:dyDescent="0.3">
      <c r="A5479" s="250"/>
      <c r="B5479" s="253"/>
      <c r="C5479" s="40"/>
      <c r="D5479" s="40"/>
      <c r="E5479" s="41"/>
      <c r="F5479" s="35" t="s">
        <v>23</v>
      </c>
      <c r="G5479" s="35" t="str">
        <f t="shared" si="96"/>
        <v/>
      </c>
      <c r="H5479" s="39"/>
      <c r="I5479" s="35"/>
      <c r="J5479" s="34">
        <v>0</v>
      </c>
    </row>
    <row r="5480" spans="1:10" ht="15.75" hidden="1" thickBot="1" x14ac:dyDescent="0.3">
      <c r="A5480" s="248" t="s">
        <v>1313</v>
      </c>
      <c r="B5480" s="251" t="s">
        <v>3104</v>
      </c>
      <c r="C5480" s="28"/>
      <c r="D5480" s="29" t="s">
        <v>2032</v>
      </c>
      <c r="E5480" s="30"/>
      <c r="F5480" s="45" t="s">
        <v>23</v>
      </c>
      <c r="G5480" s="31" t="str">
        <f t="shared" si="96"/>
        <v/>
      </c>
      <c r="H5480" s="32"/>
      <c r="I5480" s="33"/>
      <c r="J5480" s="34">
        <v>0</v>
      </c>
    </row>
    <row r="5481" spans="1:10" ht="15.75" hidden="1" thickBot="1" x14ac:dyDescent="0.3">
      <c r="A5481" s="249"/>
      <c r="B5481" s="266"/>
      <c r="C5481" s="36"/>
      <c r="D5481" s="36"/>
      <c r="E5481" s="37"/>
      <c r="F5481" s="46" t="s">
        <v>23</v>
      </c>
      <c r="G5481" s="35" t="str">
        <f t="shared" si="96"/>
        <v/>
      </c>
      <c r="H5481" s="39"/>
      <c r="I5481" s="35"/>
      <c r="J5481" s="34">
        <v>0</v>
      </c>
    </row>
    <row r="5482" spans="1:10" ht="15.75" hidden="1" thickBot="1" x14ac:dyDescent="0.3">
      <c r="A5482" s="249"/>
      <c r="B5482" s="266"/>
      <c r="C5482" s="40" t="s">
        <v>4218</v>
      </c>
      <c r="D5482" s="40" t="s">
        <v>3752</v>
      </c>
      <c r="E5482" s="41">
        <v>1</v>
      </c>
      <c r="F5482" s="35">
        <v>125.88449999999999</v>
      </c>
      <c r="G5482" s="38">
        <f t="shared" si="96"/>
        <v>125.88449999999999</v>
      </c>
      <c r="H5482" s="43">
        <f>SUM(G5482:G5482)</f>
        <v>125.88449999999999</v>
      </c>
      <c r="I5482" s="44"/>
      <c r="J5482" s="34">
        <v>0</v>
      </c>
    </row>
    <row r="5483" spans="1:10" ht="15.75" hidden="1" thickBot="1" x14ac:dyDescent="0.3">
      <c r="A5483" s="250"/>
      <c r="B5483" s="253"/>
      <c r="C5483" s="40"/>
      <c r="D5483" s="40"/>
      <c r="E5483" s="41"/>
      <c r="F5483" s="35" t="s">
        <v>23</v>
      </c>
      <c r="G5483" s="35" t="str">
        <f t="shared" si="96"/>
        <v/>
      </c>
      <c r="H5483" s="39"/>
      <c r="I5483" s="35"/>
      <c r="J5483" s="34">
        <v>0</v>
      </c>
    </row>
    <row r="5484" spans="1:10" ht="15.75" hidden="1" thickBot="1" x14ac:dyDescent="0.3">
      <c r="A5484" s="248" t="s">
        <v>1314</v>
      </c>
      <c r="B5484" s="251" t="s">
        <v>3105</v>
      </c>
      <c r="C5484" s="28"/>
      <c r="D5484" s="29" t="s">
        <v>28</v>
      </c>
      <c r="E5484" s="30"/>
      <c r="F5484" s="45" t="s">
        <v>23</v>
      </c>
      <c r="G5484" s="31" t="str">
        <f t="shared" ref="G5484:G5547" si="97">IF(ISNUMBER(F5484),E5484*F5484,"")</f>
        <v/>
      </c>
      <c r="H5484" s="32"/>
      <c r="I5484" s="33"/>
      <c r="J5484" s="34">
        <v>0</v>
      </c>
    </row>
    <row r="5485" spans="1:10" ht="15.75" hidden="1" thickBot="1" x14ac:dyDescent="0.3">
      <c r="A5485" s="249"/>
      <c r="B5485" s="266"/>
      <c r="C5485" s="36"/>
      <c r="D5485" s="36"/>
      <c r="E5485" s="37"/>
      <c r="F5485" s="46" t="s">
        <v>23</v>
      </c>
      <c r="G5485" s="35" t="str">
        <f t="shared" si="97"/>
        <v/>
      </c>
      <c r="H5485" s="39"/>
      <c r="I5485" s="35"/>
      <c r="J5485" s="34">
        <v>0</v>
      </c>
    </row>
    <row r="5486" spans="1:10" ht="39" hidden="1" thickBot="1" x14ac:dyDescent="0.3">
      <c r="A5486" s="249"/>
      <c r="B5486" s="266"/>
      <c r="C5486" s="40" t="s">
        <v>4131</v>
      </c>
      <c r="D5486" s="40" t="s">
        <v>291</v>
      </c>
      <c r="E5486" s="41">
        <v>3</v>
      </c>
      <c r="F5486" s="35">
        <v>1.0449999999999999</v>
      </c>
      <c r="G5486" s="38">
        <f t="shared" si="97"/>
        <v>3.1349999999999998</v>
      </c>
      <c r="H5486" s="43">
        <f>SUM(G5486:G5489)</f>
        <v>19.878482099999999</v>
      </c>
      <c r="I5486" s="44"/>
      <c r="J5486" s="34">
        <v>0</v>
      </c>
    </row>
    <row r="5487" spans="1:10" ht="15.75" hidden="1" thickBot="1" x14ac:dyDescent="0.3">
      <c r="A5487" s="249"/>
      <c r="B5487" s="266"/>
      <c r="C5487" s="40" t="s">
        <v>1315</v>
      </c>
      <c r="D5487" s="40" t="s">
        <v>291</v>
      </c>
      <c r="E5487" s="41">
        <v>1</v>
      </c>
      <c r="F5487" s="35" t="s">
        <v>23</v>
      </c>
      <c r="G5487" s="38" t="str">
        <f t="shared" si="97"/>
        <v/>
      </c>
      <c r="H5487" s="39"/>
      <c r="I5487" s="35"/>
      <c r="J5487" s="34">
        <v>0</v>
      </c>
    </row>
    <row r="5488" spans="1:10" ht="15.75" hidden="1" thickBot="1" x14ac:dyDescent="0.3">
      <c r="A5488" s="249"/>
      <c r="B5488" s="266"/>
      <c r="C5488" s="40" t="s">
        <v>3760</v>
      </c>
      <c r="D5488" s="40" t="s">
        <v>3752</v>
      </c>
      <c r="E5488" s="41">
        <v>0.4743</v>
      </c>
      <c r="F5488" s="35">
        <v>28.385999999999999</v>
      </c>
      <c r="G5488" s="38">
        <f t="shared" si="97"/>
        <v>13.4634798</v>
      </c>
      <c r="H5488" s="39"/>
      <c r="I5488" s="35"/>
      <c r="J5488" s="34">
        <v>0</v>
      </c>
    </row>
    <row r="5489" spans="1:10" ht="15.75" hidden="1" thickBot="1" x14ac:dyDescent="0.3">
      <c r="A5489" s="249"/>
      <c r="B5489" s="266"/>
      <c r="C5489" s="40" t="s">
        <v>3770</v>
      </c>
      <c r="D5489" s="40" t="s">
        <v>3752</v>
      </c>
      <c r="E5489" s="41">
        <v>0.14940000000000001</v>
      </c>
      <c r="F5489" s="35">
        <v>21.954499999999999</v>
      </c>
      <c r="G5489" s="38">
        <f t="shared" si="97"/>
        <v>3.2800023</v>
      </c>
      <c r="H5489" s="39"/>
      <c r="I5489" s="35"/>
      <c r="J5489" s="34">
        <v>0</v>
      </c>
    </row>
    <row r="5490" spans="1:10" ht="15.75" hidden="1" thickBot="1" x14ac:dyDescent="0.3">
      <c r="A5490" s="250"/>
      <c r="B5490" s="253"/>
      <c r="C5490" s="40"/>
      <c r="D5490" s="40"/>
      <c r="E5490" s="41"/>
      <c r="F5490" s="35" t="s">
        <v>23</v>
      </c>
      <c r="G5490" s="35" t="str">
        <f t="shared" si="97"/>
        <v/>
      </c>
      <c r="H5490" s="39"/>
      <c r="I5490" s="35"/>
      <c r="J5490" s="34">
        <v>0</v>
      </c>
    </row>
    <row r="5491" spans="1:10" ht="15.75" hidden="1" thickBot="1" x14ac:dyDescent="0.3">
      <c r="A5491" s="248" t="s">
        <v>1316</v>
      </c>
      <c r="B5491" s="251" t="s">
        <v>3106</v>
      </c>
      <c r="C5491" s="28"/>
      <c r="D5491" s="29" t="s">
        <v>80</v>
      </c>
      <c r="E5491" s="30"/>
      <c r="F5491" s="45" t="s">
        <v>23</v>
      </c>
      <c r="G5491" s="31" t="str">
        <f t="shared" si="97"/>
        <v/>
      </c>
      <c r="H5491" s="32"/>
      <c r="I5491" s="33"/>
      <c r="J5491" s="34">
        <v>0</v>
      </c>
    </row>
    <row r="5492" spans="1:10" ht="15.75" hidden="1" thickBot="1" x14ac:dyDescent="0.3">
      <c r="A5492" s="249"/>
      <c r="B5492" s="266"/>
      <c r="C5492" s="36"/>
      <c r="D5492" s="36"/>
      <c r="E5492" s="37"/>
      <c r="F5492" s="46" t="s">
        <v>23</v>
      </c>
      <c r="G5492" s="35" t="str">
        <f t="shared" si="97"/>
        <v/>
      </c>
      <c r="H5492" s="39"/>
      <c r="I5492" s="35"/>
      <c r="J5492" s="34">
        <v>0</v>
      </c>
    </row>
    <row r="5493" spans="1:10" ht="15.75" hidden="1" thickBot="1" x14ac:dyDescent="0.3">
      <c r="A5493" s="249"/>
      <c r="B5493" s="266"/>
      <c r="C5493" s="40" t="s">
        <v>4219</v>
      </c>
      <c r="D5493" s="40" t="s">
        <v>80</v>
      </c>
      <c r="E5493" s="41">
        <v>1</v>
      </c>
      <c r="F5493" s="35">
        <v>5.0729999999999995</v>
      </c>
      <c r="G5493" s="38">
        <f t="shared" si="97"/>
        <v>5.0729999999999995</v>
      </c>
      <c r="H5493" s="43">
        <f>SUM(G5493:G5493)</f>
        <v>5.0729999999999995</v>
      </c>
      <c r="I5493" s="44"/>
      <c r="J5493" s="34">
        <v>0</v>
      </c>
    </row>
    <row r="5494" spans="1:10" ht="15.75" hidden="1" thickBot="1" x14ac:dyDescent="0.3">
      <c r="A5494" s="250"/>
      <c r="B5494" s="253"/>
      <c r="C5494" s="40"/>
      <c r="D5494" s="40"/>
      <c r="E5494" s="41"/>
      <c r="F5494" s="35" t="s">
        <v>23</v>
      </c>
      <c r="G5494" s="35" t="str">
        <f t="shared" si="97"/>
        <v/>
      </c>
      <c r="H5494" s="39"/>
      <c r="I5494" s="35"/>
      <c r="J5494" s="34">
        <v>0</v>
      </c>
    </row>
    <row r="5495" spans="1:10" ht="15.75" hidden="1" thickBot="1" x14ac:dyDescent="0.3">
      <c r="A5495" s="256" t="s">
        <v>1317</v>
      </c>
      <c r="B5495" s="251" t="s">
        <v>3107</v>
      </c>
      <c r="C5495" s="28"/>
      <c r="D5495" s="29" t="s">
        <v>2</v>
      </c>
      <c r="E5495" s="30"/>
      <c r="F5495" s="51" t="s">
        <v>23</v>
      </c>
      <c r="G5495" s="31" t="str">
        <f t="shared" si="97"/>
        <v/>
      </c>
      <c r="H5495" s="32"/>
      <c r="I5495" s="33"/>
      <c r="J5495" s="34">
        <v>0</v>
      </c>
    </row>
    <row r="5496" spans="1:10" ht="15.75" hidden="1" thickBot="1" x14ac:dyDescent="0.3">
      <c r="A5496" s="264"/>
      <c r="B5496" s="266"/>
      <c r="C5496" s="76"/>
      <c r="D5496" s="76"/>
      <c r="E5496" s="77"/>
      <c r="F5496" s="59" t="s">
        <v>23</v>
      </c>
      <c r="G5496" s="59" t="str">
        <f t="shared" si="97"/>
        <v/>
      </c>
      <c r="H5496" s="62"/>
      <c r="I5496" s="63"/>
      <c r="J5496" s="34">
        <v>0</v>
      </c>
    </row>
    <row r="5497" spans="1:10" ht="15.75" hidden="1" thickBot="1" x14ac:dyDescent="0.3">
      <c r="A5497" s="264"/>
      <c r="B5497" s="266"/>
      <c r="C5497" s="40" t="s">
        <v>4218</v>
      </c>
      <c r="D5497" s="40" t="s">
        <v>3752</v>
      </c>
      <c r="E5497" s="75" t="e">
        <f>IF(#REF!="Desonerado",ROUND(220/(1+82.01%),4),ROUND(220/(1+110.69%),4))</f>
        <v>#REF!</v>
      </c>
      <c r="F5497" s="35">
        <v>125.88449999999999</v>
      </c>
      <c r="G5497" s="59" t="e">
        <f t="shared" si="97"/>
        <v>#REF!</v>
      </c>
      <c r="H5497" s="43" t="e">
        <f>SUM(G5497:G5497)</f>
        <v>#REF!</v>
      </c>
      <c r="I5497" s="44"/>
      <c r="J5497" s="34">
        <v>0</v>
      </c>
    </row>
    <row r="5498" spans="1:10" ht="15.75" hidden="1" thickBot="1" x14ac:dyDescent="0.3">
      <c r="A5498" s="264"/>
      <c r="B5498" s="266"/>
      <c r="C5498" s="76"/>
      <c r="D5498" s="76"/>
      <c r="E5498" s="77"/>
      <c r="F5498" s="59" t="s">
        <v>23</v>
      </c>
      <c r="G5498" s="59" t="str">
        <f t="shared" si="97"/>
        <v/>
      </c>
      <c r="H5498" s="62"/>
      <c r="I5498" s="63"/>
      <c r="J5498" s="34">
        <v>0</v>
      </c>
    </row>
    <row r="5499" spans="1:10" ht="26.25" hidden="1" thickBot="1" x14ac:dyDescent="0.3">
      <c r="A5499" s="264"/>
      <c r="B5499" s="266"/>
      <c r="C5499" s="50" t="s">
        <v>668</v>
      </c>
      <c r="D5499" s="76"/>
      <c r="E5499" s="77"/>
      <c r="F5499" s="59" t="s">
        <v>23</v>
      </c>
      <c r="G5499" s="59" t="str">
        <f t="shared" si="97"/>
        <v/>
      </c>
      <c r="H5499" s="62"/>
      <c r="I5499" s="63"/>
      <c r="J5499" s="34">
        <v>0</v>
      </c>
    </row>
    <row r="5500" spans="1:10" ht="15.75" hidden="1" thickBot="1" x14ac:dyDescent="0.3">
      <c r="A5500" s="265"/>
      <c r="B5500" s="253"/>
      <c r="C5500" s="60"/>
      <c r="D5500" s="78"/>
      <c r="E5500" s="79"/>
      <c r="F5500" s="80" t="s">
        <v>23</v>
      </c>
      <c r="G5500" s="80" t="str">
        <f t="shared" si="97"/>
        <v/>
      </c>
      <c r="H5500" s="81"/>
      <c r="I5500" s="63"/>
      <c r="J5500" s="34">
        <v>0</v>
      </c>
    </row>
    <row r="5501" spans="1:10" ht="15.75" hidden="1" thickBot="1" x14ac:dyDescent="0.3">
      <c r="A5501" s="256" t="s">
        <v>1318</v>
      </c>
      <c r="B5501" s="251" t="s">
        <v>3108</v>
      </c>
      <c r="C5501" s="28"/>
      <c r="D5501" s="29" t="s">
        <v>2</v>
      </c>
      <c r="E5501" s="30"/>
      <c r="F5501" s="51" t="s">
        <v>23</v>
      </c>
      <c r="G5501" s="31" t="str">
        <f t="shared" si="97"/>
        <v/>
      </c>
      <c r="H5501" s="32"/>
      <c r="I5501" s="33"/>
      <c r="J5501" s="34">
        <v>0</v>
      </c>
    </row>
    <row r="5502" spans="1:10" ht="15.75" hidden="1" thickBot="1" x14ac:dyDescent="0.3">
      <c r="A5502" s="264"/>
      <c r="B5502" s="266"/>
      <c r="C5502" s="76"/>
      <c r="D5502" s="76"/>
      <c r="E5502" s="77"/>
      <c r="F5502" s="59" t="s">
        <v>23</v>
      </c>
      <c r="G5502" s="59" t="str">
        <f t="shared" si="97"/>
        <v/>
      </c>
      <c r="H5502" s="62"/>
      <c r="I5502" s="63"/>
      <c r="J5502" s="34">
        <v>0</v>
      </c>
    </row>
    <row r="5503" spans="1:10" ht="15.75" hidden="1" thickBot="1" x14ac:dyDescent="0.3">
      <c r="A5503" s="264"/>
      <c r="B5503" s="266"/>
      <c r="C5503" s="40" t="s">
        <v>4218</v>
      </c>
      <c r="D5503" s="40" t="s">
        <v>3752</v>
      </c>
      <c r="E5503" s="75" t="e">
        <f>IF(#REF!="Desonerado",ROUND(220/(1+82.01%),4),ROUND(220/(1+110.69%),4))</f>
        <v>#REF!</v>
      </c>
      <c r="F5503" s="35">
        <v>125.88449999999999</v>
      </c>
      <c r="G5503" s="59" t="e">
        <f t="shared" si="97"/>
        <v>#REF!</v>
      </c>
      <c r="H5503" s="43" t="e">
        <f>SUM(G5503:G5503)</f>
        <v>#REF!</v>
      </c>
      <c r="I5503" s="44"/>
      <c r="J5503" s="34">
        <v>0</v>
      </c>
    </row>
    <row r="5504" spans="1:10" ht="15.75" hidden="1" thickBot="1" x14ac:dyDescent="0.3">
      <c r="A5504" s="264"/>
      <c r="B5504" s="266"/>
      <c r="C5504" s="76"/>
      <c r="D5504" s="76"/>
      <c r="E5504" s="77"/>
      <c r="F5504" s="59" t="s">
        <v>23</v>
      </c>
      <c r="G5504" s="59" t="str">
        <f t="shared" si="97"/>
        <v/>
      </c>
      <c r="H5504" s="62"/>
      <c r="I5504" s="63"/>
      <c r="J5504" s="34">
        <v>0</v>
      </c>
    </row>
    <row r="5505" spans="1:10" ht="26.25" hidden="1" thickBot="1" x14ac:dyDescent="0.3">
      <c r="A5505" s="264"/>
      <c r="B5505" s="266"/>
      <c r="C5505" s="50" t="s">
        <v>668</v>
      </c>
      <c r="D5505" s="76"/>
      <c r="E5505" s="77"/>
      <c r="F5505" s="59" t="s">
        <v>23</v>
      </c>
      <c r="G5505" s="59" t="str">
        <f t="shared" si="97"/>
        <v/>
      </c>
      <c r="H5505" s="62"/>
      <c r="I5505" s="63"/>
      <c r="J5505" s="34">
        <v>0</v>
      </c>
    </row>
    <row r="5506" spans="1:10" ht="15.75" hidden="1" thickBot="1" x14ac:dyDescent="0.3">
      <c r="A5506" s="265"/>
      <c r="B5506" s="253"/>
      <c r="C5506" s="60"/>
      <c r="D5506" s="78"/>
      <c r="E5506" s="79"/>
      <c r="F5506" s="80" t="s">
        <v>23</v>
      </c>
      <c r="G5506" s="80" t="str">
        <f t="shared" si="97"/>
        <v/>
      </c>
      <c r="H5506" s="81"/>
      <c r="I5506" s="63"/>
      <c r="J5506" s="34">
        <v>0</v>
      </c>
    </row>
    <row r="5507" spans="1:10" ht="15.75" hidden="1" thickBot="1" x14ac:dyDescent="0.3">
      <c r="A5507" s="256" t="s">
        <v>1319</v>
      </c>
      <c r="B5507" s="251" t="s">
        <v>3109</v>
      </c>
      <c r="C5507" s="28"/>
      <c r="D5507" s="29" t="s">
        <v>2</v>
      </c>
      <c r="E5507" s="30"/>
      <c r="F5507" s="51" t="s">
        <v>23</v>
      </c>
      <c r="G5507" s="31" t="str">
        <f t="shared" si="97"/>
        <v/>
      </c>
      <c r="H5507" s="32"/>
      <c r="I5507" s="33"/>
      <c r="J5507" s="34">
        <v>0</v>
      </c>
    </row>
    <row r="5508" spans="1:10" ht="15.75" hidden="1" thickBot="1" x14ac:dyDescent="0.3">
      <c r="A5508" s="264"/>
      <c r="B5508" s="266"/>
      <c r="C5508" s="76"/>
      <c r="D5508" s="76"/>
      <c r="E5508" s="77"/>
      <c r="F5508" s="59" t="s">
        <v>23</v>
      </c>
      <c r="G5508" s="59" t="str">
        <f t="shared" si="97"/>
        <v/>
      </c>
      <c r="H5508" s="62"/>
      <c r="I5508" s="63"/>
      <c r="J5508" s="34">
        <v>0</v>
      </c>
    </row>
    <row r="5509" spans="1:10" ht="26.25" hidden="1" thickBot="1" x14ac:dyDescent="0.3">
      <c r="A5509" s="264"/>
      <c r="B5509" s="266"/>
      <c r="C5509" s="40" t="s">
        <v>3794</v>
      </c>
      <c r="D5509" s="40" t="s">
        <v>3752</v>
      </c>
      <c r="E5509" s="75" t="e">
        <f>IF(#REF!="Desonerado",ROUND(220/(1+82.01%),4),ROUND(220/(1+110.69%),4))</f>
        <v>#REF!</v>
      </c>
      <c r="F5509" s="35">
        <v>44.003999999999998</v>
      </c>
      <c r="G5509" s="59" t="e">
        <f t="shared" si="97"/>
        <v>#REF!</v>
      </c>
      <c r="H5509" s="43" t="e">
        <f>SUM(G5509:G5509)</f>
        <v>#REF!</v>
      </c>
      <c r="I5509" s="44"/>
      <c r="J5509" s="34">
        <v>0</v>
      </c>
    </row>
    <row r="5510" spans="1:10" ht="15.75" hidden="1" thickBot="1" x14ac:dyDescent="0.3">
      <c r="A5510" s="264"/>
      <c r="B5510" s="266"/>
      <c r="C5510" s="76"/>
      <c r="D5510" s="76"/>
      <c r="E5510" s="77"/>
      <c r="F5510" s="59" t="s">
        <v>23</v>
      </c>
      <c r="G5510" s="59" t="str">
        <f t="shared" si="97"/>
        <v/>
      </c>
      <c r="H5510" s="62"/>
      <c r="I5510" s="63"/>
      <c r="J5510" s="34">
        <v>0</v>
      </c>
    </row>
    <row r="5511" spans="1:10" ht="26.25" hidden="1" thickBot="1" x14ac:dyDescent="0.3">
      <c r="A5511" s="264"/>
      <c r="B5511" s="266"/>
      <c r="C5511" s="50" t="s">
        <v>668</v>
      </c>
      <c r="D5511" s="76"/>
      <c r="E5511" s="77"/>
      <c r="F5511" s="59" t="s">
        <v>23</v>
      </c>
      <c r="G5511" s="59" t="str">
        <f t="shared" si="97"/>
        <v/>
      </c>
      <c r="H5511" s="62"/>
      <c r="I5511" s="63"/>
      <c r="J5511" s="34">
        <v>0</v>
      </c>
    </row>
    <row r="5512" spans="1:10" ht="15.75" hidden="1" thickBot="1" x14ac:dyDescent="0.3">
      <c r="A5512" s="265"/>
      <c r="B5512" s="253"/>
      <c r="C5512" s="60"/>
      <c r="D5512" s="78"/>
      <c r="E5512" s="79"/>
      <c r="F5512" s="80" t="s">
        <v>23</v>
      </c>
      <c r="G5512" s="80" t="str">
        <f t="shared" si="97"/>
        <v/>
      </c>
      <c r="H5512" s="81"/>
      <c r="I5512" s="63"/>
      <c r="J5512" s="34">
        <v>0</v>
      </c>
    </row>
    <row r="5513" spans="1:10" ht="15.75" hidden="1" thickBot="1" x14ac:dyDescent="0.3">
      <c r="A5513" s="256" t="s">
        <v>1320</v>
      </c>
      <c r="B5513" s="251" t="s">
        <v>3110</v>
      </c>
      <c r="C5513" s="28"/>
      <c r="D5513" s="29" t="s">
        <v>2</v>
      </c>
      <c r="E5513" s="30"/>
      <c r="F5513" s="51" t="s">
        <v>23</v>
      </c>
      <c r="G5513" s="31" t="str">
        <f t="shared" si="97"/>
        <v/>
      </c>
      <c r="H5513" s="32"/>
      <c r="I5513" s="33"/>
      <c r="J5513" s="34">
        <v>0</v>
      </c>
    </row>
    <row r="5514" spans="1:10" ht="15.75" hidden="1" thickBot="1" x14ac:dyDescent="0.3">
      <c r="A5514" s="264"/>
      <c r="B5514" s="266"/>
      <c r="C5514" s="76"/>
      <c r="D5514" s="76"/>
      <c r="E5514" s="77"/>
      <c r="F5514" s="59" t="s">
        <v>23</v>
      </c>
      <c r="G5514" s="59" t="str">
        <f t="shared" si="97"/>
        <v/>
      </c>
      <c r="H5514" s="62"/>
      <c r="I5514" s="63"/>
      <c r="J5514" s="34">
        <v>0</v>
      </c>
    </row>
    <row r="5515" spans="1:10" ht="15.75" hidden="1" thickBot="1" x14ac:dyDescent="0.3">
      <c r="A5515" s="264"/>
      <c r="B5515" s="266"/>
      <c r="C5515" s="40" t="s">
        <v>4220</v>
      </c>
      <c r="D5515" s="40" t="s">
        <v>3752</v>
      </c>
      <c r="E5515" s="75" t="e">
        <f>IF(#REF!="Desonerado",ROUND(220/(1+82.01%),4),ROUND(220/(1+110.69%),4))</f>
        <v>#REF!</v>
      </c>
      <c r="F5515" s="35">
        <v>21.061500000000002</v>
      </c>
      <c r="G5515" s="59" t="e">
        <f t="shared" si="97"/>
        <v>#REF!</v>
      </c>
      <c r="H5515" s="43" t="e">
        <f>SUM(G5515:G5515)</f>
        <v>#REF!</v>
      </c>
      <c r="I5515" s="44"/>
      <c r="J5515" s="34">
        <v>0</v>
      </c>
    </row>
    <row r="5516" spans="1:10" ht="15.75" hidden="1" thickBot="1" x14ac:dyDescent="0.3">
      <c r="A5516" s="264"/>
      <c r="B5516" s="266"/>
      <c r="C5516" s="76"/>
      <c r="D5516" s="76"/>
      <c r="E5516" s="77"/>
      <c r="F5516" s="59" t="s">
        <v>23</v>
      </c>
      <c r="G5516" s="59" t="str">
        <f t="shared" si="97"/>
        <v/>
      </c>
      <c r="H5516" s="62"/>
      <c r="I5516" s="63"/>
      <c r="J5516" s="34">
        <v>0</v>
      </c>
    </row>
    <row r="5517" spans="1:10" ht="26.25" hidden="1" thickBot="1" x14ac:dyDescent="0.3">
      <c r="A5517" s="264"/>
      <c r="B5517" s="266"/>
      <c r="C5517" s="50" t="s">
        <v>668</v>
      </c>
      <c r="D5517" s="76"/>
      <c r="E5517" s="77"/>
      <c r="F5517" s="59" t="s">
        <v>23</v>
      </c>
      <c r="G5517" s="59" t="str">
        <f t="shared" si="97"/>
        <v/>
      </c>
      <c r="H5517" s="62"/>
      <c r="I5517" s="63"/>
      <c r="J5517" s="34">
        <v>0</v>
      </c>
    </row>
    <row r="5518" spans="1:10" ht="15.75" hidden="1" thickBot="1" x14ac:dyDescent="0.3">
      <c r="A5518" s="265"/>
      <c r="B5518" s="253"/>
      <c r="C5518" s="60"/>
      <c r="D5518" s="78"/>
      <c r="E5518" s="79"/>
      <c r="F5518" s="80" t="s">
        <v>23</v>
      </c>
      <c r="G5518" s="80" t="str">
        <f t="shared" si="97"/>
        <v/>
      </c>
      <c r="H5518" s="81"/>
      <c r="I5518" s="63"/>
      <c r="J5518" s="34">
        <v>0</v>
      </c>
    </row>
    <row r="5519" spans="1:10" ht="15.75" hidden="1" thickBot="1" x14ac:dyDescent="0.3">
      <c r="A5519" s="256" t="s">
        <v>1321</v>
      </c>
      <c r="B5519" s="251" t="s">
        <v>3111</v>
      </c>
      <c r="C5519" s="28"/>
      <c r="D5519" s="29" t="s">
        <v>2</v>
      </c>
      <c r="E5519" s="30"/>
      <c r="F5519" s="51" t="s">
        <v>23</v>
      </c>
      <c r="G5519" s="31" t="str">
        <f t="shared" si="97"/>
        <v/>
      </c>
      <c r="H5519" s="32"/>
      <c r="I5519" s="33"/>
      <c r="J5519" s="34">
        <v>0</v>
      </c>
    </row>
    <row r="5520" spans="1:10" ht="15.75" hidden="1" thickBot="1" x14ac:dyDescent="0.3">
      <c r="A5520" s="264"/>
      <c r="B5520" s="266"/>
      <c r="C5520" s="76"/>
      <c r="D5520" s="76"/>
      <c r="E5520" s="77"/>
      <c r="F5520" s="59" t="s">
        <v>23</v>
      </c>
      <c r="G5520" s="59" t="str">
        <f t="shared" si="97"/>
        <v/>
      </c>
      <c r="H5520" s="62"/>
      <c r="I5520" s="63"/>
      <c r="J5520" s="34">
        <v>0</v>
      </c>
    </row>
    <row r="5521" spans="1:10" ht="15.75" hidden="1" thickBot="1" x14ac:dyDescent="0.3">
      <c r="A5521" s="264"/>
      <c r="B5521" s="266"/>
      <c r="C5521" s="40" t="s">
        <v>4221</v>
      </c>
      <c r="D5521" s="40" t="s">
        <v>3752</v>
      </c>
      <c r="E5521" s="75" t="e">
        <f>IF(#REF!="Desonerado",ROUND(220/(1+82.01%),4),ROUND(220/(1+110.69%),4))</f>
        <v>#REF!</v>
      </c>
      <c r="F5521" s="35">
        <v>23.721499999999999</v>
      </c>
      <c r="G5521" s="59" t="e">
        <f t="shared" si="97"/>
        <v>#REF!</v>
      </c>
      <c r="H5521" s="43" t="e">
        <f>SUM(G5521:G5521)</f>
        <v>#REF!</v>
      </c>
      <c r="I5521" s="44"/>
      <c r="J5521" s="34">
        <v>0</v>
      </c>
    </row>
    <row r="5522" spans="1:10" ht="15.75" hidden="1" thickBot="1" x14ac:dyDescent="0.3">
      <c r="A5522" s="264"/>
      <c r="B5522" s="266"/>
      <c r="C5522" s="76"/>
      <c r="D5522" s="76"/>
      <c r="E5522" s="77"/>
      <c r="F5522" s="59" t="s">
        <v>23</v>
      </c>
      <c r="G5522" s="59" t="str">
        <f t="shared" si="97"/>
        <v/>
      </c>
      <c r="H5522" s="62"/>
      <c r="I5522" s="63"/>
      <c r="J5522" s="34">
        <v>0</v>
      </c>
    </row>
    <row r="5523" spans="1:10" ht="26.25" hidden="1" thickBot="1" x14ac:dyDescent="0.3">
      <c r="A5523" s="264"/>
      <c r="B5523" s="266"/>
      <c r="C5523" s="50" t="s">
        <v>668</v>
      </c>
      <c r="D5523" s="76"/>
      <c r="E5523" s="77"/>
      <c r="F5523" s="59" t="s">
        <v>23</v>
      </c>
      <c r="G5523" s="59" t="str">
        <f t="shared" si="97"/>
        <v/>
      </c>
      <c r="H5523" s="62"/>
      <c r="I5523" s="63"/>
      <c r="J5523" s="34">
        <v>0</v>
      </c>
    </row>
    <row r="5524" spans="1:10" ht="15.75" hidden="1" thickBot="1" x14ac:dyDescent="0.3">
      <c r="A5524" s="265"/>
      <c r="B5524" s="253"/>
      <c r="C5524" s="60"/>
      <c r="D5524" s="78"/>
      <c r="E5524" s="79"/>
      <c r="F5524" s="80" t="s">
        <v>23</v>
      </c>
      <c r="G5524" s="80" t="str">
        <f t="shared" si="97"/>
        <v/>
      </c>
      <c r="H5524" s="81"/>
      <c r="I5524" s="63"/>
      <c r="J5524" s="34">
        <v>0</v>
      </c>
    </row>
    <row r="5525" spans="1:10" ht="15.75" hidden="1" thickBot="1" x14ac:dyDescent="0.3">
      <c r="A5525" s="256" t="s">
        <v>1322</v>
      </c>
      <c r="B5525" s="251" t="s">
        <v>3112</v>
      </c>
      <c r="C5525" s="28"/>
      <c r="D5525" s="29" t="s">
        <v>2</v>
      </c>
      <c r="E5525" s="30"/>
      <c r="F5525" s="51" t="s">
        <v>23</v>
      </c>
      <c r="G5525" s="31" t="str">
        <f t="shared" si="97"/>
        <v/>
      </c>
      <c r="H5525" s="32"/>
      <c r="I5525" s="33"/>
      <c r="J5525" s="34">
        <v>0</v>
      </c>
    </row>
    <row r="5526" spans="1:10" ht="15.75" hidden="1" thickBot="1" x14ac:dyDescent="0.3">
      <c r="A5526" s="264"/>
      <c r="B5526" s="266"/>
      <c r="C5526" s="76"/>
      <c r="D5526" s="76"/>
      <c r="E5526" s="77"/>
      <c r="F5526" s="59" t="s">
        <v>23</v>
      </c>
      <c r="G5526" s="59" t="str">
        <f t="shared" si="97"/>
        <v/>
      </c>
      <c r="H5526" s="62"/>
      <c r="I5526" s="63"/>
      <c r="J5526" s="34">
        <v>0</v>
      </c>
    </row>
    <row r="5527" spans="1:10" ht="15.75" hidden="1" thickBot="1" x14ac:dyDescent="0.3">
      <c r="A5527" s="264"/>
      <c r="B5527" s="266"/>
      <c r="C5527" s="40" t="s">
        <v>4205</v>
      </c>
      <c r="D5527" s="40" t="s">
        <v>3752</v>
      </c>
      <c r="E5527" s="75" t="e">
        <f>IF(#REF!="Desonerado",ROUND(220/(1+82.01%),4),ROUND(220/(1+110.69%),4))</f>
        <v>#REF!</v>
      </c>
      <c r="F5527" s="35">
        <v>16.587</v>
      </c>
      <c r="G5527" s="59" t="e">
        <f t="shared" si="97"/>
        <v>#REF!</v>
      </c>
      <c r="H5527" s="43" t="e">
        <f>SUM(G5527:G5527)</f>
        <v>#REF!</v>
      </c>
      <c r="I5527" s="44"/>
      <c r="J5527" s="34">
        <v>0</v>
      </c>
    </row>
    <row r="5528" spans="1:10" ht="15.75" hidden="1" thickBot="1" x14ac:dyDescent="0.3">
      <c r="A5528" s="264"/>
      <c r="B5528" s="266"/>
      <c r="C5528" s="76"/>
      <c r="D5528" s="76"/>
      <c r="E5528" s="77"/>
      <c r="F5528" s="59" t="s">
        <v>23</v>
      </c>
      <c r="G5528" s="59" t="str">
        <f t="shared" si="97"/>
        <v/>
      </c>
      <c r="H5528" s="62"/>
      <c r="I5528" s="63"/>
      <c r="J5528" s="34">
        <v>0</v>
      </c>
    </row>
    <row r="5529" spans="1:10" ht="26.25" hidden="1" thickBot="1" x14ac:dyDescent="0.3">
      <c r="A5529" s="264"/>
      <c r="B5529" s="266"/>
      <c r="C5529" s="50" t="s">
        <v>668</v>
      </c>
      <c r="D5529" s="76"/>
      <c r="E5529" s="77"/>
      <c r="F5529" s="59" t="s">
        <v>23</v>
      </c>
      <c r="G5529" s="59" t="str">
        <f t="shared" si="97"/>
        <v/>
      </c>
      <c r="H5529" s="62"/>
      <c r="I5529" s="63"/>
      <c r="J5529" s="34">
        <v>0</v>
      </c>
    </row>
    <row r="5530" spans="1:10" ht="15.75" hidden="1" thickBot="1" x14ac:dyDescent="0.3">
      <c r="A5530" s="265"/>
      <c r="B5530" s="253"/>
      <c r="C5530" s="60"/>
      <c r="D5530" s="78"/>
      <c r="E5530" s="79"/>
      <c r="F5530" s="80" t="s">
        <v>23</v>
      </c>
      <c r="G5530" s="80" t="str">
        <f t="shared" si="97"/>
        <v/>
      </c>
      <c r="H5530" s="81"/>
      <c r="I5530" s="63"/>
      <c r="J5530" s="34">
        <v>0</v>
      </c>
    </row>
    <row r="5531" spans="1:10" ht="15.75" hidden="1" thickBot="1" x14ac:dyDescent="0.3">
      <c r="A5531" s="256" t="s">
        <v>1323</v>
      </c>
      <c r="B5531" s="251" t="s">
        <v>3113</v>
      </c>
      <c r="C5531" s="28"/>
      <c r="D5531" s="29" t="s">
        <v>2</v>
      </c>
      <c r="E5531" s="30"/>
      <c r="F5531" s="51" t="s">
        <v>23</v>
      </c>
      <c r="G5531" s="31" t="str">
        <f t="shared" si="97"/>
        <v/>
      </c>
      <c r="H5531" s="32"/>
      <c r="I5531" s="33"/>
      <c r="J5531" s="34">
        <v>0</v>
      </c>
    </row>
    <row r="5532" spans="1:10" ht="15.75" hidden="1" thickBot="1" x14ac:dyDescent="0.3">
      <c r="A5532" s="264"/>
      <c r="B5532" s="266"/>
      <c r="C5532" s="76"/>
      <c r="D5532" s="76"/>
      <c r="E5532" s="77"/>
      <c r="F5532" s="59" t="s">
        <v>23</v>
      </c>
      <c r="G5532" s="59" t="str">
        <f t="shared" si="97"/>
        <v/>
      </c>
      <c r="H5532" s="62"/>
      <c r="I5532" s="63"/>
      <c r="J5532" s="34">
        <v>0</v>
      </c>
    </row>
    <row r="5533" spans="1:10" ht="15.75" hidden="1" thickBot="1" x14ac:dyDescent="0.3">
      <c r="A5533" s="264"/>
      <c r="B5533" s="266"/>
      <c r="C5533" s="40" t="s">
        <v>4222</v>
      </c>
      <c r="D5533" s="40" t="s">
        <v>3752</v>
      </c>
      <c r="E5533" s="75" t="e">
        <f>IF(#REF!="Desonerado",ROUND(220/(1+82.01%),4),ROUND(220/(1+110.69%),4))</f>
        <v>#REF!</v>
      </c>
      <c r="F5533" s="35">
        <v>34.408999999999999</v>
      </c>
      <c r="G5533" s="59" t="e">
        <f t="shared" si="97"/>
        <v>#REF!</v>
      </c>
      <c r="H5533" s="43" t="e">
        <f>SUM(G5533:G5533)</f>
        <v>#REF!</v>
      </c>
      <c r="I5533" s="44"/>
      <c r="J5533" s="34">
        <v>0</v>
      </c>
    </row>
    <row r="5534" spans="1:10" ht="15.75" hidden="1" thickBot="1" x14ac:dyDescent="0.3">
      <c r="A5534" s="264"/>
      <c r="B5534" s="266"/>
      <c r="C5534" s="76"/>
      <c r="D5534" s="76"/>
      <c r="E5534" s="77"/>
      <c r="F5534" s="59" t="s">
        <v>23</v>
      </c>
      <c r="G5534" s="59" t="str">
        <f t="shared" si="97"/>
        <v/>
      </c>
      <c r="H5534" s="62"/>
      <c r="I5534" s="63"/>
      <c r="J5534" s="34">
        <v>0</v>
      </c>
    </row>
    <row r="5535" spans="1:10" ht="26.25" hidden="1" thickBot="1" x14ac:dyDescent="0.3">
      <c r="A5535" s="264"/>
      <c r="B5535" s="266"/>
      <c r="C5535" s="50" t="s">
        <v>668</v>
      </c>
      <c r="D5535" s="76"/>
      <c r="E5535" s="77"/>
      <c r="F5535" s="59" t="s">
        <v>23</v>
      </c>
      <c r="G5535" s="59" t="str">
        <f t="shared" si="97"/>
        <v/>
      </c>
      <c r="H5535" s="62"/>
      <c r="I5535" s="63"/>
      <c r="J5535" s="34">
        <v>0</v>
      </c>
    </row>
    <row r="5536" spans="1:10" ht="15.75" hidden="1" thickBot="1" x14ac:dyDescent="0.3">
      <c r="A5536" s="265"/>
      <c r="B5536" s="253"/>
      <c r="C5536" s="60"/>
      <c r="D5536" s="78"/>
      <c r="E5536" s="79"/>
      <c r="F5536" s="80" t="s">
        <v>23</v>
      </c>
      <c r="G5536" s="80" t="str">
        <f t="shared" si="97"/>
        <v/>
      </c>
      <c r="H5536" s="81"/>
      <c r="I5536" s="63"/>
      <c r="J5536" s="34">
        <v>0</v>
      </c>
    </row>
    <row r="5537" spans="1:10" ht="15.75" hidden="1" thickBot="1" x14ac:dyDescent="0.3">
      <c r="A5537" s="256" t="s">
        <v>1324</v>
      </c>
      <c r="B5537" s="251" t="s">
        <v>3114</v>
      </c>
      <c r="C5537" s="28"/>
      <c r="D5537" s="29" t="s">
        <v>2</v>
      </c>
      <c r="E5537" s="30"/>
      <c r="F5537" s="51" t="s">
        <v>23</v>
      </c>
      <c r="G5537" s="31" t="str">
        <f t="shared" si="97"/>
        <v/>
      </c>
      <c r="H5537" s="32"/>
      <c r="I5537" s="33"/>
      <c r="J5537" s="34">
        <v>0</v>
      </c>
    </row>
    <row r="5538" spans="1:10" ht="15.75" hidden="1" thickBot="1" x14ac:dyDescent="0.3">
      <c r="A5538" s="264"/>
      <c r="B5538" s="266"/>
      <c r="C5538" s="76"/>
      <c r="D5538" s="76"/>
      <c r="E5538" s="77"/>
      <c r="F5538" s="59" t="s">
        <v>23</v>
      </c>
      <c r="G5538" s="59" t="str">
        <f t="shared" si="97"/>
        <v/>
      </c>
      <c r="H5538" s="62"/>
      <c r="I5538" s="63"/>
      <c r="J5538" s="34">
        <v>0</v>
      </c>
    </row>
    <row r="5539" spans="1:10" ht="15.75" hidden="1" thickBot="1" x14ac:dyDescent="0.3">
      <c r="A5539" s="264"/>
      <c r="B5539" s="266"/>
      <c r="C5539" s="40" t="s">
        <v>4222</v>
      </c>
      <c r="D5539" s="40" t="s">
        <v>3752</v>
      </c>
      <c r="E5539" s="75" t="e">
        <f>IF(#REF!="Desonerado",ROUND(220/(1+82.01%),4),ROUND(220/(1+110.69%),4))</f>
        <v>#REF!</v>
      </c>
      <c r="F5539" s="35">
        <v>34.408999999999999</v>
      </c>
      <c r="G5539" s="59" t="e">
        <f t="shared" si="97"/>
        <v>#REF!</v>
      </c>
      <c r="H5539" s="43" t="e">
        <f>SUM(G5539:G5539)</f>
        <v>#REF!</v>
      </c>
      <c r="I5539" s="44"/>
      <c r="J5539" s="34">
        <v>0</v>
      </c>
    </row>
    <row r="5540" spans="1:10" ht="15.75" hidden="1" thickBot="1" x14ac:dyDescent="0.3">
      <c r="A5540" s="264"/>
      <c r="B5540" s="266"/>
      <c r="C5540" s="76"/>
      <c r="D5540" s="76"/>
      <c r="E5540" s="77"/>
      <c r="F5540" s="59" t="s">
        <v>23</v>
      </c>
      <c r="G5540" s="59" t="str">
        <f t="shared" si="97"/>
        <v/>
      </c>
      <c r="H5540" s="62"/>
      <c r="I5540" s="63"/>
      <c r="J5540" s="34">
        <v>0</v>
      </c>
    </row>
    <row r="5541" spans="1:10" ht="26.25" hidden="1" thickBot="1" x14ac:dyDescent="0.3">
      <c r="A5541" s="264"/>
      <c r="B5541" s="266"/>
      <c r="C5541" s="50" t="s">
        <v>668</v>
      </c>
      <c r="D5541" s="76"/>
      <c r="E5541" s="77"/>
      <c r="F5541" s="59" t="s">
        <v>23</v>
      </c>
      <c r="G5541" s="59" t="str">
        <f t="shared" si="97"/>
        <v/>
      </c>
      <c r="H5541" s="62"/>
      <c r="I5541" s="63"/>
      <c r="J5541" s="34">
        <v>0</v>
      </c>
    </row>
    <row r="5542" spans="1:10" ht="15.75" hidden="1" thickBot="1" x14ac:dyDescent="0.3">
      <c r="A5542" s="265"/>
      <c r="B5542" s="253"/>
      <c r="C5542" s="60"/>
      <c r="D5542" s="78"/>
      <c r="E5542" s="79"/>
      <c r="F5542" s="80" t="s">
        <v>23</v>
      </c>
      <c r="G5542" s="80" t="str">
        <f t="shared" si="97"/>
        <v/>
      </c>
      <c r="H5542" s="81"/>
      <c r="I5542" s="63"/>
      <c r="J5542" s="34">
        <v>0</v>
      </c>
    </row>
    <row r="5543" spans="1:10" ht="15.75" hidden="1" thickBot="1" x14ac:dyDescent="0.3">
      <c r="A5543" s="256" t="s">
        <v>1325</v>
      </c>
      <c r="B5543" s="251" t="s">
        <v>3115</v>
      </c>
      <c r="C5543" s="28"/>
      <c r="D5543" s="29" t="s">
        <v>2</v>
      </c>
      <c r="E5543" s="30"/>
      <c r="F5543" s="51" t="s">
        <v>23</v>
      </c>
      <c r="G5543" s="31" t="str">
        <f t="shared" si="97"/>
        <v/>
      </c>
      <c r="H5543" s="32"/>
      <c r="I5543" s="33"/>
      <c r="J5543" s="34">
        <v>0</v>
      </c>
    </row>
    <row r="5544" spans="1:10" ht="15.75" hidden="1" thickBot="1" x14ac:dyDescent="0.3">
      <c r="A5544" s="264"/>
      <c r="B5544" s="266"/>
      <c r="C5544" s="76"/>
      <c r="D5544" s="76"/>
      <c r="E5544" s="77"/>
      <c r="F5544" s="59" t="s">
        <v>23</v>
      </c>
      <c r="G5544" s="59" t="str">
        <f t="shared" si="97"/>
        <v/>
      </c>
      <c r="H5544" s="62"/>
      <c r="I5544" s="63"/>
      <c r="J5544" s="34">
        <v>0</v>
      </c>
    </row>
    <row r="5545" spans="1:10" ht="15.75" hidden="1" thickBot="1" x14ac:dyDescent="0.3">
      <c r="A5545" s="264"/>
      <c r="B5545" s="266"/>
      <c r="C5545" s="40" t="s">
        <v>4222</v>
      </c>
      <c r="D5545" s="40" t="s">
        <v>3752</v>
      </c>
      <c r="E5545" s="75" t="e">
        <f>IF(#REF!="Desonerado",ROUND(220/(1+82.01%),4),ROUND(220/(1+110.69%),4))</f>
        <v>#REF!</v>
      </c>
      <c r="F5545" s="35">
        <v>34.408999999999999</v>
      </c>
      <c r="G5545" s="59" t="e">
        <f t="shared" si="97"/>
        <v>#REF!</v>
      </c>
      <c r="H5545" s="43" t="e">
        <f>SUM(G5545:G5545)</f>
        <v>#REF!</v>
      </c>
      <c r="I5545" s="44"/>
      <c r="J5545" s="34">
        <v>0</v>
      </c>
    </row>
    <row r="5546" spans="1:10" ht="15.75" hidden="1" thickBot="1" x14ac:dyDescent="0.3">
      <c r="A5546" s="264"/>
      <c r="B5546" s="266"/>
      <c r="C5546" s="76"/>
      <c r="D5546" s="76"/>
      <c r="E5546" s="77"/>
      <c r="F5546" s="59" t="s">
        <v>23</v>
      </c>
      <c r="G5546" s="59" t="str">
        <f t="shared" si="97"/>
        <v/>
      </c>
      <c r="H5546" s="62"/>
      <c r="I5546" s="63"/>
      <c r="J5546" s="34">
        <v>0</v>
      </c>
    </row>
    <row r="5547" spans="1:10" ht="26.25" hidden="1" thickBot="1" x14ac:dyDescent="0.3">
      <c r="A5547" s="264"/>
      <c r="B5547" s="266"/>
      <c r="C5547" s="50" t="s">
        <v>668</v>
      </c>
      <c r="D5547" s="76"/>
      <c r="E5547" s="77"/>
      <c r="F5547" s="59" t="s">
        <v>23</v>
      </c>
      <c r="G5547" s="59" t="str">
        <f t="shared" si="97"/>
        <v/>
      </c>
      <c r="H5547" s="62"/>
      <c r="I5547" s="63"/>
      <c r="J5547" s="34">
        <v>0</v>
      </c>
    </row>
    <row r="5548" spans="1:10" ht="15.75" hidden="1" thickBot="1" x14ac:dyDescent="0.3">
      <c r="A5548" s="265"/>
      <c r="B5548" s="253"/>
      <c r="C5548" s="60"/>
      <c r="D5548" s="78"/>
      <c r="E5548" s="79"/>
      <c r="F5548" s="80" t="s">
        <v>23</v>
      </c>
      <c r="G5548" s="80" t="str">
        <f t="shared" ref="G5548:G5611" si="98">IF(ISNUMBER(F5548),E5548*F5548,"")</f>
        <v/>
      </c>
      <c r="H5548" s="81"/>
      <c r="I5548" s="63"/>
      <c r="J5548" s="34">
        <v>0</v>
      </c>
    </row>
    <row r="5549" spans="1:10" ht="15.75" hidden="1" thickBot="1" x14ac:dyDescent="0.3">
      <c r="A5549" s="256" t="s">
        <v>1326</v>
      </c>
      <c r="B5549" s="251" t="s">
        <v>3116</v>
      </c>
      <c r="C5549" s="28"/>
      <c r="D5549" s="29" t="s">
        <v>2</v>
      </c>
      <c r="E5549" s="30"/>
      <c r="F5549" s="51" t="s">
        <v>23</v>
      </c>
      <c r="G5549" s="31" t="str">
        <f t="shared" si="98"/>
        <v/>
      </c>
      <c r="H5549" s="32"/>
      <c r="I5549" s="33"/>
      <c r="J5549" s="34">
        <v>0</v>
      </c>
    </row>
    <row r="5550" spans="1:10" ht="15.75" hidden="1" thickBot="1" x14ac:dyDescent="0.3">
      <c r="A5550" s="264"/>
      <c r="B5550" s="266"/>
      <c r="C5550" s="76"/>
      <c r="D5550" s="76"/>
      <c r="E5550" s="77"/>
      <c r="F5550" s="59" t="s">
        <v>23</v>
      </c>
      <c r="G5550" s="59" t="str">
        <f t="shared" si="98"/>
        <v/>
      </c>
      <c r="H5550" s="62"/>
      <c r="I5550" s="63"/>
      <c r="J5550" s="34">
        <v>0</v>
      </c>
    </row>
    <row r="5551" spans="1:10" ht="15.75" hidden="1" thickBot="1" x14ac:dyDescent="0.3">
      <c r="A5551" s="264"/>
      <c r="B5551" s="266"/>
      <c r="C5551" s="40" t="s">
        <v>4222</v>
      </c>
      <c r="D5551" s="40" t="s">
        <v>3752</v>
      </c>
      <c r="E5551" s="75" t="e">
        <f>IF(#REF!="Desonerado",ROUND(220/(1+82.01%),4),ROUND(220/(1+110.69%),4))</f>
        <v>#REF!</v>
      </c>
      <c r="F5551" s="35">
        <v>34.408999999999999</v>
      </c>
      <c r="G5551" s="59" t="e">
        <f t="shared" si="98"/>
        <v>#REF!</v>
      </c>
      <c r="H5551" s="43" t="e">
        <f>SUM(G5551:G5551)</f>
        <v>#REF!</v>
      </c>
      <c r="I5551" s="44"/>
      <c r="J5551" s="34">
        <v>0</v>
      </c>
    </row>
    <row r="5552" spans="1:10" ht="15.75" hidden="1" thickBot="1" x14ac:dyDescent="0.3">
      <c r="A5552" s="264"/>
      <c r="B5552" s="266"/>
      <c r="C5552" s="76"/>
      <c r="D5552" s="76"/>
      <c r="E5552" s="77"/>
      <c r="F5552" s="59" t="s">
        <v>23</v>
      </c>
      <c r="G5552" s="59" t="str">
        <f t="shared" si="98"/>
        <v/>
      </c>
      <c r="H5552" s="62"/>
      <c r="I5552" s="63"/>
      <c r="J5552" s="34">
        <v>0</v>
      </c>
    </row>
    <row r="5553" spans="1:10" ht="26.25" hidden="1" thickBot="1" x14ac:dyDescent="0.3">
      <c r="A5553" s="264"/>
      <c r="B5553" s="266"/>
      <c r="C5553" s="50" t="s">
        <v>668</v>
      </c>
      <c r="D5553" s="76"/>
      <c r="E5553" s="77"/>
      <c r="F5553" s="59" t="s">
        <v>23</v>
      </c>
      <c r="G5553" s="59" t="str">
        <f t="shared" si="98"/>
        <v/>
      </c>
      <c r="H5553" s="62"/>
      <c r="I5553" s="63"/>
      <c r="J5553" s="34">
        <v>0</v>
      </c>
    </row>
    <row r="5554" spans="1:10" ht="15.75" hidden="1" thickBot="1" x14ac:dyDescent="0.3">
      <c r="A5554" s="265"/>
      <c r="B5554" s="253"/>
      <c r="C5554" s="60"/>
      <c r="D5554" s="78"/>
      <c r="E5554" s="79"/>
      <c r="F5554" s="80" t="s">
        <v>23</v>
      </c>
      <c r="G5554" s="80" t="str">
        <f t="shared" si="98"/>
        <v/>
      </c>
      <c r="H5554" s="81"/>
      <c r="I5554" s="63"/>
      <c r="J5554" s="34">
        <v>0</v>
      </c>
    </row>
    <row r="5555" spans="1:10" ht="15.75" hidden="1" thickBot="1" x14ac:dyDescent="0.3">
      <c r="A5555" s="256" t="s">
        <v>1327</v>
      </c>
      <c r="B5555" s="251" t="s">
        <v>3117</v>
      </c>
      <c r="C5555" s="28"/>
      <c r="D5555" s="29" t="s">
        <v>2</v>
      </c>
      <c r="E5555" s="30"/>
      <c r="F5555" s="51" t="s">
        <v>23</v>
      </c>
      <c r="G5555" s="31" t="str">
        <f t="shared" si="98"/>
        <v/>
      </c>
      <c r="H5555" s="32"/>
      <c r="I5555" s="33"/>
      <c r="J5555" s="34">
        <v>0</v>
      </c>
    </row>
    <row r="5556" spans="1:10" ht="15.75" hidden="1" thickBot="1" x14ac:dyDescent="0.3">
      <c r="A5556" s="264"/>
      <c r="B5556" s="266"/>
      <c r="C5556" s="76"/>
      <c r="D5556" s="76"/>
      <c r="E5556" s="77"/>
      <c r="F5556" s="59" t="s">
        <v>23</v>
      </c>
      <c r="G5556" s="59" t="str">
        <f t="shared" si="98"/>
        <v/>
      </c>
      <c r="H5556" s="62"/>
      <c r="I5556" s="63"/>
      <c r="J5556" s="34">
        <v>0</v>
      </c>
    </row>
    <row r="5557" spans="1:10" ht="15.75" hidden="1" thickBot="1" x14ac:dyDescent="0.3">
      <c r="A5557" s="264"/>
      <c r="B5557" s="266"/>
      <c r="C5557" s="40" t="s">
        <v>3760</v>
      </c>
      <c r="D5557" s="40" t="s">
        <v>3752</v>
      </c>
      <c r="E5557" s="75" t="e">
        <f>IF(#REF!="Desonerado",ROUND(220/(1+82.01%),4),ROUND(220/(1+110.69%),4))</f>
        <v>#REF!</v>
      </c>
      <c r="F5557" s="35">
        <v>28.385999999999999</v>
      </c>
      <c r="G5557" s="59" t="e">
        <f t="shared" si="98"/>
        <v>#REF!</v>
      </c>
      <c r="H5557" s="43" t="e">
        <f>SUM(G5557:G5557)</f>
        <v>#REF!</v>
      </c>
      <c r="I5557" s="44"/>
      <c r="J5557" s="34">
        <v>0</v>
      </c>
    </row>
    <row r="5558" spans="1:10" ht="15.75" hidden="1" thickBot="1" x14ac:dyDescent="0.3">
      <c r="A5558" s="264"/>
      <c r="B5558" s="266"/>
      <c r="C5558" s="76"/>
      <c r="D5558" s="76"/>
      <c r="E5558" s="77"/>
      <c r="F5558" s="59" t="s">
        <v>23</v>
      </c>
      <c r="G5558" s="59" t="str">
        <f t="shared" si="98"/>
        <v/>
      </c>
      <c r="H5558" s="62"/>
      <c r="I5558" s="63"/>
      <c r="J5558" s="34">
        <v>0</v>
      </c>
    </row>
    <row r="5559" spans="1:10" ht="26.25" hidden="1" thickBot="1" x14ac:dyDescent="0.3">
      <c r="A5559" s="264"/>
      <c r="B5559" s="266"/>
      <c r="C5559" s="50" t="s">
        <v>668</v>
      </c>
      <c r="D5559" s="76"/>
      <c r="E5559" s="77"/>
      <c r="F5559" s="59" t="s">
        <v>23</v>
      </c>
      <c r="G5559" s="59" t="str">
        <f t="shared" si="98"/>
        <v/>
      </c>
      <c r="H5559" s="62"/>
      <c r="I5559" s="63"/>
      <c r="J5559" s="34">
        <v>0</v>
      </c>
    </row>
    <row r="5560" spans="1:10" ht="15.75" hidden="1" thickBot="1" x14ac:dyDescent="0.3">
      <c r="A5560" s="265"/>
      <c r="B5560" s="253"/>
      <c r="C5560" s="60"/>
      <c r="D5560" s="78"/>
      <c r="E5560" s="79"/>
      <c r="F5560" s="80" t="s">
        <v>23</v>
      </c>
      <c r="G5560" s="80" t="str">
        <f t="shared" si="98"/>
        <v/>
      </c>
      <c r="H5560" s="81"/>
      <c r="I5560" s="63"/>
      <c r="J5560" s="34">
        <v>0</v>
      </c>
    </row>
    <row r="5561" spans="1:10" ht="15.75" hidden="1" thickBot="1" x14ac:dyDescent="0.3">
      <c r="A5561" s="256" t="s">
        <v>1328</v>
      </c>
      <c r="B5561" s="251" t="s">
        <v>3118</v>
      </c>
      <c r="C5561" s="28"/>
      <c r="D5561" s="29" t="s">
        <v>2</v>
      </c>
      <c r="E5561" s="30"/>
      <c r="F5561" s="51" t="s">
        <v>23</v>
      </c>
      <c r="G5561" s="31" t="str">
        <f t="shared" si="98"/>
        <v/>
      </c>
      <c r="H5561" s="32"/>
      <c r="I5561" s="33"/>
      <c r="J5561" s="34">
        <v>0</v>
      </c>
    </row>
    <row r="5562" spans="1:10" ht="15.75" hidden="1" thickBot="1" x14ac:dyDescent="0.3">
      <c r="A5562" s="264"/>
      <c r="B5562" s="266"/>
      <c r="C5562" s="76"/>
      <c r="D5562" s="76"/>
      <c r="E5562" s="77"/>
      <c r="F5562" s="59" t="s">
        <v>23</v>
      </c>
      <c r="G5562" s="59" t="str">
        <f t="shared" si="98"/>
        <v/>
      </c>
      <c r="H5562" s="62"/>
      <c r="I5562" s="63"/>
      <c r="J5562" s="34">
        <v>0</v>
      </c>
    </row>
    <row r="5563" spans="1:10" ht="15.75" hidden="1" thickBot="1" x14ac:dyDescent="0.3">
      <c r="A5563" s="264"/>
      <c r="B5563" s="266"/>
      <c r="C5563" s="40" t="s">
        <v>3770</v>
      </c>
      <c r="D5563" s="40" t="s">
        <v>3752</v>
      </c>
      <c r="E5563" s="75">
        <f>ROUND(220/(1+110.69%),4)</f>
        <v>104.4188</v>
      </c>
      <c r="F5563" s="35">
        <v>21.954499999999999</v>
      </c>
      <c r="G5563" s="59">
        <f t="shared" si="98"/>
        <v>2292.4625446</v>
      </c>
      <c r="H5563" s="43">
        <f>SUM(G5563:G5563)</f>
        <v>2292.4625446</v>
      </c>
      <c r="I5563" s="44"/>
      <c r="J5563" s="34">
        <v>0</v>
      </c>
    </row>
    <row r="5564" spans="1:10" ht="15.75" hidden="1" thickBot="1" x14ac:dyDescent="0.3">
      <c r="A5564" s="264"/>
      <c r="B5564" s="266"/>
      <c r="C5564" s="76"/>
      <c r="D5564" s="76"/>
      <c r="E5564" s="77"/>
      <c r="F5564" s="59" t="s">
        <v>23</v>
      </c>
      <c r="G5564" s="59" t="str">
        <f t="shared" si="98"/>
        <v/>
      </c>
      <c r="H5564" s="62"/>
      <c r="I5564" s="63"/>
      <c r="J5564" s="34">
        <v>0</v>
      </c>
    </row>
    <row r="5565" spans="1:10" ht="26.25" hidden="1" thickBot="1" x14ac:dyDescent="0.3">
      <c r="A5565" s="264"/>
      <c r="B5565" s="266"/>
      <c r="C5565" s="50" t="s">
        <v>668</v>
      </c>
      <c r="D5565" s="76"/>
      <c r="E5565" s="77"/>
      <c r="F5565" s="59" t="s">
        <v>23</v>
      </c>
      <c r="G5565" s="59" t="str">
        <f t="shared" si="98"/>
        <v/>
      </c>
      <c r="H5565" s="62"/>
      <c r="I5565" s="63"/>
      <c r="J5565" s="34">
        <v>0</v>
      </c>
    </row>
    <row r="5566" spans="1:10" ht="15.75" hidden="1" thickBot="1" x14ac:dyDescent="0.3">
      <c r="A5566" s="265"/>
      <c r="B5566" s="253"/>
      <c r="C5566" s="60"/>
      <c r="D5566" s="78"/>
      <c r="E5566" s="79"/>
      <c r="F5566" s="80" t="s">
        <v>23</v>
      </c>
      <c r="G5566" s="80" t="str">
        <f t="shared" si="98"/>
        <v/>
      </c>
      <c r="H5566" s="81"/>
      <c r="I5566" s="63"/>
      <c r="J5566" s="34">
        <v>0</v>
      </c>
    </row>
    <row r="5567" spans="1:10" ht="15.75" hidden="1" thickBot="1" x14ac:dyDescent="0.3">
      <c r="A5567" s="256" t="s">
        <v>1329</v>
      </c>
      <c r="B5567" s="251" t="s">
        <v>3119</v>
      </c>
      <c r="C5567" s="28"/>
      <c r="D5567" s="29" t="s">
        <v>2</v>
      </c>
      <c r="E5567" s="30"/>
      <c r="F5567" s="51" t="s">
        <v>23</v>
      </c>
      <c r="G5567" s="31" t="str">
        <f t="shared" si="98"/>
        <v/>
      </c>
      <c r="H5567" s="32"/>
      <c r="I5567" s="33"/>
      <c r="J5567" s="34">
        <v>0</v>
      </c>
    </row>
    <row r="5568" spans="1:10" ht="15.75" hidden="1" thickBot="1" x14ac:dyDescent="0.3">
      <c r="A5568" s="264"/>
      <c r="B5568" s="266"/>
      <c r="C5568" s="76"/>
      <c r="D5568" s="76"/>
      <c r="E5568" s="77"/>
      <c r="F5568" s="59" t="s">
        <v>23</v>
      </c>
      <c r="G5568" s="59" t="str">
        <f t="shared" si="98"/>
        <v/>
      </c>
      <c r="H5568" s="62"/>
      <c r="I5568" s="63"/>
      <c r="J5568" s="34">
        <v>0</v>
      </c>
    </row>
    <row r="5569" spans="1:10" ht="15.75" hidden="1" thickBot="1" x14ac:dyDescent="0.3">
      <c r="A5569" s="264"/>
      <c r="B5569" s="266"/>
      <c r="C5569" s="40" t="s">
        <v>4222</v>
      </c>
      <c r="D5569" s="40" t="s">
        <v>3752</v>
      </c>
      <c r="E5569" s="75" t="e">
        <f>IF(#REF!="Desonerado",ROUND(220/(1+82.01%),4),ROUND(220/(1+110.69%),4))</f>
        <v>#REF!</v>
      </c>
      <c r="F5569" s="35">
        <v>34.408999999999999</v>
      </c>
      <c r="G5569" s="59" t="e">
        <f t="shared" si="98"/>
        <v>#REF!</v>
      </c>
      <c r="H5569" s="43" t="e">
        <f>SUM(G5569:G5569)</f>
        <v>#REF!</v>
      </c>
      <c r="I5569" s="44"/>
      <c r="J5569" s="34">
        <v>0</v>
      </c>
    </row>
    <row r="5570" spans="1:10" ht="15.75" hidden="1" thickBot="1" x14ac:dyDescent="0.3">
      <c r="A5570" s="264"/>
      <c r="B5570" s="266"/>
      <c r="C5570" s="76"/>
      <c r="D5570" s="76"/>
      <c r="E5570" s="77"/>
      <c r="F5570" s="59" t="s">
        <v>23</v>
      </c>
      <c r="G5570" s="59" t="str">
        <f t="shared" si="98"/>
        <v/>
      </c>
      <c r="H5570" s="62"/>
      <c r="I5570" s="63"/>
      <c r="J5570" s="34">
        <v>0</v>
      </c>
    </row>
    <row r="5571" spans="1:10" ht="26.25" hidden="1" thickBot="1" x14ac:dyDescent="0.3">
      <c r="A5571" s="264"/>
      <c r="B5571" s="266"/>
      <c r="C5571" s="50" t="s">
        <v>668</v>
      </c>
      <c r="D5571" s="76"/>
      <c r="E5571" s="77"/>
      <c r="F5571" s="59" t="s">
        <v>23</v>
      </c>
      <c r="G5571" s="59" t="str">
        <f t="shared" si="98"/>
        <v/>
      </c>
      <c r="H5571" s="62"/>
      <c r="I5571" s="63"/>
      <c r="J5571" s="34">
        <v>0</v>
      </c>
    </row>
    <row r="5572" spans="1:10" ht="15.75" hidden="1" thickBot="1" x14ac:dyDescent="0.3">
      <c r="A5572" s="265"/>
      <c r="B5572" s="253"/>
      <c r="C5572" s="60"/>
      <c r="D5572" s="78"/>
      <c r="E5572" s="79"/>
      <c r="F5572" s="80" t="s">
        <v>23</v>
      </c>
      <c r="G5572" s="80" t="str">
        <f t="shared" si="98"/>
        <v/>
      </c>
      <c r="H5572" s="81"/>
      <c r="I5572" s="63"/>
      <c r="J5572" s="34">
        <v>0</v>
      </c>
    </row>
    <row r="5573" spans="1:10" ht="15.75" hidden="1" thickBot="1" x14ac:dyDescent="0.3">
      <c r="A5573" s="256" t="s">
        <v>1330</v>
      </c>
      <c r="B5573" s="251" t="s">
        <v>3120</v>
      </c>
      <c r="C5573" s="28"/>
      <c r="D5573" s="29" t="s">
        <v>2</v>
      </c>
      <c r="E5573" s="30"/>
      <c r="F5573" s="51" t="s">
        <v>23</v>
      </c>
      <c r="G5573" s="31" t="str">
        <f t="shared" si="98"/>
        <v/>
      </c>
      <c r="H5573" s="32"/>
      <c r="I5573" s="33"/>
      <c r="J5573" s="34">
        <v>0</v>
      </c>
    </row>
    <row r="5574" spans="1:10" ht="15.75" hidden="1" thickBot="1" x14ac:dyDescent="0.3">
      <c r="A5574" s="264"/>
      <c r="B5574" s="266"/>
      <c r="C5574" s="76"/>
      <c r="D5574" s="76"/>
      <c r="E5574" s="77"/>
      <c r="F5574" s="59" t="s">
        <v>23</v>
      </c>
      <c r="G5574" s="59" t="str">
        <f t="shared" si="98"/>
        <v/>
      </c>
      <c r="H5574" s="62"/>
      <c r="I5574" s="63"/>
      <c r="J5574" s="34">
        <v>0</v>
      </c>
    </row>
    <row r="5575" spans="1:10" ht="15.75" hidden="1" thickBot="1" x14ac:dyDescent="0.3">
      <c r="A5575" s="264"/>
      <c r="B5575" s="266"/>
      <c r="C5575" s="40" t="s">
        <v>4222</v>
      </c>
      <c r="D5575" s="40" t="s">
        <v>3752</v>
      </c>
      <c r="E5575" s="75" t="e">
        <f>IF(#REF!="Desonerado",ROUND(220/(1+82.01%),4),ROUND(220/(1+110.69%),4))</f>
        <v>#REF!</v>
      </c>
      <c r="F5575" s="35">
        <v>34.408999999999999</v>
      </c>
      <c r="G5575" s="59" t="e">
        <f t="shared" si="98"/>
        <v>#REF!</v>
      </c>
      <c r="H5575" s="43" t="e">
        <f>SUM(G5575:G5575)</f>
        <v>#REF!</v>
      </c>
      <c r="I5575" s="44"/>
      <c r="J5575" s="34">
        <v>0</v>
      </c>
    </row>
    <row r="5576" spans="1:10" ht="15.75" hidden="1" thickBot="1" x14ac:dyDescent="0.3">
      <c r="A5576" s="264"/>
      <c r="B5576" s="266"/>
      <c r="C5576" s="76"/>
      <c r="D5576" s="76"/>
      <c r="E5576" s="77"/>
      <c r="F5576" s="59" t="s">
        <v>23</v>
      </c>
      <c r="G5576" s="59" t="str">
        <f t="shared" si="98"/>
        <v/>
      </c>
      <c r="H5576" s="62"/>
      <c r="I5576" s="63"/>
      <c r="J5576" s="34">
        <v>0</v>
      </c>
    </row>
    <row r="5577" spans="1:10" ht="26.25" hidden="1" thickBot="1" x14ac:dyDescent="0.3">
      <c r="A5577" s="264"/>
      <c r="B5577" s="266"/>
      <c r="C5577" s="50" t="s">
        <v>668</v>
      </c>
      <c r="D5577" s="76"/>
      <c r="E5577" s="77"/>
      <c r="F5577" s="59" t="s">
        <v>23</v>
      </c>
      <c r="G5577" s="59" t="str">
        <f t="shared" si="98"/>
        <v/>
      </c>
      <c r="H5577" s="62"/>
      <c r="I5577" s="63"/>
      <c r="J5577" s="34">
        <v>0</v>
      </c>
    </row>
    <row r="5578" spans="1:10" ht="15.75" hidden="1" thickBot="1" x14ac:dyDescent="0.3">
      <c r="A5578" s="265"/>
      <c r="B5578" s="253"/>
      <c r="C5578" s="60"/>
      <c r="D5578" s="78"/>
      <c r="E5578" s="79"/>
      <c r="F5578" s="80" t="s">
        <v>23</v>
      </c>
      <c r="G5578" s="80" t="str">
        <f t="shared" si="98"/>
        <v/>
      </c>
      <c r="H5578" s="81"/>
      <c r="I5578" s="63"/>
      <c r="J5578" s="34">
        <v>0</v>
      </c>
    </row>
    <row r="5579" spans="1:10" ht="15.75" hidden="1" thickBot="1" x14ac:dyDescent="0.3">
      <c r="A5579" s="256" t="s">
        <v>1331</v>
      </c>
      <c r="B5579" s="251" t="s">
        <v>3121</v>
      </c>
      <c r="C5579" s="28"/>
      <c r="D5579" s="29" t="s">
        <v>2</v>
      </c>
      <c r="E5579" s="30"/>
      <c r="F5579" s="51" t="s">
        <v>23</v>
      </c>
      <c r="G5579" s="31" t="str">
        <f t="shared" si="98"/>
        <v/>
      </c>
      <c r="H5579" s="32"/>
      <c r="I5579" s="33"/>
      <c r="J5579" s="34">
        <v>0</v>
      </c>
    </row>
    <row r="5580" spans="1:10" ht="15.75" hidden="1" thickBot="1" x14ac:dyDescent="0.3">
      <c r="A5580" s="264"/>
      <c r="B5580" s="266"/>
      <c r="C5580" s="76"/>
      <c r="D5580" s="76"/>
      <c r="E5580" s="77"/>
      <c r="F5580" s="59" t="s">
        <v>23</v>
      </c>
      <c r="G5580" s="59" t="str">
        <f t="shared" si="98"/>
        <v/>
      </c>
      <c r="H5580" s="62"/>
      <c r="I5580" s="63"/>
      <c r="J5580" s="34">
        <v>0</v>
      </c>
    </row>
    <row r="5581" spans="1:10" ht="15.75" hidden="1" thickBot="1" x14ac:dyDescent="0.3">
      <c r="A5581" s="264"/>
      <c r="B5581" s="266"/>
      <c r="C5581" s="40" t="s">
        <v>4222</v>
      </c>
      <c r="D5581" s="40" t="s">
        <v>3752</v>
      </c>
      <c r="E5581" s="75" t="e">
        <f>IF(#REF!="Desonerado",ROUND(220/(1+82.01%),4),ROUND(220/(1+110.69%),4))</f>
        <v>#REF!</v>
      </c>
      <c r="F5581" s="35">
        <v>34.408999999999999</v>
      </c>
      <c r="G5581" s="59" t="e">
        <f t="shared" si="98"/>
        <v>#REF!</v>
      </c>
      <c r="H5581" s="43" t="e">
        <f>SUM(G5581:G5581)</f>
        <v>#REF!</v>
      </c>
      <c r="I5581" s="44"/>
      <c r="J5581" s="34">
        <v>0</v>
      </c>
    </row>
    <row r="5582" spans="1:10" ht="15.75" hidden="1" thickBot="1" x14ac:dyDescent="0.3">
      <c r="A5582" s="264"/>
      <c r="B5582" s="266"/>
      <c r="C5582" s="76"/>
      <c r="D5582" s="76"/>
      <c r="E5582" s="77"/>
      <c r="F5582" s="59" t="s">
        <v>23</v>
      </c>
      <c r="G5582" s="59" t="str">
        <f t="shared" si="98"/>
        <v/>
      </c>
      <c r="H5582" s="62"/>
      <c r="I5582" s="63"/>
      <c r="J5582" s="34">
        <v>0</v>
      </c>
    </row>
    <row r="5583" spans="1:10" ht="26.25" hidden="1" thickBot="1" x14ac:dyDescent="0.3">
      <c r="A5583" s="264"/>
      <c r="B5583" s="266"/>
      <c r="C5583" s="50" t="s">
        <v>668</v>
      </c>
      <c r="D5583" s="76"/>
      <c r="E5583" s="77"/>
      <c r="F5583" s="59" t="s">
        <v>23</v>
      </c>
      <c r="G5583" s="59" t="str">
        <f t="shared" si="98"/>
        <v/>
      </c>
      <c r="H5583" s="62"/>
      <c r="I5583" s="63"/>
      <c r="J5583" s="34">
        <v>0</v>
      </c>
    </row>
    <row r="5584" spans="1:10" ht="15.75" hidden="1" thickBot="1" x14ac:dyDescent="0.3">
      <c r="A5584" s="265"/>
      <c r="B5584" s="253"/>
      <c r="C5584" s="60"/>
      <c r="D5584" s="78"/>
      <c r="E5584" s="79"/>
      <c r="F5584" s="80" t="s">
        <v>23</v>
      </c>
      <c r="G5584" s="80" t="str">
        <f t="shared" si="98"/>
        <v/>
      </c>
      <c r="H5584" s="81"/>
      <c r="I5584" s="63"/>
      <c r="J5584" s="34">
        <v>0</v>
      </c>
    </row>
    <row r="5585" spans="1:10" ht="15.75" hidden="1" thickBot="1" x14ac:dyDescent="0.3">
      <c r="A5585" s="256" t="s">
        <v>1332</v>
      </c>
      <c r="B5585" s="251" t="s">
        <v>3122</v>
      </c>
      <c r="C5585" s="28"/>
      <c r="D5585" s="29" t="s">
        <v>2</v>
      </c>
      <c r="E5585" s="30"/>
      <c r="F5585" s="51" t="s">
        <v>23</v>
      </c>
      <c r="G5585" s="31" t="str">
        <f t="shared" si="98"/>
        <v/>
      </c>
      <c r="H5585" s="32"/>
      <c r="I5585" s="33"/>
      <c r="J5585" s="34">
        <v>0</v>
      </c>
    </row>
    <row r="5586" spans="1:10" ht="15.75" hidden="1" thickBot="1" x14ac:dyDescent="0.3">
      <c r="A5586" s="264"/>
      <c r="B5586" s="266"/>
      <c r="C5586" s="76"/>
      <c r="D5586" s="76"/>
      <c r="E5586" s="77"/>
      <c r="F5586" s="59" t="s">
        <v>23</v>
      </c>
      <c r="G5586" s="59" t="str">
        <f t="shared" si="98"/>
        <v/>
      </c>
      <c r="H5586" s="62"/>
      <c r="I5586" s="63"/>
      <c r="J5586" s="34">
        <v>0</v>
      </c>
    </row>
    <row r="5587" spans="1:10" ht="15.75" hidden="1" thickBot="1" x14ac:dyDescent="0.3">
      <c r="A5587" s="264"/>
      <c r="B5587" s="266"/>
      <c r="C5587" s="40" t="s">
        <v>4222</v>
      </c>
      <c r="D5587" s="40" t="s">
        <v>3752</v>
      </c>
      <c r="E5587" s="75" t="e">
        <f>IF(#REF!="Desonerado",ROUND(220/(1+82.01%),4),ROUND(220/(1+110.69%),4))</f>
        <v>#REF!</v>
      </c>
      <c r="F5587" s="35">
        <v>34.408999999999999</v>
      </c>
      <c r="G5587" s="59" t="e">
        <f t="shared" si="98"/>
        <v>#REF!</v>
      </c>
      <c r="H5587" s="43" t="e">
        <f>SUM(G5587:G5587)</f>
        <v>#REF!</v>
      </c>
      <c r="I5587" s="44"/>
      <c r="J5587" s="34">
        <v>0</v>
      </c>
    </row>
    <row r="5588" spans="1:10" ht="15.75" hidden="1" thickBot="1" x14ac:dyDescent="0.3">
      <c r="A5588" s="264"/>
      <c r="B5588" s="266"/>
      <c r="C5588" s="76"/>
      <c r="D5588" s="76"/>
      <c r="E5588" s="77"/>
      <c r="F5588" s="59" t="s">
        <v>23</v>
      </c>
      <c r="G5588" s="59" t="str">
        <f t="shared" si="98"/>
        <v/>
      </c>
      <c r="H5588" s="62"/>
      <c r="I5588" s="63"/>
      <c r="J5588" s="34">
        <v>0</v>
      </c>
    </row>
    <row r="5589" spans="1:10" ht="26.25" hidden="1" thickBot="1" x14ac:dyDescent="0.3">
      <c r="A5589" s="264"/>
      <c r="B5589" s="266"/>
      <c r="C5589" s="50" t="s">
        <v>668</v>
      </c>
      <c r="D5589" s="76"/>
      <c r="E5589" s="77"/>
      <c r="F5589" s="59" t="s">
        <v>23</v>
      </c>
      <c r="G5589" s="59" t="str">
        <f t="shared" si="98"/>
        <v/>
      </c>
      <c r="H5589" s="62"/>
      <c r="I5589" s="63"/>
      <c r="J5589" s="34">
        <v>0</v>
      </c>
    </row>
    <row r="5590" spans="1:10" ht="15.75" hidden="1" thickBot="1" x14ac:dyDescent="0.3">
      <c r="A5590" s="265"/>
      <c r="B5590" s="253"/>
      <c r="C5590" s="60"/>
      <c r="D5590" s="78"/>
      <c r="E5590" s="79"/>
      <c r="F5590" s="80" t="s">
        <v>23</v>
      </c>
      <c r="G5590" s="80" t="str">
        <f t="shared" si="98"/>
        <v/>
      </c>
      <c r="H5590" s="81"/>
      <c r="I5590" s="63"/>
      <c r="J5590" s="34">
        <v>0</v>
      </c>
    </row>
    <row r="5591" spans="1:10" ht="15.75" hidden="1" thickBot="1" x14ac:dyDescent="0.3">
      <c r="A5591" s="256" t="s">
        <v>1333</v>
      </c>
      <c r="B5591" s="251" t="s">
        <v>3123</v>
      </c>
      <c r="C5591" s="28"/>
      <c r="D5591" s="29" t="s">
        <v>2</v>
      </c>
      <c r="E5591" s="30"/>
      <c r="F5591" s="51" t="s">
        <v>23</v>
      </c>
      <c r="G5591" s="31" t="str">
        <f t="shared" si="98"/>
        <v/>
      </c>
      <c r="H5591" s="32"/>
      <c r="I5591" s="33"/>
      <c r="J5591" s="34">
        <v>0</v>
      </c>
    </row>
    <row r="5592" spans="1:10" ht="15.75" hidden="1" thickBot="1" x14ac:dyDescent="0.3">
      <c r="A5592" s="264"/>
      <c r="B5592" s="266"/>
      <c r="C5592" s="76"/>
      <c r="D5592" s="76"/>
      <c r="E5592" s="77"/>
      <c r="F5592" s="59" t="s">
        <v>23</v>
      </c>
      <c r="G5592" s="59" t="str">
        <f t="shared" si="98"/>
        <v/>
      </c>
      <c r="H5592" s="62"/>
      <c r="I5592" s="63"/>
      <c r="J5592" s="34">
        <v>0</v>
      </c>
    </row>
    <row r="5593" spans="1:10" ht="15.75" hidden="1" thickBot="1" x14ac:dyDescent="0.3">
      <c r="A5593" s="264"/>
      <c r="B5593" s="266"/>
      <c r="C5593" s="40" t="s">
        <v>3760</v>
      </c>
      <c r="D5593" s="40" t="s">
        <v>3752</v>
      </c>
      <c r="E5593" s="75" t="e">
        <f>IF(#REF!="Desonerado",ROUND(220/(1+82.01%),4),ROUND(220/(1+110.69%),4))</f>
        <v>#REF!</v>
      </c>
      <c r="F5593" s="35">
        <v>28.385999999999999</v>
      </c>
      <c r="G5593" s="59" t="e">
        <f t="shared" si="98"/>
        <v>#REF!</v>
      </c>
      <c r="H5593" s="43" t="e">
        <f>SUM(G5593:G5593)</f>
        <v>#REF!</v>
      </c>
      <c r="I5593" s="44"/>
      <c r="J5593" s="34">
        <v>0</v>
      </c>
    </row>
    <row r="5594" spans="1:10" ht="15.75" hidden="1" thickBot="1" x14ac:dyDescent="0.3">
      <c r="A5594" s="264"/>
      <c r="B5594" s="266"/>
      <c r="C5594" s="76"/>
      <c r="D5594" s="76"/>
      <c r="E5594" s="77"/>
      <c r="F5594" s="59" t="s">
        <v>23</v>
      </c>
      <c r="G5594" s="59" t="str">
        <f t="shared" si="98"/>
        <v/>
      </c>
      <c r="H5594" s="62"/>
      <c r="I5594" s="63"/>
      <c r="J5594" s="34">
        <v>0</v>
      </c>
    </row>
    <row r="5595" spans="1:10" ht="26.25" hidden="1" thickBot="1" x14ac:dyDescent="0.3">
      <c r="A5595" s="264"/>
      <c r="B5595" s="266"/>
      <c r="C5595" s="50" t="s">
        <v>668</v>
      </c>
      <c r="D5595" s="76"/>
      <c r="E5595" s="77"/>
      <c r="F5595" s="59" t="s">
        <v>23</v>
      </c>
      <c r="G5595" s="59" t="str">
        <f t="shared" si="98"/>
        <v/>
      </c>
      <c r="H5595" s="62"/>
      <c r="I5595" s="63"/>
      <c r="J5595" s="34">
        <v>0</v>
      </c>
    </row>
    <row r="5596" spans="1:10" ht="15.75" hidden="1" thickBot="1" x14ac:dyDescent="0.3">
      <c r="A5596" s="265"/>
      <c r="B5596" s="253"/>
      <c r="C5596" s="60"/>
      <c r="D5596" s="78"/>
      <c r="E5596" s="79"/>
      <c r="F5596" s="80" t="s">
        <v>23</v>
      </c>
      <c r="G5596" s="80" t="str">
        <f t="shared" si="98"/>
        <v/>
      </c>
      <c r="H5596" s="81"/>
      <c r="I5596" s="63"/>
      <c r="J5596" s="34">
        <v>0</v>
      </c>
    </row>
    <row r="5597" spans="1:10" ht="15.75" hidden="1" thickBot="1" x14ac:dyDescent="0.3">
      <c r="A5597" s="256" t="s">
        <v>1334</v>
      </c>
      <c r="B5597" s="251" t="s">
        <v>3124</v>
      </c>
      <c r="C5597" s="28"/>
      <c r="D5597" s="29" t="s">
        <v>2</v>
      </c>
      <c r="E5597" s="30"/>
      <c r="F5597" s="51" t="s">
        <v>23</v>
      </c>
      <c r="G5597" s="31" t="str">
        <f t="shared" si="98"/>
        <v/>
      </c>
      <c r="H5597" s="32"/>
      <c r="I5597" s="33"/>
      <c r="J5597" s="34">
        <v>0</v>
      </c>
    </row>
    <row r="5598" spans="1:10" ht="15.75" hidden="1" thickBot="1" x14ac:dyDescent="0.3">
      <c r="A5598" s="264"/>
      <c r="B5598" s="266"/>
      <c r="C5598" s="76"/>
      <c r="D5598" s="76"/>
      <c r="E5598" s="77"/>
      <c r="F5598" s="59" t="s">
        <v>23</v>
      </c>
      <c r="G5598" s="59" t="str">
        <f t="shared" si="98"/>
        <v/>
      </c>
      <c r="H5598" s="62"/>
      <c r="I5598" s="63"/>
      <c r="J5598" s="34">
        <v>0</v>
      </c>
    </row>
    <row r="5599" spans="1:10" ht="15.75" hidden="1" thickBot="1" x14ac:dyDescent="0.3">
      <c r="A5599" s="264"/>
      <c r="B5599" s="266"/>
      <c r="C5599" s="40" t="s">
        <v>3760</v>
      </c>
      <c r="D5599" s="40" t="s">
        <v>3752</v>
      </c>
      <c r="E5599" s="75" t="e">
        <f>IF(#REF!="Desonerado",ROUND(220/(1+82.01%),4),ROUND(220/(1+110.69%),4))</f>
        <v>#REF!</v>
      </c>
      <c r="F5599" s="35">
        <v>28.385999999999999</v>
      </c>
      <c r="G5599" s="59" t="e">
        <f t="shared" si="98"/>
        <v>#REF!</v>
      </c>
      <c r="H5599" s="43" t="e">
        <f>SUM(G5599:G5599)</f>
        <v>#REF!</v>
      </c>
      <c r="I5599" s="44"/>
      <c r="J5599" s="34">
        <v>0</v>
      </c>
    </row>
    <row r="5600" spans="1:10" ht="15.75" hidden="1" thickBot="1" x14ac:dyDescent="0.3">
      <c r="A5600" s="264"/>
      <c r="B5600" s="266"/>
      <c r="C5600" s="76"/>
      <c r="D5600" s="76"/>
      <c r="E5600" s="77"/>
      <c r="F5600" s="59" t="s">
        <v>23</v>
      </c>
      <c r="G5600" s="59" t="str">
        <f t="shared" si="98"/>
        <v/>
      </c>
      <c r="H5600" s="62"/>
      <c r="I5600" s="63"/>
      <c r="J5600" s="34">
        <v>0</v>
      </c>
    </row>
    <row r="5601" spans="1:10" ht="26.25" hidden="1" thickBot="1" x14ac:dyDescent="0.3">
      <c r="A5601" s="264"/>
      <c r="B5601" s="266"/>
      <c r="C5601" s="50" t="s">
        <v>668</v>
      </c>
      <c r="D5601" s="76"/>
      <c r="E5601" s="77"/>
      <c r="F5601" s="59" t="s">
        <v>23</v>
      </c>
      <c r="G5601" s="59" t="str">
        <f t="shared" si="98"/>
        <v/>
      </c>
      <c r="H5601" s="62"/>
      <c r="I5601" s="63"/>
      <c r="J5601" s="34">
        <v>0</v>
      </c>
    </row>
    <row r="5602" spans="1:10" ht="15.75" hidden="1" thickBot="1" x14ac:dyDescent="0.3">
      <c r="A5602" s="265"/>
      <c r="B5602" s="253"/>
      <c r="C5602" s="60"/>
      <c r="D5602" s="78"/>
      <c r="E5602" s="79"/>
      <c r="F5602" s="80" t="s">
        <v>23</v>
      </c>
      <c r="G5602" s="80" t="str">
        <f t="shared" si="98"/>
        <v/>
      </c>
      <c r="H5602" s="81"/>
      <c r="I5602" s="63"/>
      <c r="J5602" s="34">
        <v>0</v>
      </c>
    </row>
    <row r="5603" spans="1:10" ht="15.75" hidden="1" thickBot="1" x14ac:dyDescent="0.3">
      <c r="A5603" s="256" t="s">
        <v>1335</v>
      </c>
      <c r="B5603" s="251" t="s">
        <v>3125</v>
      </c>
      <c r="C5603" s="28"/>
      <c r="D5603" s="29" t="s">
        <v>2</v>
      </c>
      <c r="E5603" s="30"/>
      <c r="F5603" s="51" t="s">
        <v>23</v>
      </c>
      <c r="G5603" s="31" t="str">
        <f t="shared" si="98"/>
        <v/>
      </c>
      <c r="H5603" s="32"/>
      <c r="I5603" s="33"/>
      <c r="J5603" s="34">
        <v>0</v>
      </c>
    </row>
    <row r="5604" spans="1:10" ht="15.75" hidden="1" thickBot="1" x14ac:dyDescent="0.3">
      <c r="A5604" s="264"/>
      <c r="B5604" s="266"/>
      <c r="C5604" s="76"/>
      <c r="D5604" s="76"/>
      <c r="E5604" s="77"/>
      <c r="F5604" s="59" t="s">
        <v>23</v>
      </c>
      <c r="G5604" s="59" t="str">
        <f t="shared" si="98"/>
        <v/>
      </c>
      <c r="H5604" s="62"/>
      <c r="I5604" s="63"/>
      <c r="J5604" s="34">
        <v>0</v>
      </c>
    </row>
    <row r="5605" spans="1:10" ht="15.75" hidden="1" thickBot="1" x14ac:dyDescent="0.3">
      <c r="A5605" s="264"/>
      <c r="B5605" s="266"/>
      <c r="C5605" s="40" t="s">
        <v>3760</v>
      </c>
      <c r="D5605" s="40" t="s">
        <v>3752</v>
      </c>
      <c r="E5605" s="75" t="e">
        <f>IF(#REF!="Desonerado",ROUND(220/(1+82.01%),4),ROUND(220/(1+110.69%),4))</f>
        <v>#REF!</v>
      </c>
      <c r="F5605" s="35">
        <v>28.385999999999999</v>
      </c>
      <c r="G5605" s="59" t="e">
        <f t="shared" si="98"/>
        <v>#REF!</v>
      </c>
      <c r="H5605" s="43" t="e">
        <f>SUM(G5605:G5605)</f>
        <v>#REF!</v>
      </c>
      <c r="I5605" s="44"/>
      <c r="J5605" s="34">
        <v>0</v>
      </c>
    </row>
    <row r="5606" spans="1:10" ht="15.75" hidden="1" thickBot="1" x14ac:dyDescent="0.3">
      <c r="A5606" s="264"/>
      <c r="B5606" s="266"/>
      <c r="C5606" s="76"/>
      <c r="D5606" s="76"/>
      <c r="E5606" s="77"/>
      <c r="F5606" s="59" t="s">
        <v>23</v>
      </c>
      <c r="G5606" s="59" t="str">
        <f t="shared" si="98"/>
        <v/>
      </c>
      <c r="H5606" s="62"/>
      <c r="I5606" s="63"/>
      <c r="J5606" s="34">
        <v>0</v>
      </c>
    </row>
    <row r="5607" spans="1:10" ht="26.25" hidden="1" thickBot="1" x14ac:dyDescent="0.3">
      <c r="A5607" s="264"/>
      <c r="B5607" s="266"/>
      <c r="C5607" s="50" t="s">
        <v>668</v>
      </c>
      <c r="D5607" s="76"/>
      <c r="E5607" s="77"/>
      <c r="F5607" s="59" t="s">
        <v>23</v>
      </c>
      <c r="G5607" s="59" t="str">
        <f t="shared" si="98"/>
        <v/>
      </c>
      <c r="H5607" s="62"/>
      <c r="I5607" s="63"/>
      <c r="J5607" s="34">
        <v>0</v>
      </c>
    </row>
    <row r="5608" spans="1:10" ht="15.75" hidden="1" thickBot="1" x14ac:dyDescent="0.3">
      <c r="A5608" s="265"/>
      <c r="B5608" s="253"/>
      <c r="C5608" s="60"/>
      <c r="D5608" s="78"/>
      <c r="E5608" s="79"/>
      <c r="F5608" s="80" t="s">
        <v>23</v>
      </c>
      <c r="G5608" s="80" t="str">
        <f t="shared" si="98"/>
        <v/>
      </c>
      <c r="H5608" s="81"/>
      <c r="I5608" s="63"/>
      <c r="J5608" s="34">
        <v>0</v>
      </c>
    </row>
    <row r="5609" spans="1:10" ht="15.75" hidden="1" thickBot="1" x14ac:dyDescent="0.3">
      <c r="A5609" s="256" t="s">
        <v>1336</v>
      </c>
      <c r="B5609" s="251" t="s">
        <v>3126</v>
      </c>
      <c r="C5609" s="28"/>
      <c r="D5609" s="29" t="s">
        <v>2</v>
      </c>
      <c r="E5609" s="30"/>
      <c r="F5609" s="51" t="s">
        <v>23</v>
      </c>
      <c r="G5609" s="31" t="str">
        <f t="shared" si="98"/>
        <v/>
      </c>
      <c r="H5609" s="32"/>
      <c r="I5609" s="33"/>
      <c r="J5609" s="34">
        <v>0</v>
      </c>
    </row>
    <row r="5610" spans="1:10" ht="15.75" hidden="1" thickBot="1" x14ac:dyDescent="0.3">
      <c r="A5610" s="264"/>
      <c r="B5610" s="266"/>
      <c r="C5610" s="76"/>
      <c r="D5610" s="76"/>
      <c r="E5610" s="77"/>
      <c r="F5610" s="59" t="s">
        <v>23</v>
      </c>
      <c r="G5610" s="59" t="str">
        <f t="shared" si="98"/>
        <v/>
      </c>
      <c r="H5610" s="62"/>
      <c r="I5610" s="63"/>
      <c r="J5610" s="34">
        <v>0</v>
      </c>
    </row>
    <row r="5611" spans="1:10" ht="15.75" hidden="1" thickBot="1" x14ac:dyDescent="0.3">
      <c r="A5611" s="264"/>
      <c r="B5611" s="266"/>
      <c r="C5611" s="40" t="s">
        <v>3760</v>
      </c>
      <c r="D5611" s="40" t="s">
        <v>3752</v>
      </c>
      <c r="E5611" s="75" t="e">
        <f>IF(#REF!="Desonerado",ROUND(220/(1+82.01%),4),ROUND(220/(1+110.69%),4))</f>
        <v>#REF!</v>
      </c>
      <c r="F5611" s="35">
        <v>28.385999999999999</v>
      </c>
      <c r="G5611" s="59" t="e">
        <f t="shared" si="98"/>
        <v>#REF!</v>
      </c>
      <c r="H5611" s="43" t="e">
        <f>SUM(G5611:G5611)</f>
        <v>#REF!</v>
      </c>
      <c r="I5611" s="44"/>
      <c r="J5611" s="34">
        <v>0</v>
      </c>
    </row>
    <row r="5612" spans="1:10" ht="15.75" hidden="1" thickBot="1" x14ac:dyDescent="0.3">
      <c r="A5612" s="264"/>
      <c r="B5612" s="266"/>
      <c r="C5612" s="76"/>
      <c r="D5612" s="76"/>
      <c r="E5612" s="77"/>
      <c r="F5612" s="59" t="s">
        <v>23</v>
      </c>
      <c r="G5612" s="59" t="str">
        <f t="shared" ref="G5612:G5675" si="99">IF(ISNUMBER(F5612),E5612*F5612,"")</f>
        <v/>
      </c>
      <c r="H5612" s="62"/>
      <c r="I5612" s="63"/>
      <c r="J5612" s="34">
        <v>0</v>
      </c>
    </row>
    <row r="5613" spans="1:10" ht="26.25" hidden="1" thickBot="1" x14ac:dyDescent="0.3">
      <c r="A5613" s="264"/>
      <c r="B5613" s="266"/>
      <c r="C5613" s="50" t="s">
        <v>668</v>
      </c>
      <c r="D5613" s="76"/>
      <c r="E5613" s="77"/>
      <c r="F5613" s="59" t="s">
        <v>23</v>
      </c>
      <c r="G5613" s="59" t="str">
        <f t="shared" si="99"/>
        <v/>
      </c>
      <c r="H5613" s="62"/>
      <c r="I5613" s="63"/>
      <c r="J5613" s="34">
        <v>0</v>
      </c>
    </row>
    <row r="5614" spans="1:10" ht="15.75" hidden="1" thickBot="1" x14ac:dyDescent="0.3">
      <c r="A5614" s="265"/>
      <c r="B5614" s="253"/>
      <c r="C5614" s="60"/>
      <c r="D5614" s="78"/>
      <c r="E5614" s="79"/>
      <c r="F5614" s="80" t="s">
        <v>23</v>
      </c>
      <c r="G5614" s="80" t="str">
        <f t="shared" si="99"/>
        <v/>
      </c>
      <c r="H5614" s="81"/>
      <c r="I5614" s="63"/>
      <c r="J5614" s="34">
        <v>0</v>
      </c>
    </row>
    <row r="5615" spans="1:10" ht="15.75" hidden="1" thickBot="1" x14ac:dyDescent="0.3">
      <c r="A5615" s="248" t="s">
        <v>1337</v>
      </c>
      <c r="B5615" s="251" t="s">
        <v>3128</v>
      </c>
      <c r="C5615" s="28"/>
      <c r="D5615" s="29" t="s">
        <v>82</v>
      </c>
      <c r="E5615" s="30"/>
      <c r="F5615" s="51" t="s">
        <v>23</v>
      </c>
      <c r="G5615" s="31" t="str">
        <f t="shared" si="99"/>
        <v/>
      </c>
      <c r="H5615" s="32"/>
      <c r="I5615" s="33"/>
      <c r="J5615" s="34">
        <v>0</v>
      </c>
    </row>
    <row r="5616" spans="1:10" ht="15.75" hidden="1" thickBot="1" x14ac:dyDescent="0.3">
      <c r="A5616" s="262"/>
      <c r="B5616" s="266"/>
      <c r="C5616" s="76"/>
      <c r="D5616" s="76"/>
      <c r="E5616" s="77"/>
      <c r="F5616" s="59" t="s">
        <v>23</v>
      </c>
      <c r="G5616" s="59" t="str">
        <f t="shared" si="99"/>
        <v/>
      </c>
      <c r="H5616" s="62"/>
      <c r="I5616" s="63"/>
      <c r="J5616" s="34">
        <v>0</v>
      </c>
    </row>
    <row r="5617" spans="1:10" ht="26.25" hidden="1" thickBot="1" x14ac:dyDescent="0.3">
      <c r="A5617" s="262"/>
      <c r="B5617" s="266"/>
      <c r="C5617" s="40" t="s">
        <v>3955</v>
      </c>
      <c r="D5617" s="40" t="s">
        <v>1035</v>
      </c>
      <c r="E5617" s="75">
        <v>1</v>
      </c>
      <c r="F5617" s="35">
        <v>13.328499999999998</v>
      </c>
      <c r="G5617" s="59">
        <f t="shared" si="99"/>
        <v>13.328499999999998</v>
      </c>
      <c r="H5617" s="43">
        <f>SUM(G5617:G5617)</f>
        <v>13.328499999999998</v>
      </c>
      <c r="I5617" s="44"/>
      <c r="J5617" s="34">
        <v>0</v>
      </c>
    </row>
    <row r="5618" spans="1:10" ht="15.75" hidden="1" thickBot="1" x14ac:dyDescent="0.3">
      <c r="A5618" s="263"/>
      <c r="B5618" s="253"/>
      <c r="C5618" s="60"/>
      <c r="D5618" s="78"/>
      <c r="E5618" s="79"/>
      <c r="F5618" s="80" t="s">
        <v>23</v>
      </c>
      <c r="G5618" s="80" t="str">
        <f t="shared" si="99"/>
        <v/>
      </c>
      <c r="H5618" s="81"/>
      <c r="I5618" s="63"/>
      <c r="J5618" s="34">
        <v>0</v>
      </c>
    </row>
    <row r="5619" spans="1:10" ht="15.75" hidden="1" thickBot="1" x14ac:dyDescent="0.3">
      <c r="A5619" s="248" t="s">
        <v>1338</v>
      </c>
      <c r="B5619" s="251" t="s">
        <v>3129</v>
      </c>
      <c r="C5619" s="28"/>
      <c r="D5619" s="29" t="s">
        <v>82</v>
      </c>
      <c r="E5619" s="30"/>
      <c r="F5619" s="51" t="s">
        <v>23</v>
      </c>
      <c r="G5619" s="31" t="str">
        <f t="shared" si="99"/>
        <v/>
      </c>
      <c r="H5619" s="32"/>
      <c r="I5619" s="33"/>
      <c r="J5619" s="34">
        <v>0</v>
      </c>
    </row>
    <row r="5620" spans="1:10" ht="15.75" hidden="1" thickBot="1" x14ac:dyDescent="0.3">
      <c r="A5620" s="262"/>
      <c r="B5620" s="266"/>
      <c r="C5620" s="76"/>
      <c r="D5620" s="76"/>
      <c r="E5620" s="77"/>
      <c r="F5620" s="59" t="s">
        <v>23</v>
      </c>
      <c r="G5620" s="59" t="str">
        <f t="shared" si="99"/>
        <v/>
      </c>
      <c r="H5620" s="62"/>
      <c r="I5620" s="63"/>
      <c r="J5620" s="34">
        <v>0</v>
      </c>
    </row>
    <row r="5621" spans="1:10" ht="26.25" hidden="1" thickBot="1" x14ac:dyDescent="0.3">
      <c r="A5621" s="262"/>
      <c r="B5621" s="266"/>
      <c r="C5621" s="40" t="s">
        <v>3981</v>
      </c>
      <c r="D5621" s="40" t="s">
        <v>1035</v>
      </c>
      <c r="E5621" s="75">
        <v>1</v>
      </c>
      <c r="F5621" s="35">
        <v>9.5854999999999997</v>
      </c>
      <c r="G5621" s="59">
        <f t="shared" si="99"/>
        <v>9.5854999999999997</v>
      </c>
      <c r="H5621" s="43">
        <f>SUM(G5621:G5621)</f>
        <v>9.5854999999999997</v>
      </c>
      <c r="I5621" s="44"/>
      <c r="J5621" s="34">
        <v>0</v>
      </c>
    </row>
    <row r="5622" spans="1:10" ht="15.75" hidden="1" thickBot="1" x14ac:dyDescent="0.3">
      <c r="A5622" s="263"/>
      <c r="B5622" s="253"/>
      <c r="C5622" s="60"/>
      <c r="D5622" s="78"/>
      <c r="E5622" s="79"/>
      <c r="F5622" s="80" t="s">
        <v>23</v>
      </c>
      <c r="G5622" s="80" t="str">
        <f t="shared" si="99"/>
        <v/>
      </c>
      <c r="H5622" s="81"/>
      <c r="I5622" s="63"/>
      <c r="J5622" s="34">
        <v>0</v>
      </c>
    </row>
    <row r="5623" spans="1:10" ht="15.75" hidden="1" thickBot="1" x14ac:dyDescent="0.3">
      <c r="A5623" s="248" t="s">
        <v>1339</v>
      </c>
      <c r="B5623" s="251" t="s">
        <v>3130</v>
      </c>
      <c r="C5623" s="28"/>
      <c r="D5623" s="29" t="s">
        <v>28</v>
      </c>
      <c r="E5623" s="30"/>
      <c r="F5623" s="51" t="s">
        <v>23</v>
      </c>
      <c r="G5623" s="31" t="str">
        <f t="shared" si="99"/>
        <v/>
      </c>
      <c r="H5623" s="32"/>
      <c r="I5623" s="33"/>
      <c r="J5623" s="34">
        <v>0</v>
      </c>
    </row>
    <row r="5624" spans="1:10" ht="15.75" hidden="1" thickBot="1" x14ac:dyDescent="0.3">
      <c r="A5624" s="262"/>
      <c r="B5624" s="266"/>
      <c r="C5624" s="76"/>
      <c r="D5624" s="76"/>
      <c r="E5624" s="77"/>
      <c r="F5624" s="59" t="s">
        <v>23</v>
      </c>
      <c r="G5624" s="59" t="str">
        <f t="shared" si="99"/>
        <v/>
      </c>
      <c r="H5624" s="62"/>
      <c r="I5624" s="63"/>
      <c r="J5624" s="34">
        <v>0</v>
      </c>
    </row>
    <row r="5625" spans="1:10" ht="26.25" hidden="1" thickBot="1" x14ac:dyDescent="0.3">
      <c r="A5625" s="262"/>
      <c r="B5625" s="266"/>
      <c r="C5625" s="40" t="s">
        <v>4223</v>
      </c>
      <c r="D5625" s="40" t="s">
        <v>291</v>
      </c>
      <c r="E5625" s="75">
        <v>1</v>
      </c>
      <c r="F5625" s="35">
        <v>8.0749999999999993</v>
      </c>
      <c r="G5625" s="59">
        <f t="shared" si="99"/>
        <v>8.0749999999999993</v>
      </c>
      <c r="H5625" s="43">
        <f>SUM(G5625:G5625)</f>
        <v>8.0749999999999993</v>
      </c>
      <c r="I5625" s="44"/>
      <c r="J5625" s="34">
        <v>0</v>
      </c>
    </row>
    <row r="5626" spans="1:10" ht="15.75" hidden="1" thickBot="1" x14ac:dyDescent="0.3">
      <c r="A5626" s="263"/>
      <c r="B5626" s="253"/>
      <c r="C5626" s="60"/>
      <c r="D5626" s="78"/>
      <c r="E5626" s="79"/>
      <c r="F5626" s="80" t="s">
        <v>23</v>
      </c>
      <c r="G5626" s="80" t="str">
        <f t="shared" si="99"/>
        <v/>
      </c>
      <c r="H5626" s="81"/>
      <c r="I5626" s="63"/>
      <c r="J5626" s="34">
        <v>0</v>
      </c>
    </row>
    <row r="5627" spans="1:10" ht="15.75" hidden="1" thickBot="1" x14ac:dyDescent="0.3">
      <c r="A5627" s="248" t="s">
        <v>1340</v>
      </c>
      <c r="B5627" s="251" t="s">
        <v>3131</v>
      </c>
      <c r="C5627" s="28"/>
      <c r="D5627" s="29" t="s">
        <v>28</v>
      </c>
      <c r="E5627" s="30"/>
      <c r="F5627" s="51" t="s">
        <v>23</v>
      </c>
      <c r="G5627" s="31" t="str">
        <f t="shared" si="99"/>
        <v/>
      </c>
      <c r="H5627" s="32"/>
      <c r="I5627" s="33"/>
      <c r="J5627" s="34">
        <v>0</v>
      </c>
    </row>
    <row r="5628" spans="1:10" ht="15.75" hidden="1" thickBot="1" x14ac:dyDescent="0.3">
      <c r="A5628" s="262"/>
      <c r="B5628" s="266"/>
      <c r="C5628" s="76"/>
      <c r="D5628" s="76"/>
      <c r="E5628" s="77"/>
      <c r="F5628" s="59" t="s">
        <v>23</v>
      </c>
      <c r="G5628" s="59" t="str">
        <f t="shared" si="99"/>
        <v/>
      </c>
      <c r="H5628" s="62"/>
      <c r="I5628" s="63"/>
      <c r="J5628" s="34">
        <v>0</v>
      </c>
    </row>
    <row r="5629" spans="1:10" ht="26.25" hidden="1" thickBot="1" x14ac:dyDescent="0.3">
      <c r="A5629" s="262"/>
      <c r="B5629" s="266"/>
      <c r="C5629" s="40" t="s">
        <v>4224</v>
      </c>
      <c r="D5629" s="40" t="s">
        <v>291</v>
      </c>
      <c r="E5629" s="75">
        <v>1</v>
      </c>
      <c r="F5629" s="35">
        <v>13.575499999999998</v>
      </c>
      <c r="G5629" s="59">
        <f t="shared" si="99"/>
        <v>13.575499999999998</v>
      </c>
      <c r="H5629" s="43">
        <f>SUM(G5629:G5629)</f>
        <v>13.575499999999998</v>
      </c>
      <c r="I5629" s="44"/>
      <c r="J5629" s="34">
        <v>0</v>
      </c>
    </row>
    <row r="5630" spans="1:10" ht="15.75" hidden="1" thickBot="1" x14ac:dyDescent="0.3">
      <c r="A5630" s="263"/>
      <c r="B5630" s="253"/>
      <c r="C5630" s="60"/>
      <c r="D5630" s="78"/>
      <c r="E5630" s="79"/>
      <c r="F5630" s="80" t="s">
        <v>23</v>
      </c>
      <c r="G5630" s="80" t="str">
        <f t="shared" si="99"/>
        <v/>
      </c>
      <c r="H5630" s="81"/>
      <c r="I5630" s="63"/>
      <c r="J5630" s="34">
        <v>0</v>
      </c>
    </row>
    <row r="5631" spans="1:10" ht="15.75" hidden="1" thickBot="1" x14ac:dyDescent="0.3">
      <c r="A5631" s="248" t="s">
        <v>1341</v>
      </c>
      <c r="B5631" s="251" t="s">
        <v>3132</v>
      </c>
      <c r="C5631" s="28"/>
      <c r="D5631" s="29" t="s">
        <v>28</v>
      </c>
      <c r="E5631" s="30"/>
      <c r="F5631" s="51" t="s">
        <v>23</v>
      </c>
      <c r="G5631" s="31" t="str">
        <f t="shared" si="99"/>
        <v/>
      </c>
      <c r="H5631" s="32"/>
      <c r="I5631" s="33"/>
      <c r="J5631" s="34">
        <v>0</v>
      </c>
    </row>
    <row r="5632" spans="1:10" ht="15.75" hidden="1" thickBot="1" x14ac:dyDescent="0.3">
      <c r="A5632" s="262"/>
      <c r="B5632" s="266"/>
      <c r="C5632" s="76"/>
      <c r="D5632" s="76"/>
      <c r="E5632" s="77"/>
      <c r="F5632" s="59" t="s">
        <v>23</v>
      </c>
      <c r="G5632" s="59" t="str">
        <f t="shared" si="99"/>
        <v/>
      </c>
      <c r="H5632" s="62"/>
      <c r="I5632" s="63"/>
      <c r="J5632" s="34">
        <v>0</v>
      </c>
    </row>
    <row r="5633" spans="1:10" ht="26.25" hidden="1" thickBot="1" x14ac:dyDescent="0.3">
      <c r="A5633" s="262"/>
      <c r="B5633" s="266"/>
      <c r="C5633" s="40" t="s">
        <v>4225</v>
      </c>
      <c r="D5633" s="40" t="s">
        <v>291</v>
      </c>
      <c r="E5633" s="75">
        <v>1</v>
      </c>
      <c r="F5633" s="35">
        <v>16.634499999999999</v>
      </c>
      <c r="G5633" s="59">
        <f t="shared" si="99"/>
        <v>16.634499999999999</v>
      </c>
      <c r="H5633" s="43">
        <f>SUM(G5633:G5633)</f>
        <v>16.634499999999999</v>
      </c>
      <c r="I5633" s="44"/>
      <c r="J5633" s="34">
        <v>0</v>
      </c>
    </row>
    <row r="5634" spans="1:10" ht="15.75" hidden="1" thickBot="1" x14ac:dyDescent="0.3">
      <c r="A5634" s="263"/>
      <c r="B5634" s="253"/>
      <c r="C5634" s="60"/>
      <c r="D5634" s="78"/>
      <c r="E5634" s="79"/>
      <c r="F5634" s="80" t="s">
        <v>23</v>
      </c>
      <c r="G5634" s="80" t="str">
        <f t="shared" si="99"/>
        <v/>
      </c>
      <c r="H5634" s="81"/>
      <c r="I5634" s="63"/>
      <c r="J5634" s="34">
        <v>0</v>
      </c>
    </row>
    <row r="5635" spans="1:10" ht="15.75" hidden="1" thickBot="1" x14ac:dyDescent="0.3">
      <c r="A5635" s="248" t="s">
        <v>1342</v>
      </c>
      <c r="B5635" s="251" t="s">
        <v>3133</v>
      </c>
      <c r="C5635" s="28"/>
      <c r="D5635" s="29" t="s">
        <v>28</v>
      </c>
      <c r="E5635" s="30"/>
      <c r="F5635" s="51" t="s">
        <v>23</v>
      </c>
      <c r="G5635" s="31" t="str">
        <f t="shared" si="99"/>
        <v/>
      </c>
      <c r="H5635" s="32"/>
      <c r="I5635" s="33"/>
      <c r="J5635" s="34">
        <v>0</v>
      </c>
    </row>
    <row r="5636" spans="1:10" ht="15.75" hidden="1" thickBot="1" x14ac:dyDescent="0.3">
      <c r="A5636" s="262"/>
      <c r="B5636" s="266"/>
      <c r="C5636" s="76"/>
      <c r="D5636" s="76"/>
      <c r="E5636" s="77"/>
      <c r="F5636" s="59" t="s">
        <v>23</v>
      </c>
      <c r="G5636" s="59" t="str">
        <f t="shared" si="99"/>
        <v/>
      </c>
      <c r="H5636" s="62"/>
      <c r="I5636" s="63"/>
      <c r="J5636" s="34">
        <v>0</v>
      </c>
    </row>
    <row r="5637" spans="1:10" ht="26.25" hidden="1" thickBot="1" x14ac:dyDescent="0.3">
      <c r="A5637" s="262"/>
      <c r="B5637" s="266"/>
      <c r="C5637" s="40" t="s">
        <v>4226</v>
      </c>
      <c r="D5637" s="40" t="s">
        <v>291</v>
      </c>
      <c r="E5637" s="75">
        <v>1</v>
      </c>
      <c r="F5637" s="35">
        <v>22.116</v>
      </c>
      <c r="G5637" s="59">
        <f t="shared" si="99"/>
        <v>22.116</v>
      </c>
      <c r="H5637" s="43">
        <f>SUM(G5637:G5637)</f>
        <v>22.116</v>
      </c>
      <c r="I5637" s="44"/>
      <c r="J5637" s="34">
        <v>0</v>
      </c>
    </row>
    <row r="5638" spans="1:10" ht="15.75" hidden="1" thickBot="1" x14ac:dyDescent="0.3">
      <c r="A5638" s="263"/>
      <c r="B5638" s="253"/>
      <c r="C5638" s="60"/>
      <c r="D5638" s="78"/>
      <c r="E5638" s="79"/>
      <c r="F5638" s="80" t="s">
        <v>23</v>
      </c>
      <c r="G5638" s="80" t="str">
        <f t="shared" si="99"/>
        <v/>
      </c>
      <c r="H5638" s="81"/>
      <c r="I5638" s="63"/>
      <c r="J5638" s="34">
        <v>0</v>
      </c>
    </row>
    <row r="5639" spans="1:10" ht="15.75" hidden="1" thickBot="1" x14ac:dyDescent="0.3">
      <c r="A5639" s="248" t="s">
        <v>1343</v>
      </c>
      <c r="B5639" s="251" t="s">
        <v>3134</v>
      </c>
      <c r="C5639" s="28"/>
      <c r="D5639" s="29" t="s">
        <v>28</v>
      </c>
      <c r="E5639" s="30"/>
      <c r="F5639" s="51" t="s">
        <v>23</v>
      </c>
      <c r="G5639" s="31" t="str">
        <f t="shared" si="99"/>
        <v/>
      </c>
      <c r="H5639" s="32"/>
      <c r="I5639" s="33"/>
      <c r="J5639" s="34">
        <v>0</v>
      </c>
    </row>
    <row r="5640" spans="1:10" ht="15.75" hidden="1" thickBot="1" x14ac:dyDescent="0.3">
      <c r="A5640" s="262"/>
      <c r="B5640" s="266"/>
      <c r="C5640" s="76"/>
      <c r="D5640" s="76"/>
      <c r="E5640" s="77"/>
      <c r="F5640" s="59" t="s">
        <v>23</v>
      </c>
      <c r="G5640" s="59" t="str">
        <f t="shared" si="99"/>
        <v/>
      </c>
      <c r="H5640" s="62"/>
      <c r="I5640" s="63"/>
      <c r="J5640" s="34">
        <v>0</v>
      </c>
    </row>
    <row r="5641" spans="1:10" ht="26.25" hidden="1" thickBot="1" x14ac:dyDescent="0.3">
      <c r="A5641" s="262"/>
      <c r="B5641" s="266"/>
      <c r="C5641" s="40" t="s">
        <v>4227</v>
      </c>
      <c r="D5641" s="40" t="s">
        <v>291</v>
      </c>
      <c r="E5641" s="75">
        <v>1</v>
      </c>
      <c r="F5641" s="35">
        <v>32.442499999999995</v>
      </c>
      <c r="G5641" s="59">
        <f t="shared" si="99"/>
        <v>32.442499999999995</v>
      </c>
      <c r="H5641" s="43">
        <f>SUM(G5641:G5641)</f>
        <v>32.442499999999995</v>
      </c>
      <c r="I5641" s="44"/>
      <c r="J5641" s="34">
        <v>0</v>
      </c>
    </row>
    <row r="5642" spans="1:10" ht="15.75" hidden="1" thickBot="1" x14ac:dyDescent="0.3">
      <c r="A5642" s="263"/>
      <c r="B5642" s="253"/>
      <c r="C5642" s="60"/>
      <c r="D5642" s="78"/>
      <c r="E5642" s="79"/>
      <c r="F5642" s="80" t="s">
        <v>23</v>
      </c>
      <c r="G5642" s="80" t="str">
        <f t="shared" si="99"/>
        <v/>
      </c>
      <c r="H5642" s="81"/>
      <c r="I5642" s="63"/>
      <c r="J5642" s="34">
        <v>0</v>
      </c>
    </row>
    <row r="5643" spans="1:10" ht="15.75" hidden="1" thickBot="1" x14ac:dyDescent="0.3">
      <c r="A5643" s="248" t="s">
        <v>1344</v>
      </c>
      <c r="B5643" s="251" t="s">
        <v>3135</v>
      </c>
      <c r="C5643" s="28"/>
      <c r="D5643" s="29" t="s">
        <v>28</v>
      </c>
      <c r="E5643" s="30"/>
      <c r="F5643" s="51" t="s">
        <v>23</v>
      </c>
      <c r="G5643" s="31" t="str">
        <f t="shared" si="99"/>
        <v/>
      </c>
      <c r="H5643" s="32"/>
      <c r="I5643" s="33"/>
      <c r="J5643" s="34">
        <v>0</v>
      </c>
    </row>
    <row r="5644" spans="1:10" ht="15.75" hidden="1" thickBot="1" x14ac:dyDescent="0.3">
      <c r="A5644" s="262"/>
      <c r="B5644" s="266"/>
      <c r="C5644" s="76"/>
      <c r="D5644" s="76"/>
      <c r="E5644" s="77"/>
      <c r="F5644" s="59" t="s">
        <v>23</v>
      </c>
      <c r="G5644" s="59" t="str">
        <f t="shared" si="99"/>
        <v/>
      </c>
      <c r="H5644" s="62"/>
      <c r="I5644" s="63"/>
      <c r="J5644" s="34">
        <v>0</v>
      </c>
    </row>
    <row r="5645" spans="1:10" ht="26.25" hidden="1" thickBot="1" x14ac:dyDescent="0.3">
      <c r="A5645" s="262"/>
      <c r="B5645" s="266"/>
      <c r="C5645" s="40" t="s">
        <v>4228</v>
      </c>
      <c r="D5645" s="40" t="s">
        <v>291</v>
      </c>
      <c r="E5645" s="75">
        <v>1</v>
      </c>
      <c r="F5645" s="35">
        <v>90.088499999999996</v>
      </c>
      <c r="G5645" s="59">
        <f t="shared" si="99"/>
        <v>90.088499999999996</v>
      </c>
      <c r="H5645" s="43">
        <f>SUM(G5645:G5645)</f>
        <v>90.088499999999996</v>
      </c>
      <c r="I5645" s="44"/>
      <c r="J5645" s="34">
        <v>0</v>
      </c>
    </row>
    <row r="5646" spans="1:10" ht="15.75" hidden="1" thickBot="1" x14ac:dyDescent="0.3">
      <c r="A5646" s="263"/>
      <c r="B5646" s="253"/>
      <c r="C5646" s="60"/>
      <c r="D5646" s="78"/>
      <c r="E5646" s="79"/>
      <c r="F5646" s="80" t="s">
        <v>23</v>
      </c>
      <c r="G5646" s="80" t="str">
        <f t="shared" si="99"/>
        <v/>
      </c>
      <c r="H5646" s="81"/>
      <c r="I5646" s="63"/>
      <c r="J5646" s="34">
        <v>0</v>
      </c>
    </row>
    <row r="5647" spans="1:10" ht="15.75" hidden="1" thickBot="1" x14ac:dyDescent="0.3">
      <c r="A5647" s="248" t="s">
        <v>1345</v>
      </c>
      <c r="B5647" s="251" t="s">
        <v>3136</v>
      </c>
      <c r="C5647" s="28"/>
      <c r="D5647" s="29" t="s">
        <v>28</v>
      </c>
      <c r="E5647" s="30"/>
      <c r="F5647" s="51" t="s">
        <v>23</v>
      </c>
      <c r="G5647" s="31" t="str">
        <f t="shared" si="99"/>
        <v/>
      </c>
      <c r="H5647" s="32"/>
      <c r="I5647" s="33"/>
      <c r="J5647" s="34">
        <v>0</v>
      </c>
    </row>
    <row r="5648" spans="1:10" ht="15.75" hidden="1" thickBot="1" x14ac:dyDescent="0.3">
      <c r="A5648" s="262"/>
      <c r="B5648" s="266"/>
      <c r="C5648" s="76"/>
      <c r="D5648" s="76"/>
      <c r="E5648" s="77"/>
      <c r="F5648" s="59" t="s">
        <v>23</v>
      </c>
      <c r="G5648" s="59" t="str">
        <f t="shared" si="99"/>
        <v/>
      </c>
      <c r="H5648" s="62"/>
      <c r="I5648" s="63"/>
      <c r="J5648" s="34">
        <v>0</v>
      </c>
    </row>
    <row r="5649" spans="1:10" ht="26.25" hidden="1" thickBot="1" x14ac:dyDescent="0.3">
      <c r="A5649" s="262"/>
      <c r="B5649" s="266"/>
      <c r="C5649" s="40" t="s">
        <v>4229</v>
      </c>
      <c r="D5649" s="40" t="s">
        <v>291</v>
      </c>
      <c r="E5649" s="75">
        <v>1</v>
      </c>
      <c r="F5649" s="35">
        <v>165.357</v>
      </c>
      <c r="G5649" s="59">
        <f t="shared" si="99"/>
        <v>165.357</v>
      </c>
      <c r="H5649" s="43">
        <f>SUM(G5649:G5649)</f>
        <v>165.357</v>
      </c>
      <c r="I5649" s="44"/>
      <c r="J5649" s="34">
        <v>0</v>
      </c>
    </row>
    <row r="5650" spans="1:10" ht="15.75" hidden="1" thickBot="1" x14ac:dyDescent="0.3">
      <c r="A5650" s="263"/>
      <c r="B5650" s="253"/>
      <c r="C5650" s="60"/>
      <c r="D5650" s="78"/>
      <c r="E5650" s="79"/>
      <c r="F5650" s="80" t="s">
        <v>23</v>
      </c>
      <c r="G5650" s="80" t="str">
        <f t="shared" si="99"/>
        <v/>
      </c>
      <c r="H5650" s="81"/>
      <c r="I5650" s="63"/>
      <c r="J5650" s="34">
        <v>0</v>
      </c>
    </row>
    <row r="5651" spans="1:10" ht="15.75" hidden="1" thickBot="1" x14ac:dyDescent="0.3">
      <c r="A5651" s="248" t="s">
        <v>1346</v>
      </c>
      <c r="B5651" s="251" t="s">
        <v>3137</v>
      </c>
      <c r="C5651" s="28"/>
      <c r="D5651" s="29" t="s">
        <v>28</v>
      </c>
      <c r="E5651" s="30"/>
      <c r="F5651" s="51" t="s">
        <v>23</v>
      </c>
      <c r="G5651" s="31" t="str">
        <f t="shared" si="99"/>
        <v/>
      </c>
      <c r="H5651" s="32"/>
      <c r="I5651" s="33"/>
      <c r="J5651" s="34">
        <v>0</v>
      </c>
    </row>
    <row r="5652" spans="1:10" ht="15.75" hidden="1" thickBot="1" x14ac:dyDescent="0.3">
      <c r="A5652" s="262"/>
      <c r="B5652" s="266"/>
      <c r="C5652" s="76"/>
      <c r="D5652" s="76"/>
      <c r="E5652" s="77"/>
      <c r="F5652" s="59" t="s">
        <v>23</v>
      </c>
      <c r="G5652" s="59" t="str">
        <f t="shared" si="99"/>
        <v/>
      </c>
      <c r="H5652" s="62"/>
      <c r="I5652" s="63"/>
      <c r="J5652" s="34">
        <v>0</v>
      </c>
    </row>
    <row r="5653" spans="1:10" ht="15.75" hidden="1" thickBot="1" x14ac:dyDescent="0.3">
      <c r="A5653" s="262"/>
      <c r="B5653" s="266"/>
      <c r="C5653" s="40" t="s">
        <v>4230</v>
      </c>
      <c r="D5653" s="40" t="s">
        <v>291</v>
      </c>
      <c r="E5653" s="75">
        <v>1</v>
      </c>
      <c r="F5653" s="35">
        <v>4.8449999999999998</v>
      </c>
      <c r="G5653" s="59">
        <f t="shared" si="99"/>
        <v>4.8449999999999998</v>
      </c>
      <c r="H5653" s="43">
        <f>SUM(G5653:G5653)</f>
        <v>4.8449999999999998</v>
      </c>
      <c r="I5653" s="44"/>
      <c r="J5653" s="34">
        <v>0</v>
      </c>
    </row>
    <row r="5654" spans="1:10" ht="15.75" hidden="1" thickBot="1" x14ac:dyDescent="0.3">
      <c r="A5654" s="263"/>
      <c r="B5654" s="253"/>
      <c r="C5654" s="60"/>
      <c r="D5654" s="78"/>
      <c r="E5654" s="79"/>
      <c r="F5654" s="80" t="s">
        <v>23</v>
      </c>
      <c r="G5654" s="80" t="str">
        <f t="shared" si="99"/>
        <v/>
      </c>
      <c r="H5654" s="81"/>
      <c r="I5654" s="63"/>
      <c r="J5654" s="34">
        <v>0</v>
      </c>
    </row>
    <row r="5655" spans="1:10" ht="15.75" hidden="1" thickBot="1" x14ac:dyDescent="0.3">
      <c r="A5655" s="248" t="s">
        <v>1347</v>
      </c>
      <c r="B5655" s="251" t="s">
        <v>3138</v>
      </c>
      <c r="C5655" s="28"/>
      <c r="D5655" s="29" t="s">
        <v>28</v>
      </c>
      <c r="E5655" s="30"/>
      <c r="F5655" s="51" t="s">
        <v>23</v>
      </c>
      <c r="G5655" s="31" t="str">
        <f t="shared" si="99"/>
        <v/>
      </c>
      <c r="H5655" s="32"/>
      <c r="I5655" s="33"/>
      <c r="J5655" s="34">
        <v>0</v>
      </c>
    </row>
    <row r="5656" spans="1:10" ht="15.75" hidden="1" thickBot="1" x14ac:dyDescent="0.3">
      <c r="A5656" s="262"/>
      <c r="B5656" s="266"/>
      <c r="C5656" s="76"/>
      <c r="D5656" s="76"/>
      <c r="E5656" s="77"/>
      <c r="F5656" s="59" t="s">
        <v>23</v>
      </c>
      <c r="G5656" s="59" t="str">
        <f t="shared" si="99"/>
        <v/>
      </c>
      <c r="H5656" s="62"/>
      <c r="I5656" s="63"/>
      <c r="J5656" s="34">
        <v>0</v>
      </c>
    </row>
    <row r="5657" spans="1:10" ht="26.25" hidden="1" thickBot="1" x14ac:dyDescent="0.3">
      <c r="A5657" s="262"/>
      <c r="B5657" s="266"/>
      <c r="C5657" s="40" t="s">
        <v>4231</v>
      </c>
      <c r="D5657" s="40" t="s">
        <v>291</v>
      </c>
      <c r="E5657" s="75">
        <v>1</v>
      </c>
      <c r="F5657" s="35">
        <v>2.5840000000000001</v>
      </c>
      <c r="G5657" s="59">
        <f t="shared" si="99"/>
        <v>2.5840000000000001</v>
      </c>
      <c r="H5657" s="43">
        <f>SUM(G5657:G5657)</f>
        <v>2.5840000000000001</v>
      </c>
      <c r="I5657" s="44"/>
      <c r="J5657" s="34">
        <v>0</v>
      </c>
    </row>
    <row r="5658" spans="1:10" ht="15.75" hidden="1" thickBot="1" x14ac:dyDescent="0.3">
      <c r="A5658" s="263"/>
      <c r="B5658" s="253"/>
      <c r="C5658" s="60"/>
      <c r="D5658" s="78"/>
      <c r="E5658" s="79"/>
      <c r="F5658" s="80" t="s">
        <v>23</v>
      </c>
      <c r="G5658" s="80" t="str">
        <f t="shared" si="99"/>
        <v/>
      </c>
      <c r="H5658" s="81"/>
      <c r="I5658" s="63"/>
      <c r="J5658" s="34">
        <v>0</v>
      </c>
    </row>
    <row r="5659" spans="1:10" ht="15.75" hidden="1" thickBot="1" x14ac:dyDescent="0.3">
      <c r="A5659" s="248" t="s">
        <v>1348</v>
      </c>
      <c r="B5659" s="251" t="s">
        <v>3139</v>
      </c>
      <c r="C5659" s="28"/>
      <c r="D5659" s="29" t="s">
        <v>28</v>
      </c>
      <c r="E5659" s="30"/>
      <c r="F5659" s="51" t="s">
        <v>23</v>
      </c>
      <c r="G5659" s="31" t="str">
        <f t="shared" si="99"/>
        <v/>
      </c>
      <c r="H5659" s="32"/>
      <c r="I5659" s="33"/>
      <c r="J5659" s="34">
        <v>0</v>
      </c>
    </row>
    <row r="5660" spans="1:10" ht="15.75" hidden="1" thickBot="1" x14ac:dyDescent="0.3">
      <c r="A5660" s="262"/>
      <c r="B5660" s="266"/>
      <c r="C5660" s="76"/>
      <c r="D5660" s="76"/>
      <c r="E5660" s="77"/>
      <c r="F5660" s="59" t="s">
        <v>23</v>
      </c>
      <c r="G5660" s="59" t="str">
        <f t="shared" si="99"/>
        <v/>
      </c>
      <c r="H5660" s="62"/>
      <c r="I5660" s="63"/>
      <c r="J5660" s="34">
        <v>0</v>
      </c>
    </row>
    <row r="5661" spans="1:10" ht="26.25" hidden="1" thickBot="1" x14ac:dyDescent="0.3">
      <c r="A5661" s="262"/>
      <c r="B5661" s="266"/>
      <c r="C5661" s="40" t="s">
        <v>4232</v>
      </c>
      <c r="D5661" s="40" t="s">
        <v>291</v>
      </c>
      <c r="E5661" s="75">
        <v>1</v>
      </c>
      <c r="F5661" s="35">
        <v>2.9164999999999996</v>
      </c>
      <c r="G5661" s="59">
        <f t="shared" si="99"/>
        <v>2.9164999999999996</v>
      </c>
      <c r="H5661" s="43">
        <f>SUM(G5661:G5661)</f>
        <v>2.9164999999999996</v>
      </c>
      <c r="I5661" s="44"/>
      <c r="J5661" s="34">
        <v>0</v>
      </c>
    </row>
    <row r="5662" spans="1:10" ht="15.75" hidden="1" thickBot="1" x14ac:dyDescent="0.3">
      <c r="A5662" s="263"/>
      <c r="B5662" s="253"/>
      <c r="C5662" s="60"/>
      <c r="D5662" s="78"/>
      <c r="E5662" s="79"/>
      <c r="F5662" s="80" t="s">
        <v>23</v>
      </c>
      <c r="G5662" s="80" t="str">
        <f t="shared" si="99"/>
        <v/>
      </c>
      <c r="H5662" s="81"/>
      <c r="I5662" s="63"/>
      <c r="J5662" s="34">
        <v>0</v>
      </c>
    </row>
    <row r="5663" spans="1:10" ht="15.75" hidden="1" thickBot="1" x14ac:dyDescent="0.3">
      <c r="A5663" s="248" t="s">
        <v>1349</v>
      </c>
      <c r="B5663" s="251" t="s">
        <v>3140</v>
      </c>
      <c r="C5663" s="28"/>
      <c r="D5663" s="29" t="s">
        <v>28</v>
      </c>
      <c r="E5663" s="30"/>
      <c r="F5663" s="51" t="s">
        <v>23</v>
      </c>
      <c r="G5663" s="31" t="str">
        <f t="shared" si="99"/>
        <v/>
      </c>
      <c r="H5663" s="32"/>
      <c r="I5663" s="33"/>
      <c r="J5663" s="34">
        <v>0</v>
      </c>
    </row>
    <row r="5664" spans="1:10" ht="15.75" hidden="1" thickBot="1" x14ac:dyDescent="0.3">
      <c r="A5664" s="262"/>
      <c r="B5664" s="266"/>
      <c r="C5664" s="76"/>
      <c r="D5664" s="76"/>
      <c r="E5664" s="77"/>
      <c r="F5664" s="59" t="s">
        <v>23</v>
      </c>
      <c r="G5664" s="59" t="str">
        <f t="shared" si="99"/>
        <v/>
      </c>
      <c r="H5664" s="62"/>
      <c r="I5664" s="63"/>
      <c r="J5664" s="34">
        <v>0</v>
      </c>
    </row>
    <row r="5665" spans="1:10" ht="26.25" hidden="1" thickBot="1" x14ac:dyDescent="0.3">
      <c r="A5665" s="262"/>
      <c r="B5665" s="266"/>
      <c r="C5665" s="40" t="s">
        <v>4233</v>
      </c>
      <c r="D5665" s="40" t="s">
        <v>291</v>
      </c>
      <c r="E5665" s="75">
        <v>1</v>
      </c>
      <c r="F5665" s="35">
        <v>5.0634999999999994</v>
      </c>
      <c r="G5665" s="59">
        <f t="shared" si="99"/>
        <v>5.0634999999999994</v>
      </c>
      <c r="H5665" s="43">
        <f>SUM(G5665:G5665)</f>
        <v>5.0634999999999994</v>
      </c>
      <c r="I5665" s="44"/>
      <c r="J5665" s="34">
        <v>0</v>
      </c>
    </row>
    <row r="5666" spans="1:10" ht="15.75" hidden="1" thickBot="1" x14ac:dyDescent="0.3">
      <c r="A5666" s="263"/>
      <c r="B5666" s="253"/>
      <c r="C5666" s="60"/>
      <c r="D5666" s="78"/>
      <c r="E5666" s="79"/>
      <c r="F5666" s="80" t="s">
        <v>23</v>
      </c>
      <c r="G5666" s="80" t="str">
        <f t="shared" si="99"/>
        <v/>
      </c>
      <c r="H5666" s="81"/>
      <c r="I5666" s="63"/>
      <c r="J5666" s="34">
        <v>0</v>
      </c>
    </row>
    <row r="5667" spans="1:10" ht="15.75" hidden="1" thickBot="1" x14ac:dyDescent="0.3">
      <c r="A5667" s="248" t="s">
        <v>1350</v>
      </c>
      <c r="B5667" s="251" t="s">
        <v>3141</v>
      </c>
      <c r="C5667" s="28"/>
      <c r="D5667" s="29" t="s">
        <v>28</v>
      </c>
      <c r="E5667" s="30"/>
      <c r="F5667" s="51" t="s">
        <v>23</v>
      </c>
      <c r="G5667" s="31" t="str">
        <f t="shared" si="99"/>
        <v/>
      </c>
      <c r="H5667" s="32"/>
      <c r="I5667" s="33"/>
      <c r="J5667" s="34">
        <v>0</v>
      </c>
    </row>
    <row r="5668" spans="1:10" ht="15.75" hidden="1" thickBot="1" x14ac:dyDescent="0.3">
      <c r="A5668" s="262"/>
      <c r="B5668" s="266"/>
      <c r="C5668" s="76"/>
      <c r="D5668" s="76"/>
      <c r="E5668" s="77"/>
      <c r="F5668" s="59" t="s">
        <v>23</v>
      </c>
      <c r="G5668" s="59" t="str">
        <f t="shared" si="99"/>
        <v/>
      </c>
      <c r="H5668" s="62"/>
      <c r="I5668" s="63"/>
      <c r="J5668" s="34">
        <v>0</v>
      </c>
    </row>
    <row r="5669" spans="1:10" ht="26.25" hidden="1" thickBot="1" x14ac:dyDescent="0.3">
      <c r="A5669" s="262"/>
      <c r="B5669" s="266"/>
      <c r="C5669" s="40" t="s">
        <v>4234</v>
      </c>
      <c r="D5669" s="40" t="s">
        <v>291</v>
      </c>
      <c r="E5669" s="75">
        <v>1</v>
      </c>
      <c r="F5669" s="35">
        <v>6.3079999999999998</v>
      </c>
      <c r="G5669" s="59">
        <f t="shared" si="99"/>
        <v>6.3079999999999998</v>
      </c>
      <c r="H5669" s="43">
        <f>SUM(G5669:G5669)</f>
        <v>6.3079999999999998</v>
      </c>
      <c r="I5669" s="44"/>
      <c r="J5669" s="34">
        <v>0</v>
      </c>
    </row>
    <row r="5670" spans="1:10" ht="15.75" hidden="1" thickBot="1" x14ac:dyDescent="0.3">
      <c r="A5670" s="263"/>
      <c r="B5670" s="253"/>
      <c r="C5670" s="60"/>
      <c r="D5670" s="78"/>
      <c r="E5670" s="79"/>
      <c r="F5670" s="80" t="s">
        <v>23</v>
      </c>
      <c r="G5670" s="80" t="str">
        <f t="shared" si="99"/>
        <v/>
      </c>
      <c r="H5670" s="81"/>
      <c r="I5670" s="63"/>
      <c r="J5670" s="34">
        <v>0</v>
      </c>
    </row>
    <row r="5671" spans="1:10" ht="15.75" hidden="1" thickBot="1" x14ac:dyDescent="0.3">
      <c r="A5671" s="248" t="s">
        <v>1351</v>
      </c>
      <c r="B5671" s="251" t="s">
        <v>3142</v>
      </c>
      <c r="C5671" s="28"/>
      <c r="D5671" s="29" t="s">
        <v>28</v>
      </c>
      <c r="E5671" s="30"/>
      <c r="F5671" s="51" t="s">
        <v>23</v>
      </c>
      <c r="G5671" s="31" t="str">
        <f t="shared" si="99"/>
        <v/>
      </c>
      <c r="H5671" s="32"/>
      <c r="I5671" s="33"/>
      <c r="J5671" s="34">
        <v>0</v>
      </c>
    </row>
    <row r="5672" spans="1:10" ht="15.75" hidden="1" thickBot="1" x14ac:dyDescent="0.3">
      <c r="A5672" s="262"/>
      <c r="B5672" s="266"/>
      <c r="C5672" s="76"/>
      <c r="D5672" s="76"/>
      <c r="E5672" s="77"/>
      <c r="F5672" s="59" t="s">
        <v>23</v>
      </c>
      <c r="G5672" s="59" t="str">
        <f t="shared" si="99"/>
        <v/>
      </c>
      <c r="H5672" s="62"/>
      <c r="I5672" s="63"/>
      <c r="J5672" s="34">
        <v>0</v>
      </c>
    </row>
    <row r="5673" spans="1:10" ht="26.25" hidden="1" thickBot="1" x14ac:dyDescent="0.3">
      <c r="A5673" s="262"/>
      <c r="B5673" s="266"/>
      <c r="C5673" s="40" t="s">
        <v>4235</v>
      </c>
      <c r="D5673" s="40" t="s">
        <v>291</v>
      </c>
      <c r="E5673" s="75">
        <v>1</v>
      </c>
      <c r="F5673" s="35">
        <v>7.770999999999999</v>
      </c>
      <c r="G5673" s="59">
        <f t="shared" si="99"/>
        <v>7.770999999999999</v>
      </c>
      <c r="H5673" s="43">
        <f>SUM(G5673:G5673)</f>
        <v>7.770999999999999</v>
      </c>
      <c r="I5673" s="44"/>
      <c r="J5673" s="34">
        <v>0</v>
      </c>
    </row>
    <row r="5674" spans="1:10" ht="15.75" hidden="1" thickBot="1" x14ac:dyDescent="0.3">
      <c r="A5674" s="263"/>
      <c r="B5674" s="253"/>
      <c r="C5674" s="60"/>
      <c r="D5674" s="78"/>
      <c r="E5674" s="79"/>
      <c r="F5674" s="80" t="s">
        <v>23</v>
      </c>
      <c r="G5674" s="80" t="str">
        <f t="shared" si="99"/>
        <v/>
      </c>
      <c r="H5674" s="81"/>
      <c r="I5674" s="63"/>
      <c r="J5674" s="34">
        <v>0</v>
      </c>
    </row>
    <row r="5675" spans="1:10" ht="15.75" hidden="1" thickBot="1" x14ac:dyDescent="0.3">
      <c r="A5675" s="248" t="s">
        <v>1352</v>
      </c>
      <c r="B5675" s="251" t="s">
        <v>3143</v>
      </c>
      <c r="C5675" s="28"/>
      <c r="D5675" s="29" t="s">
        <v>28</v>
      </c>
      <c r="E5675" s="30"/>
      <c r="F5675" s="51" t="s">
        <v>23</v>
      </c>
      <c r="G5675" s="31" t="str">
        <f t="shared" si="99"/>
        <v/>
      </c>
      <c r="H5675" s="32"/>
      <c r="I5675" s="33"/>
      <c r="J5675" s="34">
        <v>0</v>
      </c>
    </row>
    <row r="5676" spans="1:10" ht="15.75" hidden="1" thickBot="1" x14ac:dyDescent="0.3">
      <c r="A5676" s="262"/>
      <c r="B5676" s="266"/>
      <c r="C5676" s="76"/>
      <c r="D5676" s="76"/>
      <c r="E5676" s="77"/>
      <c r="F5676" s="59" t="s">
        <v>23</v>
      </c>
      <c r="G5676" s="59" t="str">
        <f t="shared" ref="G5676:G5739" si="100">IF(ISNUMBER(F5676),E5676*F5676,"")</f>
        <v/>
      </c>
      <c r="H5676" s="62"/>
      <c r="I5676" s="63"/>
      <c r="J5676" s="34">
        <v>0</v>
      </c>
    </row>
    <row r="5677" spans="1:10" ht="26.25" hidden="1" thickBot="1" x14ac:dyDescent="0.3">
      <c r="A5677" s="262"/>
      <c r="B5677" s="266"/>
      <c r="C5677" s="40" t="s">
        <v>4236</v>
      </c>
      <c r="D5677" s="40" t="s">
        <v>291</v>
      </c>
      <c r="E5677" s="75">
        <v>1</v>
      </c>
      <c r="F5677" s="35">
        <v>10.9345</v>
      </c>
      <c r="G5677" s="59">
        <f t="shared" si="100"/>
        <v>10.9345</v>
      </c>
      <c r="H5677" s="43">
        <f>SUM(G5677:G5677)</f>
        <v>10.9345</v>
      </c>
      <c r="I5677" s="44"/>
      <c r="J5677" s="34">
        <v>0</v>
      </c>
    </row>
    <row r="5678" spans="1:10" ht="15.75" hidden="1" thickBot="1" x14ac:dyDescent="0.3">
      <c r="A5678" s="263"/>
      <c r="B5678" s="253"/>
      <c r="C5678" s="60"/>
      <c r="D5678" s="78"/>
      <c r="E5678" s="79"/>
      <c r="F5678" s="80" t="s">
        <v>23</v>
      </c>
      <c r="G5678" s="80" t="str">
        <f t="shared" si="100"/>
        <v/>
      </c>
      <c r="H5678" s="81"/>
      <c r="I5678" s="63"/>
      <c r="J5678" s="34">
        <v>0</v>
      </c>
    </row>
    <row r="5679" spans="1:10" ht="15.75" hidden="1" thickBot="1" x14ac:dyDescent="0.3">
      <c r="A5679" s="248" t="s">
        <v>1353</v>
      </c>
      <c r="B5679" s="251" t="s">
        <v>3144</v>
      </c>
      <c r="C5679" s="28"/>
      <c r="D5679" s="29" t="s">
        <v>28</v>
      </c>
      <c r="E5679" s="30"/>
      <c r="F5679" s="51" t="s">
        <v>23</v>
      </c>
      <c r="G5679" s="31" t="str">
        <f t="shared" si="100"/>
        <v/>
      </c>
      <c r="H5679" s="32"/>
      <c r="I5679" s="33"/>
      <c r="J5679" s="34">
        <v>0</v>
      </c>
    </row>
    <row r="5680" spans="1:10" ht="15.75" hidden="1" thickBot="1" x14ac:dyDescent="0.3">
      <c r="A5680" s="262"/>
      <c r="B5680" s="266"/>
      <c r="C5680" s="76"/>
      <c r="D5680" s="76"/>
      <c r="E5680" s="77"/>
      <c r="F5680" s="59" t="s">
        <v>23</v>
      </c>
      <c r="G5680" s="59" t="str">
        <f t="shared" si="100"/>
        <v/>
      </c>
      <c r="H5680" s="62"/>
      <c r="I5680" s="63"/>
      <c r="J5680" s="34">
        <v>0</v>
      </c>
    </row>
    <row r="5681" spans="1:10" ht="26.25" hidden="1" thickBot="1" x14ac:dyDescent="0.3">
      <c r="A5681" s="262"/>
      <c r="B5681" s="266"/>
      <c r="C5681" s="40" t="s">
        <v>4237</v>
      </c>
      <c r="D5681" s="40" t="s">
        <v>291</v>
      </c>
      <c r="E5681" s="75">
        <v>1</v>
      </c>
      <c r="F5681" s="35">
        <v>24.604999999999997</v>
      </c>
      <c r="G5681" s="59">
        <f t="shared" si="100"/>
        <v>24.604999999999997</v>
      </c>
      <c r="H5681" s="43">
        <f>SUM(G5681:G5681)</f>
        <v>24.604999999999997</v>
      </c>
      <c r="I5681" s="44"/>
      <c r="J5681" s="34">
        <v>0</v>
      </c>
    </row>
    <row r="5682" spans="1:10" ht="15.75" hidden="1" thickBot="1" x14ac:dyDescent="0.3">
      <c r="A5682" s="263"/>
      <c r="B5682" s="253"/>
      <c r="C5682" s="60"/>
      <c r="D5682" s="78"/>
      <c r="E5682" s="79"/>
      <c r="F5682" s="80" t="s">
        <v>23</v>
      </c>
      <c r="G5682" s="80" t="str">
        <f t="shared" si="100"/>
        <v/>
      </c>
      <c r="H5682" s="81"/>
      <c r="I5682" s="63"/>
      <c r="J5682" s="34">
        <v>0</v>
      </c>
    </row>
    <row r="5683" spans="1:10" ht="15.75" hidden="1" thickBot="1" x14ac:dyDescent="0.3">
      <c r="A5683" s="248" t="s">
        <v>1354</v>
      </c>
      <c r="B5683" s="251" t="s">
        <v>3145</v>
      </c>
      <c r="C5683" s="28"/>
      <c r="D5683" s="29" t="s">
        <v>28</v>
      </c>
      <c r="E5683" s="30"/>
      <c r="F5683" s="51" t="s">
        <v>23</v>
      </c>
      <c r="G5683" s="31" t="str">
        <f t="shared" si="100"/>
        <v/>
      </c>
      <c r="H5683" s="32"/>
      <c r="I5683" s="33"/>
      <c r="J5683" s="34">
        <v>0</v>
      </c>
    </row>
    <row r="5684" spans="1:10" ht="15.75" hidden="1" thickBot="1" x14ac:dyDescent="0.3">
      <c r="A5684" s="262"/>
      <c r="B5684" s="266"/>
      <c r="C5684" s="76"/>
      <c r="D5684" s="76"/>
      <c r="E5684" s="77"/>
      <c r="F5684" s="59" t="s">
        <v>23</v>
      </c>
      <c r="G5684" s="59" t="str">
        <f t="shared" si="100"/>
        <v/>
      </c>
      <c r="H5684" s="62"/>
      <c r="I5684" s="63"/>
      <c r="J5684" s="34">
        <v>0</v>
      </c>
    </row>
    <row r="5685" spans="1:10" ht="26.25" hidden="1" thickBot="1" x14ac:dyDescent="0.3">
      <c r="A5685" s="262"/>
      <c r="B5685" s="266"/>
      <c r="C5685" s="40" t="s">
        <v>4238</v>
      </c>
      <c r="D5685" s="40" t="s">
        <v>291</v>
      </c>
      <c r="E5685" s="75">
        <v>1</v>
      </c>
      <c r="F5685" s="35">
        <v>26.884999999999998</v>
      </c>
      <c r="G5685" s="59">
        <f t="shared" si="100"/>
        <v>26.884999999999998</v>
      </c>
      <c r="H5685" s="43">
        <f>SUM(G5685:G5685)</f>
        <v>26.884999999999998</v>
      </c>
      <c r="I5685" s="44"/>
      <c r="J5685" s="34">
        <v>0</v>
      </c>
    </row>
    <row r="5686" spans="1:10" ht="15.75" hidden="1" thickBot="1" x14ac:dyDescent="0.3">
      <c r="A5686" s="263"/>
      <c r="B5686" s="253"/>
      <c r="C5686" s="60"/>
      <c r="D5686" s="78"/>
      <c r="E5686" s="79"/>
      <c r="F5686" s="80" t="s">
        <v>23</v>
      </c>
      <c r="G5686" s="80" t="str">
        <f t="shared" si="100"/>
        <v/>
      </c>
      <c r="H5686" s="81"/>
      <c r="I5686" s="63"/>
      <c r="J5686" s="34">
        <v>0</v>
      </c>
    </row>
    <row r="5687" spans="1:10" ht="15.75" hidden="1" thickBot="1" x14ac:dyDescent="0.3">
      <c r="A5687" s="248" t="s">
        <v>1355</v>
      </c>
      <c r="B5687" s="251" t="s">
        <v>3146</v>
      </c>
      <c r="C5687" s="28"/>
      <c r="D5687" s="29" t="s">
        <v>28</v>
      </c>
      <c r="E5687" s="30"/>
      <c r="F5687" s="51" t="s">
        <v>23</v>
      </c>
      <c r="G5687" s="31" t="str">
        <f t="shared" si="100"/>
        <v/>
      </c>
      <c r="H5687" s="32"/>
      <c r="I5687" s="33"/>
      <c r="J5687" s="34">
        <v>0</v>
      </c>
    </row>
    <row r="5688" spans="1:10" ht="15.75" hidden="1" thickBot="1" x14ac:dyDescent="0.3">
      <c r="A5688" s="262"/>
      <c r="B5688" s="266"/>
      <c r="C5688" s="76"/>
      <c r="D5688" s="76"/>
      <c r="E5688" s="77"/>
      <c r="F5688" s="59" t="s">
        <v>23</v>
      </c>
      <c r="G5688" s="59" t="str">
        <f t="shared" si="100"/>
        <v/>
      </c>
      <c r="H5688" s="62"/>
      <c r="I5688" s="63"/>
      <c r="J5688" s="34">
        <v>0</v>
      </c>
    </row>
    <row r="5689" spans="1:10" ht="26.25" hidden="1" thickBot="1" x14ac:dyDescent="0.3">
      <c r="A5689" s="262"/>
      <c r="B5689" s="266"/>
      <c r="C5689" s="40" t="s">
        <v>4239</v>
      </c>
      <c r="D5689" s="40" t="s">
        <v>291</v>
      </c>
      <c r="E5689" s="75">
        <v>1</v>
      </c>
      <c r="F5689" s="35">
        <v>35.482500000000002</v>
      </c>
      <c r="G5689" s="59">
        <f t="shared" si="100"/>
        <v>35.482500000000002</v>
      </c>
      <c r="H5689" s="43">
        <f>SUM(G5689:G5689)</f>
        <v>35.482500000000002</v>
      </c>
      <c r="I5689" s="44"/>
      <c r="J5689" s="34">
        <v>0</v>
      </c>
    </row>
    <row r="5690" spans="1:10" ht="15.75" hidden="1" thickBot="1" x14ac:dyDescent="0.3">
      <c r="A5690" s="263"/>
      <c r="B5690" s="253"/>
      <c r="C5690" s="60"/>
      <c r="D5690" s="78"/>
      <c r="E5690" s="79"/>
      <c r="F5690" s="80" t="s">
        <v>23</v>
      </c>
      <c r="G5690" s="80" t="str">
        <f t="shared" si="100"/>
        <v/>
      </c>
      <c r="H5690" s="81"/>
      <c r="I5690" s="63"/>
      <c r="J5690" s="34">
        <v>0</v>
      </c>
    </row>
    <row r="5691" spans="1:10" ht="15.75" hidden="1" thickBot="1" x14ac:dyDescent="0.3">
      <c r="A5691" s="248" t="s">
        <v>1356</v>
      </c>
      <c r="B5691" s="251" t="s">
        <v>3147</v>
      </c>
      <c r="C5691" s="28"/>
      <c r="D5691" s="29" t="s">
        <v>28</v>
      </c>
      <c r="E5691" s="30"/>
      <c r="F5691" s="51" t="s">
        <v>23</v>
      </c>
      <c r="G5691" s="31" t="str">
        <f t="shared" si="100"/>
        <v/>
      </c>
      <c r="H5691" s="32"/>
      <c r="I5691" s="33"/>
      <c r="J5691" s="34">
        <v>0</v>
      </c>
    </row>
    <row r="5692" spans="1:10" ht="15.75" hidden="1" thickBot="1" x14ac:dyDescent="0.3">
      <c r="A5692" s="262"/>
      <c r="B5692" s="266"/>
      <c r="C5692" s="76"/>
      <c r="D5692" s="76"/>
      <c r="E5692" s="77"/>
      <c r="F5692" s="59" t="s">
        <v>23</v>
      </c>
      <c r="G5692" s="59" t="str">
        <f t="shared" si="100"/>
        <v/>
      </c>
      <c r="H5692" s="62"/>
      <c r="I5692" s="63"/>
      <c r="J5692" s="34">
        <v>0</v>
      </c>
    </row>
    <row r="5693" spans="1:10" ht="26.25" hidden="1" thickBot="1" x14ac:dyDescent="0.3">
      <c r="A5693" s="262"/>
      <c r="B5693" s="266"/>
      <c r="C5693" s="40" t="s">
        <v>4240</v>
      </c>
      <c r="D5693" s="40" t="s">
        <v>291</v>
      </c>
      <c r="E5693" s="75">
        <v>1</v>
      </c>
      <c r="F5693" s="35">
        <v>51.622999999999998</v>
      </c>
      <c r="G5693" s="59">
        <f t="shared" si="100"/>
        <v>51.622999999999998</v>
      </c>
      <c r="H5693" s="43">
        <f>SUM(G5693:G5693)</f>
        <v>51.622999999999998</v>
      </c>
      <c r="I5693" s="44"/>
      <c r="J5693" s="34">
        <v>0</v>
      </c>
    </row>
    <row r="5694" spans="1:10" ht="15.75" hidden="1" thickBot="1" x14ac:dyDescent="0.3">
      <c r="A5694" s="263"/>
      <c r="B5694" s="253"/>
      <c r="C5694" s="60"/>
      <c r="D5694" s="78"/>
      <c r="E5694" s="79"/>
      <c r="F5694" s="80" t="s">
        <v>23</v>
      </c>
      <c r="G5694" s="80" t="str">
        <f t="shared" si="100"/>
        <v/>
      </c>
      <c r="H5694" s="81"/>
      <c r="I5694" s="63"/>
      <c r="J5694" s="34">
        <v>0</v>
      </c>
    </row>
    <row r="5695" spans="1:10" ht="15.75" hidden="1" thickBot="1" x14ac:dyDescent="0.3">
      <c r="A5695" s="248" t="s">
        <v>1357</v>
      </c>
      <c r="B5695" s="251" t="s">
        <v>3148</v>
      </c>
      <c r="C5695" s="28"/>
      <c r="D5695" s="29" t="s">
        <v>121</v>
      </c>
      <c r="E5695" s="30"/>
      <c r="F5695" s="51" t="s">
        <v>23</v>
      </c>
      <c r="G5695" s="31" t="str">
        <f t="shared" si="100"/>
        <v/>
      </c>
      <c r="H5695" s="32"/>
      <c r="I5695" s="33"/>
      <c r="J5695" s="34">
        <v>0</v>
      </c>
    </row>
    <row r="5696" spans="1:10" ht="15.75" hidden="1" thickBot="1" x14ac:dyDescent="0.3">
      <c r="A5696" s="262"/>
      <c r="B5696" s="266"/>
      <c r="C5696" s="76"/>
      <c r="D5696" s="76"/>
      <c r="E5696" s="77"/>
      <c r="F5696" s="59" t="s">
        <v>23</v>
      </c>
      <c r="G5696" s="59" t="str">
        <f t="shared" si="100"/>
        <v/>
      </c>
      <c r="H5696" s="62"/>
      <c r="I5696" s="63"/>
      <c r="J5696" s="34">
        <v>0</v>
      </c>
    </row>
    <row r="5697" spans="1:10" ht="15.75" hidden="1" thickBot="1" x14ac:dyDescent="0.3">
      <c r="A5697" s="262"/>
      <c r="B5697" s="266"/>
      <c r="C5697" s="40" t="s">
        <v>4241</v>
      </c>
      <c r="D5697" s="40" t="s">
        <v>1286</v>
      </c>
      <c r="E5697" s="75">
        <v>1</v>
      </c>
      <c r="F5697" s="35">
        <v>18.0595</v>
      </c>
      <c r="G5697" s="59">
        <f t="shared" si="100"/>
        <v>18.0595</v>
      </c>
      <c r="H5697" s="43">
        <f>SUM(G5697:G5697)</f>
        <v>18.0595</v>
      </c>
      <c r="I5697" s="44"/>
      <c r="J5697" s="34">
        <v>0</v>
      </c>
    </row>
    <row r="5698" spans="1:10" ht="15.75" hidden="1" thickBot="1" x14ac:dyDescent="0.3">
      <c r="A5698" s="263"/>
      <c r="B5698" s="253"/>
      <c r="C5698" s="60"/>
      <c r="D5698" s="78"/>
      <c r="E5698" s="79"/>
      <c r="F5698" s="80" t="s">
        <v>23</v>
      </c>
      <c r="G5698" s="80" t="str">
        <f t="shared" si="100"/>
        <v/>
      </c>
      <c r="H5698" s="81"/>
      <c r="I5698" s="63"/>
      <c r="J5698" s="34">
        <v>0</v>
      </c>
    </row>
    <row r="5699" spans="1:10" ht="15.75" hidden="1" thickBot="1" x14ac:dyDescent="0.3">
      <c r="A5699" s="248" t="s">
        <v>1358</v>
      </c>
      <c r="B5699" s="251" t="s">
        <v>3149</v>
      </c>
      <c r="C5699" s="28"/>
      <c r="D5699" s="29" t="s">
        <v>121</v>
      </c>
      <c r="E5699" s="30"/>
      <c r="F5699" s="51" t="s">
        <v>23</v>
      </c>
      <c r="G5699" s="31" t="str">
        <f t="shared" si="100"/>
        <v/>
      </c>
      <c r="H5699" s="32"/>
      <c r="I5699" s="33"/>
      <c r="J5699" s="34">
        <v>0</v>
      </c>
    </row>
    <row r="5700" spans="1:10" ht="15.75" hidden="1" thickBot="1" x14ac:dyDescent="0.3">
      <c r="A5700" s="262"/>
      <c r="B5700" s="266"/>
      <c r="C5700" s="76"/>
      <c r="D5700" s="76"/>
      <c r="E5700" s="77"/>
      <c r="F5700" s="59" t="s">
        <v>23</v>
      </c>
      <c r="G5700" s="59" t="str">
        <f t="shared" si="100"/>
        <v/>
      </c>
      <c r="H5700" s="62"/>
      <c r="I5700" s="63"/>
      <c r="J5700" s="34">
        <v>0</v>
      </c>
    </row>
    <row r="5701" spans="1:10" ht="15.75" hidden="1" thickBot="1" x14ac:dyDescent="0.3">
      <c r="A5701" s="262"/>
      <c r="B5701" s="266"/>
      <c r="C5701" s="40" t="s">
        <v>4242</v>
      </c>
      <c r="D5701" s="40" t="s">
        <v>1286</v>
      </c>
      <c r="E5701" s="75">
        <v>1</v>
      </c>
      <c r="F5701" s="35">
        <v>25.735499999999998</v>
      </c>
      <c r="G5701" s="59">
        <f t="shared" si="100"/>
        <v>25.735499999999998</v>
      </c>
      <c r="H5701" s="43">
        <f>SUM(G5701:G5701)</f>
        <v>25.735499999999998</v>
      </c>
      <c r="I5701" s="44"/>
      <c r="J5701" s="34">
        <v>0</v>
      </c>
    </row>
    <row r="5702" spans="1:10" ht="15.75" hidden="1" thickBot="1" x14ac:dyDescent="0.3">
      <c r="A5702" s="263"/>
      <c r="B5702" s="253"/>
      <c r="C5702" s="60"/>
      <c r="D5702" s="78"/>
      <c r="E5702" s="79"/>
      <c r="F5702" s="80" t="s">
        <v>23</v>
      </c>
      <c r="G5702" s="80" t="str">
        <f t="shared" si="100"/>
        <v/>
      </c>
      <c r="H5702" s="81"/>
      <c r="I5702" s="63"/>
      <c r="J5702" s="34">
        <v>0</v>
      </c>
    </row>
    <row r="5703" spans="1:10" ht="15.75" hidden="1" thickBot="1" x14ac:dyDescent="0.3">
      <c r="A5703" s="248" t="s">
        <v>1359</v>
      </c>
      <c r="B5703" s="251" t="s">
        <v>3150</v>
      </c>
      <c r="C5703" s="28"/>
      <c r="D5703" s="29" t="s">
        <v>121</v>
      </c>
      <c r="E5703" s="30"/>
      <c r="F5703" s="51" t="s">
        <v>23</v>
      </c>
      <c r="G5703" s="31" t="str">
        <f t="shared" si="100"/>
        <v/>
      </c>
      <c r="H5703" s="32"/>
      <c r="I5703" s="33"/>
      <c r="J5703" s="34">
        <v>0</v>
      </c>
    </row>
    <row r="5704" spans="1:10" ht="15.75" hidden="1" thickBot="1" x14ac:dyDescent="0.3">
      <c r="A5704" s="262"/>
      <c r="B5704" s="266"/>
      <c r="C5704" s="76"/>
      <c r="D5704" s="76"/>
      <c r="E5704" s="77"/>
      <c r="F5704" s="59" t="s">
        <v>23</v>
      </c>
      <c r="G5704" s="59" t="str">
        <f t="shared" si="100"/>
        <v/>
      </c>
      <c r="H5704" s="62"/>
      <c r="I5704" s="63"/>
      <c r="J5704" s="34">
        <v>0</v>
      </c>
    </row>
    <row r="5705" spans="1:10" ht="15.75" hidden="1" thickBot="1" x14ac:dyDescent="0.3">
      <c r="A5705" s="262"/>
      <c r="B5705" s="266"/>
      <c r="C5705" s="40" t="s">
        <v>4243</v>
      </c>
      <c r="D5705" s="40" t="s">
        <v>1286</v>
      </c>
      <c r="E5705" s="75">
        <v>1</v>
      </c>
      <c r="F5705" s="35">
        <v>37.904999999999994</v>
      </c>
      <c r="G5705" s="59">
        <f t="shared" si="100"/>
        <v>37.904999999999994</v>
      </c>
      <c r="H5705" s="43">
        <f>SUM(G5705:G5705)</f>
        <v>37.904999999999994</v>
      </c>
      <c r="I5705" s="44"/>
      <c r="J5705" s="34">
        <v>0</v>
      </c>
    </row>
    <row r="5706" spans="1:10" ht="15.75" hidden="1" thickBot="1" x14ac:dyDescent="0.3">
      <c r="A5706" s="263"/>
      <c r="B5706" s="253"/>
      <c r="C5706" s="60"/>
      <c r="D5706" s="78"/>
      <c r="E5706" s="79"/>
      <c r="F5706" s="80" t="s">
        <v>23</v>
      </c>
      <c r="G5706" s="80" t="str">
        <f t="shared" si="100"/>
        <v/>
      </c>
      <c r="H5706" s="81"/>
      <c r="I5706" s="63"/>
      <c r="J5706" s="34">
        <v>0</v>
      </c>
    </row>
    <row r="5707" spans="1:10" ht="15.75" hidden="1" thickBot="1" x14ac:dyDescent="0.3">
      <c r="A5707" s="248" t="s">
        <v>1360</v>
      </c>
      <c r="B5707" s="251" t="s">
        <v>3151</v>
      </c>
      <c r="C5707" s="28"/>
      <c r="D5707" s="29" t="s">
        <v>121</v>
      </c>
      <c r="E5707" s="30"/>
      <c r="F5707" s="51" t="s">
        <v>23</v>
      </c>
      <c r="G5707" s="31" t="str">
        <f t="shared" si="100"/>
        <v/>
      </c>
      <c r="H5707" s="32"/>
      <c r="I5707" s="33"/>
      <c r="J5707" s="34">
        <v>0</v>
      </c>
    </row>
    <row r="5708" spans="1:10" ht="15.75" hidden="1" thickBot="1" x14ac:dyDescent="0.3">
      <c r="A5708" s="262"/>
      <c r="B5708" s="266"/>
      <c r="C5708" s="76"/>
      <c r="D5708" s="76"/>
      <c r="E5708" s="77"/>
      <c r="F5708" s="59" t="s">
        <v>23</v>
      </c>
      <c r="G5708" s="59" t="str">
        <f t="shared" si="100"/>
        <v/>
      </c>
      <c r="H5708" s="62"/>
      <c r="I5708" s="63"/>
      <c r="J5708" s="34">
        <v>0</v>
      </c>
    </row>
    <row r="5709" spans="1:10" ht="15.75" hidden="1" thickBot="1" x14ac:dyDescent="0.3">
      <c r="A5709" s="262"/>
      <c r="B5709" s="266"/>
      <c r="C5709" s="40" t="s">
        <v>4217</v>
      </c>
      <c r="D5709" s="40" t="s">
        <v>1286</v>
      </c>
      <c r="E5709" s="75">
        <v>1</v>
      </c>
      <c r="F5709" s="35">
        <v>53.997999999999998</v>
      </c>
      <c r="G5709" s="59">
        <f t="shared" si="100"/>
        <v>53.997999999999998</v>
      </c>
      <c r="H5709" s="43">
        <f>SUM(G5709:G5709)</f>
        <v>53.997999999999998</v>
      </c>
      <c r="I5709" s="44"/>
      <c r="J5709" s="34">
        <v>0</v>
      </c>
    </row>
    <row r="5710" spans="1:10" ht="15.75" hidden="1" thickBot="1" x14ac:dyDescent="0.3">
      <c r="A5710" s="263"/>
      <c r="B5710" s="253"/>
      <c r="C5710" s="60"/>
      <c r="D5710" s="78"/>
      <c r="E5710" s="79"/>
      <c r="F5710" s="80" t="s">
        <v>23</v>
      </c>
      <c r="G5710" s="80" t="str">
        <f t="shared" si="100"/>
        <v/>
      </c>
      <c r="H5710" s="81"/>
      <c r="I5710" s="63"/>
      <c r="J5710" s="34">
        <v>0</v>
      </c>
    </row>
    <row r="5711" spans="1:10" ht="15.75" hidden="1" thickBot="1" x14ac:dyDescent="0.3">
      <c r="A5711" s="248" t="s">
        <v>1361</v>
      </c>
      <c r="B5711" s="251" t="s">
        <v>3152</v>
      </c>
      <c r="C5711" s="28"/>
      <c r="D5711" s="29" t="s">
        <v>121</v>
      </c>
      <c r="E5711" s="30"/>
      <c r="F5711" s="51" t="s">
        <v>23</v>
      </c>
      <c r="G5711" s="31" t="str">
        <f t="shared" si="100"/>
        <v/>
      </c>
      <c r="H5711" s="32"/>
      <c r="I5711" s="33"/>
      <c r="J5711" s="34">
        <v>0</v>
      </c>
    </row>
    <row r="5712" spans="1:10" ht="15.75" hidden="1" thickBot="1" x14ac:dyDescent="0.3">
      <c r="A5712" s="262"/>
      <c r="B5712" s="266"/>
      <c r="C5712" s="76"/>
      <c r="D5712" s="76"/>
      <c r="E5712" s="77"/>
      <c r="F5712" s="59" t="s">
        <v>23</v>
      </c>
      <c r="G5712" s="59" t="str">
        <f t="shared" si="100"/>
        <v/>
      </c>
      <c r="H5712" s="62"/>
      <c r="I5712" s="63"/>
      <c r="J5712" s="34">
        <v>0</v>
      </c>
    </row>
    <row r="5713" spans="1:10" ht="15.75" hidden="1" thickBot="1" x14ac:dyDescent="0.3">
      <c r="A5713" s="262"/>
      <c r="B5713" s="266"/>
      <c r="C5713" s="40" t="s">
        <v>4244</v>
      </c>
      <c r="D5713" s="40" t="s">
        <v>1286</v>
      </c>
      <c r="E5713" s="75">
        <v>1</v>
      </c>
      <c r="F5713" s="35">
        <v>71.325999999999993</v>
      </c>
      <c r="G5713" s="59">
        <f t="shared" si="100"/>
        <v>71.325999999999993</v>
      </c>
      <c r="H5713" s="43">
        <f>SUM(G5713:G5713)</f>
        <v>71.325999999999993</v>
      </c>
      <c r="I5713" s="44"/>
      <c r="J5713" s="34">
        <v>0</v>
      </c>
    </row>
    <row r="5714" spans="1:10" ht="15.75" hidden="1" thickBot="1" x14ac:dyDescent="0.3">
      <c r="A5714" s="263"/>
      <c r="B5714" s="253"/>
      <c r="C5714" s="60"/>
      <c r="D5714" s="78"/>
      <c r="E5714" s="79"/>
      <c r="F5714" s="80" t="s">
        <v>23</v>
      </c>
      <c r="G5714" s="80" t="str">
        <f t="shared" si="100"/>
        <v/>
      </c>
      <c r="H5714" s="81"/>
      <c r="I5714" s="63"/>
      <c r="J5714" s="34">
        <v>0</v>
      </c>
    </row>
    <row r="5715" spans="1:10" ht="15.75" hidden="1" thickBot="1" x14ac:dyDescent="0.3">
      <c r="A5715" s="256" t="s">
        <v>1362</v>
      </c>
      <c r="B5715" s="251" t="s">
        <v>3153</v>
      </c>
      <c r="C5715" s="28"/>
      <c r="D5715" s="29" t="s">
        <v>121</v>
      </c>
      <c r="E5715" s="30"/>
      <c r="F5715" s="51" t="s">
        <v>23</v>
      </c>
      <c r="G5715" s="31" t="str">
        <f t="shared" si="100"/>
        <v/>
      </c>
      <c r="H5715" s="32"/>
      <c r="I5715" s="33"/>
      <c r="J5715" s="34">
        <v>0</v>
      </c>
    </row>
    <row r="5716" spans="1:10" ht="15.75" hidden="1" thickBot="1" x14ac:dyDescent="0.3">
      <c r="A5716" s="264"/>
      <c r="B5716" s="266"/>
      <c r="C5716" s="76"/>
      <c r="D5716" s="76"/>
      <c r="E5716" s="77"/>
      <c r="F5716" s="59" t="s">
        <v>23</v>
      </c>
      <c r="G5716" s="59" t="str">
        <f t="shared" si="100"/>
        <v/>
      </c>
      <c r="H5716" s="62"/>
      <c r="I5716" s="63"/>
      <c r="J5716" s="34">
        <v>0</v>
      </c>
    </row>
    <row r="5717" spans="1:10" ht="26.25" hidden="1" thickBot="1" x14ac:dyDescent="0.3">
      <c r="A5717" s="264"/>
      <c r="B5717" s="266"/>
      <c r="C5717" s="40" t="s">
        <v>4245</v>
      </c>
      <c r="D5717" s="40" t="s">
        <v>1286</v>
      </c>
      <c r="E5717" s="75">
        <v>1</v>
      </c>
      <c r="F5717" s="35">
        <v>9.5</v>
      </c>
      <c r="G5717" s="59">
        <f t="shared" si="100"/>
        <v>9.5</v>
      </c>
      <c r="H5717" s="43">
        <f>SUM(G5717:G5717)</f>
        <v>9.5</v>
      </c>
      <c r="I5717" s="44"/>
      <c r="J5717" s="34">
        <v>0</v>
      </c>
    </row>
    <row r="5718" spans="1:10" ht="15.75" hidden="1" thickBot="1" x14ac:dyDescent="0.3">
      <c r="A5718" s="265"/>
      <c r="B5718" s="253"/>
      <c r="C5718" s="60"/>
      <c r="D5718" s="78"/>
      <c r="E5718" s="79"/>
      <c r="F5718" s="80" t="s">
        <v>23</v>
      </c>
      <c r="G5718" s="80" t="str">
        <f t="shared" si="100"/>
        <v/>
      </c>
      <c r="H5718" s="81"/>
      <c r="I5718" s="63"/>
      <c r="J5718" s="34">
        <v>0</v>
      </c>
    </row>
    <row r="5719" spans="1:10" ht="15.75" hidden="1" thickBot="1" x14ac:dyDescent="0.3">
      <c r="A5719" s="256" t="s">
        <v>1363</v>
      </c>
      <c r="B5719" s="251" t="s">
        <v>3154</v>
      </c>
      <c r="C5719" s="28"/>
      <c r="D5719" s="29" t="s">
        <v>121</v>
      </c>
      <c r="E5719" s="30"/>
      <c r="F5719" s="51" t="s">
        <v>23</v>
      </c>
      <c r="G5719" s="31" t="str">
        <f t="shared" si="100"/>
        <v/>
      </c>
      <c r="H5719" s="32"/>
      <c r="I5719" s="33"/>
      <c r="J5719" s="34">
        <v>0</v>
      </c>
    </row>
    <row r="5720" spans="1:10" ht="15.75" hidden="1" thickBot="1" x14ac:dyDescent="0.3">
      <c r="A5720" s="264"/>
      <c r="B5720" s="266"/>
      <c r="C5720" s="76"/>
      <c r="D5720" s="76"/>
      <c r="E5720" s="77"/>
      <c r="F5720" s="59" t="s">
        <v>23</v>
      </c>
      <c r="G5720" s="59" t="str">
        <f t="shared" si="100"/>
        <v/>
      </c>
      <c r="H5720" s="62"/>
      <c r="I5720" s="63"/>
      <c r="J5720" s="34">
        <v>0</v>
      </c>
    </row>
    <row r="5721" spans="1:10" ht="26.25" hidden="1" thickBot="1" x14ac:dyDescent="0.3">
      <c r="A5721" s="264"/>
      <c r="B5721" s="266"/>
      <c r="C5721" s="40" t="s">
        <v>4246</v>
      </c>
      <c r="D5721" s="40" t="s">
        <v>1286</v>
      </c>
      <c r="E5721" s="75">
        <v>1</v>
      </c>
      <c r="F5721" s="35">
        <v>12.273999999999999</v>
      </c>
      <c r="G5721" s="59">
        <f t="shared" si="100"/>
        <v>12.273999999999999</v>
      </c>
      <c r="H5721" s="43">
        <f>SUM(G5721:G5721)</f>
        <v>12.273999999999999</v>
      </c>
      <c r="I5721" s="44"/>
      <c r="J5721" s="34">
        <v>0</v>
      </c>
    </row>
    <row r="5722" spans="1:10" ht="15.75" hidden="1" thickBot="1" x14ac:dyDescent="0.3">
      <c r="A5722" s="265"/>
      <c r="B5722" s="253"/>
      <c r="C5722" s="60"/>
      <c r="D5722" s="78"/>
      <c r="E5722" s="79"/>
      <c r="F5722" s="80" t="s">
        <v>23</v>
      </c>
      <c r="G5722" s="80" t="str">
        <f t="shared" si="100"/>
        <v/>
      </c>
      <c r="H5722" s="81"/>
      <c r="I5722" s="63"/>
      <c r="J5722" s="34">
        <v>0</v>
      </c>
    </row>
    <row r="5723" spans="1:10" ht="15.75" hidden="1" thickBot="1" x14ac:dyDescent="0.3">
      <c r="A5723" s="256" t="s">
        <v>1364</v>
      </c>
      <c r="B5723" s="251" t="s">
        <v>3155</v>
      </c>
      <c r="C5723" s="28"/>
      <c r="D5723" s="29" t="s">
        <v>121</v>
      </c>
      <c r="E5723" s="30"/>
      <c r="F5723" s="51" t="s">
        <v>23</v>
      </c>
      <c r="G5723" s="31" t="str">
        <f t="shared" si="100"/>
        <v/>
      </c>
      <c r="H5723" s="32"/>
      <c r="I5723" s="33"/>
      <c r="J5723" s="34">
        <v>0</v>
      </c>
    </row>
    <row r="5724" spans="1:10" ht="15.75" hidden="1" thickBot="1" x14ac:dyDescent="0.3">
      <c r="A5724" s="264"/>
      <c r="B5724" s="266"/>
      <c r="C5724" s="76"/>
      <c r="D5724" s="76"/>
      <c r="E5724" s="77"/>
      <c r="F5724" s="59" t="s">
        <v>23</v>
      </c>
      <c r="G5724" s="59" t="str">
        <f t="shared" si="100"/>
        <v/>
      </c>
      <c r="H5724" s="62"/>
      <c r="I5724" s="63"/>
      <c r="J5724" s="34">
        <v>0</v>
      </c>
    </row>
    <row r="5725" spans="1:10" ht="26.25" hidden="1" thickBot="1" x14ac:dyDescent="0.3">
      <c r="A5725" s="264"/>
      <c r="B5725" s="266"/>
      <c r="C5725" s="40" t="s">
        <v>1365</v>
      </c>
      <c r="D5725" s="99" t="s">
        <v>121</v>
      </c>
      <c r="E5725" s="75">
        <v>1</v>
      </c>
      <c r="F5725" s="35">
        <v>0</v>
      </c>
      <c r="G5725" s="59">
        <f t="shared" si="100"/>
        <v>0</v>
      </c>
      <c r="H5725" s="43">
        <f>SUM(G5725:G5725)</f>
        <v>0</v>
      </c>
      <c r="I5725" s="44"/>
      <c r="J5725" s="34">
        <v>0</v>
      </c>
    </row>
    <row r="5726" spans="1:10" ht="15.75" hidden="1" thickBot="1" x14ac:dyDescent="0.3">
      <c r="A5726" s="265"/>
      <c r="B5726" s="253"/>
      <c r="C5726" s="60"/>
      <c r="D5726" s="78"/>
      <c r="E5726" s="79"/>
      <c r="F5726" s="80" t="s">
        <v>23</v>
      </c>
      <c r="G5726" s="80" t="str">
        <f t="shared" si="100"/>
        <v/>
      </c>
      <c r="H5726" s="81"/>
      <c r="I5726" s="63"/>
      <c r="J5726" s="34">
        <v>0</v>
      </c>
    </row>
    <row r="5727" spans="1:10" ht="15.75" hidden="1" thickBot="1" x14ac:dyDescent="0.3">
      <c r="A5727" s="256" t="s">
        <v>1366</v>
      </c>
      <c r="B5727" s="251" t="s">
        <v>3156</v>
      </c>
      <c r="C5727" s="28"/>
      <c r="D5727" s="29" t="s">
        <v>121</v>
      </c>
      <c r="E5727" s="30"/>
      <c r="F5727" s="51" t="s">
        <v>23</v>
      </c>
      <c r="G5727" s="31" t="str">
        <f t="shared" si="100"/>
        <v/>
      </c>
      <c r="H5727" s="32"/>
      <c r="I5727" s="33"/>
      <c r="J5727" s="34">
        <v>0</v>
      </c>
    </row>
    <row r="5728" spans="1:10" ht="15.75" hidden="1" thickBot="1" x14ac:dyDescent="0.3">
      <c r="A5728" s="264"/>
      <c r="B5728" s="266"/>
      <c r="C5728" s="76"/>
      <c r="D5728" s="76"/>
      <c r="E5728" s="77"/>
      <c r="F5728" s="59" t="s">
        <v>23</v>
      </c>
      <c r="G5728" s="59" t="str">
        <f t="shared" si="100"/>
        <v/>
      </c>
      <c r="H5728" s="62"/>
      <c r="I5728" s="63"/>
      <c r="J5728" s="34">
        <v>0</v>
      </c>
    </row>
    <row r="5729" spans="1:10" ht="26.25" hidden="1" thickBot="1" x14ac:dyDescent="0.3">
      <c r="A5729" s="264"/>
      <c r="B5729" s="266"/>
      <c r="C5729" s="40" t="s">
        <v>1367</v>
      </c>
      <c r="D5729" s="99" t="s">
        <v>121</v>
      </c>
      <c r="E5729" s="75">
        <v>1</v>
      </c>
      <c r="F5729" s="35">
        <v>0</v>
      </c>
      <c r="G5729" s="59">
        <f t="shared" si="100"/>
        <v>0</v>
      </c>
      <c r="H5729" s="43">
        <f>SUM(G5729:G5729)</f>
        <v>0</v>
      </c>
      <c r="I5729" s="44"/>
      <c r="J5729" s="34">
        <v>0</v>
      </c>
    </row>
    <row r="5730" spans="1:10" ht="15.75" hidden="1" thickBot="1" x14ac:dyDescent="0.3">
      <c r="A5730" s="265"/>
      <c r="B5730" s="253"/>
      <c r="C5730" s="60"/>
      <c r="D5730" s="78"/>
      <c r="E5730" s="79"/>
      <c r="F5730" s="80" t="s">
        <v>23</v>
      </c>
      <c r="G5730" s="80" t="str">
        <f t="shared" si="100"/>
        <v/>
      </c>
      <c r="H5730" s="81"/>
      <c r="I5730" s="63"/>
      <c r="J5730" s="34">
        <v>0</v>
      </c>
    </row>
    <row r="5731" spans="1:10" ht="15.75" hidden="1" thickBot="1" x14ac:dyDescent="0.3">
      <c r="A5731" s="256" t="s">
        <v>1368</v>
      </c>
      <c r="B5731" s="251" t="s">
        <v>3157</v>
      </c>
      <c r="C5731" s="28"/>
      <c r="D5731" s="29" t="s">
        <v>121</v>
      </c>
      <c r="E5731" s="30"/>
      <c r="F5731" s="51" t="s">
        <v>23</v>
      </c>
      <c r="G5731" s="31" t="str">
        <f t="shared" si="100"/>
        <v/>
      </c>
      <c r="H5731" s="32"/>
      <c r="I5731" s="33"/>
      <c r="J5731" s="34">
        <v>0</v>
      </c>
    </row>
    <row r="5732" spans="1:10" ht="15.75" hidden="1" thickBot="1" x14ac:dyDescent="0.3">
      <c r="A5732" s="264"/>
      <c r="B5732" s="266"/>
      <c r="C5732" s="76"/>
      <c r="D5732" s="76"/>
      <c r="E5732" s="77"/>
      <c r="F5732" s="59" t="s">
        <v>23</v>
      </c>
      <c r="G5732" s="59" t="str">
        <f t="shared" si="100"/>
        <v/>
      </c>
      <c r="H5732" s="62"/>
      <c r="I5732" s="63"/>
      <c r="J5732" s="34">
        <v>0</v>
      </c>
    </row>
    <row r="5733" spans="1:10" ht="26.25" hidden="1" thickBot="1" x14ac:dyDescent="0.3">
      <c r="A5733" s="264"/>
      <c r="B5733" s="266"/>
      <c r="C5733" s="40" t="s">
        <v>1369</v>
      </c>
      <c r="D5733" s="99" t="s">
        <v>121</v>
      </c>
      <c r="E5733" s="75">
        <v>1</v>
      </c>
      <c r="F5733" s="35">
        <v>0</v>
      </c>
      <c r="G5733" s="59">
        <f t="shared" si="100"/>
        <v>0</v>
      </c>
      <c r="H5733" s="43">
        <f>SUM(G5733:G5733)</f>
        <v>0</v>
      </c>
      <c r="I5733" s="44"/>
      <c r="J5733" s="34">
        <v>0</v>
      </c>
    </row>
    <row r="5734" spans="1:10" ht="15.75" hidden="1" thickBot="1" x14ac:dyDescent="0.3">
      <c r="A5734" s="265"/>
      <c r="B5734" s="253"/>
      <c r="C5734" s="60"/>
      <c r="D5734" s="78"/>
      <c r="E5734" s="79"/>
      <c r="F5734" s="80" t="s">
        <v>23</v>
      </c>
      <c r="G5734" s="80" t="str">
        <f t="shared" si="100"/>
        <v/>
      </c>
      <c r="H5734" s="81"/>
      <c r="I5734" s="63"/>
      <c r="J5734" s="34">
        <v>0</v>
      </c>
    </row>
    <row r="5735" spans="1:10" ht="15.75" hidden="1" thickBot="1" x14ac:dyDescent="0.3">
      <c r="A5735" s="256" t="s">
        <v>1370</v>
      </c>
      <c r="B5735" s="251" t="s">
        <v>3158</v>
      </c>
      <c r="C5735" s="28"/>
      <c r="D5735" s="29" t="s">
        <v>121</v>
      </c>
      <c r="E5735" s="30"/>
      <c r="F5735" s="51" t="s">
        <v>23</v>
      </c>
      <c r="G5735" s="31" t="str">
        <f t="shared" si="100"/>
        <v/>
      </c>
      <c r="H5735" s="32"/>
      <c r="I5735" s="33"/>
      <c r="J5735" s="34">
        <v>0</v>
      </c>
    </row>
    <row r="5736" spans="1:10" ht="15.75" hidden="1" thickBot="1" x14ac:dyDescent="0.3">
      <c r="A5736" s="264"/>
      <c r="B5736" s="266"/>
      <c r="C5736" s="76"/>
      <c r="D5736" s="76"/>
      <c r="E5736" s="77"/>
      <c r="F5736" s="59" t="s">
        <v>23</v>
      </c>
      <c r="G5736" s="59" t="str">
        <f t="shared" si="100"/>
        <v/>
      </c>
      <c r="H5736" s="62"/>
      <c r="I5736" s="63"/>
      <c r="J5736" s="34">
        <v>0</v>
      </c>
    </row>
    <row r="5737" spans="1:10" ht="26.25" hidden="1" thickBot="1" x14ac:dyDescent="0.3">
      <c r="A5737" s="264"/>
      <c r="B5737" s="266"/>
      <c r="C5737" s="40" t="s">
        <v>1371</v>
      </c>
      <c r="D5737" s="99" t="s">
        <v>121</v>
      </c>
      <c r="E5737" s="75">
        <v>1</v>
      </c>
      <c r="F5737" s="35">
        <v>0</v>
      </c>
      <c r="G5737" s="59">
        <f t="shared" si="100"/>
        <v>0</v>
      </c>
      <c r="H5737" s="43">
        <f>SUM(G5737:G5737)</f>
        <v>0</v>
      </c>
      <c r="I5737" s="44"/>
      <c r="J5737" s="34">
        <v>0</v>
      </c>
    </row>
    <row r="5738" spans="1:10" ht="15.75" hidden="1" thickBot="1" x14ac:dyDescent="0.3">
      <c r="A5738" s="265"/>
      <c r="B5738" s="253"/>
      <c r="C5738" s="60"/>
      <c r="D5738" s="78"/>
      <c r="E5738" s="79"/>
      <c r="F5738" s="80" t="s">
        <v>23</v>
      </c>
      <c r="G5738" s="80" t="str">
        <f t="shared" si="100"/>
        <v/>
      </c>
      <c r="H5738" s="81"/>
      <c r="I5738" s="63"/>
      <c r="J5738" s="34">
        <v>0</v>
      </c>
    </row>
    <row r="5739" spans="1:10" ht="15.75" hidden="1" thickBot="1" x14ac:dyDescent="0.3">
      <c r="A5739" s="256" t="s">
        <v>1372</v>
      </c>
      <c r="B5739" s="251" t="s">
        <v>3159</v>
      </c>
      <c r="C5739" s="28"/>
      <c r="D5739" s="29" t="s">
        <v>121</v>
      </c>
      <c r="E5739" s="30"/>
      <c r="F5739" s="51" t="s">
        <v>23</v>
      </c>
      <c r="G5739" s="31" t="str">
        <f t="shared" si="100"/>
        <v/>
      </c>
      <c r="H5739" s="32"/>
      <c r="I5739" s="33"/>
      <c r="J5739" s="34">
        <v>0</v>
      </c>
    </row>
    <row r="5740" spans="1:10" ht="15.75" hidden="1" thickBot="1" x14ac:dyDescent="0.3">
      <c r="A5740" s="264"/>
      <c r="B5740" s="266"/>
      <c r="C5740" s="76"/>
      <c r="D5740" s="76"/>
      <c r="E5740" s="77"/>
      <c r="F5740" s="59" t="s">
        <v>23</v>
      </c>
      <c r="G5740" s="59" t="str">
        <f t="shared" ref="G5740:G5803" si="101">IF(ISNUMBER(F5740),E5740*F5740,"")</f>
        <v/>
      </c>
      <c r="H5740" s="62"/>
      <c r="I5740" s="63"/>
      <c r="J5740" s="34">
        <v>0</v>
      </c>
    </row>
    <row r="5741" spans="1:10" ht="26.25" hidden="1" thickBot="1" x14ac:dyDescent="0.3">
      <c r="A5741" s="264"/>
      <c r="B5741" s="266"/>
      <c r="C5741" s="40" t="s">
        <v>1373</v>
      </c>
      <c r="D5741" s="99" t="s">
        <v>121</v>
      </c>
      <c r="E5741" s="75">
        <v>1</v>
      </c>
      <c r="F5741" s="35">
        <v>0</v>
      </c>
      <c r="G5741" s="59">
        <f t="shared" si="101"/>
        <v>0</v>
      </c>
      <c r="H5741" s="43">
        <f>SUM(G5741:G5741)</f>
        <v>0</v>
      </c>
      <c r="I5741" s="44"/>
      <c r="J5741" s="34">
        <v>0</v>
      </c>
    </row>
    <row r="5742" spans="1:10" ht="15.75" hidden="1" thickBot="1" x14ac:dyDescent="0.3">
      <c r="A5742" s="265"/>
      <c r="B5742" s="253"/>
      <c r="C5742" s="60"/>
      <c r="D5742" s="78"/>
      <c r="E5742" s="79"/>
      <c r="F5742" s="80" t="s">
        <v>23</v>
      </c>
      <c r="G5742" s="80" t="str">
        <f t="shared" si="101"/>
        <v/>
      </c>
      <c r="H5742" s="81"/>
      <c r="I5742" s="63"/>
      <c r="J5742" s="34">
        <v>0</v>
      </c>
    </row>
    <row r="5743" spans="1:10" ht="15.75" hidden="1" thickBot="1" x14ac:dyDescent="0.3">
      <c r="A5743" s="256" t="s">
        <v>1374</v>
      </c>
      <c r="B5743" s="251" t="s">
        <v>3160</v>
      </c>
      <c r="C5743" s="28"/>
      <c r="D5743" s="29" t="s">
        <v>121</v>
      </c>
      <c r="E5743" s="30"/>
      <c r="F5743" s="51" t="s">
        <v>23</v>
      </c>
      <c r="G5743" s="31" t="str">
        <f t="shared" si="101"/>
        <v/>
      </c>
      <c r="H5743" s="32"/>
      <c r="I5743" s="33"/>
      <c r="J5743" s="34">
        <v>0</v>
      </c>
    </row>
    <row r="5744" spans="1:10" ht="15.75" hidden="1" thickBot="1" x14ac:dyDescent="0.3">
      <c r="A5744" s="264"/>
      <c r="B5744" s="266"/>
      <c r="C5744" s="76"/>
      <c r="D5744" s="76"/>
      <c r="E5744" s="77"/>
      <c r="F5744" s="59" t="s">
        <v>23</v>
      </c>
      <c r="G5744" s="59" t="str">
        <f t="shared" si="101"/>
        <v/>
      </c>
      <c r="H5744" s="62"/>
      <c r="I5744" s="63"/>
      <c r="J5744" s="34">
        <v>0</v>
      </c>
    </row>
    <row r="5745" spans="1:10" ht="26.25" hidden="1" thickBot="1" x14ac:dyDescent="0.3">
      <c r="A5745" s="264"/>
      <c r="B5745" s="266"/>
      <c r="C5745" s="40" t="s">
        <v>1375</v>
      </c>
      <c r="D5745" s="99" t="s">
        <v>102</v>
      </c>
      <c r="E5745" s="75">
        <v>1</v>
      </c>
      <c r="F5745" s="35">
        <v>0</v>
      </c>
      <c r="G5745" s="59">
        <f t="shared" si="101"/>
        <v>0</v>
      </c>
      <c r="H5745" s="43">
        <f>SUM(G5745:G5745)</f>
        <v>0</v>
      </c>
      <c r="I5745" s="44"/>
      <c r="J5745" s="34">
        <v>0</v>
      </c>
    </row>
    <row r="5746" spans="1:10" ht="15.75" hidden="1" thickBot="1" x14ac:dyDescent="0.3">
      <c r="A5746" s="265"/>
      <c r="B5746" s="253"/>
      <c r="C5746" s="60"/>
      <c r="D5746" s="78"/>
      <c r="E5746" s="79"/>
      <c r="F5746" s="80" t="s">
        <v>23</v>
      </c>
      <c r="G5746" s="80" t="str">
        <f t="shared" si="101"/>
        <v/>
      </c>
      <c r="H5746" s="81"/>
      <c r="I5746" s="63"/>
      <c r="J5746" s="34">
        <v>0</v>
      </c>
    </row>
    <row r="5747" spans="1:10" ht="15.75" hidden="1" thickBot="1" x14ac:dyDescent="0.3">
      <c r="A5747" s="256" t="s">
        <v>1376</v>
      </c>
      <c r="B5747" s="251" t="s">
        <v>3165</v>
      </c>
      <c r="C5747" s="28"/>
      <c r="D5747" s="29" t="s">
        <v>28</v>
      </c>
      <c r="E5747" s="30"/>
      <c r="F5747" s="51" t="s">
        <v>23</v>
      </c>
      <c r="G5747" s="31" t="str">
        <f t="shared" si="101"/>
        <v/>
      </c>
      <c r="H5747" s="32"/>
      <c r="I5747" s="33"/>
      <c r="J5747" s="34">
        <v>0</v>
      </c>
    </row>
    <row r="5748" spans="1:10" ht="15.75" hidden="1" thickBot="1" x14ac:dyDescent="0.3">
      <c r="A5748" s="264"/>
      <c r="B5748" s="266"/>
      <c r="C5748" s="76"/>
      <c r="D5748" s="76"/>
      <c r="E5748" s="77"/>
      <c r="F5748" s="59" t="s">
        <v>23</v>
      </c>
      <c r="G5748" s="59" t="str">
        <f t="shared" si="101"/>
        <v/>
      </c>
      <c r="H5748" s="62"/>
      <c r="I5748" s="63"/>
      <c r="J5748" s="34">
        <v>0</v>
      </c>
    </row>
    <row r="5749" spans="1:10" ht="26.25" hidden="1" thickBot="1" x14ac:dyDescent="0.3">
      <c r="A5749" s="264"/>
      <c r="B5749" s="266"/>
      <c r="C5749" s="40" t="s">
        <v>4247</v>
      </c>
      <c r="D5749" s="40" t="s">
        <v>291</v>
      </c>
      <c r="E5749" s="75">
        <v>1</v>
      </c>
      <c r="F5749" s="35">
        <v>1.6435</v>
      </c>
      <c r="G5749" s="59">
        <f t="shared" si="101"/>
        <v>1.6435</v>
      </c>
      <c r="H5749" s="43">
        <f>SUM(G5749:G5749)</f>
        <v>1.6435</v>
      </c>
      <c r="I5749" s="44"/>
      <c r="J5749" s="34">
        <v>0</v>
      </c>
    </row>
    <row r="5750" spans="1:10" ht="15.75" hidden="1" thickBot="1" x14ac:dyDescent="0.3">
      <c r="A5750" s="265"/>
      <c r="B5750" s="253"/>
      <c r="C5750" s="60"/>
      <c r="D5750" s="78"/>
      <c r="E5750" s="79"/>
      <c r="F5750" s="80" t="s">
        <v>23</v>
      </c>
      <c r="G5750" s="80" t="str">
        <f t="shared" si="101"/>
        <v/>
      </c>
      <c r="H5750" s="81"/>
      <c r="I5750" s="63"/>
      <c r="J5750" s="34">
        <v>0</v>
      </c>
    </row>
    <row r="5751" spans="1:10" ht="15.75" hidden="1" thickBot="1" x14ac:dyDescent="0.3">
      <c r="A5751" s="248" t="s">
        <v>1377</v>
      </c>
      <c r="B5751" s="251" t="s">
        <v>3166</v>
      </c>
      <c r="C5751" s="28"/>
      <c r="D5751" s="29" t="s">
        <v>28</v>
      </c>
      <c r="E5751" s="30"/>
      <c r="F5751" s="51" t="s">
        <v>23</v>
      </c>
      <c r="G5751" s="31" t="str">
        <f t="shared" si="101"/>
        <v/>
      </c>
      <c r="H5751" s="32"/>
      <c r="I5751" s="33"/>
      <c r="J5751" s="34">
        <v>0</v>
      </c>
    </row>
    <row r="5752" spans="1:10" ht="15.75" hidden="1" thickBot="1" x14ac:dyDescent="0.3">
      <c r="A5752" s="262"/>
      <c r="B5752" s="266"/>
      <c r="C5752" s="76"/>
      <c r="D5752" s="76"/>
      <c r="E5752" s="77"/>
      <c r="F5752" s="59" t="s">
        <v>23</v>
      </c>
      <c r="G5752" s="59" t="str">
        <f t="shared" si="101"/>
        <v/>
      </c>
      <c r="H5752" s="62"/>
      <c r="I5752" s="63"/>
      <c r="J5752" s="34">
        <v>0</v>
      </c>
    </row>
    <row r="5753" spans="1:10" ht="26.25" hidden="1" thickBot="1" x14ac:dyDescent="0.3">
      <c r="A5753" s="262"/>
      <c r="B5753" s="266"/>
      <c r="C5753" s="40" t="s">
        <v>4248</v>
      </c>
      <c r="D5753" s="40" t="s">
        <v>291</v>
      </c>
      <c r="E5753" s="75">
        <v>1</v>
      </c>
      <c r="F5753" s="35">
        <v>4.1040000000000001</v>
      </c>
      <c r="G5753" s="59">
        <f t="shared" si="101"/>
        <v>4.1040000000000001</v>
      </c>
      <c r="H5753" s="43">
        <f>SUM(G5753:G5753)</f>
        <v>4.1040000000000001</v>
      </c>
      <c r="I5753" s="44"/>
      <c r="J5753" s="34">
        <v>0</v>
      </c>
    </row>
    <row r="5754" spans="1:10" ht="15.75" hidden="1" thickBot="1" x14ac:dyDescent="0.3">
      <c r="A5754" s="263"/>
      <c r="B5754" s="253"/>
      <c r="C5754" s="60"/>
      <c r="D5754" s="78"/>
      <c r="E5754" s="79"/>
      <c r="F5754" s="80" t="s">
        <v>23</v>
      </c>
      <c r="G5754" s="80" t="str">
        <f t="shared" si="101"/>
        <v/>
      </c>
      <c r="H5754" s="81"/>
      <c r="I5754" s="63"/>
      <c r="J5754" s="34">
        <v>0</v>
      </c>
    </row>
    <row r="5755" spans="1:10" ht="15.75" hidden="1" thickBot="1" x14ac:dyDescent="0.3">
      <c r="A5755" s="248" t="s">
        <v>1378</v>
      </c>
      <c r="B5755" s="251" t="s">
        <v>3167</v>
      </c>
      <c r="C5755" s="28"/>
      <c r="D5755" s="29" t="s">
        <v>28</v>
      </c>
      <c r="E5755" s="30"/>
      <c r="F5755" s="51" t="s">
        <v>23</v>
      </c>
      <c r="G5755" s="31" t="str">
        <f t="shared" si="101"/>
        <v/>
      </c>
      <c r="H5755" s="32"/>
      <c r="I5755" s="33"/>
      <c r="J5755" s="34">
        <v>0</v>
      </c>
    </row>
    <row r="5756" spans="1:10" ht="15.75" hidden="1" thickBot="1" x14ac:dyDescent="0.3">
      <c r="A5756" s="262"/>
      <c r="B5756" s="266"/>
      <c r="C5756" s="76"/>
      <c r="D5756" s="76"/>
      <c r="E5756" s="77"/>
      <c r="F5756" s="59" t="s">
        <v>23</v>
      </c>
      <c r="G5756" s="59" t="str">
        <f t="shared" si="101"/>
        <v/>
      </c>
      <c r="H5756" s="62"/>
      <c r="I5756" s="63"/>
      <c r="J5756" s="34">
        <v>0</v>
      </c>
    </row>
    <row r="5757" spans="1:10" ht="39" hidden="1" thickBot="1" x14ac:dyDescent="0.3">
      <c r="A5757" s="262"/>
      <c r="B5757" s="266"/>
      <c r="C5757" s="40" t="s">
        <v>4249</v>
      </c>
      <c r="D5757" s="40" t="s">
        <v>291</v>
      </c>
      <c r="E5757" s="75">
        <v>1</v>
      </c>
      <c r="F5757" s="35">
        <v>1.6244999999999998</v>
      </c>
      <c r="G5757" s="59">
        <f t="shared" si="101"/>
        <v>1.6244999999999998</v>
      </c>
      <c r="H5757" s="43">
        <f>SUM(G5757:G5757)</f>
        <v>1.6244999999999998</v>
      </c>
      <c r="I5757" s="44"/>
      <c r="J5757" s="34">
        <v>0</v>
      </c>
    </row>
    <row r="5758" spans="1:10" ht="15.75" hidden="1" thickBot="1" x14ac:dyDescent="0.3">
      <c r="A5758" s="263"/>
      <c r="B5758" s="253"/>
      <c r="C5758" s="60"/>
      <c r="D5758" s="78"/>
      <c r="E5758" s="79"/>
      <c r="F5758" s="80" t="s">
        <v>23</v>
      </c>
      <c r="G5758" s="80" t="str">
        <f t="shared" si="101"/>
        <v/>
      </c>
      <c r="H5758" s="81"/>
      <c r="I5758" s="63"/>
      <c r="J5758" s="34">
        <v>0</v>
      </c>
    </row>
    <row r="5759" spans="1:10" ht="15.75" hidden="1" thickBot="1" x14ac:dyDescent="0.3">
      <c r="A5759" s="248" t="s">
        <v>1379</v>
      </c>
      <c r="B5759" s="251" t="s">
        <v>3168</v>
      </c>
      <c r="C5759" s="28"/>
      <c r="D5759" s="29" t="s">
        <v>28</v>
      </c>
      <c r="E5759" s="30"/>
      <c r="F5759" s="51" t="s">
        <v>23</v>
      </c>
      <c r="G5759" s="31" t="str">
        <f t="shared" si="101"/>
        <v/>
      </c>
      <c r="H5759" s="32"/>
      <c r="I5759" s="33"/>
      <c r="J5759" s="34">
        <v>0</v>
      </c>
    </row>
    <row r="5760" spans="1:10" ht="15.75" hidden="1" thickBot="1" x14ac:dyDescent="0.3">
      <c r="A5760" s="262"/>
      <c r="B5760" s="266"/>
      <c r="C5760" s="76"/>
      <c r="D5760" s="76"/>
      <c r="E5760" s="77"/>
      <c r="F5760" s="59" t="s">
        <v>23</v>
      </c>
      <c r="G5760" s="59" t="str">
        <f t="shared" si="101"/>
        <v/>
      </c>
      <c r="H5760" s="62"/>
      <c r="I5760" s="63"/>
      <c r="J5760" s="34">
        <v>0</v>
      </c>
    </row>
    <row r="5761" spans="1:10" ht="39" hidden="1" thickBot="1" x14ac:dyDescent="0.3">
      <c r="A5761" s="262"/>
      <c r="B5761" s="266"/>
      <c r="C5761" s="40" t="s">
        <v>4250</v>
      </c>
      <c r="D5761" s="40" t="s">
        <v>291</v>
      </c>
      <c r="E5761" s="75">
        <v>1</v>
      </c>
      <c r="F5761" s="35">
        <v>7.6475</v>
      </c>
      <c r="G5761" s="59">
        <f t="shared" si="101"/>
        <v>7.6475</v>
      </c>
      <c r="H5761" s="43">
        <f>SUM(G5761:G5761)</f>
        <v>7.6475</v>
      </c>
      <c r="I5761" s="44"/>
      <c r="J5761" s="34">
        <v>0</v>
      </c>
    </row>
    <row r="5762" spans="1:10" ht="15.75" hidden="1" thickBot="1" x14ac:dyDescent="0.3">
      <c r="A5762" s="263"/>
      <c r="B5762" s="253"/>
      <c r="C5762" s="60"/>
      <c r="D5762" s="78"/>
      <c r="E5762" s="79"/>
      <c r="F5762" s="80" t="s">
        <v>23</v>
      </c>
      <c r="G5762" s="80" t="str">
        <f t="shared" si="101"/>
        <v/>
      </c>
      <c r="H5762" s="81"/>
      <c r="I5762" s="63"/>
      <c r="J5762" s="34">
        <v>0</v>
      </c>
    </row>
    <row r="5763" spans="1:10" ht="15.75" hidden="1" thickBot="1" x14ac:dyDescent="0.3">
      <c r="A5763" s="256" t="s">
        <v>1380</v>
      </c>
      <c r="B5763" s="251" t="s">
        <v>3169</v>
      </c>
      <c r="C5763" s="28"/>
      <c r="D5763" s="29" t="s">
        <v>28</v>
      </c>
      <c r="E5763" s="30"/>
      <c r="F5763" s="51" t="s">
        <v>23</v>
      </c>
      <c r="G5763" s="31" t="str">
        <f t="shared" si="101"/>
        <v/>
      </c>
      <c r="H5763" s="32"/>
      <c r="I5763" s="33"/>
      <c r="J5763" s="34">
        <v>0</v>
      </c>
    </row>
    <row r="5764" spans="1:10" ht="15.75" hidden="1" thickBot="1" x14ac:dyDescent="0.3">
      <c r="A5764" s="264"/>
      <c r="B5764" s="266"/>
      <c r="C5764" s="76"/>
      <c r="D5764" s="76"/>
      <c r="E5764" s="77"/>
      <c r="F5764" s="59" t="s">
        <v>23</v>
      </c>
      <c r="G5764" s="59" t="str">
        <f t="shared" si="101"/>
        <v/>
      </c>
      <c r="H5764" s="62"/>
      <c r="I5764" s="63"/>
      <c r="J5764" s="34">
        <v>0</v>
      </c>
    </row>
    <row r="5765" spans="1:10" ht="26.25" hidden="1" thickBot="1" x14ac:dyDescent="0.3">
      <c r="A5765" s="264"/>
      <c r="B5765" s="266"/>
      <c r="C5765" s="40" t="s">
        <v>4251</v>
      </c>
      <c r="D5765" s="40" t="s">
        <v>291</v>
      </c>
      <c r="E5765" s="75">
        <v>1</v>
      </c>
      <c r="F5765" s="35">
        <v>1.748</v>
      </c>
      <c r="G5765" s="59">
        <f t="shared" si="101"/>
        <v>1.748</v>
      </c>
      <c r="H5765" s="43">
        <f>SUM(G5765:G5765)</f>
        <v>1.748</v>
      </c>
      <c r="I5765" s="44"/>
      <c r="J5765" s="34">
        <v>0</v>
      </c>
    </row>
    <row r="5766" spans="1:10" ht="15.75" hidden="1" thickBot="1" x14ac:dyDescent="0.3">
      <c r="A5766" s="265"/>
      <c r="B5766" s="253"/>
      <c r="C5766" s="60"/>
      <c r="D5766" s="78"/>
      <c r="E5766" s="79"/>
      <c r="F5766" s="80" t="s">
        <v>23</v>
      </c>
      <c r="G5766" s="80" t="str">
        <f t="shared" si="101"/>
        <v/>
      </c>
      <c r="H5766" s="81"/>
      <c r="I5766" s="63"/>
      <c r="J5766" s="34">
        <v>0</v>
      </c>
    </row>
    <row r="5767" spans="1:10" ht="15.75" hidden="1" thickBot="1" x14ac:dyDescent="0.3">
      <c r="A5767" s="256" t="s">
        <v>1381</v>
      </c>
      <c r="B5767" s="251" t="s">
        <v>3170</v>
      </c>
      <c r="C5767" s="28"/>
      <c r="D5767" s="29" t="s">
        <v>28</v>
      </c>
      <c r="E5767" s="30"/>
      <c r="F5767" s="51" t="s">
        <v>23</v>
      </c>
      <c r="G5767" s="31" t="str">
        <f t="shared" si="101"/>
        <v/>
      </c>
      <c r="H5767" s="32"/>
      <c r="I5767" s="33"/>
      <c r="J5767" s="34">
        <v>0</v>
      </c>
    </row>
    <row r="5768" spans="1:10" ht="15.75" hidden="1" thickBot="1" x14ac:dyDescent="0.3">
      <c r="A5768" s="264"/>
      <c r="B5768" s="266"/>
      <c r="C5768" s="76"/>
      <c r="D5768" s="76"/>
      <c r="E5768" s="77"/>
      <c r="F5768" s="59" t="s">
        <v>23</v>
      </c>
      <c r="G5768" s="59" t="str">
        <f t="shared" si="101"/>
        <v/>
      </c>
      <c r="H5768" s="62"/>
      <c r="I5768" s="63"/>
      <c r="J5768" s="34">
        <v>0</v>
      </c>
    </row>
    <row r="5769" spans="1:10" ht="26.25" hidden="1" thickBot="1" x14ac:dyDescent="0.3">
      <c r="A5769" s="264"/>
      <c r="B5769" s="266"/>
      <c r="C5769" s="40" t="s">
        <v>4252</v>
      </c>
      <c r="D5769" s="40" t="s">
        <v>291</v>
      </c>
      <c r="E5769" s="75">
        <v>1</v>
      </c>
      <c r="F5769" s="35">
        <v>4.6360000000000001</v>
      </c>
      <c r="G5769" s="59">
        <f t="shared" si="101"/>
        <v>4.6360000000000001</v>
      </c>
      <c r="H5769" s="43">
        <f>SUM(G5769:G5769)</f>
        <v>4.6360000000000001</v>
      </c>
      <c r="I5769" s="44"/>
      <c r="J5769" s="34">
        <v>0</v>
      </c>
    </row>
    <row r="5770" spans="1:10" ht="15.75" hidden="1" thickBot="1" x14ac:dyDescent="0.3">
      <c r="A5770" s="265"/>
      <c r="B5770" s="253"/>
      <c r="C5770" s="60"/>
      <c r="D5770" s="78"/>
      <c r="E5770" s="79"/>
      <c r="F5770" s="80" t="s">
        <v>23</v>
      </c>
      <c r="G5770" s="80" t="str">
        <f t="shared" si="101"/>
        <v/>
      </c>
      <c r="H5770" s="81"/>
      <c r="I5770" s="63"/>
      <c r="J5770" s="34">
        <v>0</v>
      </c>
    </row>
    <row r="5771" spans="1:10" ht="15.75" hidden="1" thickBot="1" x14ac:dyDescent="0.3">
      <c r="A5771" s="256" t="s">
        <v>1382</v>
      </c>
      <c r="B5771" s="251" t="s">
        <v>3171</v>
      </c>
      <c r="C5771" s="28"/>
      <c r="D5771" s="29" t="s">
        <v>28</v>
      </c>
      <c r="E5771" s="30"/>
      <c r="F5771" s="51" t="s">
        <v>23</v>
      </c>
      <c r="G5771" s="31" t="str">
        <f t="shared" si="101"/>
        <v/>
      </c>
      <c r="H5771" s="32"/>
      <c r="I5771" s="33"/>
      <c r="J5771" s="34">
        <v>0</v>
      </c>
    </row>
    <row r="5772" spans="1:10" ht="15.75" hidden="1" thickBot="1" x14ac:dyDescent="0.3">
      <c r="A5772" s="264"/>
      <c r="B5772" s="266"/>
      <c r="C5772" s="76"/>
      <c r="D5772" s="76"/>
      <c r="E5772" s="77"/>
      <c r="F5772" s="59" t="s">
        <v>23</v>
      </c>
      <c r="G5772" s="59" t="str">
        <f t="shared" si="101"/>
        <v/>
      </c>
      <c r="H5772" s="62"/>
      <c r="I5772" s="63"/>
      <c r="J5772" s="34">
        <v>0</v>
      </c>
    </row>
    <row r="5773" spans="1:10" ht="39" hidden="1" thickBot="1" x14ac:dyDescent="0.3">
      <c r="A5773" s="264"/>
      <c r="B5773" s="266"/>
      <c r="C5773" s="40" t="s">
        <v>4253</v>
      </c>
      <c r="D5773" s="40" t="s">
        <v>291</v>
      </c>
      <c r="E5773" s="75">
        <v>1</v>
      </c>
      <c r="F5773" s="35">
        <v>2.8879999999999999</v>
      </c>
      <c r="G5773" s="59">
        <f t="shared" si="101"/>
        <v>2.8879999999999999</v>
      </c>
      <c r="H5773" s="43">
        <f>SUM(G5773:G5773)</f>
        <v>2.8879999999999999</v>
      </c>
      <c r="I5773" s="44"/>
      <c r="J5773" s="34">
        <v>0</v>
      </c>
    </row>
    <row r="5774" spans="1:10" ht="15.75" hidden="1" thickBot="1" x14ac:dyDescent="0.3">
      <c r="A5774" s="265"/>
      <c r="B5774" s="253"/>
      <c r="C5774" s="60"/>
      <c r="D5774" s="78"/>
      <c r="E5774" s="79"/>
      <c r="F5774" s="80" t="s">
        <v>23</v>
      </c>
      <c r="G5774" s="80" t="str">
        <f t="shared" si="101"/>
        <v/>
      </c>
      <c r="H5774" s="81"/>
      <c r="I5774" s="63"/>
      <c r="J5774" s="34">
        <v>0</v>
      </c>
    </row>
    <row r="5775" spans="1:10" ht="15.75" hidden="1" thickBot="1" x14ac:dyDescent="0.3">
      <c r="A5775" s="256" t="s">
        <v>1383</v>
      </c>
      <c r="B5775" s="251" t="s">
        <v>3172</v>
      </c>
      <c r="C5775" s="28"/>
      <c r="D5775" s="29" t="s">
        <v>28</v>
      </c>
      <c r="E5775" s="30"/>
      <c r="F5775" s="51" t="s">
        <v>23</v>
      </c>
      <c r="G5775" s="31" t="str">
        <f t="shared" si="101"/>
        <v/>
      </c>
      <c r="H5775" s="32"/>
      <c r="I5775" s="33"/>
      <c r="J5775" s="34">
        <v>0</v>
      </c>
    </row>
    <row r="5776" spans="1:10" ht="15.75" hidden="1" thickBot="1" x14ac:dyDescent="0.3">
      <c r="A5776" s="264"/>
      <c r="B5776" s="266"/>
      <c r="C5776" s="76"/>
      <c r="D5776" s="76"/>
      <c r="E5776" s="77"/>
      <c r="F5776" s="59" t="s">
        <v>23</v>
      </c>
      <c r="G5776" s="59" t="str">
        <f t="shared" si="101"/>
        <v/>
      </c>
      <c r="H5776" s="62"/>
      <c r="I5776" s="63"/>
      <c r="J5776" s="34">
        <v>0</v>
      </c>
    </row>
    <row r="5777" spans="1:10" ht="39" hidden="1" thickBot="1" x14ac:dyDescent="0.3">
      <c r="A5777" s="264"/>
      <c r="B5777" s="266"/>
      <c r="C5777" s="40" t="s">
        <v>4254</v>
      </c>
      <c r="D5777" s="40" t="s">
        <v>291</v>
      </c>
      <c r="E5777" s="75">
        <v>1</v>
      </c>
      <c r="F5777" s="35">
        <v>9.1864999999999988</v>
      </c>
      <c r="G5777" s="59">
        <f t="shared" si="101"/>
        <v>9.1864999999999988</v>
      </c>
      <c r="H5777" s="43">
        <f>SUM(G5777:G5777)</f>
        <v>9.1864999999999988</v>
      </c>
      <c r="I5777" s="44"/>
      <c r="J5777" s="34">
        <v>0</v>
      </c>
    </row>
    <row r="5778" spans="1:10" ht="15.75" hidden="1" thickBot="1" x14ac:dyDescent="0.3">
      <c r="A5778" s="265"/>
      <c r="B5778" s="253"/>
      <c r="C5778" s="60"/>
      <c r="D5778" s="78"/>
      <c r="E5778" s="79"/>
      <c r="F5778" s="80" t="s">
        <v>23</v>
      </c>
      <c r="G5778" s="80" t="str">
        <f t="shared" si="101"/>
        <v/>
      </c>
      <c r="H5778" s="81"/>
      <c r="I5778" s="63"/>
      <c r="J5778" s="34">
        <v>0</v>
      </c>
    </row>
    <row r="5779" spans="1:10" ht="15.75" hidden="1" thickBot="1" x14ac:dyDescent="0.3">
      <c r="A5779" s="256" t="s">
        <v>1384</v>
      </c>
      <c r="B5779" s="251" t="s">
        <v>3173</v>
      </c>
      <c r="C5779" s="28"/>
      <c r="D5779" s="29" t="s">
        <v>28</v>
      </c>
      <c r="E5779" s="30"/>
      <c r="F5779" s="51" t="s">
        <v>23</v>
      </c>
      <c r="G5779" s="31" t="str">
        <f t="shared" si="101"/>
        <v/>
      </c>
      <c r="H5779" s="32"/>
      <c r="I5779" s="33"/>
      <c r="J5779" s="34">
        <v>0</v>
      </c>
    </row>
    <row r="5780" spans="1:10" ht="15.75" hidden="1" thickBot="1" x14ac:dyDescent="0.3">
      <c r="A5780" s="264"/>
      <c r="B5780" s="266"/>
      <c r="C5780" s="76"/>
      <c r="D5780" s="76"/>
      <c r="E5780" s="77"/>
      <c r="F5780" s="59" t="s">
        <v>23</v>
      </c>
      <c r="G5780" s="59" t="str">
        <f t="shared" si="101"/>
        <v/>
      </c>
      <c r="H5780" s="62"/>
      <c r="I5780" s="63"/>
      <c r="J5780" s="34">
        <v>0</v>
      </c>
    </row>
    <row r="5781" spans="1:10" ht="26.25" hidden="1" thickBot="1" x14ac:dyDescent="0.3">
      <c r="A5781" s="264"/>
      <c r="B5781" s="266"/>
      <c r="C5781" s="40" t="s">
        <v>4255</v>
      </c>
      <c r="D5781" s="40" t="s">
        <v>291</v>
      </c>
      <c r="E5781" s="75">
        <v>1</v>
      </c>
      <c r="F5781" s="35">
        <v>2.0329999999999999</v>
      </c>
      <c r="G5781" s="59">
        <f t="shared" si="101"/>
        <v>2.0329999999999999</v>
      </c>
      <c r="H5781" s="43">
        <f>SUM(G5781:G5781)</f>
        <v>2.0329999999999999</v>
      </c>
      <c r="I5781" s="44"/>
      <c r="J5781" s="34">
        <v>0</v>
      </c>
    </row>
    <row r="5782" spans="1:10" ht="15.75" hidden="1" thickBot="1" x14ac:dyDescent="0.3">
      <c r="A5782" s="265"/>
      <c r="B5782" s="253"/>
      <c r="C5782" s="60"/>
      <c r="D5782" s="78"/>
      <c r="E5782" s="79"/>
      <c r="F5782" s="80" t="s">
        <v>23</v>
      </c>
      <c r="G5782" s="80" t="str">
        <f t="shared" si="101"/>
        <v/>
      </c>
      <c r="H5782" s="81"/>
      <c r="I5782" s="63"/>
      <c r="J5782" s="34">
        <v>0</v>
      </c>
    </row>
    <row r="5783" spans="1:10" ht="15.75" hidden="1" thickBot="1" x14ac:dyDescent="0.3">
      <c r="A5783" s="256" t="s">
        <v>1385</v>
      </c>
      <c r="B5783" s="251" t="s">
        <v>3174</v>
      </c>
      <c r="C5783" s="28"/>
      <c r="D5783" s="29" t="s">
        <v>28</v>
      </c>
      <c r="E5783" s="30"/>
      <c r="F5783" s="51" t="s">
        <v>23</v>
      </c>
      <c r="G5783" s="31" t="str">
        <f t="shared" si="101"/>
        <v/>
      </c>
      <c r="H5783" s="32"/>
      <c r="I5783" s="33"/>
      <c r="J5783" s="34">
        <v>0</v>
      </c>
    </row>
    <row r="5784" spans="1:10" ht="15.75" hidden="1" thickBot="1" x14ac:dyDescent="0.3">
      <c r="A5784" s="264"/>
      <c r="B5784" s="266"/>
      <c r="C5784" s="76"/>
      <c r="D5784" s="76"/>
      <c r="E5784" s="77"/>
      <c r="F5784" s="59" t="s">
        <v>23</v>
      </c>
      <c r="G5784" s="59" t="str">
        <f t="shared" si="101"/>
        <v/>
      </c>
      <c r="H5784" s="62"/>
      <c r="I5784" s="63"/>
      <c r="J5784" s="34">
        <v>0</v>
      </c>
    </row>
    <row r="5785" spans="1:10" ht="26.25" hidden="1" thickBot="1" x14ac:dyDescent="0.3">
      <c r="A5785" s="264"/>
      <c r="B5785" s="266"/>
      <c r="C5785" s="40" t="s">
        <v>4256</v>
      </c>
      <c r="D5785" s="40" t="s">
        <v>291</v>
      </c>
      <c r="E5785" s="75">
        <v>1</v>
      </c>
      <c r="F5785" s="35">
        <v>6.3079999999999998</v>
      </c>
      <c r="G5785" s="59">
        <f t="shared" si="101"/>
        <v>6.3079999999999998</v>
      </c>
      <c r="H5785" s="43">
        <f>SUM(G5785:G5785)</f>
        <v>6.3079999999999998</v>
      </c>
      <c r="I5785" s="44"/>
      <c r="J5785" s="34">
        <v>0</v>
      </c>
    </row>
    <row r="5786" spans="1:10" ht="15.75" hidden="1" thickBot="1" x14ac:dyDescent="0.3">
      <c r="A5786" s="265"/>
      <c r="B5786" s="253"/>
      <c r="C5786" s="60"/>
      <c r="D5786" s="78"/>
      <c r="E5786" s="79"/>
      <c r="F5786" s="80" t="s">
        <v>23</v>
      </c>
      <c r="G5786" s="80" t="str">
        <f t="shared" si="101"/>
        <v/>
      </c>
      <c r="H5786" s="81"/>
      <c r="I5786" s="63"/>
      <c r="J5786" s="34">
        <v>0</v>
      </c>
    </row>
    <row r="5787" spans="1:10" ht="15.75" hidden="1" thickBot="1" x14ac:dyDescent="0.3">
      <c r="A5787" s="256" t="s">
        <v>1386</v>
      </c>
      <c r="B5787" s="251" t="s">
        <v>3175</v>
      </c>
      <c r="C5787" s="28"/>
      <c r="D5787" s="29" t="s">
        <v>28</v>
      </c>
      <c r="E5787" s="30"/>
      <c r="F5787" s="51" t="s">
        <v>23</v>
      </c>
      <c r="G5787" s="31" t="str">
        <f t="shared" si="101"/>
        <v/>
      </c>
      <c r="H5787" s="32"/>
      <c r="I5787" s="33"/>
      <c r="J5787" s="34">
        <v>0</v>
      </c>
    </row>
    <row r="5788" spans="1:10" ht="15.75" hidden="1" thickBot="1" x14ac:dyDescent="0.3">
      <c r="A5788" s="264"/>
      <c r="B5788" s="266"/>
      <c r="C5788" s="76"/>
      <c r="D5788" s="76"/>
      <c r="E5788" s="77"/>
      <c r="F5788" s="59" t="s">
        <v>23</v>
      </c>
      <c r="G5788" s="59" t="str">
        <f t="shared" si="101"/>
        <v/>
      </c>
      <c r="H5788" s="62"/>
      <c r="I5788" s="63"/>
      <c r="J5788" s="34">
        <v>0</v>
      </c>
    </row>
    <row r="5789" spans="1:10" ht="39" hidden="1" thickBot="1" x14ac:dyDescent="0.3">
      <c r="A5789" s="264"/>
      <c r="B5789" s="266"/>
      <c r="C5789" s="40" t="s">
        <v>4257</v>
      </c>
      <c r="D5789" s="40" t="s">
        <v>291</v>
      </c>
      <c r="E5789" s="75">
        <v>1</v>
      </c>
      <c r="F5789" s="35">
        <v>4.0564999999999998</v>
      </c>
      <c r="G5789" s="59">
        <f t="shared" si="101"/>
        <v>4.0564999999999998</v>
      </c>
      <c r="H5789" s="43">
        <f>SUM(G5789:G5789)</f>
        <v>4.0564999999999998</v>
      </c>
      <c r="I5789" s="44"/>
      <c r="J5789" s="34">
        <v>0</v>
      </c>
    </row>
    <row r="5790" spans="1:10" ht="15.75" hidden="1" thickBot="1" x14ac:dyDescent="0.3">
      <c r="A5790" s="265"/>
      <c r="B5790" s="253"/>
      <c r="C5790" s="60"/>
      <c r="D5790" s="78"/>
      <c r="E5790" s="79"/>
      <c r="F5790" s="80" t="s">
        <v>23</v>
      </c>
      <c r="G5790" s="80" t="str">
        <f t="shared" si="101"/>
        <v/>
      </c>
      <c r="H5790" s="81"/>
      <c r="I5790" s="63"/>
      <c r="J5790" s="34">
        <v>0</v>
      </c>
    </row>
    <row r="5791" spans="1:10" ht="15.75" hidden="1" thickBot="1" x14ac:dyDescent="0.3">
      <c r="A5791" s="256" t="s">
        <v>1387</v>
      </c>
      <c r="B5791" s="251" t="s">
        <v>3176</v>
      </c>
      <c r="C5791" s="28"/>
      <c r="D5791" s="29" t="s">
        <v>28</v>
      </c>
      <c r="E5791" s="30"/>
      <c r="F5791" s="51" t="s">
        <v>23</v>
      </c>
      <c r="G5791" s="31" t="str">
        <f t="shared" si="101"/>
        <v/>
      </c>
      <c r="H5791" s="32"/>
      <c r="I5791" s="33"/>
      <c r="J5791" s="34">
        <v>0</v>
      </c>
    </row>
    <row r="5792" spans="1:10" ht="15.75" hidden="1" thickBot="1" x14ac:dyDescent="0.3">
      <c r="A5792" s="264"/>
      <c r="B5792" s="266"/>
      <c r="C5792" s="76"/>
      <c r="D5792" s="76"/>
      <c r="E5792" s="77"/>
      <c r="F5792" s="59" t="s">
        <v>23</v>
      </c>
      <c r="G5792" s="59" t="str">
        <f t="shared" si="101"/>
        <v/>
      </c>
      <c r="H5792" s="62"/>
      <c r="I5792" s="63"/>
      <c r="J5792" s="34">
        <v>0</v>
      </c>
    </row>
    <row r="5793" spans="1:10" ht="39" hidden="1" thickBot="1" x14ac:dyDescent="0.3">
      <c r="A5793" s="264"/>
      <c r="B5793" s="266"/>
      <c r="C5793" s="40" t="s">
        <v>4258</v>
      </c>
      <c r="D5793" s="40" t="s">
        <v>291</v>
      </c>
      <c r="E5793" s="75">
        <v>1</v>
      </c>
      <c r="F5793" s="35">
        <v>11.437999999999999</v>
      </c>
      <c r="G5793" s="59">
        <f t="shared" si="101"/>
        <v>11.437999999999999</v>
      </c>
      <c r="H5793" s="43">
        <f>SUM(G5793:G5793)</f>
        <v>11.437999999999999</v>
      </c>
      <c r="I5793" s="44"/>
      <c r="J5793" s="34">
        <v>0</v>
      </c>
    </row>
    <row r="5794" spans="1:10" ht="15.75" hidden="1" thickBot="1" x14ac:dyDescent="0.3">
      <c r="A5794" s="265"/>
      <c r="B5794" s="253"/>
      <c r="C5794" s="60"/>
      <c r="D5794" s="78"/>
      <c r="E5794" s="79"/>
      <c r="F5794" s="80" t="s">
        <v>23</v>
      </c>
      <c r="G5794" s="80" t="str">
        <f t="shared" si="101"/>
        <v/>
      </c>
      <c r="H5794" s="81"/>
      <c r="I5794" s="63"/>
      <c r="J5794" s="34">
        <v>0</v>
      </c>
    </row>
    <row r="5795" spans="1:10" ht="15.75" hidden="1" thickBot="1" x14ac:dyDescent="0.3">
      <c r="A5795" s="256" t="s">
        <v>1388</v>
      </c>
      <c r="B5795" s="251" t="s">
        <v>3177</v>
      </c>
      <c r="C5795" s="28"/>
      <c r="D5795" s="29" t="s">
        <v>28</v>
      </c>
      <c r="E5795" s="30"/>
      <c r="F5795" s="51" t="s">
        <v>23</v>
      </c>
      <c r="G5795" s="31" t="str">
        <f t="shared" si="101"/>
        <v/>
      </c>
      <c r="H5795" s="32"/>
      <c r="I5795" s="33"/>
      <c r="J5795" s="34">
        <v>0</v>
      </c>
    </row>
    <row r="5796" spans="1:10" ht="15.75" hidden="1" thickBot="1" x14ac:dyDescent="0.3">
      <c r="A5796" s="264"/>
      <c r="B5796" s="266"/>
      <c r="C5796" s="76"/>
      <c r="D5796" s="76"/>
      <c r="E5796" s="77"/>
      <c r="F5796" s="59" t="s">
        <v>23</v>
      </c>
      <c r="G5796" s="59" t="str">
        <f t="shared" si="101"/>
        <v/>
      </c>
      <c r="H5796" s="62"/>
      <c r="I5796" s="63"/>
      <c r="J5796" s="34">
        <v>0</v>
      </c>
    </row>
    <row r="5797" spans="1:10" ht="26.25" hidden="1" thickBot="1" x14ac:dyDescent="0.3">
      <c r="A5797" s="264"/>
      <c r="B5797" s="266"/>
      <c r="C5797" s="40" t="s">
        <v>4259</v>
      </c>
      <c r="D5797" s="40" t="s">
        <v>291</v>
      </c>
      <c r="E5797" s="75">
        <v>1</v>
      </c>
      <c r="F5797" s="35">
        <v>3.61</v>
      </c>
      <c r="G5797" s="59">
        <f t="shared" si="101"/>
        <v>3.61</v>
      </c>
      <c r="H5797" s="43">
        <f>SUM(G5797:G5797)</f>
        <v>3.61</v>
      </c>
      <c r="I5797" s="44"/>
      <c r="J5797" s="34">
        <v>0</v>
      </c>
    </row>
    <row r="5798" spans="1:10" ht="15.75" hidden="1" thickBot="1" x14ac:dyDescent="0.3">
      <c r="A5798" s="265"/>
      <c r="B5798" s="253"/>
      <c r="C5798" s="60"/>
      <c r="D5798" s="78"/>
      <c r="E5798" s="79"/>
      <c r="F5798" s="80" t="s">
        <v>23</v>
      </c>
      <c r="G5798" s="80" t="str">
        <f t="shared" si="101"/>
        <v/>
      </c>
      <c r="H5798" s="81"/>
      <c r="I5798" s="63"/>
      <c r="J5798" s="34">
        <v>0</v>
      </c>
    </row>
    <row r="5799" spans="1:10" ht="15.75" hidden="1" thickBot="1" x14ac:dyDescent="0.3">
      <c r="A5799" s="256" t="s">
        <v>1389</v>
      </c>
      <c r="B5799" s="251" t="s">
        <v>3178</v>
      </c>
      <c r="C5799" s="28"/>
      <c r="D5799" s="29" t="s">
        <v>28</v>
      </c>
      <c r="E5799" s="30"/>
      <c r="F5799" s="51" t="s">
        <v>23</v>
      </c>
      <c r="G5799" s="31" t="str">
        <f t="shared" si="101"/>
        <v/>
      </c>
      <c r="H5799" s="32"/>
      <c r="I5799" s="33"/>
      <c r="J5799" s="34">
        <v>0</v>
      </c>
    </row>
    <row r="5800" spans="1:10" ht="15.75" hidden="1" thickBot="1" x14ac:dyDescent="0.3">
      <c r="A5800" s="264"/>
      <c r="B5800" s="266"/>
      <c r="C5800" s="76"/>
      <c r="D5800" s="76"/>
      <c r="E5800" s="77"/>
      <c r="F5800" s="59" t="s">
        <v>23</v>
      </c>
      <c r="G5800" s="59" t="str">
        <f t="shared" si="101"/>
        <v/>
      </c>
      <c r="H5800" s="62"/>
      <c r="I5800" s="63"/>
      <c r="J5800" s="34">
        <v>0</v>
      </c>
    </row>
    <row r="5801" spans="1:10" ht="26.25" hidden="1" thickBot="1" x14ac:dyDescent="0.3">
      <c r="A5801" s="264"/>
      <c r="B5801" s="266"/>
      <c r="C5801" s="40" t="s">
        <v>4260</v>
      </c>
      <c r="D5801" s="40" t="s">
        <v>291</v>
      </c>
      <c r="E5801" s="75">
        <v>1</v>
      </c>
      <c r="F5801" s="35">
        <v>14.363999999999999</v>
      </c>
      <c r="G5801" s="59">
        <f t="shared" si="101"/>
        <v>14.363999999999999</v>
      </c>
      <c r="H5801" s="43">
        <f>SUM(G5801:G5801)</f>
        <v>14.363999999999999</v>
      </c>
      <c r="I5801" s="44"/>
      <c r="J5801" s="34">
        <v>0</v>
      </c>
    </row>
    <row r="5802" spans="1:10" ht="15.75" hidden="1" thickBot="1" x14ac:dyDescent="0.3">
      <c r="A5802" s="265"/>
      <c r="B5802" s="253"/>
      <c r="C5802" s="60"/>
      <c r="D5802" s="78"/>
      <c r="E5802" s="79"/>
      <c r="F5802" s="80" t="s">
        <v>23</v>
      </c>
      <c r="G5802" s="80" t="str">
        <f t="shared" si="101"/>
        <v/>
      </c>
      <c r="H5802" s="81"/>
      <c r="I5802" s="63"/>
      <c r="J5802" s="34">
        <v>0</v>
      </c>
    </row>
    <row r="5803" spans="1:10" ht="15.75" hidden="1" thickBot="1" x14ac:dyDescent="0.3">
      <c r="A5803" s="256" t="s">
        <v>1390</v>
      </c>
      <c r="B5803" s="251" t="s">
        <v>3179</v>
      </c>
      <c r="C5803" s="28"/>
      <c r="D5803" s="29" t="s">
        <v>28</v>
      </c>
      <c r="E5803" s="30"/>
      <c r="F5803" s="51" t="s">
        <v>23</v>
      </c>
      <c r="G5803" s="31" t="str">
        <f t="shared" si="101"/>
        <v/>
      </c>
      <c r="H5803" s="32"/>
      <c r="I5803" s="33"/>
      <c r="J5803" s="34">
        <v>0</v>
      </c>
    </row>
    <row r="5804" spans="1:10" ht="15.75" hidden="1" thickBot="1" x14ac:dyDescent="0.3">
      <c r="A5804" s="264"/>
      <c r="B5804" s="266"/>
      <c r="C5804" s="76"/>
      <c r="D5804" s="76"/>
      <c r="E5804" s="77"/>
      <c r="F5804" s="59" t="s">
        <v>23</v>
      </c>
      <c r="G5804" s="59" t="str">
        <f t="shared" ref="G5804:G5867" si="102">IF(ISNUMBER(F5804),E5804*F5804,"")</f>
        <v/>
      </c>
      <c r="H5804" s="62"/>
      <c r="I5804" s="63"/>
      <c r="J5804" s="34">
        <v>0</v>
      </c>
    </row>
    <row r="5805" spans="1:10" ht="39" hidden="1" thickBot="1" x14ac:dyDescent="0.3">
      <c r="A5805" s="264"/>
      <c r="B5805" s="266"/>
      <c r="C5805" s="40" t="s">
        <v>4261</v>
      </c>
      <c r="D5805" s="40" t="s">
        <v>291</v>
      </c>
      <c r="E5805" s="75">
        <v>1</v>
      </c>
      <c r="F5805" s="35">
        <v>6.3365</v>
      </c>
      <c r="G5805" s="59">
        <f t="shared" si="102"/>
        <v>6.3365</v>
      </c>
      <c r="H5805" s="43">
        <f>SUM(G5805:G5805)</f>
        <v>6.3365</v>
      </c>
      <c r="I5805" s="44"/>
      <c r="J5805" s="34">
        <v>0</v>
      </c>
    </row>
    <row r="5806" spans="1:10" ht="15.75" hidden="1" thickBot="1" x14ac:dyDescent="0.3">
      <c r="A5806" s="265"/>
      <c r="B5806" s="253"/>
      <c r="C5806" s="60"/>
      <c r="D5806" s="78"/>
      <c r="E5806" s="79"/>
      <c r="F5806" s="80" t="s">
        <v>23</v>
      </c>
      <c r="G5806" s="80" t="str">
        <f t="shared" si="102"/>
        <v/>
      </c>
      <c r="H5806" s="81"/>
      <c r="I5806" s="63"/>
      <c r="J5806" s="34">
        <v>0</v>
      </c>
    </row>
    <row r="5807" spans="1:10" ht="15.75" hidden="1" thickBot="1" x14ac:dyDescent="0.3">
      <c r="A5807" s="256" t="s">
        <v>1391</v>
      </c>
      <c r="B5807" s="251" t="s">
        <v>3180</v>
      </c>
      <c r="C5807" s="28"/>
      <c r="D5807" s="29" t="s">
        <v>28</v>
      </c>
      <c r="E5807" s="30"/>
      <c r="F5807" s="51" t="s">
        <v>23</v>
      </c>
      <c r="G5807" s="31" t="str">
        <f t="shared" si="102"/>
        <v/>
      </c>
      <c r="H5807" s="32"/>
      <c r="I5807" s="33"/>
      <c r="J5807" s="34">
        <v>0</v>
      </c>
    </row>
    <row r="5808" spans="1:10" ht="15.75" hidden="1" thickBot="1" x14ac:dyDescent="0.3">
      <c r="A5808" s="264"/>
      <c r="B5808" s="266"/>
      <c r="C5808" s="76"/>
      <c r="D5808" s="76"/>
      <c r="E5808" s="77"/>
      <c r="F5808" s="59" t="s">
        <v>23</v>
      </c>
      <c r="G5808" s="59" t="str">
        <f t="shared" si="102"/>
        <v/>
      </c>
      <c r="H5808" s="62"/>
      <c r="I5808" s="63"/>
      <c r="J5808" s="34">
        <v>0</v>
      </c>
    </row>
    <row r="5809" spans="1:10" ht="39" hidden="1" thickBot="1" x14ac:dyDescent="0.3">
      <c r="A5809" s="264"/>
      <c r="B5809" s="266"/>
      <c r="C5809" s="40" t="s">
        <v>4262</v>
      </c>
      <c r="D5809" s="40" t="s">
        <v>291</v>
      </c>
      <c r="E5809" s="75">
        <v>1</v>
      </c>
      <c r="F5809" s="35">
        <v>17.707999999999998</v>
      </c>
      <c r="G5809" s="59">
        <f t="shared" si="102"/>
        <v>17.707999999999998</v>
      </c>
      <c r="H5809" s="43">
        <f>SUM(G5809:G5809)</f>
        <v>17.707999999999998</v>
      </c>
      <c r="I5809" s="44"/>
      <c r="J5809" s="34">
        <v>0</v>
      </c>
    </row>
    <row r="5810" spans="1:10" ht="15.75" hidden="1" thickBot="1" x14ac:dyDescent="0.3">
      <c r="A5810" s="265"/>
      <c r="B5810" s="253"/>
      <c r="C5810" s="60"/>
      <c r="D5810" s="78"/>
      <c r="E5810" s="79"/>
      <c r="F5810" s="80" t="s">
        <v>23</v>
      </c>
      <c r="G5810" s="80" t="str">
        <f t="shared" si="102"/>
        <v/>
      </c>
      <c r="H5810" s="81"/>
      <c r="I5810" s="63"/>
      <c r="J5810" s="34">
        <v>0</v>
      </c>
    </row>
    <row r="5811" spans="1:10" ht="15.75" hidden="1" thickBot="1" x14ac:dyDescent="0.3">
      <c r="A5811" s="256" t="s">
        <v>1392</v>
      </c>
      <c r="B5811" s="251" t="s">
        <v>3181</v>
      </c>
      <c r="C5811" s="28"/>
      <c r="D5811" s="29" t="s">
        <v>28</v>
      </c>
      <c r="E5811" s="30"/>
      <c r="F5811" s="51" t="s">
        <v>23</v>
      </c>
      <c r="G5811" s="31" t="str">
        <f t="shared" si="102"/>
        <v/>
      </c>
      <c r="H5811" s="32"/>
      <c r="I5811" s="33"/>
      <c r="J5811" s="34">
        <v>0</v>
      </c>
    </row>
    <row r="5812" spans="1:10" ht="15.75" hidden="1" thickBot="1" x14ac:dyDescent="0.3">
      <c r="A5812" s="264"/>
      <c r="B5812" s="266"/>
      <c r="C5812" s="76"/>
      <c r="D5812" s="76"/>
      <c r="E5812" s="77"/>
      <c r="F5812" s="59" t="s">
        <v>23</v>
      </c>
      <c r="G5812" s="59" t="str">
        <f t="shared" si="102"/>
        <v/>
      </c>
      <c r="H5812" s="62"/>
      <c r="I5812" s="63"/>
      <c r="J5812" s="34">
        <v>0</v>
      </c>
    </row>
    <row r="5813" spans="1:10" ht="26.25" hidden="1" thickBot="1" x14ac:dyDescent="0.3">
      <c r="A5813" s="264"/>
      <c r="B5813" s="266"/>
      <c r="C5813" s="40" t="s">
        <v>4263</v>
      </c>
      <c r="D5813" s="40" t="s">
        <v>291</v>
      </c>
      <c r="E5813" s="75">
        <v>1</v>
      </c>
      <c r="F5813" s="35">
        <v>5.2249999999999996</v>
      </c>
      <c r="G5813" s="59">
        <f t="shared" si="102"/>
        <v>5.2249999999999996</v>
      </c>
      <c r="H5813" s="43">
        <f>SUM(G5813:G5813)</f>
        <v>5.2249999999999996</v>
      </c>
      <c r="I5813" s="44"/>
      <c r="J5813" s="34">
        <v>0</v>
      </c>
    </row>
    <row r="5814" spans="1:10" ht="15.75" hidden="1" thickBot="1" x14ac:dyDescent="0.3">
      <c r="A5814" s="265"/>
      <c r="B5814" s="253"/>
      <c r="C5814" s="60"/>
      <c r="D5814" s="78"/>
      <c r="E5814" s="79"/>
      <c r="F5814" s="80" t="s">
        <v>23</v>
      </c>
      <c r="G5814" s="80" t="str">
        <f t="shared" si="102"/>
        <v/>
      </c>
      <c r="H5814" s="81"/>
      <c r="I5814" s="63"/>
      <c r="J5814" s="34">
        <v>0</v>
      </c>
    </row>
    <row r="5815" spans="1:10" ht="15.75" hidden="1" thickBot="1" x14ac:dyDescent="0.3">
      <c r="A5815" s="256" t="s">
        <v>1393</v>
      </c>
      <c r="B5815" s="251" t="s">
        <v>3146</v>
      </c>
      <c r="C5815" s="28"/>
      <c r="D5815" s="29" t="s">
        <v>28</v>
      </c>
      <c r="E5815" s="30"/>
      <c r="F5815" s="51" t="s">
        <v>23</v>
      </c>
      <c r="G5815" s="31" t="str">
        <f t="shared" si="102"/>
        <v/>
      </c>
      <c r="H5815" s="32"/>
      <c r="I5815" s="33"/>
      <c r="J5815" s="34">
        <v>0</v>
      </c>
    </row>
    <row r="5816" spans="1:10" ht="15.75" hidden="1" thickBot="1" x14ac:dyDescent="0.3">
      <c r="A5816" s="264"/>
      <c r="B5816" s="266"/>
      <c r="C5816" s="76"/>
      <c r="D5816" s="76"/>
      <c r="E5816" s="77"/>
      <c r="F5816" s="59" t="s">
        <v>23</v>
      </c>
      <c r="G5816" s="59" t="str">
        <f t="shared" si="102"/>
        <v/>
      </c>
      <c r="H5816" s="62"/>
      <c r="I5816" s="63"/>
      <c r="J5816" s="34">
        <v>0</v>
      </c>
    </row>
    <row r="5817" spans="1:10" ht="26.25" hidden="1" thickBot="1" x14ac:dyDescent="0.3">
      <c r="A5817" s="264"/>
      <c r="B5817" s="266"/>
      <c r="C5817" s="40" t="s">
        <v>4264</v>
      </c>
      <c r="D5817" s="40" t="s">
        <v>291</v>
      </c>
      <c r="E5817" s="75">
        <v>1</v>
      </c>
      <c r="F5817" s="35">
        <v>17.518000000000001</v>
      </c>
      <c r="G5817" s="59">
        <f t="shared" si="102"/>
        <v>17.518000000000001</v>
      </c>
      <c r="H5817" s="43">
        <f>SUM(G5817:G5817)</f>
        <v>17.518000000000001</v>
      </c>
      <c r="I5817" s="44"/>
      <c r="J5817" s="34">
        <v>0</v>
      </c>
    </row>
    <row r="5818" spans="1:10" ht="15.75" hidden="1" thickBot="1" x14ac:dyDescent="0.3">
      <c r="A5818" s="265"/>
      <c r="B5818" s="253"/>
      <c r="C5818" s="60"/>
      <c r="D5818" s="78"/>
      <c r="E5818" s="79"/>
      <c r="F5818" s="80" t="s">
        <v>23</v>
      </c>
      <c r="G5818" s="80" t="str">
        <f t="shared" si="102"/>
        <v/>
      </c>
      <c r="H5818" s="81"/>
      <c r="I5818" s="63"/>
      <c r="J5818" s="34">
        <v>0</v>
      </c>
    </row>
    <row r="5819" spans="1:10" ht="15.75" hidden="1" thickBot="1" x14ac:dyDescent="0.3">
      <c r="A5819" s="256" t="s">
        <v>1394</v>
      </c>
      <c r="B5819" s="251" t="s">
        <v>3182</v>
      </c>
      <c r="C5819" s="28"/>
      <c r="D5819" s="29" t="s">
        <v>28</v>
      </c>
      <c r="E5819" s="30"/>
      <c r="F5819" s="51" t="s">
        <v>23</v>
      </c>
      <c r="G5819" s="31" t="str">
        <f t="shared" si="102"/>
        <v/>
      </c>
      <c r="H5819" s="32"/>
      <c r="I5819" s="33"/>
      <c r="J5819" s="34">
        <v>0</v>
      </c>
    </row>
    <row r="5820" spans="1:10" ht="15.75" hidden="1" thickBot="1" x14ac:dyDescent="0.3">
      <c r="A5820" s="264"/>
      <c r="B5820" s="266"/>
      <c r="C5820" s="76"/>
      <c r="D5820" s="76"/>
      <c r="E5820" s="77"/>
      <c r="F5820" s="59" t="s">
        <v>23</v>
      </c>
      <c r="G5820" s="59" t="str">
        <f t="shared" si="102"/>
        <v/>
      </c>
      <c r="H5820" s="62"/>
      <c r="I5820" s="63"/>
      <c r="J5820" s="34">
        <v>0</v>
      </c>
    </row>
    <row r="5821" spans="1:10" ht="39" hidden="1" thickBot="1" x14ac:dyDescent="0.3">
      <c r="A5821" s="264"/>
      <c r="B5821" s="266"/>
      <c r="C5821" s="40" t="s">
        <v>4265</v>
      </c>
      <c r="D5821" s="40" t="s">
        <v>291</v>
      </c>
      <c r="E5821" s="75">
        <v>1</v>
      </c>
      <c r="F5821" s="35">
        <v>7.0204999999999993</v>
      </c>
      <c r="G5821" s="59">
        <f t="shared" si="102"/>
        <v>7.0204999999999993</v>
      </c>
      <c r="H5821" s="43">
        <f>SUM(G5821:G5821)</f>
        <v>7.0204999999999993</v>
      </c>
      <c r="I5821" s="44"/>
      <c r="J5821" s="34">
        <v>0</v>
      </c>
    </row>
    <row r="5822" spans="1:10" ht="15.75" hidden="1" thickBot="1" x14ac:dyDescent="0.3">
      <c r="A5822" s="265"/>
      <c r="B5822" s="253"/>
      <c r="C5822" s="60"/>
      <c r="D5822" s="78"/>
      <c r="E5822" s="79"/>
      <c r="F5822" s="80" t="s">
        <v>23</v>
      </c>
      <c r="G5822" s="80" t="str">
        <f t="shared" si="102"/>
        <v/>
      </c>
      <c r="H5822" s="81"/>
      <c r="I5822" s="63"/>
      <c r="J5822" s="34">
        <v>0</v>
      </c>
    </row>
    <row r="5823" spans="1:10" ht="15.75" hidden="1" thickBot="1" x14ac:dyDescent="0.3">
      <c r="A5823" s="256" t="s">
        <v>1395</v>
      </c>
      <c r="B5823" s="251" t="s">
        <v>3183</v>
      </c>
      <c r="C5823" s="28"/>
      <c r="D5823" s="29" t="s">
        <v>28</v>
      </c>
      <c r="E5823" s="30"/>
      <c r="F5823" s="51" t="s">
        <v>23</v>
      </c>
      <c r="G5823" s="31" t="str">
        <f t="shared" si="102"/>
        <v/>
      </c>
      <c r="H5823" s="32"/>
      <c r="I5823" s="33"/>
      <c r="J5823" s="34">
        <v>0</v>
      </c>
    </row>
    <row r="5824" spans="1:10" ht="15.75" hidden="1" thickBot="1" x14ac:dyDescent="0.3">
      <c r="A5824" s="264"/>
      <c r="B5824" s="266"/>
      <c r="C5824" s="76"/>
      <c r="D5824" s="76"/>
      <c r="E5824" s="77"/>
      <c r="F5824" s="59" t="s">
        <v>23</v>
      </c>
      <c r="G5824" s="59" t="str">
        <f t="shared" si="102"/>
        <v/>
      </c>
      <c r="H5824" s="62"/>
      <c r="I5824" s="63"/>
      <c r="J5824" s="34">
        <v>0</v>
      </c>
    </row>
    <row r="5825" spans="1:10" ht="39" hidden="1" thickBot="1" x14ac:dyDescent="0.3">
      <c r="A5825" s="264"/>
      <c r="B5825" s="266"/>
      <c r="C5825" s="40" t="s">
        <v>4266</v>
      </c>
      <c r="D5825" s="40" t="s">
        <v>291</v>
      </c>
      <c r="E5825" s="75">
        <v>1</v>
      </c>
      <c r="F5825" s="35">
        <v>35.872</v>
      </c>
      <c r="G5825" s="59">
        <f t="shared" si="102"/>
        <v>35.872</v>
      </c>
      <c r="H5825" s="43">
        <f>SUM(G5825:G5825)</f>
        <v>35.872</v>
      </c>
      <c r="I5825" s="44"/>
      <c r="J5825" s="34">
        <v>0</v>
      </c>
    </row>
    <row r="5826" spans="1:10" ht="15.75" hidden="1" thickBot="1" x14ac:dyDescent="0.3">
      <c r="A5826" s="265"/>
      <c r="B5826" s="253"/>
      <c r="C5826" s="60"/>
      <c r="D5826" s="78"/>
      <c r="E5826" s="79"/>
      <c r="F5826" s="80" t="s">
        <v>23</v>
      </c>
      <c r="G5826" s="80" t="str">
        <f t="shared" si="102"/>
        <v/>
      </c>
      <c r="H5826" s="81"/>
      <c r="I5826" s="63"/>
      <c r="J5826" s="34">
        <v>0</v>
      </c>
    </row>
    <row r="5827" spans="1:10" ht="15.75" hidden="1" thickBot="1" x14ac:dyDescent="0.3">
      <c r="A5827" s="256" t="s">
        <v>1396</v>
      </c>
      <c r="B5827" s="251" t="s">
        <v>3184</v>
      </c>
      <c r="C5827" s="28"/>
      <c r="D5827" s="29" t="s">
        <v>28</v>
      </c>
      <c r="E5827" s="30"/>
      <c r="F5827" s="51" t="s">
        <v>23</v>
      </c>
      <c r="G5827" s="31" t="str">
        <f t="shared" si="102"/>
        <v/>
      </c>
      <c r="H5827" s="32"/>
      <c r="I5827" s="33"/>
      <c r="J5827" s="34">
        <v>0</v>
      </c>
    </row>
    <row r="5828" spans="1:10" ht="15.75" hidden="1" thickBot="1" x14ac:dyDescent="0.3">
      <c r="A5828" s="264"/>
      <c r="B5828" s="266"/>
      <c r="C5828" s="76"/>
      <c r="D5828" s="76"/>
      <c r="E5828" s="77"/>
      <c r="F5828" s="59" t="s">
        <v>23</v>
      </c>
      <c r="G5828" s="59" t="str">
        <f t="shared" si="102"/>
        <v/>
      </c>
      <c r="H5828" s="62"/>
      <c r="I5828" s="63"/>
      <c r="J5828" s="34">
        <v>0</v>
      </c>
    </row>
    <row r="5829" spans="1:10" ht="26.25" hidden="1" thickBot="1" x14ac:dyDescent="0.3">
      <c r="A5829" s="264"/>
      <c r="B5829" s="266"/>
      <c r="C5829" s="40" t="s">
        <v>4267</v>
      </c>
      <c r="D5829" s="40" t="s">
        <v>291</v>
      </c>
      <c r="E5829" s="75">
        <v>1</v>
      </c>
      <c r="F5829" s="35">
        <v>7.2770000000000001</v>
      </c>
      <c r="G5829" s="59">
        <f t="shared" si="102"/>
        <v>7.2770000000000001</v>
      </c>
      <c r="H5829" s="43">
        <f>SUM(G5829:G5829)</f>
        <v>7.2770000000000001</v>
      </c>
      <c r="I5829" s="44"/>
      <c r="J5829" s="34">
        <v>0</v>
      </c>
    </row>
    <row r="5830" spans="1:10" ht="15.75" hidden="1" thickBot="1" x14ac:dyDescent="0.3">
      <c r="A5830" s="265"/>
      <c r="B5830" s="253"/>
      <c r="C5830" s="60"/>
      <c r="D5830" s="78"/>
      <c r="E5830" s="79"/>
      <c r="F5830" s="80" t="s">
        <v>23</v>
      </c>
      <c r="G5830" s="80" t="str">
        <f t="shared" si="102"/>
        <v/>
      </c>
      <c r="H5830" s="81"/>
      <c r="I5830" s="63"/>
      <c r="J5830" s="34">
        <v>0</v>
      </c>
    </row>
    <row r="5831" spans="1:10" ht="15.75" hidden="1" thickBot="1" x14ac:dyDescent="0.3">
      <c r="A5831" s="256" t="s">
        <v>1397</v>
      </c>
      <c r="B5831" s="251" t="s">
        <v>3185</v>
      </c>
      <c r="C5831" s="28"/>
      <c r="D5831" s="29" t="s">
        <v>28</v>
      </c>
      <c r="E5831" s="30"/>
      <c r="F5831" s="51" t="s">
        <v>23</v>
      </c>
      <c r="G5831" s="31" t="str">
        <f t="shared" si="102"/>
        <v/>
      </c>
      <c r="H5831" s="32"/>
      <c r="I5831" s="33"/>
      <c r="J5831" s="34">
        <v>0</v>
      </c>
    </row>
    <row r="5832" spans="1:10" ht="15.75" hidden="1" thickBot="1" x14ac:dyDescent="0.3">
      <c r="A5832" s="264"/>
      <c r="B5832" s="266"/>
      <c r="C5832" s="76"/>
      <c r="D5832" s="76"/>
      <c r="E5832" s="77"/>
      <c r="F5832" s="59" t="s">
        <v>23</v>
      </c>
      <c r="G5832" s="59" t="str">
        <f t="shared" si="102"/>
        <v/>
      </c>
      <c r="H5832" s="62"/>
      <c r="I5832" s="63"/>
      <c r="J5832" s="34">
        <v>0</v>
      </c>
    </row>
    <row r="5833" spans="1:10" ht="26.25" hidden="1" thickBot="1" x14ac:dyDescent="0.3">
      <c r="A5833" s="264"/>
      <c r="B5833" s="266"/>
      <c r="C5833" s="40" t="s">
        <v>4268</v>
      </c>
      <c r="D5833" s="40" t="s">
        <v>291</v>
      </c>
      <c r="E5833" s="75">
        <v>1</v>
      </c>
      <c r="F5833" s="35">
        <v>25.7165</v>
      </c>
      <c r="G5833" s="59">
        <f t="shared" si="102"/>
        <v>25.7165</v>
      </c>
      <c r="H5833" s="43">
        <f>SUM(G5833:G5833)</f>
        <v>25.7165</v>
      </c>
      <c r="I5833" s="44"/>
      <c r="J5833" s="34">
        <v>0</v>
      </c>
    </row>
    <row r="5834" spans="1:10" ht="15.75" hidden="1" thickBot="1" x14ac:dyDescent="0.3">
      <c r="A5834" s="265"/>
      <c r="B5834" s="253"/>
      <c r="C5834" s="60"/>
      <c r="D5834" s="78"/>
      <c r="E5834" s="79"/>
      <c r="F5834" s="80" t="s">
        <v>23</v>
      </c>
      <c r="G5834" s="80" t="str">
        <f t="shared" si="102"/>
        <v/>
      </c>
      <c r="H5834" s="81"/>
      <c r="I5834" s="63"/>
      <c r="J5834" s="34">
        <v>0</v>
      </c>
    </row>
    <row r="5835" spans="1:10" ht="15.75" hidden="1" thickBot="1" x14ac:dyDescent="0.3">
      <c r="A5835" s="256" t="s">
        <v>1398</v>
      </c>
      <c r="B5835" s="251" t="s">
        <v>3186</v>
      </c>
      <c r="C5835" s="28"/>
      <c r="D5835" s="29" t="s">
        <v>28</v>
      </c>
      <c r="E5835" s="30"/>
      <c r="F5835" s="51" t="s">
        <v>23</v>
      </c>
      <c r="G5835" s="31" t="str">
        <f t="shared" si="102"/>
        <v/>
      </c>
      <c r="H5835" s="32"/>
      <c r="I5835" s="33"/>
      <c r="J5835" s="34">
        <v>0</v>
      </c>
    </row>
    <row r="5836" spans="1:10" ht="15.75" hidden="1" thickBot="1" x14ac:dyDescent="0.3">
      <c r="A5836" s="264"/>
      <c r="B5836" s="266"/>
      <c r="C5836" s="76"/>
      <c r="D5836" s="76"/>
      <c r="E5836" s="77"/>
      <c r="F5836" s="59" t="s">
        <v>23</v>
      </c>
      <c r="G5836" s="59" t="str">
        <f t="shared" si="102"/>
        <v/>
      </c>
      <c r="H5836" s="62"/>
      <c r="I5836" s="63"/>
      <c r="J5836" s="34">
        <v>0</v>
      </c>
    </row>
    <row r="5837" spans="1:10" ht="39" hidden="1" thickBot="1" x14ac:dyDescent="0.3">
      <c r="A5837" s="264"/>
      <c r="B5837" s="266"/>
      <c r="C5837" s="40" t="s">
        <v>4269</v>
      </c>
      <c r="D5837" s="40" t="s">
        <v>291</v>
      </c>
      <c r="E5837" s="75">
        <v>1</v>
      </c>
      <c r="F5837" s="35">
        <v>84.274499999999989</v>
      </c>
      <c r="G5837" s="59">
        <f t="shared" si="102"/>
        <v>84.274499999999989</v>
      </c>
      <c r="H5837" s="43">
        <f>SUM(G5837:G5837)</f>
        <v>84.274499999999989</v>
      </c>
      <c r="I5837" s="44"/>
      <c r="J5837" s="34">
        <v>0</v>
      </c>
    </row>
    <row r="5838" spans="1:10" ht="15.75" hidden="1" thickBot="1" x14ac:dyDescent="0.3">
      <c r="A5838" s="265"/>
      <c r="B5838" s="253"/>
      <c r="C5838" s="60"/>
      <c r="D5838" s="78"/>
      <c r="E5838" s="79"/>
      <c r="F5838" s="80" t="s">
        <v>23</v>
      </c>
      <c r="G5838" s="80" t="str">
        <f t="shared" si="102"/>
        <v/>
      </c>
      <c r="H5838" s="81"/>
      <c r="I5838" s="63"/>
      <c r="J5838" s="34">
        <v>0</v>
      </c>
    </row>
    <row r="5839" spans="1:10" ht="15.75" hidden="1" thickBot="1" x14ac:dyDescent="0.3">
      <c r="A5839" s="256" t="s">
        <v>1399</v>
      </c>
      <c r="B5839" s="251" t="s">
        <v>3187</v>
      </c>
      <c r="C5839" s="28"/>
      <c r="D5839" s="29" t="s">
        <v>28</v>
      </c>
      <c r="E5839" s="30"/>
      <c r="F5839" s="51" t="s">
        <v>23</v>
      </c>
      <c r="G5839" s="31" t="str">
        <f t="shared" si="102"/>
        <v/>
      </c>
      <c r="H5839" s="32"/>
      <c r="I5839" s="33"/>
      <c r="J5839" s="34">
        <v>0</v>
      </c>
    </row>
    <row r="5840" spans="1:10" ht="15.75" hidden="1" thickBot="1" x14ac:dyDescent="0.3">
      <c r="A5840" s="264"/>
      <c r="B5840" s="266"/>
      <c r="C5840" s="76"/>
      <c r="D5840" s="76"/>
      <c r="E5840" s="77"/>
      <c r="F5840" s="59" t="s">
        <v>23</v>
      </c>
      <c r="G5840" s="59" t="str">
        <f t="shared" si="102"/>
        <v/>
      </c>
      <c r="H5840" s="62"/>
      <c r="I5840" s="63"/>
      <c r="J5840" s="34">
        <v>0</v>
      </c>
    </row>
    <row r="5841" spans="1:10" ht="26.25" hidden="1" thickBot="1" x14ac:dyDescent="0.3">
      <c r="A5841" s="264"/>
      <c r="B5841" s="266"/>
      <c r="C5841" s="40" t="s">
        <v>4270</v>
      </c>
      <c r="D5841" s="40" t="s">
        <v>291</v>
      </c>
      <c r="E5841" s="75">
        <v>1</v>
      </c>
      <c r="F5841" s="35">
        <v>10.620999999999999</v>
      </c>
      <c r="G5841" s="59">
        <f t="shared" si="102"/>
        <v>10.620999999999999</v>
      </c>
      <c r="H5841" s="43">
        <f>SUM(G5841:G5841)</f>
        <v>10.620999999999999</v>
      </c>
      <c r="I5841" s="44"/>
      <c r="J5841" s="34">
        <v>0</v>
      </c>
    </row>
    <row r="5842" spans="1:10" ht="15.75" hidden="1" thickBot="1" x14ac:dyDescent="0.3">
      <c r="A5842" s="265"/>
      <c r="B5842" s="253"/>
      <c r="C5842" s="60"/>
      <c r="D5842" s="78"/>
      <c r="E5842" s="79"/>
      <c r="F5842" s="80" t="s">
        <v>23</v>
      </c>
      <c r="G5842" s="80" t="str">
        <f t="shared" si="102"/>
        <v/>
      </c>
      <c r="H5842" s="81"/>
      <c r="I5842" s="63"/>
      <c r="J5842" s="34">
        <v>0</v>
      </c>
    </row>
    <row r="5843" spans="1:10" ht="15.75" hidden="1" thickBot="1" x14ac:dyDescent="0.3">
      <c r="A5843" s="256" t="s">
        <v>1400</v>
      </c>
      <c r="B5843" s="251" t="s">
        <v>3188</v>
      </c>
      <c r="C5843" s="28"/>
      <c r="D5843" s="29" t="s">
        <v>28</v>
      </c>
      <c r="E5843" s="30"/>
      <c r="F5843" s="51" t="s">
        <v>23</v>
      </c>
      <c r="G5843" s="31" t="str">
        <f t="shared" si="102"/>
        <v/>
      </c>
      <c r="H5843" s="32"/>
      <c r="I5843" s="33"/>
      <c r="J5843" s="34">
        <v>0</v>
      </c>
    </row>
    <row r="5844" spans="1:10" ht="15.75" hidden="1" thickBot="1" x14ac:dyDescent="0.3">
      <c r="A5844" s="264"/>
      <c r="B5844" s="266"/>
      <c r="C5844" s="76"/>
      <c r="D5844" s="76"/>
      <c r="E5844" s="77"/>
      <c r="F5844" s="59" t="s">
        <v>23</v>
      </c>
      <c r="G5844" s="59" t="str">
        <f t="shared" si="102"/>
        <v/>
      </c>
      <c r="H5844" s="62"/>
      <c r="I5844" s="63"/>
      <c r="J5844" s="34">
        <v>0</v>
      </c>
    </row>
    <row r="5845" spans="1:10" ht="26.25" hidden="1" thickBot="1" x14ac:dyDescent="0.3">
      <c r="A5845" s="264"/>
      <c r="B5845" s="266"/>
      <c r="C5845" s="40" t="s">
        <v>4271</v>
      </c>
      <c r="D5845" s="40" t="s">
        <v>291</v>
      </c>
      <c r="E5845" s="75">
        <v>1</v>
      </c>
      <c r="F5845" s="35">
        <v>65.122499999999988</v>
      </c>
      <c r="G5845" s="59">
        <f t="shared" si="102"/>
        <v>65.122499999999988</v>
      </c>
      <c r="H5845" s="43">
        <f>SUM(G5845:G5845)</f>
        <v>65.122499999999988</v>
      </c>
      <c r="I5845" s="44"/>
      <c r="J5845" s="34">
        <v>0</v>
      </c>
    </row>
    <row r="5846" spans="1:10" ht="15.75" hidden="1" thickBot="1" x14ac:dyDescent="0.3">
      <c r="A5846" s="265"/>
      <c r="B5846" s="253"/>
      <c r="C5846" s="60"/>
      <c r="D5846" s="78"/>
      <c r="E5846" s="79"/>
      <c r="F5846" s="80" t="s">
        <v>23</v>
      </c>
      <c r="G5846" s="80" t="str">
        <f t="shared" si="102"/>
        <v/>
      </c>
      <c r="H5846" s="81"/>
      <c r="I5846" s="63"/>
      <c r="J5846" s="34">
        <v>0</v>
      </c>
    </row>
    <row r="5847" spans="1:10" ht="15.75" hidden="1" thickBot="1" x14ac:dyDescent="0.3">
      <c r="A5847" s="256" t="s">
        <v>1401</v>
      </c>
      <c r="B5847" s="251" t="s">
        <v>3189</v>
      </c>
      <c r="C5847" s="28"/>
      <c r="D5847" s="29" t="s">
        <v>28</v>
      </c>
      <c r="E5847" s="30"/>
      <c r="F5847" s="51" t="s">
        <v>23</v>
      </c>
      <c r="G5847" s="31" t="str">
        <f t="shared" si="102"/>
        <v/>
      </c>
      <c r="H5847" s="32"/>
      <c r="I5847" s="33"/>
      <c r="J5847" s="34">
        <v>0</v>
      </c>
    </row>
    <row r="5848" spans="1:10" ht="15.75" hidden="1" thickBot="1" x14ac:dyDescent="0.3">
      <c r="A5848" s="264"/>
      <c r="B5848" s="266"/>
      <c r="C5848" s="76"/>
      <c r="D5848" s="76"/>
      <c r="E5848" s="77"/>
      <c r="F5848" s="59" t="s">
        <v>23</v>
      </c>
      <c r="G5848" s="59" t="str">
        <f t="shared" si="102"/>
        <v/>
      </c>
      <c r="H5848" s="62"/>
      <c r="I5848" s="63"/>
      <c r="J5848" s="34">
        <v>0</v>
      </c>
    </row>
    <row r="5849" spans="1:10" ht="39" hidden="1" thickBot="1" x14ac:dyDescent="0.3">
      <c r="A5849" s="264"/>
      <c r="B5849" s="266"/>
      <c r="C5849" s="40" t="s">
        <v>4272</v>
      </c>
      <c r="D5849" s="40" t="s">
        <v>291</v>
      </c>
      <c r="E5849" s="75">
        <v>1</v>
      </c>
      <c r="F5849" s="35">
        <v>23.160999999999998</v>
      </c>
      <c r="G5849" s="59">
        <f t="shared" si="102"/>
        <v>23.160999999999998</v>
      </c>
      <c r="H5849" s="43">
        <f>SUM(G5849:G5849)</f>
        <v>23.160999999999998</v>
      </c>
      <c r="I5849" s="44"/>
      <c r="J5849" s="34">
        <v>0</v>
      </c>
    </row>
    <row r="5850" spans="1:10" ht="15.75" hidden="1" thickBot="1" x14ac:dyDescent="0.3">
      <c r="A5850" s="265"/>
      <c r="B5850" s="253"/>
      <c r="C5850" s="60"/>
      <c r="D5850" s="78"/>
      <c r="E5850" s="79"/>
      <c r="F5850" s="80" t="s">
        <v>23</v>
      </c>
      <c r="G5850" s="80" t="str">
        <f t="shared" si="102"/>
        <v/>
      </c>
      <c r="H5850" s="81"/>
      <c r="I5850" s="63"/>
      <c r="J5850" s="34">
        <v>0</v>
      </c>
    </row>
    <row r="5851" spans="1:10" ht="15.75" hidden="1" thickBot="1" x14ac:dyDescent="0.3">
      <c r="A5851" s="256" t="s">
        <v>1402</v>
      </c>
      <c r="B5851" s="251" t="s">
        <v>3190</v>
      </c>
      <c r="C5851" s="28"/>
      <c r="D5851" s="29" t="s">
        <v>28</v>
      </c>
      <c r="E5851" s="30"/>
      <c r="F5851" s="51" t="s">
        <v>23</v>
      </c>
      <c r="G5851" s="31" t="str">
        <f t="shared" si="102"/>
        <v/>
      </c>
      <c r="H5851" s="32"/>
      <c r="I5851" s="33"/>
      <c r="J5851" s="34">
        <v>0</v>
      </c>
    </row>
    <row r="5852" spans="1:10" ht="15.75" hidden="1" thickBot="1" x14ac:dyDescent="0.3">
      <c r="A5852" s="264"/>
      <c r="B5852" s="266"/>
      <c r="C5852" s="76"/>
      <c r="D5852" s="76"/>
      <c r="E5852" s="77"/>
      <c r="F5852" s="59" t="s">
        <v>23</v>
      </c>
      <c r="G5852" s="59" t="str">
        <f t="shared" si="102"/>
        <v/>
      </c>
      <c r="H5852" s="62"/>
      <c r="I5852" s="63"/>
      <c r="J5852" s="34">
        <v>0</v>
      </c>
    </row>
    <row r="5853" spans="1:10" ht="39" hidden="1" thickBot="1" x14ac:dyDescent="0.3">
      <c r="A5853" s="264"/>
      <c r="B5853" s="266"/>
      <c r="C5853" s="40" t="s">
        <v>4273</v>
      </c>
      <c r="D5853" s="40" t="s">
        <v>291</v>
      </c>
      <c r="E5853" s="75">
        <v>1</v>
      </c>
      <c r="F5853" s="35">
        <v>101.6215</v>
      </c>
      <c r="G5853" s="59">
        <f t="shared" si="102"/>
        <v>101.6215</v>
      </c>
      <c r="H5853" s="43">
        <f>SUM(G5853:G5853)</f>
        <v>101.6215</v>
      </c>
      <c r="I5853" s="44"/>
      <c r="J5853" s="34">
        <v>0</v>
      </c>
    </row>
    <row r="5854" spans="1:10" ht="15.75" hidden="1" thickBot="1" x14ac:dyDescent="0.3">
      <c r="A5854" s="265"/>
      <c r="B5854" s="253"/>
      <c r="C5854" s="60"/>
      <c r="D5854" s="78"/>
      <c r="E5854" s="79"/>
      <c r="F5854" s="80" t="s">
        <v>23</v>
      </c>
      <c r="G5854" s="80" t="str">
        <f t="shared" si="102"/>
        <v/>
      </c>
      <c r="H5854" s="81"/>
      <c r="I5854" s="63"/>
      <c r="J5854" s="34">
        <v>0</v>
      </c>
    </row>
    <row r="5855" spans="1:10" ht="15.75" hidden="1" thickBot="1" x14ac:dyDescent="0.3">
      <c r="A5855" s="256" t="s">
        <v>1403</v>
      </c>
      <c r="B5855" s="251" t="s">
        <v>3191</v>
      </c>
      <c r="C5855" s="28"/>
      <c r="D5855" s="29" t="s">
        <v>28</v>
      </c>
      <c r="E5855" s="30"/>
      <c r="F5855" s="51" t="s">
        <v>23</v>
      </c>
      <c r="G5855" s="31" t="str">
        <f t="shared" si="102"/>
        <v/>
      </c>
      <c r="H5855" s="32"/>
      <c r="I5855" s="33"/>
      <c r="J5855" s="34">
        <v>0</v>
      </c>
    </row>
    <row r="5856" spans="1:10" ht="15.75" hidden="1" thickBot="1" x14ac:dyDescent="0.3">
      <c r="A5856" s="264"/>
      <c r="B5856" s="266"/>
      <c r="C5856" s="76"/>
      <c r="D5856" s="76"/>
      <c r="E5856" s="77"/>
      <c r="F5856" s="59" t="s">
        <v>23</v>
      </c>
      <c r="G5856" s="59" t="str">
        <f t="shared" si="102"/>
        <v/>
      </c>
      <c r="H5856" s="62"/>
      <c r="I5856" s="63"/>
      <c r="J5856" s="34">
        <v>0</v>
      </c>
    </row>
    <row r="5857" spans="1:10" ht="26.25" hidden="1" thickBot="1" x14ac:dyDescent="0.3">
      <c r="A5857" s="264"/>
      <c r="B5857" s="266"/>
      <c r="C5857" s="40" t="s">
        <v>4274</v>
      </c>
      <c r="D5857" s="40" t="s">
        <v>291</v>
      </c>
      <c r="E5857" s="75">
        <v>1</v>
      </c>
      <c r="F5857" s="35">
        <v>16.1785</v>
      </c>
      <c r="G5857" s="59">
        <f t="shared" si="102"/>
        <v>16.1785</v>
      </c>
      <c r="H5857" s="43">
        <f>SUM(G5857:G5857)</f>
        <v>16.1785</v>
      </c>
      <c r="I5857" s="44"/>
      <c r="J5857" s="34">
        <v>0</v>
      </c>
    </row>
    <row r="5858" spans="1:10" ht="15.75" hidden="1" thickBot="1" x14ac:dyDescent="0.3">
      <c r="A5858" s="265"/>
      <c r="B5858" s="253"/>
      <c r="C5858" s="60"/>
      <c r="D5858" s="78"/>
      <c r="E5858" s="79"/>
      <c r="F5858" s="80" t="s">
        <v>23</v>
      </c>
      <c r="G5858" s="80" t="str">
        <f t="shared" si="102"/>
        <v/>
      </c>
      <c r="H5858" s="81"/>
      <c r="I5858" s="63"/>
      <c r="J5858" s="34">
        <v>0</v>
      </c>
    </row>
    <row r="5859" spans="1:10" ht="15.75" hidden="1" thickBot="1" x14ac:dyDescent="0.3">
      <c r="A5859" s="256" t="s">
        <v>1404</v>
      </c>
      <c r="B5859" s="251" t="s">
        <v>3192</v>
      </c>
      <c r="C5859" s="28"/>
      <c r="D5859" s="29" t="s">
        <v>28</v>
      </c>
      <c r="E5859" s="30"/>
      <c r="F5859" s="51" t="s">
        <v>23</v>
      </c>
      <c r="G5859" s="31" t="str">
        <f t="shared" si="102"/>
        <v/>
      </c>
      <c r="H5859" s="32"/>
      <c r="I5859" s="33"/>
      <c r="J5859" s="34">
        <v>0</v>
      </c>
    </row>
    <row r="5860" spans="1:10" ht="15.75" hidden="1" thickBot="1" x14ac:dyDescent="0.3">
      <c r="A5860" s="264"/>
      <c r="B5860" s="266"/>
      <c r="C5860" s="76"/>
      <c r="D5860" s="76"/>
      <c r="E5860" s="77"/>
      <c r="F5860" s="59" t="s">
        <v>23</v>
      </c>
      <c r="G5860" s="59" t="str">
        <f t="shared" si="102"/>
        <v/>
      </c>
      <c r="H5860" s="62"/>
      <c r="I5860" s="63"/>
      <c r="J5860" s="34">
        <v>0</v>
      </c>
    </row>
    <row r="5861" spans="1:10" ht="26.25" hidden="1" thickBot="1" x14ac:dyDescent="0.3">
      <c r="A5861" s="264"/>
      <c r="B5861" s="266"/>
      <c r="C5861" s="40" t="s">
        <v>4275</v>
      </c>
      <c r="D5861" s="40" t="s">
        <v>291</v>
      </c>
      <c r="E5861" s="75">
        <v>1</v>
      </c>
      <c r="F5861" s="35">
        <v>85.5</v>
      </c>
      <c r="G5861" s="59">
        <f t="shared" si="102"/>
        <v>85.5</v>
      </c>
      <c r="H5861" s="43">
        <f>SUM(G5861:G5861)</f>
        <v>85.5</v>
      </c>
      <c r="I5861" s="44"/>
      <c r="J5861" s="34">
        <v>0</v>
      </c>
    </row>
    <row r="5862" spans="1:10" ht="15.75" hidden="1" thickBot="1" x14ac:dyDescent="0.3">
      <c r="A5862" s="265"/>
      <c r="B5862" s="253"/>
      <c r="C5862" s="60"/>
      <c r="D5862" s="78"/>
      <c r="E5862" s="79"/>
      <c r="F5862" s="80" t="s">
        <v>23</v>
      </c>
      <c r="G5862" s="80" t="str">
        <f t="shared" si="102"/>
        <v/>
      </c>
      <c r="H5862" s="81"/>
      <c r="I5862" s="63"/>
      <c r="J5862" s="34">
        <v>0</v>
      </c>
    </row>
    <row r="5863" spans="1:10" ht="15.75" hidden="1" thickBot="1" x14ac:dyDescent="0.3">
      <c r="A5863" s="256" t="s">
        <v>1405</v>
      </c>
      <c r="B5863" s="251" t="s">
        <v>3193</v>
      </c>
      <c r="C5863" s="28"/>
      <c r="D5863" s="29" t="s">
        <v>28</v>
      </c>
      <c r="E5863" s="30"/>
      <c r="F5863" s="51" t="s">
        <v>23</v>
      </c>
      <c r="G5863" s="31" t="str">
        <f t="shared" si="102"/>
        <v/>
      </c>
      <c r="H5863" s="32"/>
      <c r="I5863" s="33"/>
      <c r="J5863" s="34">
        <v>0</v>
      </c>
    </row>
    <row r="5864" spans="1:10" ht="15.75" hidden="1" thickBot="1" x14ac:dyDescent="0.3">
      <c r="A5864" s="264"/>
      <c r="B5864" s="266"/>
      <c r="C5864" s="76"/>
      <c r="D5864" s="76"/>
      <c r="E5864" s="77"/>
      <c r="F5864" s="59" t="s">
        <v>23</v>
      </c>
      <c r="G5864" s="59" t="str">
        <f t="shared" si="102"/>
        <v/>
      </c>
      <c r="H5864" s="62"/>
      <c r="I5864" s="63"/>
      <c r="J5864" s="34">
        <v>0</v>
      </c>
    </row>
    <row r="5865" spans="1:10" ht="39" hidden="1" thickBot="1" x14ac:dyDescent="0.3">
      <c r="A5865" s="264"/>
      <c r="B5865" s="266"/>
      <c r="C5865" s="40" t="s">
        <v>4276</v>
      </c>
      <c r="D5865" s="40" t="s">
        <v>291</v>
      </c>
      <c r="E5865" s="75">
        <v>1</v>
      </c>
      <c r="F5865" s="35">
        <v>36.299500000000002</v>
      </c>
      <c r="G5865" s="59">
        <f t="shared" si="102"/>
        <v>36.299500000000002</v>
      </c>
      <c r="H5865" s="43">
        <f>SUM(G5865:G5865)</f>
        <v>36.299500000000002</v>
      </c>
      <c r="I5865" s="44"/>
      <c r="J5865" s="34">
        <v>0</v>
      </c>
    </row>
    <row r="5866" spans="1:10" ht="15.75" hidden="1" thickBot="1" x14ac:dyDescent="0.3">
      <c r="A5866" s="265"/>
      <c r="B5866" s="253"/>
      <c r="C5866" s="60"/>
      <c r="D5866" s="78"/>
      <c r="E5866" s="79"/>
      <c r="F5866" s="80" t="s">
        <v>23</v>
      </c>
      <c r="G5866" s="80" t="str">
        <f t="shared" si="102"/>
        <v/>
      </c>
      <c r="H5866" s="81"/>
      <c r="I5866" s="63"/>
      <c r="J5866" s="34">
        <v>0</v>
      </c>
    </row>
    <row r="5867" spans="1:10" ht="15.75" hidden="1" thickBot="1" x14ac:dyDescent="0.3">
      <c r="A5867" s="256" t="s">
        <v>1406</v>
      </c>
      <c r="B5867" s="251" t="s">
        <v>3194</v>
      </c>
      <c r="C5867" s="28"/>
      <c r="D5867" s="29" t="s">
        <v>28</v>
      </c>
      <c r="E5867" s="30"/>
      <c r="F5867" s="51" t="s">
        <v>23</v>
      </c>
      <c r="G5867" s="31" t="str">
        <f t="shared" si="102"/>
        <v/>
      </c>
      <c r="H5867" s="32"/>
      <c r="I5867" s="33"/>
      <c r="J5867" s="34">
        <v>0</v>
      </c>
    </row>
    <row r="5868" spans="1:10" ht="15.75" hidden="1" thickBot="1" x14ac:dyDescent="0.3">
      <c r="A5868" s="264"/>
      <c r="B5868" s="266"/>
      <c r="C5868" s="76"/>
      <c r="D5868" s="76"/>
      <c r="E5868" s="77"/>
      <c r="F5868" s="59" t="s">
        <v>23</v>
      </c>
      <c r="G5868" s="59" t="str">
        <f t="shared" ref="G5868:G5931" si="103">IF(ISNUMBER(F5868),E5868*F5868,"")</f>
        <v/>
      </c>
      <c r="H5868" s="62"/>
      <c r="I5868" s="63"/>
      <c r="J5868" s="34">
        <v>0</v>
      </c>
    </row>
    <row r="5869" spans="1:10" ht="39" hidden="1" thickBot="1" x14ac:dyDescent="0.3">
      <c r="A5869" s="264"/>
      <c r="B5869" s="266"/>
      <c r="C5869" s="40" t="s">
        <v>4277</v>
      </c>
      <c r="D5869" s="40" t="s">
        <v>291</v>
      </c>
      <c r="E5869" s="75">
        <v>1</v>
      </c>
      <c r="F5869" s="35">
        <v>187.03599999999997</v>
      </c>
      <c r="G5869" s="59">
        <f t="shared" si="103"/>
        <v>187.03599999999997</v>
      </c>
      <c r="H5869" s="43">
        <f>SUM(G5869:G5869)</f>
        <v>187.03599999999997</v>
      </c>
      <c r="I5869" s="44"/>
      <c r="J5869" s="34">
        <v>0</v>
      </c>
    </row>
    <row r="5870" spans="1:10" ht="15.75" hidden="1" thickBot="1" x14ac:dyDescent="0.3">
      <c r="A5870" s="265"/>
      <c r="B5870" s="253"/>
      <c r="C5870" s="60"/>
      <c r="D5870" s="78"/>
      <c r="E5870" s="79"/>
      <c r="F5870" s="80" t="s">
        <v>23</v>
      </c>
      <c r="G5870" s="80" t="str">
        <f t="shared" si="103"/>
        <v/>
      </c>
      <c r="H5870" s="81"/>
      <c r="I5870" s="63"/>
      <c r="J5870" s="34">
        <v>0</v>
      </c>
    </row>
    <row r="5871" spans="1:10" ht="15.75" hidden="1" thickBot="1" x14ac:dyDescent="0.3">
      <c r="A5871" s="256" t="s">
        <v>1407</v>
      </c>
      <c r="B5871" s="251" t="s">
        <v>3195</v>
      </c>
      <c r="C5871" s="28"/>
      <c r="D5871" s="29" t="s">
        <v>28</v>
      </c>
      <c r="E5871" s="30"/>
      <c r="F5871" s="51" t="s">
        <v>23</v>
      </c>
      <c r="G5871" s="31" t="str">
        <f t="shared" si="103"/>
        <v/>
      </c>
      <c r="H5871" s="32"/>
      <c r="I5871" s="33"/>
      <c r="J5871" s="34">
        <v>0</v>
      </c>
    </row>
    <row r="5872" spans="1:10" ht="15.75" hidden="1" thickBot="1" x14ac:dyDescent="0.3">
      <c r="A5872" s="264"/>
      <c r="B5872" s="266"/>
      <c r="C5872" s="76"/>
      <c r="D5872" s="76"/>
      <c r="E5872" s="77"/>
      <c r="F5872" s="59" t="s">
        <v>23</v>
      </c>
      <c r="G5872" s="59" t="str">
        <f t="shared" si="103"/>
        <v/>
      </c>
      <c r="H5872" s="62"/>
      <c r="I5872" s="63"/>
      <c r="J5872" s="34">
        <v>0</v>
      </c>
    </row>
    <row r="5873" spans="1:10" ht="26.25" hidden="1" thickBot="1" x14ac:dyDescent="0.3">
      <c r="A5873" s="264"/>
      <c r="B5873" s="266"/>
      <c r="C5873" s="40" t="s">
        <v>4278</v>
      </c>
      <c r="D5873" s="40" t="s">
        <v>291</v>
      </c>
      <c r="E5873" s="75">
        <v>1</v>
      </c>
      <c r="F5873" s="35">
        <v>25.526499999999999</v>
      </c>
      <c r="G5873" s="59">
        <f t="shared" si="103"/>
        <v>25.526499999999999</v>
      </c>
      <c r="H5873" s="43">
        <f>SUM(G5873:G5873)</f>
        <v>25.526499999999999</v>
      </c>
      <c r="I5873" s="44"/>
      <c r="J5873" s="34">
        <v>0</v>
      </c>
    </row>
    <row r="5874" spans="1:10" ht="15.75" hidden="1" thickBot="1" x14ac:dyDescent="0.3">
      <c r="A5874" s="265"/>
      <c r="B5874" s="253"/>
      <c r="C5874" s="60"/>
      <c r="D5874" s="78"/>
      <c r="E5874" s="79"/>
      <c r="F5874" s="80" t="s">
        <v>23</v>
      </c>
      <c r="G5874" s="80" t="str">
        <f t="shared" si="103"/>
        <v/>
      </c>
      <c r="H5874" s="81"/>
      <c r="I5874" s="63"/>
      <c r="J5874" s="34">
        <v>0</v>
      </c>
    </row>
    <row r="5875" spans="1:10" ht="15.75" hidden="1" thickBot="1" x14ac:dyDescent="0.3">
      <c r="A5875" s="256" t="s">
        <v>1408</v>
      </c>
      <c r="B5875" s="251" t="s">
        <v>3196</v>
      </c>
      <c r="C5875" s="28"/>
      <c r="D5875" s="29" t="s">
        <v>28</v>
      </c>
      <c r="E5875" s="30"/>
      <c r="F5875" s="51" t="s">
        <v>23</v>
      </c>
      <c r="G5875" s="31" t="str">
        <f t="shared" si="103"/>
        <v/>
      </c>
      <c r="H5875" s="32"/>
      <c r="I5875" s="33"/>
      <c r="J5875" s="34">
        <v>0</v>
      </c>
    </row>
    <row r="5876" spans="1:10" ht="15.75" hidden="1" thickBot="1" x14ac:dyDescent="0.3">
      <c r="A5876" s="264"/>
      <c r="B5876" s="266"/>
      <c r="C5876" s="76"/>
      <c r="D5876" s="76"/>
      <c r="E5876" s="77"/>
      <c r="F5876" s="59" t="s">
        <v>23</v>
      </c>
      <c r="G5876" s="59" t="str">
        <f t="shared" si="103"/>
        <v/>
      </c>
      <c r="H5876" s="62"/>
      <c r="I5876" s="63"/>
      <c r="J5876" s="34">
        <v>0</v>
      </c>
    </row>
    <row r="5877" spans="1:10" ht="26.25" hidden="1" thickBot="1" x14ac:dyDescent="0.3">
      <c r="A5877" s="264"/>
      <c r="B5877" s="266"/>
      <c r="C5877" s="40" t="s">
        <v>4279</v>
      </c>
      <c r="D5877" s="40" t="s">
        <v>291</v>
      </c>
      <c r="E5877" s="75">
        <v>1</v>
      </c>
      <c r="F5877" s="35">
        <v>145.00799999999998</v>
      </c>
      <c r="G5877" s="59">
        <f t="shared" si="103"/>
        <v>145.00799999999998</v>
      </c>
      <c r="H5877" s="43">
        <f>SUM(G5877:G5877)</f>
        <v>145.00799999999998</v>
      </c>
      <c r="I5877" s="44"/>
      <c r="J5877" s="34">
        <v>0</v>
      </c>
    </row>
    <row r="5878" spans="1:10" ht="15.75" hidden="1" thickBot="1" x14ac:dyDescent="0.3">
      <c r="A5878" s="265"/>
      <c r="B5878" s="253"/>
      <c r="C5878" s="60"/>
      <c r="D5878" s="78"/>
      <c r="E5878" s="79"/>
      <c r="F5878" s="80" t="s">
        <v>23</v>
      </c>
      <c r="G5878" s="80" t="str">
        <f t="shared" si="103"/>
        <v/>
      </c>
      <c r="H5878" s="81"/>
      <c r="I5878" s="63"/>
      <c r="J5878" s="34">
        <v>0</v>
      </c>
    </row>
    <row r="5879" spans="1:10" ht="15.75" hidden="1" thickBot="1" x14ac:dyDescent="0.3">
      <c r="A5879" s="256" t="s">
        <v>1409</v>
      </c>
      <c r="B5879" s="251" t="s">
        <v>3197</v>
      </c>
      <c r="C5879" s="28"/>
      <c r="D5879" s="29" t="s">
        <v>121</v>
      </c>
      <c r="E5879" s="30"/>
      <c r="F5879" s="51" t="s">
        <v>23</v>
      </c>
      <c r="G5879" s="31" t="str">
        <f t="shared" si="103"/>
        <v/>
      </c>
      <c r="H5879" s="32"/>
      <c r="I5879" s="33"/>
      <c r="J5879" s="34">
        <v>0</v>
      </c>
    </row>
    <row r="5880" spans="1:10" ht="15.75" hidden="1" thickBot="1" x14ac:dyDescent="0.3">
      <c r="A5880" s="264"/>
      <c r="B5880" s="266"/>
      <c r="C5880" s="76"/>
      <c r="D5880" s="76"/>
      <c r="E5880" s="77"/>
      <c r="F5880" s="59" t="s">
        <v>23</v>
      </c>
      <c r="G5880" s="59" t="str">
        <f t="shared" si="103"/>
        <v/>
      </c>
      <c r="H5880" s="62"/>
      <c r="I5880" s="63"/>
      <c r="J5880" s="34">
        <v>0</v>
      </c>
    </row>
    <row r="5881" spans="1:10" ht="26.25" hidden="1" thickBot="1" x14ac:dyDescent="0.3">
      <c r="A5881" s="264"/>
      <c r="B5881" s="266"/>
      <c r="C5881" s="40" t="s">
        <v>3895</v>
      </c>
      <c r="D5881" s="40" t="s">
        <v>1286</v>
      </c>
      <c r="E5881" s="75">
        <v>1</v>
      </c>
      <c r="F5881" s="35">
        <v>4.3605</v>
      </c>
      <c r="G5881" s="59">
        <f t="shared" si="103"/>
        <v>4.3605</v>
      </c>
      <c r="H5881" s="43">
        <f>SUM(G5881:G5881)</f>
        <v>4.3605</v>
      </c>
      <c r="I5881" s="44"/>
      <c r="J5881" s="34">
        <v>0</v>
      </c>
    </row>
    <row r="5882" spans="1:10" ht="15.75" hidden="1" thickBot="1" x14ac:dyDescent="0.3">
      <c r="A5882" s="265"/>
      <c r="B5882" s="253"/>
      <c r="C5882" s="60"/>
      <c r="D5882" s="78"/>
      <c r="E5882" s="79"/>
      <c r="F5882" s="80" t="s">
        <v>23</v>
      </c>
      <c r="G5882" s="80" t="str">
        <f t="shared" si="103"/>
        <v/>
      </c>
      <c r="H5882" s="81"/>
      <c r="I5882" s="63"/>
      <c r="J5882" s="34">
        <v>0</v>
      </c>
    </row>
    <row r="5883" spans="1:10" ht="15.75" hidden="1" thickBot="1" x14ac:dyDescent="0.3">
      <c r="A5883" s="256" t="s">
        <v>1410</v>
      </c>
      <c r="B5883" s="251" t="s">
        <v>3198</v>
      </c>
      <c r="C5883" s="28"/>
      <c r="D5883" s="29" t="s">
        <v>121</v>
      </c>
      <c r="E5883" s="30"/>
      <c r="F5883" s="51" t="s">
        <v>23</v>
      </c>
      <c r="G5883" s="31" t="str">
        <f t="shared" si="103"/>
        <v/>
      </c>
      <c r="H5883" s="32"/>
      <c r="I5883" s="33"/>
      <c r="J5883" s="34">
        <v>0</v>
      </c>
    </row>
    <row r="5884" spans="1:10" ht="15.75" hidden="1" thickBot="1" x14ac:dyDescent="0.3">
      <c r="A5884" s="264"/>
      <c r="B5884" s="266"/>
      <c r="C5884" s="76"/>
      <c r="D5884" s="76"/>
      <c r="E5884" s="77"/>
      <c r="F5884" s="59" t="s">
        <v>23</v>
      </c>
      <c r="G5884" s="59" t="str">
        <f t="shared" si="103"/>
        <v/>
      </c>
      <c r="H5884" s="62"/>
      <c r="I5884" s="63"/>
      <c r="J5884" s="34">
        <v>0</v>
      </c>
    </row>
    <row r="5885" spans="1:10" ht="26.25" hidden="1" thickBot="1" x14ac:dyDescent="0.3">
      <c r="A5885" s="264"/>
      <c r="B5885" s="266"/>
      <c r="C5885" s="40" t="s">
        <v>3894</v>
      </c>
      <c r="D5885" s="40" t="s">
        <v>1286</v>
      </c>
      <c r="E5885" s="75">
        <v>1</v>
      </c>
      <c r="F5885" s="35">
        <v>8.3885000000000005</v>
      </c>
      <c r="G5885" s="59">
        <f t="shared" si="103"/>
        <v>8.3885000000000005</v>
      </c>
      <c r="H5885" s="43">
        <f>SUM(G5885:G5885)</f>
        <v>8.3885000000000005</v>
      </c>
      <c r="I5885" s="44"/>
      <c r="J5885" s="34">
        <v>0</v>
      </c>
    </row>
    <row r="5886" spans="1:10" ht="15.75" hidden="1" thickBot="1" x14ac:dyDescent="0.3">
      <c r="A5886" s="265"/>
      <c r="B5886" s="253"/>
      <c r="C5886" s="60"/>
      <c r="D5886" s="78"/>
      <c r="E5886" s="79"/>
      <c r="F5886" s="80" t="s">
        <v>23</v>
      </c>
      <c r="G5886" s="80" t="str">
        <f t="shared" si="103"/>
        <v/>
      </c>
      <c r="H5886" s="81"/>
      <c r="I5886" s="63"/>
      <c r="J5886" s="34">
        <v>0</v>
      </c>
    </row>
    <row r="5887" spans="1:10" ht="15.75" hidden="1" thickBot="1" x14ac:dyDescent="0.3">
      <c r="A5887" s="256" t="s">
        <v>1411</v>
      </c>
      <c r="B5887" s="251" t="s">
        <v>3199</v>
      </c>
      <c r="C5887" s="28"/>
      <c r="D5887" s="29" t="s">
        <v>121</v>
      </c>
      <c r="E5887" s="30"/>
      <c r="F5887" s="51" t="s">
        <v>23</v>
      </c>
      <c r="G5887" s="31" t="str">
        <f t="shared" si="103"/>
        <v/>
      </c>
      <c r="H5887" s="32"/>
      <c r="I5887" s="33"/>
      <c r="J5887" s="34">
        <v>0</v>
      </c>
    </row>
    <row r="5888" spans="1:10" ht="15.75" hidden="1" thickBot="1" x14ac:dyDescent="0.3">
      <c r="A5888" s="264"/>
      <c r="B5888" s="266"/>
      <c r="C5888" s="76"/>
      <c r="D5888" s="76"/>
      <c r="E5888" s="77"/>
      <c r="F5888" s="59" t="s">
        <v>23</v>
      </c>
      <c r="G5888" s="59" t="str">
        <f t="shared" si="103"/>
        <v/>
      </c>
      <c r="H5888" s="62"/>
      <c r="I5888" s="63"/>
      <c r="J5888" s="34">
        <v>0</v>
      </c>
    </row>
    <row r="5889" spans="1:10" ht="39" hidden="1" thickBot="1" x14ac:dyDescent="0.3">
      <c r="A5889" s="264"/>
      <c r="B5889" s="266"/>
      <c r="C5889" s="40" t="s">
        <v>3898</v>
      </c>
      <c r="D5889" s="40" t="s">
        <v>1286</v>
      </c>
      <c r="E5889" s="75">
        <v>1</v>
      </c>
      <c r="F5889" s="35">
        <v>10.535499999999999</v>
      </c>
      <c r="G5889" s="59">
        <f t="shared" si="103"/>
        <v>10.535499999999999</v>
      </c>
      <c r="H5889" s="43">
        <f>SUM(G5889:G5889)</f>
        <v>10.535499999999999</v>
      </c>
      <c r="I5889" s="44"/>
      <c r="J5889" s="34">
        <v>0</v>
      </c>
    </row>
    <row r="5890" spans="1:10" ht="15.75" hidden="1" thickBot="1" x14ac:dyDescent="0.3">
      <c r="A5890" s="265"/>
      <c r="B5890" s="253"/>
      <c r="C5890" s="60"/>
      <c r="D5890" s="78"/>
      <c r="E5890" s="79"/>
      <c r="F5890" s="80" t="s">
        <v>23</v>
      </c>
      <c r="G5890" s="80" t="str">
        <f t="shared" si="103"/>
        <v/>
      </c>
      <c r="H5890" s="81"/>
      <c r="I5890" s="63"/>
      <c r="J5890" s="34">
        <v>0</v>
      </c>
    </row>
    <row r="5891" spans="1:10" ht="15.75" hidden="1" thickBot="1" x14ac:dyDescent="0.3">
      <c r="A5891" s="256" t="s">
        <v>1412</v>
      </c>
      <c r="B5891" s="251" t="s">
        <v>3200</v>
      </c>
      <c r="C5891" s="28"/>
      <c r="D5891" s="29" t="s">
        <v>121</v>
      </c>
      <c r="E5891" s="30"/>
      <c r="F5891" s="51" t="s">
        <v>23</v>
      </c>
      <c r="G5891" s="31" t="str">
        <f t="shared" si="103"/>
        <v/>
      </c>
      <c r="H5891" s="32"/>
      <c r="I5891" s="33"/>
      <c r="J5891" s="34">
        <v>0</v>
      </c>
    </row>
    <row r="5892" spans="1:10" ht="15.75" hidden="1" thickBot="1" x14ac:dyDescent="0.3">
      <c r="A5892" s="264"/>
      <c r="B5892" s="266"/>
      <c r="C5892" s="76"/>
      <c r="D5892" s="76"/>
      <c r="E5892" s="77"/>
      <c r="F5892" s="59" t="s">
        <v>23</v>
      </c>
      <c r="G5892" s="59" t="str">
        <f t="shared" si="103"/>
        <v/>
      </c>
      <c r="H5892" s="62"/>
      <c r="I5892" s="63"/>
      <c r="J5892" s="34">
        <v>0</v>
      </c>
    </row>
    <row r="5893" spans="1:10" ht="39" hidden="1" thickBot="1" x14ac:dyDescent="0.3">
      <c r="A5893" s="264"/>
      <c r="B5893" s="266"/>
      <c r="C5893" s="40" t="s">
        <v>3896</v>
      </c>
      <c r="D5893" s="40" t="s">
        <v>1286</v>
      </c>
      <c r="E5893" s="75">
        <v>1</v>
      </c>
      <c r="F5893" s="35">
        <v>13.8225</v>
      </c>
      <c r="G5893" s="59">
        <f t="shared" si="103"/>
        <v>13.8225</v>
      </c>
      <c r="H5893" s="43">
        <f>SUM(G5893:G5893)</f>
        <v>13.8225</v>
      </c>
      <c r="I5893" s="44"/>
      <c r="J5893" s="34">
        <v>0</v>
      </c>
    </row>
    <row r="5894" spans="1:10" ht="15.75" hidden="1" thickBot="1" x14ac:dyDescent="0.3">
      <c r="A5894" s="265"/>
      <c r="B5894" s="253"/>
      <c r="C5894" s="60"/>
      <c r="D5894" s="78"/>
      <c r="E5894" s="79"/>
      <c r="F5894" s="80" t="s">
        <v>23</v>
      </c>
      <c r="G5894" s="80" t="str">
        <f t="shared" si="103"/>
        <v/>
      </c>
      <c r="H5894" s="81"/>
      <c r="I5894" s="63"/>
      <c r="J5894" s="34">
        <v>0</v>
      </c>
    </row>
    <row r="5895" spans="1:10" ht="15.75" hidden="1" thickBot="1" x14ac:dyDescent="0.3">
      <c r="A5895" s="256" t="s">
        <v>1413</v>
      </c>
      <c r="B5895" s="251" t="s">
        <v>3201</v>
      </c>
      <c r="C5895" s="28"/>
      <c r="D5895" s="29" t="s">
        <v>121</v>
      </c>
      <c r="E5895" s="30"/>
      <c r="F5895" s="51" t="s">
        <v>23</v>
      </c>
      <c r="G5895" s="31" t="str">
        <f t="shared" si="103"/>
        <v/>
      </c>
      <c r="H5895" s="32"/>
      <c r="I5895" s="33"/>
      <c r="J5895" s="34">
        <v>0</v>
      </c>
    </row>
    <row r="5896" spans="1:10" ht="15.75" hidden="1" thickBot="1" x14ac:dyDescent="0.3">
      <c r="A5896" s="264"/>
      <c r="B5896" s="266"/>
      <c r="C5896" s="76"/>
      <c r="D5896" s="76"/>
      <c r="E5896" s="77"/>
      <c r="F5896" s="59" t="s">
        <v>23</v>
      </c>
      <c r="G5896" s="59" t="str">
        <f t="shared" si="103"/>
        <v/>
      </c>
      <c r="H5896" s="62"/>
      <c r="I5896" s="63"/>
      <c r="J5896" s="34">
        <v>0</v>
      </c>
    </row>
    <row r="5897" spans="1:10" ht="39" hidden="1" thickBot="1" x14ac:dyDescent="0.3">
      <c r="A5897" s="264"/>
      <c r="B5897" s="266"/>
      <c r="C5897" s="40" t="s">
        <v>4280</v>
      </c>
      <c r="D5897" s="40" t="s">
        <v>1286</v>
      </c>
      <c r="E5897" s="75">
        <v>1</v>
      </c>
      <c r="F5897" s="35">
        <v>20.852499999999999</v>
      </c>
      <c r="G5897" s="59">
        <f t="shared" si="103"/>
        <v>20.852499999999999</v>
      </c>
      <c r="H5897" s="43">
        <f>SUM(G5897:G5897)</f>
        <v>20.852499999999999</v>
      </c>
      <c r="I5897" s="44"/>
      <c r="J5897" s="34">
        <v>0</v>
      </c>
    </row>
    <row r="5898" spans="1:10" ht="15.75" hidden="1" thickBot="1" x14ac:dyDescent="0.3">
      <c r="A5898" s="265"/>
      <c r="B5898" s="253"/>
      <c r="C5898" s="60"/>
      <c r="D5898" s="78"/>
      <c r="E5898" s="79"/>
      <c r="F5898" s="80" t="s">
        <v>23</v>
      </c>
      <c r="G5898" s="80" t="str">
        <f t="shared" si="103"/>
        <v/>
      </c>
      <c r="H5898" s="81"/>
      <c r="I5898" s="63"/>
      <c r="J5898" s="34">
        <v>0</v>
      </c>
    </row>
    <row r="5899" spans="1:10" ht="15.75" hidden="1" thickBot="1" x14ac:dyDescent="0.3">
      <c r="A5899" s="256" t="s">
        <v>1414</v>
      </c>
      <c r="B5899" s="251" t="s">
        <v>3202</v>
      </c>
      <c r="C5899" s="28"/>
      <c r="D5899" s="29" t="s">
        <v>121</v>
      </c>
      <c r="E5899" s="30"/>
      <c r="F5899" s="51" t="s">
        <v>23</v>
      </c>
      <c r="G5899" s="31" t="str">
        <f t="shared" si="103"/>
        <v/>
      </c>
      <c r="H5899" s="32"/>
      <c r="I5899" s="33"/>
      <c r="J5899" s="34">
        <v>0</v>
      </c>
    </row>
    <row r="5900" spans="1:10" ht="15.75" hidden="1" thickBot="1" x14ac:dyDescent="0.3">
      <c r="A5900" s="264"/>
      <c r="B5900" s="266"/>
      <c r="C5900" s="76"/>
      <c r="D5900" s="76"/>
      <c r="E5900" s="77"/>
      <c r="F5900" s="59" t="s">
        <v>23</v>
      </c>
      <c r="G5900" s="59" t="str">
        <f t="shared" si="103"/>
        <v/>
      </c>
      <c r="H5900" s="62"/>
      <c r="I5900" s="63"/>
      <c r="J5900" s="34">
        <v>0</v>
      </c>
    </row>
    <row r="5901" spans="1:10" ht="39" hidden="1" thickBot="1" x14ac:dyDescent="0.3">
      <c r="A5901" s="264"/>
      <c r="B5901" s="266"/>
      <c r="C5901" s="40" t="s">
        <v>4098</v>
      </c>
      <c r="D5901" s="40" t="s">
        <v>1286</v>
      </c>
      <c r="E5901" s="75">
        <v>1</v>
      </c>
      <c r="F5901" s="35">
        <v>26.847000000000001</v>
      </c>
      <c r="G5901" s="59">
        <f t="shared" si="103"/>
        <v>26.847000000000001</v>
      </c>
      <c r="H5901" s="43">
        <f>SUM(G5901:G5901)</f>
        <v>26.847000000000001</v>
      </c>
      <c r="I5901" s="44"/>
      <c r="J5901" s="34">
        <v>0</v>
      </c>
    </row>
    <row r="5902" spans="1:10" ht="15.75" hidden="1" thickBot="1" x14ac:dyDescent="0.3">
      <c r="A5902" s="265"/>
      <c r="B5902" s="253"/>
      <c r="C5902" s="60"/>
      <c r="D5902" s="78"/>
      <c r="E5902" s="79"/>
      <c r="F5902" s="80" t="s">
        <v>23</v>
      </c>
      <c r="G5902" s="80" t="str">
        <f t="shared" si="103"/>
        <v/>
      </c>
      <c r="H5902" s="81"/>
      <c r="I5902" s="63"/>
      <c r="J5902" s="34">
        <v>0</v>
      </c>
    </row>
    <row r="5903" spans="1:10" ht="15.75" hidden="1" thickBot="1" x14ac:dyDescent="0.3">
      <c r="A5903" s="256" t="s">
        <v>1415</v>
      </c>
      <c r="B5903" s="251" t="s">
        <v>3203</v>
      </c>
      <c r="C5903" s="28"/>
      <c r="D5903" s="29" t="s">
        <v>121</v>
      </c>
      <c r="E5903" s="30"/>
      <c r="F5903" s="51" t="s">
        <v>23</v>
      </c>
      <c r="G5903" s="31" t="str">
        <f t="shared" si="103"/>
        <v/>
      </c>
      <c r="H5903" s="32"/>
      <c r="I5903" s="33"/>
      <c r="J5903" s="34">
        <v>0</v>
      </c>
    </row>
    <row r="5904" spans="1:10" ht="15.75" hidden="1" thickBot="1" x14ac:dyDescent="0.3">
      <c r="A5904" s="264"/>
      <c r="B5904" s="266"/>
      <c r="C5904" s="76"/>
      <c r="D5904" s="76"/>
      <c r="E5904" s="77"/>
      <c r="F5904" s="59" t="s">
        <v>23</v>
      </c>
      <c r="G5904" s="59" t="str">
        <f t="shared" si="103"/>
        <v/>
      </c>
      <c r="H5904" s="62"/>
      <c r="I5904" s="63"/>
      <c r="J5904" s="34">
        <v>0</v>
      </c>
    </row>
    <row r="5905" spans="1:10" ht="39" hidden="1" thickBot="1" x14ac:dyDescent="0.3">
      <c r="A5905" s="264"/>
      <c r="B5905" s="266"/>
      <c r="C5905" s="40" t="s">
        <v>4281</v>
      </c>
      <c r="D5905" s="40" t="s">
        <v>1286</v>
      </c>
      <c r="E5905" s="75">
        <v>1</v>
      </c>
      <c r="F5905" s="35">
        <v>35.757999999999996</v>
      </c>
      <c r="G5905" s="59">
        <f t="shared" si="103"/>
        <v>35.757999999999996</v>
      </c>
      <c r="H5905" s="43">
        <f>SUM(G5905:G5905)</f>
        <v>35.757999999999996</v>
      </c>
      <c r="I5905" s="44"/>
      <c r="J5905" s="34">
        <v>0</v>
      </c>
    </row>
    <row r="5906" spans="1:10" ht="15.75" hidden="1" thickBot="1" x14ac:dyDescent="0.3">
      <c r="A5906" s="265"/>
      <c r="B5906" s="253"/>
      <c r="C5906" s="60"/>
      <c r="D5906" s="78"/>
      <c r="E5906" s="79"/>
      <c r="F5906" s="80" t="s">
        <v>23</v>
      </c>
      <c r="G5906" s="80" t="str">
        <f t="shared" si="103"/>
        <v/>
      </c>
      <c r="H5906" s="81"/>
      <c r="I5906" s="63"/>
      <c r="J5906" s="34">
        <v>0</v>
      </c>
    </row>
    <row r="5907" spans="1:10" ht="15.75" hidden="1" thickBot="1" x14ac:dyDescent="0.3">
      <c r="A5907" s="256" t="s">
        <v>1416</v>
      </c>
      <c r="B5907" s="251" t="s">
        <v>3204</v>
      </c>
      <c r="C5907" s="28"/>
      <c r="D5907" s="29" t="s">
        <v>121</v>
      </c>
      <c r="E5907" s="30"/>
      <c r="F5907" s="51" t="s">
        <v>23</v>
      </c>
      <c r="G5907" s="31" t="str">
        <f t="shared" si="103"/>
        <v/>
      </c>
      <c r="H5907" s="32"/>
      <c r="I5907" s="33"/>
      <c r="J5907" s="34">
        <v>0</v>
      </c>
    </row>
    <row r="5908" spans="1:10" ht="15.75" hidden="1" thickBot="1" x14ac:dyDescent="0.3">
      <c r="A5908" s="264"/>
      <c r="B5908" s="266"/>
      <c r="C5908" s="76"/>
      <c r="D5908" s="76"/>
      <c r="E5908" s="77"/>
      <c r="F5908" s="59" t="s">
        <v>23</v>
      </c>
      <c r="G5908" s="59" t="str">
        <f t="shared" si="103"/>
        <v/>
      </c>
      <c r="H5908" s="62"/>
      <c r="I5908" s="63"/>
      <c r="J5908" s="34">
        <v>0</v>
      </c>
    </row>
    <row r="5909" spans="1:10" ht="39" hidden="1" thickBot="1" x14ac:dyDescent="0.3">
      <c r="A5909" s="264"/>
      <c r="B5909" s="266"/>
      <c r="C5909" s="40" t="s">
        <v>4204</v>
      </c>
      <c r="D5909" s="40" t="s">
        <v>1286</v>
      </c>
      <c r="E5909" s="75">
        <v>1</v>
      </c>
      <c r="F5909" s="35">
        <v>3.5339999999999998</v>
      </c>
      <c r="G5909" s="59">
        <f t="shared" si="103"/>
        <v>3.5339999999999998</v>
      </c>
      <c r="H5909" s="43">
        <f>SUM(G5909:G5909)</f>
        <v>3.5339999999999998</v>
      </c>
      <c r="I5909" s="44"/>
      <c r="J5909" s="34">
        <v>0</v>
      </c>
    </row>
    <row r="5910" spans="1:10" ht="15.75" hidden="1" thickBot="1" x14ac:dyDescent="0.3">
      <c r="A5910" s="265"/>
      <c r="B5910" s="253"/>
      <c r="C5910" s="60"/>
      <c r="D5910" s="78"/>
      <c r="E5910" s="79"/>
      <c r="F5910" s="80" t="s">
        <v>23</v>
      </c>
      <c r="G5910" s="80" t="str">
        <f t="shared" si="103"/>
        <v/>
      </c>
      <c r="H5910" s="81"/>
      <c r="I5910" s="63"/>
      <c r="J5910" s="34">
        <v>0</v>
      </c>
    </row>
    <row r="5911" spans="1:10" ht="15.75" hidden="1" thickBot="1" x14ac:dyDescent="0.3">
      <c r="A5911" s="256" t="s">
        <v>1417</v>
      </c>
      <c r="B5911" s="251" t="s">
        <v>3205</v>
      </c>
      <c r="C5911" s="28"/>
      <c r="D5911" s="29" t="s">
        <v>28</v>
      </c>
      <c r="E5911" s="30"/>
      <c r="F5911" s="51" t="s">
        <v>23</v>
      </c>
      <c r="G5911" s="31" t="str">
        <f t="shared" si="103"/>
        <v/>
      </c>
      <c r="H5911" s="32"/>
      <c r="I5911" s="33"/>
      <c r="J5911" s="34">
        <v>0</v>
      </c>
    </row>
    <row r="5912" spans="1:10" ht="15.75" hidden="1" thickBot="1" x14ac:dyDescent="0.3">
      <c r="A5912" s="264"/>
      <c r="B5912" s="266"/>
      <c r="C5912" s="76"/>
      <c r="D5912" s="76"/>
      <c r="E5912" s="77"/>
      <c r="F5912" s="59" t="s">
        <v>23</v>
      </c>
      <c r="G5912" s="59" t="str">
        <f t="shared" si="103"/>
        <v/>
      </c>
      <c r="H5912" s="62"/>
      <c r="I5912" s="63"/>
      <c r="J5912" s="34">
        <v>0</v>
      </c>
    </row>
    <row r="5913" spans="1:10" ht="26.25" hidden="1" thickBot="1" x14ac:dyDescent="0.3">
      <c r="A5913" s="264"/>
      <c r="B5913" s="266"/>
      <c r="C5913" s="40" t="s">
        <v>4282</v>
      </c>
      <c r="D5913" s="40" t="s">
        <v>291</v>
      </c>
      <c r="E5913" s="75">
        <v>1</v>
      </c>
      <c r="F5913" s="35">
        <v>5.8709999999999996</v>
      </c>
      <c r="G5913" s="59">
        <f t="shared" si="103"/>
        <v>5.8709999999999996</v>
      </c>
      <c r="H5913" s="43">
        <f>SUM(G5913:G5913)</f>
        <v>5.8709999999999996</v>
      </c>
      <c r="I5913" s="44"/>
      <c r="J5913" s="34">
        <v>0</v>
      </c>
    </row>
    <row r="5914" spans="1:10" ht="15.75" hidden="1" thickBot="1" x14ac:dyDescent="0.3">
      <c r="A5914" s="265"/>
      <c r="B5914" s="253"/>
      <c r="C5914" s="60"/>
      <c r="D5914" s="78"/>
      <c r="E5914" s="79"/>
      <c r="F5914" s="80" t="s">
        <v>23</v>
      </c>
      <c r="G5914" s="80" t="str">
        <f t="shared" si="103"/>
        <v/>
      </c>
      <c r="H5914" s="81"/>
      <c r="I5914" s="63"/>
      <c r="J5914" s="34">
        <v>0</v>
      </c>
    </row>
    <row r="5915" spans="1:10" ht="15.75" hidden="1" thickBot="1" x14ac:dyDescent="0.3">
      <c r="A5915" s="256" t="s">
        <v>1418</v>
      </c>
      <c r="B5915" s="251" t="s">
        <v>3206</v>
      </c>
      <c r="C5915" s="28"/>
      <c r="D5915" s="29" t="s">
        <v>121</v>
      </c>
      <c r="E5915" s="30"/>
      <c r="F5915" s="51" t="s">
        <v>23</v>
      </c>
      <c r="G5915" s="31" t="str">
        <f t="shared" si="103"/>
        <v/>
      </c>
      <c r="H5915" s="32"/>
      <c r="I5915" s="33"/>
      <c r="J5915" s="34">
        <v>0</v>
      </c>
    </row>
    <row r="5916" spans="1:10" ht="15.75" hidden="1" thickBot="1" x14ac:dyDescent="0.3">
      <c r="A5916" s="264"/>
      <c r="B5916" s="266"/>
      <c r="C5916" s="76"/>
      <c r="D5916" s="76"/>
      <c r="E5916" s="77"/>
      <c r="F5916" s="59" t="s">
        <v>23</v>
      </c>
      <c r="G5916" s="59" t="str">
        <f t="shared" si="103"/>
        <v/>
      </c>
      <c r="H5916" s="62"/>
      <c r="I5916" s="63"/>
      <c r="J5916" s="34">
        <v>0</v>
      </c>
    </row>
    <row r="5917" spans="1:10" ht="39" hidden="1" thickBot="1" x14ac:dyDescent="0.3">
      <c r="A5917" s="264"/>
      <c r="B5917" s="266"/>
      <c r="C5917" s="40" t="s">
        <v>4208</v>
      </c>
      <c r="D5917" s="40" t="s">
        <v>1286</v>
      </c>
      <c r="E5917" s="75">
        <v>1</v>
      </c>
      <c r="F5917" s="35">
        <v>5.8234999999999992</v>
      </c>
      <c r="G5917" s="59">
        <f t="shared" si="103"/>
        <v>5.8234999999999992</v>
      </c>
      <c r="H5917" s="43">
        <f>SUM(G5917:G5917)</f>
        <v>5.8234999999999992</v>
      </c>
      <c r="I5917" s="44"/>
      <c r="J5917" s="34">
        <v>0</v>
      </c>
    </row>
    <row r="5918" spans="1:10" ht="15.75" hidden="1" thickBot="1" x14ac:dyDescent="0.3">
      <c r="A5918" s="265"/>
      <c r="B5918" s="253"/>
      <c r="C5918" s="60"/>
      <c r="D5918" s="78"/>
      <c r="E5918" s="79"/>
      <c r="F5918" s="80" t="s">
        <v>23</v>
      </c>
      <c r="G5918" s="80" t="str">
        <f t="shared" si="103"/>
        <v/>
      </c>
      <c r="H5918" s="81"/>
      <c r="I5918" s="63"/>
      <c r="J5918" s="34">
        <v>0</v>
      </c>
    </row>
    <row r="5919" spans="1:10" ht="15.75" hidden="1" thickBot="1" x14ac:dyDescent="0.3">
      <c r="A5919" s="256" t="s">
        <v>1419</v>
      </c>
      <c r="B5919" s="251" t="s">
        <v>3207</v>
      </c>
      <c r="C5919" s="28"/>
      <c r="D5919" s="29" t="s">
        <v>28</v>
      </c>
      <c r="E5919" s="30"/>
      <c r="F5919" s="51" t="s">
        <v>23</v>
      </c>
      <c r="G5919" s="31" t="str">
        <f t="shared" si="103"/>
        <v/>
      </c>
      <c r="H5919" s="32"/>
      <c r="I5919" s="33"/>
      <c r="J5919" s="34">
        <v>0</v>
      </c>
    </row>
    <row r="5920" spans="1:10" ht="15.75" hidden="1" thickBot="1" x14ac:dyDescent="0.3">
      <c r="A5920" s="264"/>
      <c r="B5920" s="266"/>
      <c r="C5920" s="76"/>
      <c r="D5920" s="76"/>
      <c r="E5920" s="77"/>
      <c r="F5920" s="59" t="s">
        <v>23</v>
      </c>
      <c r="G5920" s="59" t="str">
        <f t="shared" si="103"/>
        <v/>
      </c>
      <c r="H5920" s="62"/>
      <c r="I5920" s="63"/>
      <c r="J5920" s="34">
        <v>0</v>
      </c>
    </row>
    <row r="5921" spans="1:10" ht="26.25" hidden="1" thickBot="1" x14ac:dyDescent="0.3">
      <c r="A5921" s="264"/>
      <c r="B5921" s="266"/>
      <c r="C5921" s="40" t="s">
        <v>4283</v>
      </c>
      <c r="D5921" s="40" t="s">
        <v>291</v>
      </c>
      <c r="E5921" s="75">
        <v>1</v>
      </c>
      <c r="F5921" s="35">
        <v>6.706999999999999</v>
      </c>
      <c r="G5921" s="59">
        <f t="shared" si="103"/>
        <v>6.706999999999999</v>
      </c>
      <c r="H5921" s="43">
        <f>SUM(G5921:G5921)</f>
        <v>6.706999999999999</v>
      </c>
      <c r="I5921" s="44"/>
      <c r="J5921" s="34">
        <v>0</v>
      </c>
    </row>
    <row r="5922" spans="1:10" ht="15.75" hidden="1" thickBot="1" x14ac:dyDescent="0.3">
      <c r="A5922" s="265"/>
      <c r="B5922" s="253"/>
      <c r="C5922" s="60"/>
      <c r="D5922" s="78"/>
      <c r="E5922" s="79"/>
      <c r="F5922" s="80" t="s">
        <v>23</v>
      </c>
      <c r="G5922" s="80" t="str">
        <f t="shared" si="103"/>
        <v/>
      </c>
      <c r="H5922" s="81"/>
      <c r="I5922" s="63"/>
      <c r="J5922" s="34">
        <v>0</v>
      </c>
    </row>
    <row r="5923" spans="1:10" ht="15.75" hidden="1" thickBot="1" x14ac:dyDescent="0.3">
      <c r="A5923" s="256" t="s">
        <v>1420</v>
      </c>
      <c r="B5923" s="251" t="s">
        <v>3208</v>
      </c>
      <c r="C5923" s="28"/>
      <c r="D5923" s="29" t="s">
        <v>121</v>
      </c>
      <c r="E5923" s="30"/>
      <c r="F5923" s="51" t="s">
        <v>23</v>
      </c>
      <c r="G5923" s="31" t="str">
        <f t="shared" si="103"/>
        <v/>
      </c>
      <c r="H5923" s="32"/>
      <c r="I5923" s="33"/>
      <c r="J5923" s="34">
        <v>0</v>
      </c>
    </row>
    <row r="5924" spans="1:10" ht="15.75" hidden="1" thickBot="1" x14ac:dyDescent="0.3">
      <c r="A5924" s="264"/>
      <c r="B5924" s="266"/>
      <c r="C5924" s="76"/>
      <c r="D5924" s="76"/>
      <c r="E5924" s="77"/>
      <c r="F5924" s="59" t="s">
        <v>23</v>
      </c>
      <c r="G5924" s="59" t="str">
        <f t="shared" si="103"/>
        <v/>
      </c>
      <c r="H5924" s="62"/>
      <c r="I5924" s="63"/>
      <c r="J5924" s="34">
        <v>0</v>
      </c>
    </row>
    <row r="5925" spans="1:10" ht="39" hidden="1" thickBot="1" x14ac:dyDescent="0.3">
      <c r="A5925" s="264"/>
      <c r="B5925" s="266"/>
      <c r="C5925" s="40" t="s">
        <v>4079</v>
      </c>
      <c r="D5925" s="40" t="s">
        <v>1286</v>
      </c>
      <c r="E5925" s="75">
        <v>1</v>
      </c>
      <c r="F5925" s="35">
        <v>8.160499999999999</v>
      </c>
      <c r="G5925" s="59">
        <f t="shared" si="103"/>
        <v>8.160499999999999</v>
      </c>
      <c r="H5925" s="43">
        <f>SUM(G5925:G5925)</f>
        <v>8.160499999999999</v>
      </c>
      <c r="I5925" s="44"/>
      <c r="J5925" s="34">
        <v>0</v>
      </c>
    </row>
    <row r="5926" spans="1:10" ht="15.75" hidden="1" thickBot="1" x14ac:dyDescent="0.3">
      <c r="A5926" s="265"/>
      <c r="B5926" s="253"/>
      <c r="C5926" s="60"/>
      <c r="D5926" s="78"/>
      <c r="E5926" s="79"/>
      <c r="F5926" s="80" t="s">
        <v>23</v>
      </c>
      <c r="G5926" s="80" t="str">
        <f t="shared" si="103"/>
        <v/>
      </c>
      <c r="H5926" s="81"/>
      <c r="I5926" s="63"/>
      <c r="J5926" s="34">
        <v>0</v>
      </c>
    </row>
    <row r="5927" spans="1:10" ht="15.75" hidden="1" thickBot="1" x14ac:dyDescent="0.3">
      <c r="A5927" s="256" t="s">
        <v>1421</v>
      </c>
      <c r="B5927" s="251" t="s">
        <v>3209</v>
      </c>
      <c r="C5927" s="28"/>
      <c r="D5927" s="29" t="s">
        <v>28</v>
      </c>
      <c r="E5927" s="30"/>
      <c r="F5927" s="51" t="s">
        <v>23</v>
      </c>
      <c r="G5927" s="31" t="str">
        <f t="shared" si="103"/>
        <v/>
      </c>
      <c r="H5927" s="32"/>
      <c r="I5927" s="33"/>
      <c r="J5927" s="34">
        <v>0</v>
      </c>
    </row>
    <row r="5928" spans="1:10" ht="15.75" hidden="1" thickBot="1" x14ac:dyDescent="0.3">
      <c r="A5928" s="264"/>
      <c r="B5928" s="266"/>
      <c r="C5928" s="76"/>
      <c r="D5928" s="76"/>
      <c r="E5928" s="77"/>
      <c r="F5928" s="59" t="s">
        <v>23</v>
      </c>
      <c r="G5928" s="59" t="str">
        <f t="shared" si="103"/>
        <v/>
      </c>
      <c r="H5928" s="62"/>
      <c r="I5928" s="63"/>
      <c r="J5928" s="34">
        <v>0</v>
      </c>
    </row>
    <row r="5929" spans="1:10" ht="26.25" hidden="1" thickBot="1" x14ac:dyDescent="0.3">
      <c r="A5929" s="264"/>
      <c r="B5929" s="266"/>
      <c r="C5929" s="40" t="s">
        <v>4284</v>
      </c>
      <c r="D5929" s="40" t="s">
        <v>291</v>
      </c>
      <c r="E5929" s="75">
        <v>1</v>
      </c>
      <c r="F5929" s="35">
        <v>9.8989999999999991</v>
      </c>
      <c r="G5929" s="59">
        <f t="shared" si="103"/>
        <v>9.8989999999999991</v>
      </c>
      <c r="H5929" s="43">
        <f>SUM(G5929:G5929)</f>
        <v>9.8989999999999991</v>
      </c>
      <c r="I5929" s="44"/>
      <c r="J5929" s="34">
        <v>0</v>
      </c>
    </row>
    <row r="5930" spans="1:10" ht="15.75" hidden="1" thickBot="1" x14ac:dyDescent="0.3">
      <c r="A5930" s="265"/>
      <c r="B5930" s="253"/>
      <c r="C5930" s="60"/>
      <c r="D5930" s="78"/>
      <c r="E5930" s="79"/>
      <c r="F5930" s="80" t="s">
        <v>23</v>
      </c>
      <c r="G5930" s="80" t="str">
        <f t="shared" si="103"/>
        <v/>
      </c>
      <c r="H5930" s="81"/>
      <c r="I5930" s="63"/>
      <c r="J5930" s="34">
        <v>0</v>
      </c>
    </row>
    <row r="5931" spans="1:10" ht="15.75" hidden="1" thickBot="1" x14ac:dyDescent="0.3">
      <c r="A5931" s="256" t="s">
        <v>1422</v>
      </c>
      <c r="B5931" s="251" t="s">
        <v>3210</v>
      </c>
      <c r="C5931" s="28"/>
      <c r="D5931" s="29" t="s">
        <v>121</v>
      </c>
      <c r="E5931" s="30"/>
      <c r="F5931" s="51" t="s">
        <v>23</v>
      </c>
      <c r="G5931" s="31" t="str">
        <f t="shared" si="103"/>
        <v/>
      </c>
      <c r="H5931" s="32"/>
      <c r="I5931" s="33"/>
      <c r="J5931" s="34">
        <v>0</v>
      </c>
    </row>
    <row r="5932" spans="1:10" ht="15.75" hidden="1" thickBot="1" x14ac:dyDescent="0.3">
      <c r="A5932" s="264"/>
      <c r="B5932" s="266"/>
      <c r="C5932" s="76"/>
      <c r="D5932" s="76"/>
      <c r="E5932" s="77"/>
      <c r="F5932" s="59" t="s">
        <v>23</v>
      </c>
      <c r="G5932" s="59" t="str">
        <f t="shared" ref="G5932:G5995" si="104">IF(ISNUMBER(F5932),E5932*F5932,"")</f>
        <v/>
      </c>
      <c r="H5932" s="62"/>
      <c r="I5932" s="63"/>
      <c r="J5932" s="34">
        <v>0</v>
      </c>
    </row>
    <row r="5933" spans="1:10" ht="15.75" hidden="1" thickBot="1" x14ac:dyDescent="0.3">
      <c r="A5933" s="264"/>
      <c r="B5933" s="266"/>
      <c r="C5933" s="40" t="s">
        <v>4285</v>
      </c>
      <c r="D5933" s="40" t="s">
        <v>1286</v>
      </c>
      <c r="E5933" s="75">
        <v>1</v>
      </c>
      <c r="F5933" s="35">
        <v>5.4435000000000002</v>
      </c>
      <c r="G5933" s="59">
        <f t="shared" si="104"/>
        <v>5.4435000000000002</v>
      </c>
      <c r="H5933" s="43">
        <f>SUM(G5933:G5933)</f>
        <v>5.4435000000000002</v>
      </c>
      <c r="I5933" s="44"/>
      <c r="J5933" s="34">
        <v>0</v>
      </c>
    </row>
    <row r="5934" spans="1:10" ht="15.75" hidden="1" thickBot="1" x14ac:dyDescent="0.3">
      <c r="A5934" s="265"/>
      <c r="B5934" s="253"/>
      <c r="C5934" s="60"/>
      <c r="D5934" s="78"/>
      <c r="E5934" s="79"/>
      <c r="F5934" s="80" t="s">
        <v>23</v>
      </c>
      <c r="G5934" s="80" t="str">
        <f t="shared" si="104"/>
        <v/>
      </c>
      <c r="H5934" s="81"/>
      <c r="I5934" s="63"/>
      <c r="J5934" s="34">
        <v>0</v>
      </c>
    </row>
    <row r="5935" spans="1:10" ht="15.75" hidden="1" thickBot="1" x14ac:dyDescent="0.3">
      <c r="A5935" s="256" t="s">
        <v>1423</v>
      </c>
      <c r="B5935" s="251" t="s">
        <v>3211</v>
      </c>
      <c r="C5935" s="28"/>
      <c r="D5935" s="29" t="s">
        <v>28</v>
      </c>
      <c r="E5935" s="30"/>
      <c r="F5935" s="51" t="s">
        <v>23</v>
      </c>
      <c r="G5935" s="31" t="str">
        <f t="shared" si="104"/>
        <v/>
      </c>
      <c r="H5935" s="32"/>
      <c r="I5935" s="33"/>
      <c r="J5935" s="34">
        <v>0</v>
      </c>
    </row>
    <row r="5936" spans="1:10" ht="15.75" hidden="1" thickBot="1" x14ac:dyDescent="0.3">
      <c r="A5936" s="264"/>
      <c r="B5936" s="266"/>
      <c r="C5936" s="76"/>
      <c r="D5936" s="76"/>
      <c r="E5936" s="77"/>
      <c r="F5936" s="59" t="s">
        <v>23</v>
      </c>
      <c r="G5936" s="59" t="str">
        <f t="shared" si="104"/>
        <v/>
      </c>
      <c r="H5936" s="62"/>
      <c r="I5936" s="63"/>
      <c r="J5936" s="34">
        <v>0</v>
      </c>
    </row>
    <row r="5937" spans="1:10" ht="15.75" hidden="1" thickBot="1" x14ac:dyDescent="0.3">
      <c r="A5937" s="264"/>
      <c r="B5937" s="266"/>
      <c r="C5937" s="40" t="s">
        <v>4286</v>
      </c>
      <c r="D5937" s="40" t="s">
        <v>291</v>
      </c>
      <c r="E5937" s="75">
        <v>1</v>
      </c>
      <c r="F5937" s="35">
        <v>1.6244999999999998</v>
      </c>
      <c r="G5937" s="59">
        <f t="shared" si="104"/>
        <v>1.6244999999999998</v>
      </c>
      <c r="H5937" s="43">
        <f>SUM(G5937:G5937)</f>
        <v>1.6244999999999998</v>
      </c>
      <c r="I5937" s="44"/>
      <c r="J5937" s="34">
        <v>0</v>
      </c>
    </row>
    <row r="5938" spans="1:10" ht="15.75" hidden="1" thickBot="1" x14ac:dyDescent="0.3">
      <c r="A5938" s="265"/>
      <c r="B5938" s="253"/>
      <c r="C5938" s="60"/>
      <c r="D5938" s="78"/>
      <c r="E5938" s="79"/>
      <c r="F5938" s="80" t="s">
        <v>23</v>
      </c>
      <c r="G5938" s="80" t="str">
        <f t="shared" si="104"/>
        <v/>
      </c>
      <c r="H5938" s="81"/>
      <c r="I5938" s="63"/>
      <c r="J5938" s="34">
        <v>0</v>
      </c>
    </row>
    <row r="5939" spans="1:10" ht="15.75" hidden="1" thickBot="1" x14ac:dyDescent="0.3">
      <c r="A5939" s="256" t="s">
        <v>1424</v>
      </c>
      <c r="B5939" s="251" t="s">
        <v>3212</v>
      </c>
      <c r="C5939" s="28"/>
      <c r="D5939" s="29" t="s">
        <v>28</v>
      </c>
      <c r="E5939" s="30"/>
      <c r="F5939" s="51" t="s">
        <v>23</v>
      </c>
      <c r="G5939" s="31" t="str">
        <f t="shared" si="104"/>
        <v/>
      </c>
      <c r="H5939" s="32"/>
      <c r="I5939" s="33"/>
      <c r="J5939" s="34">
        <v>0</v>
      </c>
    </row>
    <row r="5940" spans="1:10" ht="15.75" hidden="1" thickBot="1" x14ac:dyDescent="0.3">
      <c r="A5940" s="264"/>
      <c r="B5940" s="266"/>
      <c r="C5940" s="76"/>
      <c r="D5940" s="76"/>
      <c r="E5940" s="77"/>
      <c r="F5940" s="59" t="s">
        <v>23</v>
      </c>
      <c r="G5940" s="59" t="str">
        <f t="shared" si="104"/>
        <v/>
      </c>
      <c r="H5940" s="62"/>
      <c r="I5940" s="63"/>
      <c r="J5940" s="34">
        <v>0</v>
      </c>
    </row>
    <row r="5941" spans="1:10" ht="26.25" hidden="1" thickBot="1" x14ac:dyDescent="0.3">
      <c r="A5941" s="264"/>
      <c r="B5941" s="266"/>
      <c r="C5941" s="40" t="s">
        <v>4287</v>
      </c>
      <c r="D5941" s="40" t="s">
        <v>291</v>
      </c>
      <c r="E5941" s="75">
        <v>1</v>
      </c>
      <c r="F5941" s="35">
        <v>3.5150000000000001</v>
      </c>
      <c r="G5941" s="59">
        <f t="shared" si="104"/>
        <v>3.5150000000000001</v>
      </c>
      <c r="H5941" s="43">
        <f>SUM(G5941:G5941)</f>
        <v>3.5150000000000001</v>
      </c>
      <c r="I5941" s="44"/>
      <c r="J5941" s="34">
        <v>0</v>
      </c>
    </row>
    <row r="5942" spans="1:10" ht="15.75" hidden="1" thickBot="1" x14ac:dyDescent="0.3">
      <c r="A5942" s="265"/>
      <c r="B5942" s="253"/>
      <c r="C5942" s="60"/>
      <c r="D5942" s="78"/>
      <c r="E5942" s="79"/>
      <c r="F5942" s="80" t="s">
        <v>23</v>
      </c>
      <c r="G5942" s="80" t="str">
        <f t="shared" si="104"/>
        <v/>
      </c>
      <c r="H5942" s="81"/>
      <c r="I5942" s="63"/>
      <c r="J5942" s="34">
        <v>0</v>
      </c>
    </row>
    <row r="5943" spans="1:10" ht="15.75" hidden="1" thickBot="1" x14ac:dyDescent="0.3">
      <c r="A5943" s="256" t="s">
        <v>1425</v>
      </c>
      <c r="B5943" s="251" t="s">
        <v>3213</v>
      </c>
      <c r="C5943" s="28"/>
      <c r="D5943" s="29" t="s">
        <v>121</v>
      </c>
      <c r="E5943" s="30"/>
      <c r="F5943" s="51" t="s">
        <v>23</v>
      </c>
      <c r="G5943" s="31" t="str">
        <f t="shared" si="104"/>
        <v/>
      </c>
      <c r="H5943" s="32"/>
      <c r="I5943" s="33"/>
      <c r="J5943" s="34">
        <v>0</v>
      </c>
    </row>
    <row r="5944" spans="1:10" ht="15.75" hidden="1" thickBot="1" x14ac:dyDescent="0.3">
      <c r="A5944" s="264"/>
      <c r="B5944" s="266"/>
      <c r="C5944" s="76"/>
      <c r="D5944" s="76"/>
      <c r="E5944" s="77"/>
      <c r="F5944" s="59" t="s">
        <v>23</v>
      </c>
      <c r="G5944" s="59" t="str">
        <f t="shared" si="104"/>
        <v/>
      </c>
      <c r="H5944" s="62"/>
      <c r="I5944" s="63"/>
      <c r="J5944" s="34">
        <v>0</v>
      </c>
    </row>
    <row r="5945" spans="1:10" ht="15.75" hidden="1" thickBot="1" x14ac:dyDescent="0.3">
      <c r="A5945" s="264"/>
      <c r="B5945" s="266"/>
      <c r="C5945" s="40" t="s">
        <v>4288</v>
      </c>
      <c r="D5945" s="40" t="s">
        <v>1286</v>
      </c>
      <c r="E5945" s="75">
        <v>1</v>
      </c>
      <c r="F5945" s="35">
        <v>8.5024999999999995</v>
      </c>
      <c r="G5945" s="59">
        <f t="shared" si="104"/>
        <v>8.5024999999999995</v>
      </c>
      <c r="H5945" s="43">
        <f>SUM(G5945:G5945)</f>
        <v>8.5024999999999995</v>
      </c>
      <c r="I5945" s="44"/>
      <c r="J5945" s="34">
        <v>0</v>
      </c>
    </row>
    <row r="5946" spans="1:10" ht="15.75" hidden="1" thickBot="1" x14ac:dyDescent="0.3">
      <c r="A5946" s="265"/>
      <c r="B5946" s="253"/>
      <c r="C5946" s="60"/>
      <c r="D5946" s="78"/>
      <c r="E5946" s="79"/>
      <c r="F5946" s="80" t="s">
        <v>23</v>
      </c>
      <c r="G5946" s="80" t="str">
        <f t="shared" si="104"/>
        <v/>
      </c>
      <c r="H5946" s="81"/>
      <c r="I5946" s="63"/>
      <c r="J5946" s="34">
        <v>0</v>
      </c>
    </row>
    <row r="5947" spans="1:10" ht="15.75" hidden="1" thickBot="1" x14ac:dyDescent="0.3">
      <c r="A5947" s="256" t="s">
        <v>1426</v>
      </c>
      <c r="B5947" s="251" t="s">
        <v>3214</v>
      </c>
      <c r="C5947" s="28"/>
      <c r="D5947" s="29" t="s">
        <v>28</v>
      </c>
      <c r="E5947" s="30"/>
      <c r="F5947" s="51" t="s">
        <v>23</v>
      </c>
      <c r="G5947" s="31" t="str">
        <f t="shared" si="104"/>
        <v/>
      </c>
      <c r="H5947" s="32"/>
      <c r="I5947" s="33"/>
      <c r="J5947" s="34">
        <v>0</v>
      </c>
    </row>
    <row r="5948" spans="1:10" ht="15.75" hidden="1" thickBot="1" x14ac:dyDescent="0.3">
      <c r="A5948" s="264"/>
      <c r="B5948" s="266"/>
      <c r="C5948" s="76"/>
      <c r="D5948" s="76"/>
      <c r="E5948" s="77"/>
      <c r="F5948" s="59" t="s">
        <v>23</v>
      </c>
      <c r="G5948" s="59" t="str">
        <f t="shared" si="104"/>
        <v/>
      </c>
      <c r="H5948" s="62"/>
      <c r="I5948" s="63"/>
      <c r="J5948" s="34">
        <v>0</v>
      </c>
    </row>
    <row r="5949" spans="1:10" ht="15.75" hidden="1" thickBot="1" x14ac:dyDescent="0.3">
      <c r="A5949" s="264"/>
      <c r="B5949" s="266"/>
      <c r="C5949" s="40" t="s">
        <v>4289</v>
      </c>
      <c r="D5949" s="40" t="s">
        <v>291</v>
      </c>
      <c r="E5949" s="75">
        <v>1</v>
      </c>
      <c r="F5949" s="35">
        <v>2.2705000000000002</v>
      </c>
      <c r="G5949" s="59">
        <f t="shared" si="104"/>
        <v>2.2705000000000002</v>
      </c>
      <c r="H5949" s="43">
        <f>SUM(G5949:G5949)</f>
        <v>2.2705000000000002</v>
      </c>
      <c r="I5949" s="44"/>
      <c r="J5949" s="34">
        <v>0</v>
      </c>
    </row>
    <row r="5950" spans="1:10" ht="15.75" hidden="1" thickBot="1" x14ac:dyDescent="0.3">
      <c r="A5950" s="265"/>
      <c r="B5950" s="253"/>
      <c r="C5950" s="60"/>
      <c r="D5950" s="78"/>
      <c r="E5950" s="79"/>
      <c r="F5950" s="80" t="s">
        <v>23</v>
      </c>
      <c r="G5950" s="80" t="str">
        <f t="shared" si="104"/>
        <v/>
      </c>
      <c r="H5950" s="81"/>
      <c r="I5950" s="63"/>
      <c r="J5950" s="34">
        <v>0</v>
      </c>
    </row>
    <row r="5951" spans="1:10" ht="15.75" hidden="1" thickBot="1" x14ac:dyDescent="0.3">
      <c r="A5951" s="256" t="s">
        <v>1427</v>
      </c>
      <c r="B5951" s="251" t="s">
        <v>3215</v>
      </c>
      <c r="C5951" s="28"/>
      <c r="D5951" s="29" t="s">
        <v>28</v>
      </c>
      <c r="E5951" s="30"/>
      <c r="F5951" s="51" t="s">
        <v>23</v>
      </c>
      <c r="G5951" s="31" t="str">
        <f t="shared" si="104"/>
        <v/>
      </c>
      <c r="H5951" s="32"/>
      <c r="I5951" s="33"/>
      <c r="J5951" s="34">
        <v>0</v>
      </c>
    </row>
    <row r="5952" spans="1:10" ht="15.75" hidden="1" thickBot="1" x14ac:dyDescent="0.3">
      <c r="A5952" s="264"/>
      <c r="B5952" s="266"/>
      <c r="C5952" s="76"/>
      <c r="D5952" s="76"/>
      <c r="E5952" s="77"/>
      <c r="F5952" s="59" t="s">
        <v>23</v>
      </c>
      <c r="G5952" s="59" t="str">
        <f t="shared" si="104"/>
        <v/>
      </c>
      <c r="H5952" s="62"/>
      <c r="I5952" s="63"/>
      <c r="J5952" s="34">
        <v>0</v>
      </c>
    </row>
    <row r="5953" spans="1:10" ht="26.25" hidden="1" thickBot="1" x14ac:dyDescent="0.3">
      <c r="A5953" s="264"/>
      <c r="B5953" s="266"/>
      <c r="C5953" s="40" t="s">
        <v>4290</v>
      </c>
      <c r="D5953" s="40" t="s">
        <v>291</v>
      </c>
      <c r="E5953" s="75">
        <v>1</v>
      </c>
      <c r="F5953" s="35">
        <v>4.8639999999999999</v>
      </c>
      <c r="G5953" s="59">
        <f t="shared" si="104"/>
        <v>4.8639999999999999</v>
      </c>
      <c r="H5953" s="43">
        <f>SUM(G5953:G5953)</f>
        <v>4.8639999999999999</v>
      </c>
      <c r="I5953" s="44"/>
      <c r="J5953" s="34">
        <v>0</v>
      </c>
    </row>
    <row r="5954" spans="1:10" ht="15.75" hidden="1" thickBot="1" x14ac:dyDescent="0.3">
      <c r="A5954" s="265"/>
      <c r="B5954" s="253"/>
      <c r="C5954" s="60"/>
      <c r="D5954" s="78"/>
      <c r="E5954" s="79"/>
      <c r="F5954" s="80" t="s">
        <v>23</v>
      </c>
      <c r="G5954" s="80" t="str">
        <f t="shared" si="104"/>
        <v/>
      </c>
      <c r="H5954" s="81"/>
      <c r="I5954" s="63"/>
      <c r="J5954" s="34">
        <v>0</v>
      </c>
    </row>
    <row r="5955" spans="1:10" ht="15.75" hidden="1" thickBot="1" x14ac:dyDescent="0.3">
      <c r="A5955" s="256" t="s">
        <v>1428</v>
      </c>
      <c r="B5955" s="251" t="s">
        <v>3216</v>
      </c>
      <c r="C5955" s="28"/>
      <c r="D5955" s="29" t="s">
        <v>121</v>
      </c>
      <c r="E5955" s="30"/>
      <c r="F5955" s="51" t="s">
        <v>23</v>
      </c>
      <c r="G5955" s="31" t="str">
        <f t="shared" si="104"/>
        <v/>
      </c>
      <c r="H5955" s="32"/>
      <c r="I5955" s="33"/>
      <c r="J5955" s="34">
        <v>0</v>
      </c>
    </row>
    <row r="5956" spans="1:10" ht="15.75" hidden="1" thickBot="1" x14ac:dyDescent="0.3">
      <c r="A5956" s="264"/>
      <c r="B5956" s="266"/>
      <c r="C5956" s="76"/>
      <c r="D5956" s="76"/>
      <c r="E5956" s="77"/>
      <c r="F5956" s="59" t="s">
        <v>23</v>
      </c>
      <c r="G5956" s="59" t="str">
        <f t="shared" si="104"/>
        <v/>
      </c>
      <c r="H5956" s="62"/>
      <c r="I5956" s="63"/>
      <c r="J5956" s="34">
        <v>0</v>
      </c>
    </row>
    <row r="5957" spans="1:10" ht="15.75" hidden="1" thickBot="1" x14ac:dyDescent="0.3">
      <c r="A5957" s="264"/>
      <c r="B5957" s="266"/>
      <c r="C5957" s="40" t="s">
        <v>4291</v>
      </c>
      <c r="D5957" s="40" t="s">
        <v>1286</v>
      </c>
      <c r="E5957" s="75">
        <v>1</v>
      </c>
      <c r="F5957" s="35">
        <v>11.324</v>
      </c>
      <c r="G5957" s="59">
        <f t="shared" si="104"/>
        <v>11.324</v>
      </c>
      <c r="H5957" s="43">
        <f>SUM(G5957:G5957)</f>
        <v>11.324</v>
      </c>
      <c r="I5957" s="44"/>
      <c r="J5957" s="34">
        <v>0</v>
      </c>
    </row>
    <row r="5958" spans="1:10" ht="15.75" hidden="1" thickBot="1" x14ac:dyDescent="0.3">
      <c r="A5958" s="265"/>
      <c r="B5958" s="253"/>
      <c r="C5958" s="60"/>
      <c r="D5958" s="78"/>
      <c r="E5958" s="79"/>
      <c r="F5958" s="80" t="s">
        <v>23</v>
      </c>
      <c r="G5958" s="80" t="str">
        <f t="shared" si="104"/>
        <v/>
      </c>
      <c r="H5958" s="81"/>
      <c r="I5958" s="63"/>
      <c r="J5958" s="34">
        <v>0</v>
      </c>
    </row>
    <row r="5959" spans="1:10" ht="15.75" hidden="1" thickBot="1" x14ac:dyDescent="0.3">
      <c r="A5959" s="256" t="s">
        <v>1429</v>
      </c>
      <c r="B5959" s="251" t="s">
        <v>3217</v>
      </c>
      <c r="C5959" s="28"/>
      <c r="D5959" s="29" t="s">
        <v>28</v>
      </c>
      <c r="E5959" s="30"/>
      <c r="F5959" s="51" t="s">
        <v>23</v>
      </c>
      <c r="G5959" s="31" t="str">
        <f t="shared" si="104"/>
        <v/>
      </c>
      <c r="H5959" s="32"/>
      <c r="I5959" s="33"/>
      <c r="J5959" s="34">
        <v>0</v>
      </c>
    </row>
    <row r="5960" spans="1:10" ht="15.75" hidden="1" thickBot="1" x14ac:dyDescent="0.3">
      <c r="A5960" s="264"/>
      <c r="B5960" s="266"/>
      <c r="C5960" s="76"/>
      <c r="D5960" s="76"/>
      <c r="E5960" s="77"/>
      <c r="F5960" s="59" t="s">
        <v>23</v>
      </c>
      <c r="G5960" s="59" t="str">
        <f t="shared" si="104"/>
        <v/>
      </c>
      <c r="H5960" s="62"/>
      <c r="I5960" s="63"/>
      <c r="J5960" s="34">
        <v>0</v>
      </c>
    </row>
    <row r="5961" spans="1:10" ht="15.75" hidden="1" thickBot="1" x14ac:dyDescent="0.3">
      <c r="A5961" s="264"/>
      <c r="B5961" s="266"/>
      <c r="C5961" s="40" t="s">
        <v>4292</v>
      </c>
      <c r="D5961" s="40" t="s">
        <v>291</v>
      </c>
      <c r="E5961" s="75">
        <v>1</v>
      </c>
      <c r="F5961" s="35">
        <v>3.5244999999999997</v>
      </c>
      <c r="G5961" s="59">
        <f t="shared" si="104"/>
        <v>3.5244999999999997</v>
      </c>
      <c r="H5961" s="43">
        <f>SUM(G5961:G5961)</f>
        <v>3.5244999999999997</v>
      </c>
      <c r="I5961" s="44"/>
      <c r="J5961" s="34">
        <v>0</v>
      </c>
    </row>
    <row r="5962" spans="1:10" ht="15.75" hidden="1" thickBot="1" x14ac:dyDescent="0.3">
      <c r="A5962" s="265"/>
      <c r="B5962" s="253"/>
      <c r="C5962" s="60"/>
      <c r="D5962" s="78"/>
      <c r="E5962" s="79"/>
      <c r="F5962" s="80" t="s">
        <v>23</v>
      </c>
      <c r="G5962" s="80" t="str">
        <f t="shared" si="104"/>
        <v/>
      </c>
      <c r="H5962" s="81"/>
      <c r="I5962" s="63"/>
      <c r="J5962" s="34">
        <v>0</v>
      </c>
    </row>
    <row r="5963" spans="1:10" ht="15.75" hidden="1" thickBot="1" x14ac:dyDescent="0.3">
      <c r="A5963" s="256" t="s">
        <v>1430</v>
      </c>
      <c r="B5963" s="251" t="s">
        <v>3218</v>
      </c>
      <c r="C5963" s="28"/>
      <c r="D5963" s="29" t="s">
        <v>28</v>
      </c>
      <c r="E5963" s="30"/>
      <c r="F5963" s="51" t="s">
        <v>23</v>
      </c>
      <c r="G5963" s="31" t="str">
        <f t="shared" si="104"/>
        <v/>
      </c>
      <c r="H5963" s="32"/>
      <c r="I5963" s="33"/>
      <c r="J5963" s="34">
        <v>0</v>
      </c>
    </row>
    <row r="5964" spans="1:10" ht="15.75" hidden="1" thickBot="1" x14ac:dyDescent="0.3">
      <c r="A5964" s="264"/>
      <c r="B5964" s="266"/>
      <c r="C5964" s="76"/>
      <c r="D5964" s="76"/>
      <c r="E5964" s="77"/>
      <c r="F5964" s="59" t="s">
        <v>23</v>
      </c>
      <c r="G5964" s="59" t="str">
        <f t="shared" si="104"/>
        <v/>
      </c>
      <c r="H5964" s="62"/>
      <c r="I5964" s="63"/>
      <c r="J5964" s="34">
        <v>0</v>
      </c>
    </row>
    <row r="5965" spans="1:10" ht="26.25" hidden="1" thickBot="1" x14ac:dyDescent="0.3">
      <c r="A5965" s="264"/>
      <c r="B5965" s="266"/>
      <c r="C5965" s="40" t="s">
        <v>4293</v>
      </c>
      <c r="D5965" s="40" t="s">
        <v>291</v>
      </c>
      <c r="E5965" s="75">
        <v>1</v>
      </c>
      <c r="F5965" s="35">
        <v>6.4124999999999996</v>
      </c>
      <c r="G5965" s="59">
        <f t="shared" si="104"/>
        <v>6.4124999999999996</v>
      </c>
      <c r="H5965" s="43">
        <f>SUM(G5965:G5965)</f>
        <v>6.4124999999999996</v>
      </c>
      <c r="I5965" s="44"/>
      <c r="J5965" s="34">
        <v>0</v>
      </c>
    </row>
    <row r="5966" spans="1:10" ht="15.75" hidden="1" thickBot="1" x14ac:dyDescent="0.3">
      <c r="A5966" s="265"/>
      <c r="B5966" s="253"/>
      <c r="C5966" s="60"/>
      <c r="D5966" s="78"/>
      <c r="E5966" s="79"/>
      <c r="F5966" s="80" t="s">
        <v>23</v>
      </c>
      <c r="G5966" s="80" t="str">
        <f t="shared" si="104"/>
        <v/>
      </c>
      <c r="H5966" s="81"/>
      <c r="I5966" s="63"/>
      <c r="J5966" s="34">
        <v>0</v>
      </c>
    </row>
    <row r="5967" spans="1:10" ht="15.75" hidden="1" thickBot="1" x14ac:dyDescent="0.3">
      <c r="A5967" s="256" t="s">
        <v>1431</v>
      </c>
      <c r="B5967" s="251" t="s">
        <v>3219</v>
      </c>
      <c r="C5967" s="28"/>
      <c r="D5967" s="29" t="s">
        <v>121</v>
      </c>
      <c r="E5967" s="30"/>
      <c r="F5967" s="51" t="s">
        <v>23</v>
      </c>
      <c r="G5967" s="31" t="str">
        <f t="shared" si="104"/>
        <v/>
      </c>
      <c r="H5967" s="32"/>
      <c r="I5967" s="33"/>
      <c r="J5967" s="34">
        <v>0</v>
      </c>
    </row>
    <row r="5968" spans="1:10" ht="15.75" hidden="1" thickBot="1" x14ac:dyDescent="0.3">
      <c r="A5968" s="264"/>
      <c r="B5968" s="266"/>
      <c r="C5968" s="76"/>
      <c r="D5968" s="76"/>
      <c r="E5968" s="77"/>
      <c r="F5968" s="59" t="s">
        <v>23</v>
      </c>
      <c r="G5968" s="59" t="str">
        <f t="shared" si="104"/>
        <v/>
      </c>
      <c r="H5968" s="62"/>
      <c r="I5968" s="63"/>
      <c r="J5968" s="34">
        <v>0</v>
      </c>
    </row>
    <row r="5969" spans="1:10" ht="15.75" hidden="1" thickBot="1" x14ac:dyDescent="0.3">
      <c r="A5969" s="264"/>
      <c r="B5969" s="266"/>
      <c r="C5969" s="40" t="s">
        <v>4294</v>
      </c>
      <c r="D5969" s="40" t="s">
        <v>1286</v>
      </c>
      <c r="E5969" s="75">
        <v>1</v>
      </c>
      <c r="F5969" s="35">
        <v>12.444999999999999</v>
      </c>
      <c r="G5969" s="59">
        <f t="shared" si="104"/>
        <v>12.444999999999999</v>
      </c>
      <c r="H5969" s="43">
        <f>SUM(G5969:G5969)</f>
        <v>12.444999999999999</v>
      </c>
      <c r="I5969" s="44"/>
      <c r="J5969" s="34">
        <v>0</v>
      </c>
    </row>
    <row r="5970" spans="1:10" ht="15.75" hidden="1" thickBot="1" x14ac:dyDescent="0.3">
      <c r="A5970" s="265"/>
      <c r="B5970" s="253"/>
      <c r="C5970" s="60"/>
      <c r="D5970" s="78"/>
      <c r="E5970" s="79"/>
      <c r="F5970" s="80" t="s">
        <v>23</v>
      </c>
      <c r="G5970" s="80" t="str">
        <f t="shared" si="104"/>
        <v/>
      </c>
      <c r="H5970" s="81"/>
      <c r="I5970" s="63"/>
      <c r="J5970" s="34">
        <v>0</v>
      </c>
    </row>
    <row r="5971" spans="1:10" ht="15.75" hidden="1" thickBot="1" x14ac:dyDescent="0.3">
      <c r="A5971" s="256" t="s">
        <v>1432</v>
      </c>
      <c r="B5971" s="251" t="s">
        <v>3220</v>
      </c>
      <c r="C5971" s="28"/>
      <c r="D5971" s="29" t="s">
        <v>28</v>
      </c>
      <c r="E5971" s="30"/>
      <c r="F5971" s="51" t="s">
        <v>23</v>
      </c>
      <c r="G5971" s="31" t="str">
        <f t="shared" si="104"/>
        <v/>
      </c>
      <c r="H5971" s="32"/>
      <c r="I5971" s="33"/>
      <c r="J5971" s="34">
        <v>0</v>
      </c>
    </row>
    <row r="5972" spans="1:10" ht="15.75" hidden="1" thickBot="1" x14ac:dyDescent="0.3">
      <c r="A5972" s="264"/>
      <c r="B5972" s="266"/>
      <c r="C5972" s="76"/>
      <c r="D5972" s="76"/>
      <c r="E5972" s="77"/>
      <c r="F5972" s="59" t="s">
        <v>23</v>
      </c>
      <c r="G5972" s="59" t="str">
        <f t="shared" si="104"/>
        <v/>
      </c>
      <c r="H5972" s="62"/>
      <c r="I5972" s="63"/>
      <c r="J5972" s="34">
        <v>0</v>
      </c>
    </row>
    <row r="5973" spans="1:10" ht="15.75" hidden="1" thickBot="1" x14ac:dyDescent="0.3">
      <c r="A5973" s="264"/>
      <c r="B5973" s="266"/>
      <c r="C5973" s="40" t="s">
        <v>4295</v>
      </c>
      <c r="D5973" s="40" t="s">
        <v>291</v>
      </c>
      <c r="E5973" s="75">
        <v>1</v>
      </c>
      <c r="F5973" s="35">
        <v>4.8449999999999998</v>
      </c>
      <c r="G5973" s="59">
        <f t="shared" si="104"/>
        <v>4.8449999999999998</v>
      </c>
      <c r="H5973" s="43">
        <f>SUM(G5973:G5973)</f>
        <v>4.8449999999999998</v>
      </c>
      <c r="I5973" s="44"/>
      <c r="J5973" s="34">
        <v>0</v>
      </c>
    </row>
    <row r="5974" spans="1:10" ht="15.75" hidden="1" thickBot="1" x14ac:dyDescent="0.3">
      <c r="A5974" s="265"/>
      <c r="B5974" s="253"/>
      <c r="C5974" s="60"/>
      <c r="D5974" s="78"/>
      <c r="E5974" s="79"/>
      <c r="F5974" s="80" t="s">
        <v>23</v>
      </c>
      <c r="G5974" s="80" t="str">
        <f t="shared" si="104"/>
        <v/>
      </c>
      <c r="H5974" s="81"/>
      <c r="I5974" s="63"/>
      <c r="J5974" s="34">
        <v>0</v>
      </c>
    </row>
    <row r="5975" spans="1:10" ht="15.75" hidden="1" thickBot="1" x14ac:dyDescent="0.3">
      <c r="A5975" s="256" t="s">
        <v>1433</v>
      </c>
      <c r="B5975" s="251" t="s">
        <v>3221</v>
      </c>
      <c r="C5975" s="28"/>
      <c r="D5975" s="29" t="s">
        <v>28</v>
      </c>
      <c r="E5975" s="30"/>
      <c r="F5975" s="51" t="s">
        <v>23</v>
      </c>
      <c r="G5975" s="31" t="str">
        <f t="shared" si="104"/>
        <v/>
      </c>
      <c r="H5975" s="32"/>
      <c r="I5975" s="33"/>
      <c r="J5975" s="34">
        <v>0</v>
      </c>
    </row>
    <row r="5976" spans="1:10" ht="15.75" hidden="1" thickBot="1" x14ac:dyDescent="0.3">
      <c r="A5976" s="264"/>
      <c r="B5976" s="266"/>
      <c r="C5976" s="76"/>
      <c r="D5976" s="76"/>
      <c r="E5976" s="77"/>
      <c r="F5976" s="59" t="s">
        <v>23</v>
      </c>
      <c r="G5976" s="59" t="str">
        <f t="shared" si="104"/>
        <v/>
      </c>
      <c r="H5976" s="62"/>
      <c r="I5976" s="63"/>
      <c r="J5976" s="34">
        <v>0</v>
      </c>
    </row>
    <row r="5977" spans="1:10" ht="26.25" hidden="1" thickBot="1" x14ac:dyDescent="0.3">
      <c r="A5977" s="264"/>
      <c r="B5977" s="266"/>
      <c r="C5977" s="40" t="s">
        <v>4296</v>
      </c>
      <c r="D5977" s="40" t="s">
        <v>291</v>
      </c>
      <c r="E5977" s="75">
        <v>1</v>
      </c>
      <c r="F5977" s="35">
        <v>7.770999999999999</v>
      </c>
      <c r="G5977" s="59">
        <f t="shared" si="104"/>
        <v>7.770999999999999</v>
      </c>
      <c r="H5977" s="43">
        <f>SUM(G5977:G5977)</f>
        <v>7.770999999999999</v>
      </c>
      <c r="I5977" s="44"/>
      <c r="J5977" s="34">
        <v>0</v>
      </c>
    </row>
    <row r="5978" spans="1:10" ht="15.75" hidden="1" thickBot="1" x14ac:dyDescent="0.3">
      <c r="A5978" s="265"/>
      <c r="B5978" s="253"/>
      <c r="C5978" s="60"/>
      <c r="D5978" s="78"/>
      <c r="E5978" s="79"/>
      <c r="F5978" s="80" t="s">
        <v>23</v>
      </c>
      <c r="G5978" s="80" t="str">
        <f t="shared" si="104"/>
        <v/>
      </c>
      <c r="H5978" s="81"/>
      <c r="I5978" s="63"/>
      <c r="J5978" s="34">
        <v>0</v>
      </c>
    </row>
    <row r="5979" spans="1:10" ht="15.75" hidden="1" thickBot="1" x14ac:dyDescent="0.3">
      <c r="A5979" s="256" t="s">
        <v>1434</v>
      </c>
      <c r="B5979" s="251" t="s">
        <v>3222</v>
      </c>
      <c r="C5979" s="28"/>
      <c r="D5979" s="29" t="s">
        <v>121</v>
      </c>
      <c r="E5979" s="30"/>
      <c r="F5979" s="51" t="s">
        <v>23</v>
      </c>
      <c r="G5979" s="31" t="str">
        <f t="shared" si="104"/>
        <v/>
      </c>
      <c r="H5979" s="32"/>
      <c r="I5979" s="33"/>
      <c r="J5979" s="34">
        <v>0</v>
      </c>
    </row>
    <row r="5980" spans="1:10" ht="15.75" hidden="1" thickBot="1" x14ac:dyDescent="0.3">
      <c r="A5980" s="264"/>
      <c r="B5980" s="266"/>
      <c r="C5980" s="76"/>
      <c r="D5980" s="76"/>
      <c r="E5980" s="77"/>
      <c r="F5980" s="59" t="s">
        <v>23</v>
      </c>
      <c r="G5980" s="59" t="str">
        <f t="shared" si="104"/>
        <v/>
      </c>
      <c r="H5980" s="62"/>
      <c r="I5980" s="63"/>
      <c r="J5980" s="34">
        <v>0</v>
      </c>
    </row>
    <row r="5981" spans="1:10" ht="15.75" hidden="1" thickBot="1" x14ac:dyDescent="0.3">
      <c r="A5981" s="264"/>
      <c r="B5981" s="266"/>
      <c r="C5981" s="40" t="s">
        <v>4297</v>
      </c>
      <c r="D5981" s="40" t="s">
        <v>1286</v>
      </c>
      <c r="E5981" s="75">
        <v>1</v>
      </c>
      <c r="F5981" s="35">
        <v>20.329999999999998</v>
      </c>
      <c r="G5981" s="59">
        <f t="shared" si="104"/>
        <v>20.329999999999998</v>
      </c>
      <c r="H5981" s="43">
        <f>SUM(G5981:G5981)</f>
        <v>20.329999999999998</v>
      </c>
      <c r="I5981" s="44"/>
      <c r="J5981" s="34">
        <v>0</v>
      </c>
    </row>
    <row r="5982" spans="1:10" ht="15.75" hidden="1" thickBot="1" x14ac:dyDescent="0.3">
      <c r="A5982" s="265"/>
      <c r="B5982" s="253"/>
      <c r="C5982" s="60"/>
      <c r="D5982" s="78"/>
      <c r="E5982" s="79"/>
      <c r="F5982" s="80" t="s">
        <v>23</v>
      </c>
      <c r="G5982" s="80" t="str">
        <f t="shared" si="104"/>
        <v/>
      </c>
      <c r="H5982" s="81"/>
      <c r="I5982" s="63"/>
      <c r="J5982" s="34">
        <v>0</v>
      </c>
    </row>
    <row r="5983" spans="1:10" ht="15.75" hidden="1" thickBot="1" x14ac:dyDescent="0.3">
      <c r="A5983" s="256" t="s">
        <v>1435</v>
      </c>
      <c r="B5983" s="251" t="s">
        <v>3223</v>
      </c>
      <c r="C5983" s="28"/>
      <c r="D5983" s="29" t="s">
        <v>28</v>
      </c>
      <c r="E5983" s="30"/>
      <c r="F5983" s="51" t="s">
        <v>23</v>
      </c>
      <c r="G5983" s="31" t="str">
        <f t="shared" si="104"/>
        <v/>
      </c>
      <c r="H5983" s="32"/>
      <c r="I5983" s="33"/>
      <c r="J5983" s="34">
        <v>0</v>
      </c>
    </row>
    <row r="5984" spans="1:10" ht="15.75" hidden="1" thickBot="1" x14ac:dyDescent="0.3">
      <c r="A5984" s="264"/>
      <c r="B5984" s="266"/>
      <c r="C5984" s="76"/>
      <c r="D5984" s="76"/>
      <c r="E5984" s="77"/>
      <c r="F5984" s="59" t="s">
        <v>23</v>
      </c>
      <c r="G5984" s="59" t="str">
        <f t="shared" si="104"/>
        <v/>
      </c>
      <c r="H5984" s="62"/>
      <c r="I5984" s="63"/>
      <c r="J5984" s="34">
        <v>0</v>
      </c>
    </row>
    <row r="5985" spans="1:10" ht="15.75" hidden="1" thickBot="1" x14ac:dyDescent="0.3">
      <c r="A5985" s="264"/>
      <c r="B5985" s="266"/>
      <c r="C5985" s="40" t="s">
        <v>4298</v>
      </c>
      <c r="D5985" s="40" t="s">
        <v>291</v>
      </c>
      <c r="E5985" s="75">
        <v>1</v>
      </c>
      <c r="F5985" s="35">
        <v>7.0204999999999993</v>
      </c>
      <c r="G5985" s="59">
        <f t="shared" si="104"/>
        <v>7.0204999999999993</v>
      </c>
      <c r="H5985" s="43">
        <f>SUM(G5985:G5985)</f>
        <v>7.0204999999999993</v>
      </c>
      <c r="I5985" s="44"/>
      <c r="J5985" s="34">
        <v>0</v>
      </c>
    </row>
    <row r="5986" spans="1:10" ht="15.75" hidden="1" thickBot="1" x14ac:dyDescent="0.3">
      <c r="A5986" s="265"/>
      <c r="B5986" s="253"/>
      <c r="C5986" s="60"/>
      <c r="D5986" s="78"/>
      <c r="E5986" s="79"/>
      <c r="F5986" s="80" t="s">
        <v>23</v>
      </c>
      <c r="G5986" s="80" t="str">
        <f t="shared" si="104"/>
        <v/>
      </c>
      <c r="H5986" s="81"/>
      <c r="I5986" s="63"/>
      <c r="J5986" s="34">
        <v>0</v>
      </c>
    </row>
    <row r="5987" spans="1:10" ht="15.75" hidden="1" thickBot="1" x14ac:dyDescent="0.3">
      <c r="A5987" s="256" t="s">
        <v>1436</v>
      </c>
      <c r="B5987" s="251" t="s">
        <v>3224</v>
      </c>
      <c r="C5987" s="28"/>
      <c r="D5987" s="29" t="s">
        <v>28</v>
      </c>
      <c r="E5987" s="30"/>
      <c r="F5987" s="51" t="s">
        <v>23</v>
      </c>
      <c r="G5987" s="31" t="str">
        <f t="shared" si="104"/>
        <v/>
      </c>
      <c r="H5987" s="32"/>
      <c r="I5987" s="33"/>
      <c r="J5987" s="34">
        <v>0</v>
      </c>
    </row>
    <row r="5988" spans="1:10" ht="15.75" hidden="1" thickBot="1" x14ac:dyDescent="0.3">
      <c r="A5988" s="264"/>
      <c r="B5988" s="266"/>
      <c r="C5988" s="76"/>
      <c r="D5988" s="76"/>
      <c r="E5988" s="77"/>
      <c r="F5988" s="59" t="s">
        <v>23</v>
      </c>
      <c r="G5988" s="59" t="str">
        <f t="shared" si="104"/>
        <v/>
      </c>
      <c r="H5988" s="62"/>
      <c r="I5988" s="63"/>
      <c r="J5988" s="34">
        <v>0</v>
      </c>
    </row>
    <row r="5989" spans="1:10" ht="26.25" hidden="1" thickBot="1" x14ac:dyDescent="0.3">
      <c r="A5989" s="264"/>
      <c r="B5989" s="266"/>
      <c r="C5989" s="40" t="s">
        <v>4299</v>
      </c>
      <c r="D5989" s="40" t="s">
        <v>291</v>
      </c>
      <c r="E5989" s="75">
        <v>1</v>
      </c>
      <c r="F5989" s="35">
        <v>12.625499999999999</v>
      </c>
      <c r="G5989" s="59">
        <f t="shared" si="104"/>
        <v>12.625499999999999</v>
      </c>
      <c r="H5989" s="43">
        <f>SUM(G5989:G5989)</f>
        <v>12.625499999999999</v>
      </c>
      <c r="I5989" s="44"/>
      <c r="J5989" s="34">
        <v>0</v>
      </c>
    </row>
    <row r="5990" spans="1:10" ht="15.75" hidden="1" thickBot="1" x14ac:dyDescent="0.3">
      <c r="A5990" s="265"/>
      <c r="B5990" s="253"/>
      <c r="C5990" s="60"/>
      <c r="D5990" s="78"/>
      <c r="E5990" s="79"/>
      <c r="F5990" s="80" t="s">
        <v>23</v>
      </c>
      <c r="G5990" s="80" t="str">
        <f t="shared" si="104"/>
        <v/>
      </c>
      <c r="H5990" s="81"/>
      <c r="I5990" s="63"/>
      <c r="J5990" s="34">
        <v>0</v>
      </c>
    </row>
    <row r="5991" spans="1:10" ht="15.75" hidden="1" thickBot="1" x14ac:dyDescent="0.3">
      <c r="A5991" s="256" t="s">
        <v>1437</v>
      </c>
      <c r="B5991" s="251" t="s">
        <v>3225</v>
      </c>
      <c r="C5991" s="28"/>
      <c r="D5991" s="29" t="s">
        <v>121</v>
      </c>
      <c r="E5991" s="30"/>
      <c r="F5991" s="51" t="s">
        <v>23</v>
      </c>
      <c r="G5991" s="31" t="str">
        <f t="shared" si="104"/>
        <v/>
      </c>
      <c r="H5991" s="32"/>
      <c r="I5991" s="33"/>
      <c r="J5991" s="34">
        <v>0</v>
      </c>
    </row>
    <row r="5992" spans="1:10" ht="15.75" hidden="1" thickBot="1" x14ac:dyDescent="0.3">
      <c r="A5992" s="264"/>
      <c r="B5992" s="266"/>
      <c r="C5992" s="76"/>
      <c r="D5992" s="76"/>
      <c r="E5992" s="77"/>
      <c r="F5992" s="59" t="s">
        <v>23</v>
      </c>
      <c r="G5992" s="59" t="str">
        <f t="shared" si="104"/>
        <v/>
      </c>
      <c r="H5992" s="62"/>
      <c r="I5992" s="63"/>
      <c r="J5992" s="34">
        <v>0</v>
      </c>
    </row>
    <row r="5993" spans="1:10" ht="15.75" hidden="1" thickBot="1" x14ac:dyDescent="0.3">
      <c r="A5993" s="264"/>
      <c r="B5993" s="266"/>
      <c r="C5993" s="40" t="s">
        <v>4300</v>
      </c>
      <c r="D5993" s="40" t="s">
        <v>1286</v>
      </c>
      <c r="E5993" s="75">
        <v>1</v>
      </c>
      <c r="F5993" s="35">
        <v>37.201999999999998</v>
      </c>
      <c r="G5993" s="59">
        <f t="shared" si="104"/>
        <v>37.201999999999998</v>
      </c>
      <c r="H5993" s="43">
        <f>SUM(G5993:G5993)</f>
        <v>37.201999999999998</v>
      </c>
      <c r="I5993" s="44"/>
      <c r="J5993" s="34">
        <v>0</v>
      </c>
    </row>
    <row r="5994" spans="1:10" ht="15.75" hidden="1" thickBot="1" x14ac:dyDescent="0.3">
      <c r="A5994" s="265"/>
      <c r="B5994" s="253"/>
      <c r="C5994" s="60"/>
      <c r="D5994" s="78"/>
      <c r="E5994" s="79"/>
      <c r="F5994" s="80" t="s">
        <v>23</v>
      </c>
      <c r="G5994" s="80" t="str">
        <f t="shared" si="104"/>
        <v/>
      </c>
      <c r="H5994" s="81"/>
      <c r="I5994" s="63"/>
      <c r="J5994" s="34">
        <v>0</v>
      </c>
    </row>
    <row r="5995" spans="1:10" ht="15.75" hidden="1" thickBot="1" x14ac:dyDescent="0.3">
      <c r="A5995" s="256" t="s">
        <v>1438</v>
      </c>
      <c r="B5995" s="251" t="s">
        <v>3226</v>
      </c>
      <c r="C5995" s="28"/>
      <c r="D5995" s="29" t="s">
        <v>28</v>
      </c>
      <c r="E5995" s="30"/>
      <c r="F5995" s="51" t="s">
        <v>23</v>
      </c>
      <c r="G5995" s="31" t="str">
        <f t="shared" si="104"/>
        <v/>
      </c>
      <c r="H5995" s="32"/>
      <c r="I5995" s="33"/>
      <c r="J5995" s="34">
        <v>0</v>
      </c>
    </row>
    <row r="5996" spans="1:10" ht="15.75" hidden="1" thickBot="1" x14ac:dyDescent="0.3">
      <c r="A5996" s="264"/>
      <c r="B5996" s="266"/>
      <c r="C5996" s="76"/>
      <c r="D5996" s="76"/>
      <c r="E5996" s="77"/>
      <c r="F5996" s="59" t="s">
        <v>23</v>
      </c>
      <c r="G5996" s="59" t="str">
        <f t="shared" ref="G5996:G6059" si="105">IF(ISNUMBER(F5996),E5996*F5996,"")</f>
        <v/>
      </c>
      <c r="H5996" s="62"/>
      <c r="I5996" s="63"/>
      <c r="J5996" s="34">
        <v>0</v>
      </c>
    </row>
    <row r="5997" spans="1:10" ht="15.75" hidden="1" thickBot="1" x14ac:dyDescent="0.3">
      <c r="A5997" s="264"/>
      <c r="B5997" s="266"/>
      <c r="C5997" s="40" t="s">
        <v>4301</v>
      </c>
      <c r="D5997" s="40" t="s">
        <v>291</v>
      </c>
      <c r="E5997" s="75">
        <v>1</v>
      </c>
      <c r="F5997" s="35">
        <v>20.956999999999997</v>
      </c>
      <c r="G5997" s="59">
        <f t="shared" si="105"/>
        <v>20.956999999999997</v>
      </c>
      <c r="H5997" s="43">
        <f>SUM(G5997:G5997)</f>
        <v>20.956999999999997</v>
      </c>
      <c r="I5997" s="44"/>
      <c r="J5997" s="34">
        <v>0</v>
      </c>
    </row>
    <row r="5998" spans="1:10" ht="15.75" hidden="1" thickBot="1" x14ac:dyDescent="0.3">
      <c r="A5998" s="265"/>
      <c r="B5998" s="253"/>
      <c r="C5998" s="60"/>
      <c r="D5998" s="78"/>
      <c r="E5998" s="79"/>
      <c r="F5998" s="80" t="s">
        <v>23</v>
      </c>
      <c r="G5998" s="80" t="str">
        <f t="shared" si="105"/>
        <v/>
      </c>
      <c r="H5998" s="81"/>
      <c r="I5998" s="63"/>
      <c r="J5998" s="34">
        <v>0</v>
      </c>
    </row>
    <row r="5999" spans="1:10" ht="15.75" hidden="1" thickBot="1" x14ac:dyDescent="0.3">
      <c r="A5999" s="256" t="s">
        <v>1439</v>
      </c>
      <c r="B5999" s="251" t="s">
        <v>3227</v>
      </c>
      <c r="C5999" s="28"/>
      <c r="D5999" s="29" t="s">
        <v>28</v>
      </c>
      <c r="E5999" s="30"/>
      <c r="F5999" s="51" t="s">
        <v>23</v>
      </c>
      <c r="G5999" s="31" t="str">
        <f t="shared" si="105"/>
        <v/>
      </c>
      <c r="H5999" s="32"/>
      <c r="I5999" s="33"/>
      <c r="J5999" s="34">
        <v>0</v>
      </c>
    </row>
    <row r="6000" spans="1:10" ht="15.75" hidden="1" thickBot="1" x14ac:dyDescent="0.3">
      <c r="A6000" s="264"/>
      <c r="B6000" s="266"/>
      <c r="C6000" s="76"/>
      <c r="D6000" s="76"/>
      <c r="E6000" s="77"/>
      <c r="F6000" s="59" t="s">
        <v>23</v>
      </c>
      <c r="G6000" s="59" t="str">
        <f t="shared" si="105"/>
        <v/>
      </c>
      <c r="H6000" s="62"/>
      <c r="I6000" s="63"/>
      <c r="J6000" s="34">
        <v>0</v>
      </c>
    </row>
    <row r="6001" spans="1:10" ht="26.25" hidden="1" thickBot="1" x14ac:dyDescent="0.3">
      <c r="A6001" s="264"/>
      <c r="B6001" s="266"/>
      <c r="C6001" s="40" t="s">
        <v>4302</v>
      </c>
      <c r="D6001" s="40" t="s">
        <v>291</v>
      </c>
      <c r="E6001" s="75">
        <v>1</v>
      </c>
      <c r="F6001" s="35">
        <v>32.252499999999998</v>
      </c>
      <c r="G6001" s="59">
        <f t="shared" si="105"/>
        <v>32.252499999999998</v>
      </c>
      <c r="H6001" s="43">
        <f>SUM(G6001:G6001)</f>
        <v>32.252499999999998</v>
      </c>
      <c r="I6001" s="44"/>
      <c r="J6001" s="34">
        <v>0</v>
      </c>
    </row>
    <row r="6002" spans="1:10" ht="15.75" hidden="1" thickBot="1" x14ac:dyDescent="0.3">
      <c r="A6002" s="265"/>
      <c r="B6002" s="253"/>
      <c r="C6002" s="60"/>
      <c r="D6002" s="78"/>
      <c r="E6002" s="79"/>
      <c r="F6002" s="80" t="s">
        <v>23</v>
      </c>
      <c r="G6002" s="80" t="str">
        <f t="shared" si="105"/>
        <v/>
      </c>
      <c r="H6002" s="81"/>
      <c r="I6002" s="63"/>
      <c r="J6002" s="34">
        <v>0</v>
      </c>
    </row>
    <row r="6003" spans="1:10" ht="15.75" hidden="1" thickBot="1" x14ac:dyDescent="0.3">
      <c r="A6003" s="256" t="s">
        <v>1440</v>
      </c>
      <c r="B6003" s="251" t="s">
        <v>3228</v>
      </c>
      <c r="C6003" s="28"/>
      <c r="D6003" s="29" t="s">
        <v>28</v>
      </c>
      <c r="E6003" s="30"/>
      <c r="F6003" s="51" t="s">
        <v>23</v>
      </c>
      <c r="G6003" s="31" t="str">
        <f t="shared" si="105"/>
        <v/>
      </c>
      <c r="H6003" s="32"/>
      <c r="I6003" s="33"/>
      <c r="J6003" s="34">
        <v>0</v>
      </c>
    </row>
    <row r="6004" spans="1:10" ht="15.75" hidden="1" thickBot="1" x14ac:dyDescent="0.3">
      <c r="A6004" s="264"/>
      <c r="B6004" s="266"/>
      <c r="C6004" s="76"/>
      <c r="D6004" s="76"/>
      <c r="E6004" s="77"/>
      <c r="F6004" s="59" t="s">
        <v>23</v>
      </c>
      <c r="G6004" s="59" t="str">
        <f t="shared" si="105"/>
        <v/>
      </c>
      <c r="H6004" s="62"/>
      <c r="I6004" s="63"/>
      <c r="J6004" s="34">
        <v>0</v>
      </c>
    </row>
    <row r="6005" spans="1:10" ht="26.25" hidden="1" thickBot="1" x14ac:dyDescent="0.3">
      <c r="A6005" s="264"/>
      <c r="B6005" s="266"/>
      <c r="C6005" s="40" t="s">
        <v>1441</v>
      </c>
      <c r="D6005" s="99" t="s">
        <v>28</v>
      </c>
      <c r="E6005" s="75">
        <v>1</v>
      </c>
      <c r="F6005" s="35">
        <v>0</v>
      </c>
      <c r="G6005" s="59">
        <f t="shared" si="105"/>
        <v>0</v>
      </c>
      <c r="H6005" s="43">
        <f>SUM(G6005:G6005)</f>
        <v>0</v>
      </c>
      <c r="I6005" s="44"/>
      <c r="J6005" s="34">
        <v>0</v>
      </c>
    </row>
    <row r="6006" spans="1:10" ht="15.75" hidden="1" thickBot="1" x14ac:dyDescent="0.3">
      <c r="A6006" s="265"/>
      <c r="B6006" s="253"/>
      <c r="C6006" s="60"/>
      <c r="D6006" s="78"/>
      <c r="E6006" s="79"/>
      <c r="F6006" s="80" t="s">
        <v>23</v>
      </c>
      <c r="G6006" s="80" t="str">
        <f t="shared" si="105"/>
        <v/>
      </c>
      <c r="H6006" s="81"/>
      <c r="I6006" s="63"/>
      <c r="J6006" s="34">
        <v>0</v>
      </c>
    </row>
    <row r="6007" spans="1:10" ht="15.75" hidden="1" customHeight="1" thickBot="1" x14ac:dyDescent="0.3">
      <c r="A6007" s="256" t="s">
        <v>1442</v>
      </c>
      <c r="B6007" s="251" t="s">
        <v>3229</v>
      </c>
      <c r="C6007" s="28"/>
      <c r="D6007" s="29" t="s">
        <v>28</v>
      </c>
      <c r="E6007" s="30"/>
      <c r="F6007" s="51" t="s">
        <v>23</v>
      </c>
      <c r="G6007" s="31" t="str">
        <f t="shared" si="105"/>
        <v/>
      </c>
      <c r="H6007" s="32"/>
      <c r="I6007" s="33"/>
      <c r="J6007" s="34">
        <v>0</v>
      </c>
    </row>
    <row r="6008" spans="1:10" ht="15.75" hidden="1" thickBot="1" x14ac:dyDescent="0.3">
      <c r="A6008" s="264"/>
      <c r="B6008" s="266"/>
      <c r="C6008" s="76"/>
      <c r="D6008" s="76"/>
      <c r="E6008" s="77"/>
      <c r="F6008" s="59" t="s">
        <v>23</v>
      </c>
      <c r="G6008" s="59" t="str">
        <f t="shared" si="105"/>
        <v/>
      </c>
      <c r="H6008" s="62"/>
      <c r="I6008" s="63"/>
      <c r="J6008" s="34">
        <v>0</v>
      </c>
    </row>
    <row r="6009" spans="1:10" ht="26.25" hidden="1" thickBot="1" x14ac:dyDescent="0.3">
      <c r="A6009" s="264"/>
      <c r="B6009" s="266"/>
      <c r="C6009" s="40" t="s">
        <v>1443</v>
      </c>
      <c r="D6009" s="99" t="s">
        <v>28</v>
      </c>
      <c r="E6009" s="75">
        <v>1</v>
      </c>
      <c r="F6009" s="35">
        <v>0</v>
      </c>
      <c r="G6009" s="59">
        <f t="shared" si="105"/>
        <v>0</v>
      </c>
      <c r="H6009" s="43">
        <f>SUM(G6009:G6009)</f>
        <v>0</v>
      </c>
      <c r="I6009" s="44"/>
      <c r="J6009" s="34">
        <v>0</v>
      </c>
    </row>
    <row r="6010" spans="1:10" ht="15.75" hidden="1" thickBot="1" x14ac:dyDescent="0.3">
      <c r="A6010" s="265"/>
      <c r="B6010" s="253"/>
      <c r="C6010" s="60"/>
      <c r="D6010" s="78"/>
      <c r="E6010" s="79"/>
      <c r="F6010" s="80" t="s">
        <v>23</v>
      </c>
      <c r="G6010" s="80" t="str">
        <f t="shared" si="105"/>
        <v/>
      </c>
      <c r="H6010" s="81"/>
      <c r="I6010" s="63"/>
      <c r="J6010" s="34">
        <v>0</v>
      </c>
    </row>
    <row r="6011" spans="1:10" ht="15.75" hidden="1" customHeight="1" thickBot="1" x14ac:dyDescent="0.3">
      <c r="A6011" s="256" t="s">
        <v>1444</v>
      </c>
      <c r="B6011" s="251" t="s">
        <v>3230</v>
      </c>
      <c r="C6011" s="28"/>
      <c r="D6011" s="29" t="s">
        <v>28</v>
      </c>
      <c r="E6011" s="30"/>
      <c r="F6011" s="51" t="s">
        <v>23</v>
      </c>
      <c r="G6011" s="31" t="str">
        <f t="shared" si="105"/>
        <v/>
      </c>
      <c r="H6011" s="32"/>
      <c r="I6011" s="33"/>
      <c r="J6011" s="34">
        <v>0</v>
      </c>
    </row>
    <row r="6012" spans="1:10" ht="15.75" hidden="1" thickBot="1" x14ac:dyDescent="0.3">
      <c r="A6012" s="264"/>
      <c r="B6012" s="266"/>
      <c r="C6012" s="76"/>
      <c r="D6012" s="76"/>
      <c r="E6012" s="77"/>
      <c r="F6012" s="59" t="s">
        <v>23</v>
      </c>
      <c r="G6012" s="59" t="str">
        <f t="shared" si="105"/>
        <v/>
      </c>
      <c r="H6012" s="62"/>
      <c r="I6012" s="63"/>
      <c r="J6012" s="34">
        <v>0</v>
      </c>
    </row>
    <row r="6013" spans="1:10" ht="26.25" hidden="1" thickBot="1" x14ac:dyDescent="0.3">
      <c r="A6013" s="264"/>
      <c r="B6013" s="266"/>
      <c r="C6013" s="40" t="s">
        <v>1445</v>
      </c>
      <c r="D6013" s="99" t="s">
        <v>28</v>
      </c>
      <c r="E6013" s="75">
        <v>1</v>
      </c>
      <c r="F6013" s="35">
        <v>0</v>
      </c>
      <c r="G6013" s="59">
        <f t="shared" si="105"/>
        <v>0</v>
      </c>
      <c r="H6013" s="43">
        <f>SUM(G6013:G6013)</f>
        <v>0</v>
      </c>
      <c r="I6013" s="44"/>
      <c r="J6013" s="34">
        <v>0</v>
      </c>
    </row>
    <row r="6014" spans="1:10" ht="15.75" hidden="1" thickBot="1" x14ac:dyDescent="0.3">
      <c r="A6014" s="265"/>
      <c r="B6014" s="253"/>
      <c r="C6014" s="60"/>
      <c r="D6014" s="78"/>
      <c r="E6014" s="79"/>
      <c r="F6014" s="80" t="s">
        <v>23</v>
      </c>
      <c r="G6014" s="80" t="str">
        <f t="shared" si="105"/>
        <v/>
      </c>
      <c r="H6014" s="81"/>
      <c r="I6014" s="63"/>
      <c r="J6014" s="34">
        <v>0</v>
      </c>
    </row>
    <row r="6015" spans="1:10" ht="15.75" hidden="1" thickBot="1" x14ac:dyDescent="0.3">
      <c r="A6015" s="256" t="s">
        <v>1446</v>
      </c>
      <c r="B6015" s="251" t="s">
        <v>3231</v>
      </c>
      <c r="C6015" s="28"/>
      <c r="D6015" s="29" t="s">
        <v>28</v>
      </c>
      <c r="E6015" s="30"/>
      <c r="F6015" s="51" t="s">
        <v>23</v>
      </c>
      <c r="G6015" s="31" t="str">
        <f t="shared" si="105"/>
        <v/>
      </c>
      <c r="H6015" s="32"/>
      <c r="I6015" s="33"/>
      <c r="J6015" s="34">
        <v>0</v>
      </c>
    </row>
    <row r="6016" spans="1:10" ht="15.75" hidden="1" thickBot="1" x14ac:dyDescent="0.3">
      <c r="A6016" s="264"/>
      <c r="B6016" s="266"/>
      <c r="C6016" s="76"/>
      <c r="D6016" s="76"/>
      <c r="E6016" s="77"/>
      <c r="F6016" s="59" t="s">
        <v>23</v>
      </c>
      <c r="G6016" s="59" t="str">
        <f t="shared" si="105"/>
        <v/>
      </c>
      <c r="H6016" s="62"/>
      <c r="I6016" s="63"/>
      <c r="J6016" s="34">
        <v>0</v>
      </c>
    </row>
    <row r="6017" spans="1:10" ht="26.25" hidden="1" thickBot="1" x14ac:dyDescent="0.3">
      <c r="A6017" s="264"/>
      <c r="B6017" s="266"/>
      <c r="C6017" s="40" t="s">
        <v>1447</v>
      </c>
      <c r="D6017" s="99" t="s">
        <v>28</v>
      </c>
      <c r="E6017" s="75">
        <v>1</v>
      </c>
      <c r="F6017" s="35">
        <v>0</v>
      </c>
      <c r="G6017" s="59">
        <f t="shared" si="105"/>
        <v>0</v>
      </c>
      <c r="H6017" s="43">
        <f>SUM(G6017:G6017)</f>
        <v>0</v>
      </c>
      <c r="I6017" s="44"/>
      <c r="J6017" s="34">
        <v>0</v>
      </c>
    </row>
    <row r="6018" spans="1:10" ht="15.75" hidden="1" thickBot="1" x14ac:dyDescent="0.3">
      <c r="A6018" s="265"/>
      <c r="B6018" s="253"/>
      <c r="C6018" s="60"/>
      <c r="D6018" s="78"/>
      <c r="E6018" s="79"/>
      <c r="F6018" s="80" t="s">
        <v>23</v>
      </c>
      <c r="G6018" s="80" t="str">
        <f t="shared" si="105"/>
        <v/>
      </c>
      <c r="H6018" s="81"/>
      <c r="I6018" s="63"/>
      <c r="J6018" s="34">
        <v>0</v>
      </c>
    </row>
    <row r="6019" spans="1:10" ht="15.75" hidden="1" thickBot="1" x14ac:dyDescent="0.3">
      <c r="A6019" s="256" t="s">
        <v>1448</v>
      </c>
      <c r="B6019" s="251" t="s">
        <v>3232</v>
      </c>
      <c r="C6019" s="28"/>
      <c r="D6019" s="29" t="s">
        <v>28</v>
      </c>
      <c r="E6019" s="30"/>
      <c r="F6019" s="51" t="s">
        <v>23</v>
      </c>
      <c r="G6019" s="31" t="str">
        <f t="shared" si="105"/>
        <v/>
      </c>
      <c r="H6019" s="32"/>
      <c r="I6019" s="33"/>
      <c r="J6019" s="34">
        <v>0</v>
      </c>
    </row>
    <row r="6020" spans="1:10" ht="15.75" hidden="1" thickBot="1" x14ac:dyDescent="0.3">
      <c r="A6020" s="264"/>
      <c r="B6020" s="266"/>
      <c r="C6020" s="76"/>
      <c r="D6020" s="76"/>
      <c r="E6020" s="77"/>
      <c r="F6020" s="59" t="s">
        <v>23</v>
      </c>
      <c r="G6020" s="59" t="str">
        <f t="shared" si="105"/>
        <v/>
      </c>
      <c r="H6020" s="62"/>
      <c r="I6020" s="63"/>
      <c r="J6020" s="34">
        <v>0</v>
      </c>
    </row>
    <row r="6021" spans="1:10" ht="15.75" hidden="1" thickBot="1" x14ac:dyDescent="0.3">
      <c r="A6021" s="264"/>
      <c r="B6021" s="266"/>
      <c r="C6021" s="40" t="s">
        <v>1449</v>
      </c>
      <c r="D6021" s="99" t="s">
        <v>28</v>
      </c>
      <c r="E6021" s="75">
        <v>1</v>
      </c>
      <c r="F6021" s="35">
        <v>0</v>
      </c>
      <c r="G6021" s="59">
        <f t="shared" si="105"/>
        <v>0</v>
      </c>
      <c r="H6021" s="43">
        <f>SUM(G6021:G6021)</f>
        <v>0</v>
      </c>
      <c r="I6021" s="44"/>
      <c r="J6021" s="34">
        <v>0</v>
      </c>
    </row>
    <row r="6022" spans="1:10" ht="15.75" hidden="1" thickBot="1" x14ac:dyDescent="0.3">
      <c r="A6022" s="265"/>
      <c r="B6022" s="253"/>
      <c r="C6022" s="60"/>
      <c r="D6022" s="78"/>
      <c r="E6022" s="79"/>
      <c r="F6022" s="80" t="s">
        <v>23</v>
      </c>
      <c r="G6022" s="80" t="str">
        <f t="shared" si="105"/>
        <v/>
      </c>
      <c r="H6022" s="81"/>
      <c r="I6022" s="63"/>
      <c r="J6022" s="34">
        <v>0</v>
      </c>
    </row>
    <row r="6023" spans="1:10" ht="15.75" hidden="1" thickBot="1" x14ac:dyDescent="0.3">
      <c r="A6023" s="256" t="s">
        <v>1450</v>
      </c>
      <c r="B6023" s="251" t="s">
        <v>3233</v>
      </c>
      <c r="C6023" s="28"/>
      <c r="D6023" s="29" t="s">
        <v>28</v>
      </c>
      <c r="E6023" s="30"/>
      <c r="F6023" s="51" t="s">
        <v>23</v>
      </c>
      <c r="G6023" s="31" t="str">
        <f t="shared" si="105"/>
        <v/>
      </c>
      <c r="H6023" s="32"/>
      <c r="I6023" s="33"/>
      <c r="J6023" s="34">
        <v>0</v>
      </c>
    </row>
    <row r="6024" spans="1:10" ht="15.75" hidden="1" thickBot="1" x14ac:dyDescent="0.3">
      <c r="A6024" s="264"/>
      <c r="B6024" s="266"/>
      <c r="C6024" s="76"/>
      <c r="D6024" s="76"/>
      <c r="E6024" s="77"/>
      <c r="F6024" s="59" t="s">
        <v>23</v>
      </c>
      <c r="G6024" s="59" t="str">
        <f t="shared" si="105"/>
        <v/>
      </c>
      <c r="H6024" s="62"/>
      <c r="I6024" s="63"/>
      <c r="J6024" s="34">
        <v>0</v>
      </c>
    </row>
    <row r="6025" spans="1:10" ht="15.75" hidden="1" thickBot="1" x14ac:dyDescent="0.3">
      <c r="A6025" s="264"/>
      <c r="B6025" s="266"/>
      <c r="C6025" s="40" t="s">
        <v>1451</v>
      </c>
      <c r="D6025" s="99" t="s">
        <v>28</v>
      </c>
      <c r="E6025" s="75">
        <v>1</v>
      </c>
      <c r="F6025" s="35">
        <v>0</v>
      </c>
      <c r="G6025" s="59">
        <f t="shared" si="105"/>
        <v>0</v>
      </c>
      <c r="H6025" s="43">
        <f>SUM(G6025:G6025)</f>
        <v>0</v>
      </c>
      <c r="I6025" s="44"/>
      <c r="J6025" s="34">
        <v>0</v>
      </c>
    </row>
    <row r="6026" spans="1:10" ht="15.75" hidden="1" thickBot="1" x14ac:dyDescent="0.3">
      <c r="A6026" s="265"/>
      <c r="B6026" s="253"/>
      <c r="C6026" s="60"/>
      <c r="D6026" s="78"/>
      <c r="E6026" s="79"/>
      <c r="F6026" s="80" t="s">
        <v>23</v>
      </c>
      <c r="G6026" s="80" t="str">
        <f t="shared" si="105"/>
        <v/>
      </c>
      <c r="H6026" s="81"/>
      <c r="I6026" s="63"/>
      <c r="J6026" s="34">
        <v>0</v>
      </c>
    </row>
    <row r="6027" spans="1:10" ht="15.75" hidden="1" thickBot="1" x14ac:dyDescent="0.3">
      <c r="A6027" s="256" t="s">
        <v>1452</v>
      </c>
      <c r="B6027" s="251" t="s">
        <v>3234</v>
      </c>
      <c r="C6027" s="28"/>
      <c r="D6027" s="29" t="s">
        <v>28</v>
      </c>
      <c r="E6027" s="30"/>
      <c r="F6027" s="51" t="s">
        <v>23</v>
      </c>
      <c r="G6027" s="31" t="str">
        <f t="shared" si="105"/>
        <v/>
      </c>
      <c r="H6027" s="32"/>
      <c r="I6027" s="33"/>
      <c r="J6027" s="34">
        <v>0</v>
      </c>
    </row>
    <row r="6028" spans="1:10" ht="15.75" hidden="1" thickBot="1" x14ac:dyDescent="0.3">
      <c r="A6028" s="264"/>
      <c r="B6028" s="266"/>
      <c r="C6028" s="76"/>
      <c r="D6028" s="76"/>
      <c r="E6028" s="77"/>
      <c r="F6028" s="59" t="s">
        <v>23</v>
      </c>
      <c r="G6028" s="59" t="str">
        <f t="shared" si="105"/>
        <v/>
      </c>
      <c r="H6028" s="62"/>
      <c r="I6028" s="63"/>
      <c r="J6028" s="34">
        <v>0</v>
      </c>
    </row>
    <row r="6029" spans="1:10" ht="15.75" hidden="1" thickBot="1" x14ac:dyDescent="0.3">
      <c r="A6029" s="264"/>
      <c r="B6029" s="266"/>
      <c r="C6029" s="40" t="s">
        <v>1453</v>
      </c>
      <c r="D6029" s="99" t="s">
        <v>28</v>
      </c>
      <c r="E6029" s="75">
        <v>1</v>
      </c>
      <c r="F6029" s="35">
        <v>0</v>
      </c>
      <c r="G6029" s="59">
        <f t="shared" si="105"/>
        <v>0</v>
      </c>
      <c r="H6029" s="43">
        <f>SUM(G6029:G6029)</f>
        <v>0</v>
      </c>
      <c r="I6029" s="44"/>
      <c r="J6029" s="34">
        <v>0</v>
      </c>
    </row>
    <row r="6030" spans="1:10" ht="15.75" hidden="1" thickBot="1" x14ac:dyDescent="0.3">
      <c r="A6030" s="265"/>
      <c r="B6030" s="253"/>
      <c r="C6030" s="60"/>
      <c r="D6030" s="78"/>
      <c r="E6030" s="79"/>
      <c r="F6030" s="80" t="s">
        <v>23</v>
      </c>
      <c r="G6030" s="80" t="str">
        <f t="shared" si="105"/>
        <v/>
      </c>
      <c r="H6030" s="81"/>
      <c r="I6030" s="63"/>
      <c r="J6030" s="34">
        <v>0</v>
      </c>
    </row>
    <row r="6031" spans="1:10" ht="15.75" hidden="1" thickBot="1" x14ac:dyDescent="0.3">
      <c r="A6031" s="256" t="s">
        <v>1454</v>
      </c>
      <c r="B6031" s="251" t="s">
        <v>3235</v>
      </c>
      <c r="C6031" s="28"/>
      <c r="D6031" s="29" t="s">
        <v>28</v>
      </c>
      <c r="E6031" s="30"/>
      <c r="F6031" s="51" t="s">
        <v>23</v>
      </c>
      <c r="G6031" s="31" t="str">
        <f t="shared" si="105"/>
        <v/>
      </c>
      <c r="H6031" s="32"/>
      <c r="I6031" s="33"/>
      <c r="J6031" s="34">
        <v>0</v>
      </c>
    </row>
    <row r="6032" spans="1:10" ht="15.75" hidden="1" thickBot="1" x14ac:dyDescent="0.3">
      <c r="A6032" s="264"/>
      <c r="B6032" s="266"/>
      <c r="C6032" s="76"/>
      <c r="D6032" s="76"/>
      <c r="E6032" s="77"/>
      <c r="F6032" s="59" t="s">
        <v>23</v>
      </c>
      <c r="G6032" s="59" t="str">
        <f t="shared" si="105"/>
        <v/>
      </c>
      <c r="H6032" s="62"/>
      <c r="I6032" s="63"/>
      <c r="J6032" s="34">
        <v>0</v>
      </c>
    </row>
    <row r="6033" spans="1:10" ht="15.75" hidden="1" thickBot="1" x14ac:dyDescent="0.3">
      <c r="A6033" s="264"/>
      <c r="B6033" s="266"/>
      <c r="C6033" s="40" t="s">
        <v>1455</v>
      </c>
      <c r="D6033" s="99" t="s">
        <v>28</v>
      </c>
      <c r="E6033" s="75">
        <v>1</v>
      </c>
      <c r="F6033" s="35">
        <v>0</v>
      </c>
      <c r="G6033" s="59">
        <f t="shared" si="105"/>
        <v>0</v>
      </c>
      <c r="H6033" s="43">
        <f>SUM(G6033:G6033)</f>
        <v>0</v>
      </c>
      <c r="I6033" s="44"/>
      <c r="J6033" s="34">
        <v>0</v>
      </c>
    </row>
    <row r="6034" spans="1:10" ht="15.75" hidden="1" thickBot="1" x14ac:dyDescent="0.3">
      <c r="A6034" s="265"/>
      <c r="B6034" s="253"/>
      <c r="C6034" s="60"/>
      <c r="D6034" s="78"/>
      <c r="E6034" s="79"/>
      <c r="F6034" s="80" t="s">
        <v>23</v>
      </c>
      <c r="G6034" s="80" t="str">
        <f t="shared" si="105"/>
        <v/>
      </c>
      <c r="H6034" s="81"/>
      <c r="I6034" s="63"/>
      <c r="J6034" s="34">
        <v>0</v>
      </c>
    </row>
    <row r="6035" spans="1:10" ht="15.75" hidden="1" thickBot="1" x14ac:dyDescent="0.3">
      <c r="A6035" s="256" t="s">
        <v>1456</v>
      </c>
      <c r="B6035" s="251" t="s">
        <v>3236</v>
      </c>
      <c r="C6035" s="28"/>
      <c r="D6035" s="29" t="s">
        <v>28</v>
      </c>
      <c r="E6035" s="30"/>
      <c r="F6035" s="51" t="s">
        <v>23</v>
      </c>
      <c r="G6035" s="31" t="str">
        <f t="shared" si="105"/>
        <v/>
      </c>
      <c r="H6035" s="32"/>
      <c r="I6035" s="33"/>
      <c r="J6035" s="34">
        <v>0</v>
      </c>
    </row>
    <row r="6036" spans="1:10" ht="15.75" hidden="1" thickBot="1" x14ac:dyDescent="0.3">
      <c r="A6036" s="264"/>
      <c r="B6036" s="266"/>
      <c r="C6036" s="76"/>
      <c r="D6036" s="76"/>
      <c r="E6036" s="77"/>
      <c r="F6036" s="59" t="s">
        <v>23</v>
      </c>
      <c r="G6036" s="59" t="str">
        <f t="shared" si="105"/>
        <v/>
      </c>
      <c r="H6036" s="62"/>
      <c r="I6036" s="63"/>
      <c r="J6036" s="34">
        <v>0</v>
      </c>
    </row>
    <row r="6037" spans="1:10" ht="26.25" hidden="1" thickBot="1" x14ac:dyDescent="0.3">
      <c r="A6037" s="264"/>
      <c r="B6037" s="266"/>
      <c r="C6037" s="40" t="s">
        <v>4303</v>
      </c>
      <c r="D6037" s="40" t="s">
        <v>291</v>
      </c>
      <c r="E6037" s="75">
        <v>1</v>
      </c>
      <c r="F6037" s="35">
        <v>8.0845000000000002</v>
      </c>
      <c r="G6037" s="59">
        <f t="shared" si="105"/>
        <v>8.0845000000000002</v>
      </c>
      <c r="H6037" s="43">
        <f>SUM(G6037:G6037)</f>
        <v>8.0845000000000002</v>
      </c>
      <c r="I6037" s="44"/>
      <c r="J6037" s="34">
        <v>0</v>
      </c>
    </row>
    <row r="6038" spans="1:10" ht="15.75" hidden="1" thickBot="1" x14ac:dyDescent="0.3">
      <c r="A6038" s="265"/>
      <c r="B6038" s="253"/>
      <c r="C6038" s="60"/>
      <c r="D6038" s="78"/>
      <c r="E6038" s="79"/>
      <c r="F6038" s="80" t="s">
        <v>23</v>
      </c>
      <c r="G6038" s="80" t="str">
        <f t="shared" si="105"/>
        <v/>
      </c>
      <c r="H6038" s="81"/>
      <c r="I6038" s="63"/>
      <c r="J6038" s="34">
        <v>0</v>
      </c>
    </row>
    <row r="6039" spans="1:10" ht="15.75" hidden="1" thickBot="1" x14ac:dyDescent="0.3">
      <c r="A6039" s="256" t="s">
        <v>1457</v>
      </c>
      <c r="B6039" s="251" t="s">
        <v>3238</v>
      </c>
      <c r="C6039" s="28"/>
      <c r="D6039" s="29" t="s">
        <v>28</v>
      </c>
      <c r="E6039" s="30"/>
      <c r="F6039" s="51" t="s">
        <v>23</v>
      </c>
      <c r="G6039" s="31" t="str">
        <f t="shared" si="105"/>
        <v/>
      </c>
      <c r="H6039" s="32"/>
      <c r="I6039" s="33"/>
      <c r="J6039" s="34">
        <v>0</v>
      </c>
    </row>
    <row r="6040" spans="1:10" ht="15.75" hidden="1" thickBot="1" x14ac:dyDescent="0.3">
      <c r="A6040" s="264"/>
      <c r="B6040" s="266"/>
      <c r="C6040" s="76"/>
      <c r="D6040" s="76"/>
      <c r="E6040" s="77"/>
      <c r="F6040" s="59" t="s">
        <v>23</v>
      </c>
      <c r="G6040" s="59" t="str">
        <f t="shared" si="105"/>
        <v/>
      </c>
      <c r="H6040" s="62"/>
      <c r="I6040" s="63"/>
      <c r="J6040" s="34">
        <v>0</v>
      </c>
    </row>
    <row r="6041" spans="1:10" ht="26.25" hidden="1" thickBot="1" x14ac:dyDescent="0.3">
      <c r="A6041" s="264"/>
      <c r="B6041" s="266"/>
      <c r="C6041" s="40" t="s">
        <v>4304</v>
      </c>
      <c r="D6041" s="40" t="s">
        <v>291</v>
      </c>
      <c r="E6041" s="75">
        <v>1</v>
      </c>
      <c r="F6041" s="35">
        <v>474.82899999999995</v>
      </c>
      <c r="G6041" s="59">
        <f t="shared" si="105"/>
        <v>474.82899999999995</v>
      </c>
      <c r="H6041" s="43">
        <f>SUM(G6041:G6041)</f>
        <v>474.82899999999995</v>
      </c>
      <c r="I6041" s="44"/>
      <c r="J6041" s="34">
        <v>0</v>
      </c>
    </row>
    <row r="6042" spans="1:10" ht="15.75" hidden="1" thickBot="1" x14ac:dyDescent="0.3">
      <c r="A6042" s="265"/>
      <c r="B6042" s="253"/>
      <c r="C6042" s="60"/>
      <c r="D6042" s="78"/>
      <c r="E6042" s="79"/>
      <c r="F6042" s="80" t="s">
        <v>23</v>
      </c>
      <c r="G6042" s="80" t="str">
        <f t="shared" si="105"/>
        <v/>
      </c>
      <c r="H6042" s="81"/>
      <c r="I6042" s="63"/>
      <c r="J6042" s="34">
        <v>0</v>
      </c>
    </row>
    <row r="6043" spans="1:10" ht="15.75" hidden="1" thickBot="1" x14ac:dyDescent="0.3">
      <c r="A6043" s="256" t="s">
        <v>1458</v>
      </c>
      <c r="B6043" s="251" t="s">
        <v>3239</v>
      </c>
      <c r="C6043" s="28"/>
      <c r="D6043" s="29" t="s">
        <v>28</v>
      </c>
      <c r="E6043" s="30"/>
      <c r="F6043" s="51" t="s">
        <v>23</v>
      </c>
      <c r="G6043" s="31" t="str">
        <f t="shared" si="105"/>
        <v/>
      </c>
      <c r="H6043" s="32"/>
      <c r="I6043" s="33"/>
      <c r="J6043" s="34">
        <v>0</v>
      </c>
    </row>
    <row r="6044" spans="1:10" ht="15.75" hidden="1" thickBot="1" x14ac:dyDescent="0.3">
      <c r="A6044" s="264"/>
      <c r="B6044" s="266"/>
      <c r="C6044" s="76"/>
      <c r="D6044" s="76"/>
      <c r="E6044" s="77"/>
      <c r="F6044" s="59" t="s">
        <v>23</v>
      </c>
      <c r="G6044" s="59" t="str">
        <f t="shared" si="105"/>
        <v/>
      </c>
      <c r="H6044" s="62"/>
      <c r="I6044" s="63"/>
      <c r="J6044" s="34">
        <v>0</v>
      </c>
    </row>
    <row r="6045" spans="1:10" ht="26.25" hidden="1" thickBot="1" x14ac:dyDescent="0.3">
      <c r="A6045" s="264"/>
      <c r="B6045" s="266"/>
      <c r="C6045" s="40" t="s">
        <v>4305</v>
      </c>
      <c r="D6045" s="40" t="s">
        <v>291</v>
      </c>
      <c r="E6045" s="75">
        <v>1</v>
      </c>
      <c r="F6045" s="35">
        <v>1842.981</v>
      </c>
      <c r="G6045" s="59">
        <f t="shared" si="105"/>
        <v>1842.981</v>
      </c>
      <c r="H6045" s="43">
        <f>SUM(G6045:G6045)</f>
        <v>1842.981</v>
      </c>
      <c r="I6045" s="44"/>
      <c r="J6045" s="34">
        <v>0</v>
      </c>
    </row>
    <row r="6046" spans="1:10" ht="15.75" hidden="1" thickBot="1" x14ac:dyDescent="0.3">
      <c r="A6046" s="265"/>
      <c r="B6046" s="253"/>
      <c r="C6046" s="60"/>
      <c r="D6046" s="78"/>
      <c r="E6046" s="79"/>
      <c r="F6046" s="80" t="s">
        <v>23</v>
      </c>
      <c r="G6046" s="80" t="str">
        <f t="shared" si="105"/>
        <v/>
      </c>
      <c r="H6046" s="81"/>
      <c r="I6046" s="63"/>
      <c r="J6046" s="34">
        <v>0</v>
      </c>
    </row>
    <row r="6047" spans="1:10" ht="15.75" hidden="1" thickBot="1" x14ac:dyDescent="0.3">
      <c r="A6047" s="256" t="s">
        <v>1459</v>
      </c>
      <c r="B6047" s="251" t="s">
        <v>3240</v>
      </c>
      <c r="C6047" s="28"/>
      <c r="D6047" s="29" t="s">
        <v>28</v>
      </c>
      <c r="E6047" s="30"/>
      <c r="F6047" s="51" t="s">
        <v>23</v>
      </c>
      <c r="G6047" s="31" t="str">
        <f t="shared" si="105"/>
        <v/>
      </c>
      <c r="H6047" s="32"/>
      <c r="I6047" s="33"/>
      <c r="J6047" s="34">
        <v>0</v>
      </c>
    </row>
    <row r="6048" spans="1:10" ht="15.75" hidden="1" thickBot="1" x14ac:dyDescent="0.3">
      <c r="A6048" s="264"/>
      <c r="B6048" s="266"/>
      <c r="C6048" s="76"/>
      <c r="D6048" s="76"/>
      <c r="E6048" s="77"/>
      <c r="F6048" s="59" t="s">
        <v>23</v>
      </c>
      <c r="G6048" s="59" t="str">
        <f t="shared" si="105"/>
        <v/>
      </c>
      <c r="H6048" s="62"/>
      <c r="I6048" s="63"/>
      <c r="J6048" s="34">
        <v>0</v>
      </c>
    </row>
    <row r="6049" spans="1:10" ht="26.25" hidden="1" thickBot="1" x14ac:dyDescent="0.3">
      <c r="A6049" s="264"/>
      <c r="B6049" s="266"/>
      <c r="C6049" s="40" t="s">
        <v>4306</v>
      </c>
      <c r="D6049" s="40" t="s">
        <v>291</v>
      </c>
      <c r="E6049" s="75">
        <v>1</v>
      </c>
      <c r="F6049" s="35">
        <v>2170.123</v>
      </c>
      <c r="G6049" s="59">
        <f t="shared" si="105"/>
        <v>2170.123</v>
      </c>
      <c r="H6049" s="43">
        <f>SUM(G6049:G6049)</f>
        <v>2170.123</v>
      </c>
      <c r="I6049" s="44"/>
      <c r="J6049" s="34">
        <v>0</v>
      </c>
    </row>
    <row r="6050" spans="1:10" ht="15.75" hidden="1" thickBot="1" x14ac:dyDescent="0.3">
      <c r="A6050" s="265"/>
      <c r="B6050" s="253"/>
      <c r="C6050" s="60"/>
      <c r="D6050" s="78"/>
      <c r="E6050" s="79"/>
      <c r="F6050" s="80" t="s">
        <v>23</v>
      </c>
      <c r="G6050" s="80" t="str">
        <f t="shared" si="105"/>
        <v/>
      </c>
      <c r="H6050" s="81"/>
      <c r="I6050" s="63"/>
      <c r="J6050" s="34">
        <v>0</v>
      </c>
    </row>
    <row r="6051" spans="1:10" ht="15.75" hidden="1" thickBot="1" x14ac:dyDescent="0.3">
      <c r="A6051" s="256" t="s">
        <v>1460</v>
      </c>
      <c r="B6051" s="251" t="s">
        <v>3241</v>
      </c>
      <c r="C6051" s="28"/>
      <c r="D6051" s="29" t="s">
        <v>28</v>
      </c>
      <c r="E6051" s="30"/>
      <c r="F6051" s="51" t="s">
        <v>23</v>
      </c>
      <c r="G6051" s="31" t="str">
        <f t="shared" si="105"/>
        <v/>
      </c>
      <c r="H6051" s="32"/>
      <c r="I6051" s="33"/>
      <c r="J6051" s="34">
        <v>0</v>
      </c>
    </row>
    <row r="6052" spans="1:10" ht="15.75" hidden="1" thickBot="1" x14ac:dyDescent="0.3">
      <c r="A6052" s="264"/>
      <c r="B6052" s="266"/>
      <c r="C6052" s="76"/>
      <c r="D6052" s="76"/>
      <c r="E6052" s="77"/>
      <c r="F6052" s="59" t="s">
        <v>23</v>
      </c>
      <c r="G6052" s="59" t="str">
        <f t="shared" si="105"/>
        <v/>
      </c>
      <c r="H6052" s="62"/>
      <c r="I6052" s="63"/>
      <c r="J6052" s="34">
        <v>0</v>
      </c>
    </row>
    <row r="6053" spans="1:10" ht="15.75" hidden="1" thickBot="1" x14ac:dyDescent="0.3">
      <c r="A6053" s="264"/>
      <c r="B6053" s="266"/>
      <c r="C6053" s="40" t="s">
        <v>4307</v>
      </c>
      <c r="D6053" s="40" t="s">
        <v>291</v>
      </c>
      <c r="E6053" s="75">
        <v>1</v>
      </c>
      <c r="F6053" s="35">
        <v>35.8245</v>
      </c>
      <c r="G6053" s="59">
        <f t="shared" si="105"/>
        <v>35.8245</v>
      </c>
      <c r="H6053" s="43">
        <f>SUM(G6053:G6053)</f>
        <v>35.8245</v>
      </c>
      <c r="I6053" s="44"/>
      <c r="J6053" s="34">
        <v>0</v>
      </c>
    </row>
    <row r="6054" spans="1:10" ht="15.75" hidden="1" thickBot="1" x14ac:dyDescent="0.3">
      <c r="A6054" s="265"/>
      <c r="B6054" s="253"/>
      <c r="C6054" s="60"/>
      <c r="D6054" s="78"/>
      <c r="E6054" s="79"/>
      <c r="F6054" s="80" t="s">
        <v>23</v>
      </c>
      <c r="G6054" s="80" t="str">
        <f t="shared" si="105"/>
        <v/>
      </c>
      <c r="H6054" s="81"/>
      <c r="I6054" s="63"/>
      <c r="J6054" s="34">
        <v>0</v>
      </c>
    </row>
    <row r="6055" spans="1:10" ht="15.75" hidden="1" thickBot="1" x14ac:dyDescent="0.3">
      <c r="A6055" s="256" t="s">
        <v>1461</v>
      </c>
      <c r="B6055" s="251" t="s">
        <v>3244</v>
      </c>
      <c r="C6055" s="28"/>
      <c r="D6055" s="29" t="s">
        <v>28</v>
      </c>
      <c r="E6055" s="30"/>
      <c r="F6055" s="51" t="s">
        <v>23</v>
      </c>
      <c r="G6055" s="31" t="str">
        <f t="shared" si="105"/>
        <v/>
      </c>
      <c r="H6055" s="32"/>
      <c r="I6055" s="33"/>
      <c r="J6055" s="34">
        <v>0</v>
      </c>
    </row>
    <row r="6056" spans="1:10" ht="15.75" hidden="1" thickBot="1" x14ac:dyDescent="0.3">
      <c r="A6056" s="264"/>
      <c r="B6056" s="266"/>
      <c r="C6056" s="76"/>
      <c r="D6056" s="76"/>
      <c r="E6056" s="77"/>
      <c r="F6056" s="59" t="s">
        <v>23</v>
      </c>
      <c r="G6056" s="59" t="str">
        <f t="shared" si="105"/>
        <v/>
      </c>
      <c r="H6056" s="62"/>
      <c r="I6056" s="63"/>
      <c r="J6056" s="34">
        <v>0</v>
      </c>
    </row>
    <row r="6057" spans="1:10" ht="15.75" hidden="1" thickBot="1" x14ac:dyDescent="0.3">
      <c r="A6057" s="264"/>
      <c r="B6057" s="266"/>
      <c r="C6057" s="40" t="s">
        <v>4308</v>
      </c>
      <c r="D6057" s="40" t="s">
        <v>291</v>
      </c>
      <c r="E6057" s="75">
        <v>1</v>
      </c>
      <c r="F6057" s="35">
        <v>1.216</v>
      </c>
      <c r="G6057" s="59">
        <f t="shared" si="105"/>
        <v>1.216</v>
      </c>
      <c r="H6057" s="43">
        <f>SUM(G6057:G6057)</f>
        <v>1.216</v>
      </c>
      <c r="I6057" s="44"/>
      <c r="J6057" s="34">
        <v>0</v>
      </c>
    </row>
    <row r="6058" spans="1:10" ht="15.75" hidden="1" thickBot="1" x14ac:dyDescent="0.3">
      <c r="A6058" s="265"/>
      <c r="B6058" s="253"/>
      <c r="C6058" s="60"/>
      <c r="D6058" s="78"/>
      <c r="E6058" s="79"/>
      <c r="F6058" s="80" t="s">
        <v>23</v>
      </c>
      <c r="G6058" s="80" t="str">
        <f t="shared" si="105"/>
        <v/>
      </c>
      <c r="H6058" s="81"/>
      <c r="I6058" s="63"/>
      <c r="J6058" s="34">
        <v>0</v>
      </c>
    </row>
    <row r="6059" spans="1:10" ht="15.75" hidden="1" thickBot="1" x14ac:dyDescent="0.3">
      <c r="A6059" s="256" t="s">
        <v>1462</v>
      </c>
      <c r="B6059" s="251" t="s">
        <v>3246</v>
      </c>
      <c r="C6059" s="28"/>
      <c r="D6059" s="29" t="s">
        <v>28</v>
      </c>
      <c r="E6059" s="30"/>
      <c r="F6059" s="51" t="s">
        <v>23</v>
      </c>
      <c r="G6059" s="31" t="str">
        <f t="shared" si="105"/>
        <v/>
      </c>
      <c r="H6059" s="32"/>
      <c r="I6059" s="33"/>
      <c r="J6059" s="34">
        <v>0</v>
      </c>
    </row>
    <row r="6060" spans="1:10" ht="15.75" hidden="1" thickBot="1" x14ac:dyDescent="0.3">
      <c r="A6060" s="264"/>
      <c r="B6060" s="266"/>
      <c r="C6060" s="76"/>
      <c r="D6060" s="76"/>
      <c r="E6060" s="77"/>
      <c r="F6060" s="59" t="s">
        <v>23</v>
      </c>
      <c r="G6060" s="59" t="str">
        <f t="shared" ref="G6060:G6123" si="106">IF(ISNUMBER(F6060),E6060*F6060,"")</f>
        <v/>
      </c>
      <c r="H6060" s="62"/>
      <c r="I6060" s="63"/>
      <c r="J6060" s="34">
        <v>0</v>
      </c>
    </row>
    <row r="6061" spans="1:10" ht="26.25" hidden="1" thickBot="1" x14ac:dyDescent="0.3">
      <c r="A6061" s="264"/>
      <c r="B6061" s="266"/>
      <c r="C6061" s="40" t="s">
        <v>3889</v>
      </c>
      <c r="D6061" s="40" t="s">
        <v>291</v>
      </c>
      <c r="E6061" s="75">
        <v>1</v>
      </c>
      <c r="F6061" s="35">
        <v>6.4409999999999998</v>
      </c>
      <c r="G6061" s="59">
        <f t="shared" si="106"/>
        <v>6.4409999999999998</v>
      </c>
      <c r="H6061" s="43">
        <f>SUM(G6061:G6061)</f>
        <v>6.4409999999999998</v>
      </c>
      <c r="I6061" s="44"/>
      <c r="J6061" s="34">
        <v>0</v>
      </c>
    </row>
    <row r="6062" spans="1:10" ht="15.75" hidden="1" thickBot="1" x14ac:dyDescent="0.3">
      <c r="A6062" s="265"/>
      <c r="B6062" s="253"/>
      <c r="C6062" s="60"/>
      <c r="D6062" s="78"/>
      <c r="E6062" s="79"/>
      <c r="F6062" s="80" t="s">
        <v>23</v>
      </c>
      <c r="G6062" s="80" t="str">
        <f t="shared" si="106"/>
        <v/>
      </c>
      <c r="H6062" s="81"/>
      <c r="I6062" s="63"/>
      <c r="J6062" s="34">
        <v>0</v>
      </c>
    </row>
    <row r="6063" spans="1:10" ht="15.75" hidden="1" thickBot="1" x14ac:dyDescent="0.3">
      <c r="A6063" s="256" t="s">
        <v>1463</v>
      </c>
      <c r="B6063" s="251" t="s">
        <v>3245</v>
      </c>
      <c r="C6063" s="28"/>
      <c r="D6063" s="29" t="s">
        <v>28</v>
      </c>
      <c r="E6063" s="30"/>
      <c r="F6063" s="51" t="s">
        <v>23</v>
      </c>
      <c r="G6063" s="31" t="str">
        <f t="shared" si="106"/>
        <v/>
      </c>
      <c r="H6063" s="32"/>
      <c r="I6063" s="33"/>
      <c r="J6063" s="34">
        <v>0</v>
      </c>
    </row>
    <row r="6064" spans="1:10" ht="15.75" hidden="1" thickBot="1" x14ac:dyDescent="0.3">
      <c r="A6064" s="264"/>
      <c r="B6064" s="266"/>
      <c r="C6064" s="76"/>
      <c r="D6064" s="76"/>
      <c r="E6064" s="77"/>
      <c r="F6064" s="59" t="s">
        <v>23</v>
      </c>
      <c r="G6064" s="59" t="str">
        <f t="shared" si="106"/>
        <v/>
      </c>
      <c r="H6064" s="62"/>
      <c r="I6064" s="63"/>
      <c r="J6064" s="34">
        <v>0</v>
      </c>
    </row>
    <row r="6065" spans="1:10" ht="26.25" hidden="1" thickBot="1" x14ac:dyDescent="0.3">
      <c r="A6065" s="264"/>
      <c r="B6065" s="266"/>
      <c r="C6065" s="40" t="s">
        <v>3888</v>
      </c>
      <c r="D6065" s="40" t="s">
        <v>291</v>
      </c>
      <c r="E6065" s="75">
        <v>1</v>
      </c>
      <c r="F6065" s="35">
        <v>3.2395</v>
      </c>
      <c r="G6065" s="59">
        <f t="shared" si="106"/>
        <v>3.2395</v>
      </c>
      <c r="H6065" s="43">
        <f>SUM(G6065:G6065)</f>
        <v>3.2395</v>
      </c>
      <c r="I6065" s="44"/>
      <c r="J6065" s="34">
        <v>0</v>
      </c>
    </row>
    <row r="6066" spans="1:10" ht="15.75" hidden="1" thickBot="1" x14ac:dyDescent="0.3">
      <c r="A6066" s="265"/>
      <c r="B6066" s="253"/>
      <c r="C6066" s="60"/>
      <c r="D6066" s="78"/>
      <c r="E6066" s="79"/>
      <c r="F6066" s="80" t="s">
        <v>23</v>
      </c>
      <c r="G6066" s="80" t="str">
        <f t="shared" si="106"/>
        <v/>
      </c>
      <c r="H6066" s="81"/>
      <c r="I6066" s="63"/>
      <c r="J6066" s="34">
        <v>0</v>
      </c>
    </row>
    <row r="6067" spans="1:10" ht="15.75" hidden="1" thickBot="1" x14ac:dyDescent="0.3">
      <c r="A6067" s="256" t="s">
        <v>1462</v>
      </c>
      <c r="B6067" s="251" t="s">
        <v>3246</v>
      </c>
      <c r="C6067" s="28"/>
      <c r="D6067" s="29" t="s">
        <v>28</v>
      </c>
      <c r="E6067" s="30"/>
      <c r="F6067" s="51" t="s">
        <v>23</v>
      </c>
      <c r="G6067" s="31" t="str">
        <f t="shared" si="106"/>
        <v/>
      </c>
      <c r="H6067" s="32"/>
      <c r="I6067" s="33"/>
      <c r="J6067" s="34">
        <v>0</v>
      </c>
    </row>
    <row r="6068" spans="1:10" ht="15.75" hidden="1" thickBot="1" x14ac:dyDescent="0.3">
      <c r="A6068" s="264"/>
      <c r="B6068" s="266"/>
      <c r="C6068" s="76"/>
      <c r="D6068" s="76"/>
      <c r="E6068" s="77"/>
      <c r="F6068" s="59" t="s">
        <v>23</v>
      </c>
      <c r="G6068" s="59" t="str">
        <f t="shared" si="106"/>
        <v/>
      </c>
      <c r="H6068" s="62"/>
      <c r="I6068" s="63"/>
      <c r="J6068" s="34">
        <v>0</v>
      </c>
    </row>
    <row r="6069" spans="1:10" ht="26.25" hidden="1" thickBot="1" x14ac:dyDescent="0.3">
      <c r="A6069" s="264"/>
      <c r="B6069" s="266"/>
      <c r="C6069" s="40" t="s">
        <v>3889</v>
      </c>
      <c r="D6069" s="40" t="s">
        <v>291</v>
      </c>
      <c r="E6069" s="75">
        <v>1</v>
      </c>
      <c r="F6069" s="35">
        <v>6.4409999999999998</v>
      </c>
      <c r="G6069" s="59">
        <f t="shared" si="106"/>
        <v>6.4409999999999998</v>
      </c>
      <c r="H6069" s="43">
        <f>SUM(G6069:G6069)</f>
        <v>6.4409999999999998</v>
      </c>
      <c r="I6069" s="44"/>
      <c r="J6069" s="34">
        <v>0</v>
      </c>
    </row>
    <row r="6070" spans="1:10" ht="15.75" hidden="1" thickBot="1" x14ac:dyDescent="0.3">
      <c r="A6070" s="265"/>
      <c r="B6070" s="253"/>
      <c r="C6070" s="60"/>
      <c r="D6070" s="78"/>
      <c r="E6070" s="79"/>
      <c r="F6070" s="80" t="s">
        <v>23</v>
      </c>
      <c r="G6070" s="80" t="str">
        <f t="shared" si="106"/>
        <v/>
      </c>
      <c r="H6070" s="81"/>
      <c r="I6070" s="63"/>
      <c r="J6070" s="34">
        <v>0</v>
      </c>
    </row>
    <row r="6071" spans="1:10" ht="15.75" hidden="1" thickBot="1" x14ac:dyDescent="0.3">
      <c r="A6071" s="256" t="s">
        <v>1464</v>
      </c>
      <c r="B6071" s="251" t="s">
        <v>3247</v>
      </c>
      <c r="C6071" s="28"/>
      <c r="D6071" s="29" t="s">
        <v>28</v>
      </c>
      <c r="E6071" s="30"/>
      <c r="F6071" s="51" t="s">
        <v>23</v>
      </c>
      <c r="G6071" s="31" t="str">
        <f t="shared" si="106"/>
        <v/>
      </c>
      <c r="H6071" s="32"/>
      <c r="I6071" s="33"/>
      <c r="J6071" s="34">
        <v>0</v>
      </c>
    </row>
    <row r="6072" spans="1:10" ht="15.75" hidden="1" thickBot="1" x14ac:dyDescent="0.3">
      <c r="A6072" s="264"/>
      <c r="B6072" s="266"/>
      <c r="C6072" s="76"/>
      <c r="D6072" s="76"/>
      <c r="E6072" s="77"/>
      <c r="F6072" s="59" t="s">
        <v>23</v>
      </c>
      <c r="G6072" s="59" t="str">
        <f t="shared" si="106"/>
        <v/>
      </c>
      <c r="H6072" s="62"/>
      <c r="I6072" s="63"/>
      <c r="J6072" s="34">
        <v>0</v>
      </c>
    </row>
    <row r="6073" spans="1:10" ht="26.25" hidden="1" thickBot="1" x14ac:dyDescent="0.3">
      <c r="A6073" s="264"/>
      <c r="B6073" s="266"/>
      <c r="C6073" s="40" t="s">
        <v>1465</v>
      </c>
      <c r="D6073" s="99" t="s">
        <v>28</v>
      </c>
      <c r="E6073" s="75">
        <v>1</v>
      </c>
      <c r="F6073" s="35">
        <v>0</v>
      </c>
      <c r="G6073" s="59">
        <f t="shared" si="106"/>
        <v>0</v>
      </c>
      <c r="H6073" s="43">
        <f>SUM(G6073:G6073)</f>
        <v>0</v>
      </c>
      <c r="I6073" s="44"/>
      <c r="J6073" s="34">
        <v>0</v>
      </c>
    </row>
    <row r="6074" spans="1:10" ht="15.75" hidden="1" thickBot="1" x14ac:dyDescent="0.3">
      <c r="A6074" s="265"/>
      <c r="B6074" s="253"/>
      <c r="C6074" s="60"/>
      <c r="D6074" s="78"/>
      <c r="E6074" s="79"/>
      <c r="F6074" s="80" t="s">
        <v>23</v>
      </c>
      <c r="G6074" s="80" t="str">
        <f t="shared" si="106"/>
        <v/>
      </c>
      <c r="H6074" s="81"/>
      <c r="I6074" s="63"/>
      <c r="J6074" s="34">
        <v>0</v>
      </c>
    </row>
    <row r="6075" spans="1:10" ht="15.75" hidden="1" thickBot="1" x14ac:dyDescent="0.3">
      <c r="A6075" s="256" t="s">
        <v>1466</v>
      </c>
      <c r="B6075" s="251" t="s">
        <v>3248</v>
      </c>
      <c r="C6075" s="28"/>
      <c r="D6075" s="29" t="s">
        <v>28</v>
      </c>
      <c r="E6075" s="30"/>
      <c r="F6075" s="51" t="s">
        <v>23</v>
      </c>
      <c r="G6075" s="31" t="str">
        <f t="shared" si="106"/>
        <v/>
      </c>
      <c r="H6075" s="32"/>
      <c r="I6075" s="33"/>
      <c r="J6075" s="34">
        <v>0</v>
      </c>
    </row>
    <row r="6076" spans="1:10" ht="15.75" hidden="1" thickBot="1" x14ac:dyDescent="0.3">
      <c r="A6076" s="264"/>
      <c r="B6076" s="266"/>
      <c r="C6076" s="76"/>
      <c r="D6076" s="76"/>
      <c r="E6076" s="77"/>
      <c r="F6076" s="59" t="s">
        <v>23</v>
      </c>
      <c r="G6076" s="59" t="str">
        <f t="shared" si="106"/>
        <v/>
      </c>
      <c r="H6076" s="62"/>
      <c r="I6076" s="63"/>
      <c r="J6076" s="34">
        <v>0</v>
      </c>
    </row>
    <row r="6077" spans="1:10" ht="26.25" hidden="1" thickBot="1" x14ac:dyDescent="0.3">
      <c r="A6077" s="264"/>
      <c r="B6077" s="266"/>
      <c r="C6077" s="40" t="s">
        <v>4309</v>
      </c>
      <c r="D6077" s="40" t="s">
        <v>291</v>
      </c>
      <c r="E6077" s="75">
        <v>1</v>
      </c>
      <c r="F6077" s="35">
        <v>5.1869999999999994</v>
      </c>
      <c r="G6077" s="59">
        <f t="shared" si="106"/>
        <v>5.1869999999999994</v>
      </c>
      <c r="H6077" s="43">
        <f>SUM(G6077:G6077)</f>
        <v>5.1869999999999994</v>
      </c>
      <c r="I6077" s="44"/>
      <c r="J6077" s="34">
        <v>0</v>
      </c>
    </row>
    <row r="6078" spans="1:10" ht="15.75" hidden="1" thickBot="1" x14ac:dyDescent="0.3">
      <c r="A6078" s="265"/>
      <c r="B6078" s="253"/>
      <c r="C6078" s="60"/>
      <c r="D6078" s="78"/>
      <c r="E6078" s="79"/>
      <c r="F6078" s="80" t="s">
        <v>23</v>
      </c>
      <c r="G6078" s="80" t="str">
        <f t="shared" si="106"/>
        <v/>
      </c>
      <c r="H6078" s="81"/>
      <c r="I6078" s="63"/>
      <c r="J6078" s="34">
        <v>0</v>
      </c>
    </row>
    <row r="6079" spans="1:10" ht="15.75" hidden="1" thickBot="1" x14ac:dyDescent="0.3">
      <c r="A6079" s="256" t="s">
        <v>1467</v>
      </c>
      <c r="B6079" s="251" t="s">
        <v>3249</v>
      </c>
      <c r="C6079" s="28"/>
      <c r="D6079" s="29" t="s">
        <v>28</v>
      </c>
      <c r="E6079" s="30"/>
      <c r="F6079" s="51" t="s">
        <v>23</v>
      </c>
      <c r="G6079" s="31" t="str">
        <f t="shared" si="106"/>
        <v/>
      </c>
      <c r="H6079" s="32"/>
      <c r="I6079" s="33"/>
      <c r="J6079" s="34">
        <v>0</v>
      </c>
    </row>
    <row r="6080" spans="1:10" ht="15.75" hidden="1" thickBot="1" x14ac:dyDescent="0.3">
      <c r="A6080" s="264"/>
      <c r="B6080" s="266"/>
      <c r="C6080" s="76"/>
      <c r="D6080" s="76"/>
      <c r="E6080" s="77"/>
      <c r="F6080" s="59" t="s">
        <v>23</v>
      </c>
      <c r="G6080" s="59" t="str">
        <f t="shared" si="106"/>
        <v/>
      </c>
      <c r="H6080" s="62"/>
      <c r="I6080" s="63"/>
      <c r="J6080" s="34">
        <v>0</v>
      </c>
    </row>
    <row r="6081" spans="1:10" ht="15.75" hidden="1" thickBot="1" x14ac:dyDescent="0.3">
      <c r="A6081" s="264"/>
      <c r="B6081" s="266"/>
      <c r="C6081" s="40" t="s">
        <v>1468</v>
      </c>
      <c r="D6081" s="99" t="s">
        <v>28</v>
      </c>
      <c r="E6081" s="75">
        <v>1</v>
      </c>
      <c r="F6081" s="35">
        <v>0</v>
      </c>
      <c r="G6081" s="59">
        <f t="shared" si="106"/>
        <v>0</v>
      </c>
      <c r="H6081" s="43">
        <f>SUM(G6081:G6081)</f>
        <v>0</v>
      </c>
      <c r="I6081" s="44"/>
      <c r="J6081" s="34">
        <v>0</v>
      </c>
    </row>
    <row r="6082" spans="1:10" ht="15.75" hidden="1" thickBot="1" x14ac:dyDescent="0.3">
      <c r="A6082" s="265"/>
      <c r="B6082" s="253"/>
      <c r="C6082" s="60"/>
      <c r="D6082" s="78"/>
      <c r="E6082" s="79"/>
      <c r="F6082" s="80" t="s">
        <v>23</v>
      </c>
      <c r="G6082" s="80" t="str">
        <f t="shared" si="106"/>
        <v/>
      </c>
      <c r="H6082" s="81"/>
      <c r="I6082" s="63"/>
      <c r="J6082" s="34">
        <v>0</v>
      </c>
    </row>
    <row r="6083" spans="1:10" ht="15.75" hidden="1" thickBot="1" x14ac:dyDescent="0.3">
      <c r="A6083" s="256" t="s">
        <v>1469</v>
      </c>
      <c r="B6083" s="251" t="s">
        <v>3250</v>
      </c>
      <c r="C6083" s="28"/>
      <c r="D6083" s="29" t="s">
        <v>28</v>
      </c>
      <c r="E6083" s="30"/>
      <c r="F6083" s="51" t="s">
        <v>23</v>
      </c>
      <c r="G6083" s="31" t="str">
        <f t="shared" si="106"/>
        <v/>
      </c>
      <c r="H6083" s="32"/>
      <c r="I6083" s="33"/>
      <c r="J6083" s="34">
        <v>0</v>
      </c>
    </row>
    <row r="6084" spans="1:10" ht="15.75" hidden="1" thickBot="1" x14ac:dyDescent="0.3">
      <c r="A6084" s="264"/>
      <c r="B6084" s="266"/>
      <c r="C6084" s="76"/>
      <c r="D6084" s="76"/>
      <c r="E6084" s="77"/>
      <c r="F6084" s="59" t="s">
        <v>23</v>
      </c>
      <c r="G6084" s="59" t="str">
        <f t="shared" si="106"/>
        <v/>
      </c>
      <c r="H6084" s="62"/>
      <c r="I6084" s="63"/>
      <c r="J6084" s="34">
        <v>0</v>
      </c>
    </row>
    <row r="6085" spans="1:10" ht="26.25" hidden="1" thickBot="1" x14ac:dyDescent="0.3">
      <c r="A6085" s="264"/>
      <c r="B6085" s="266"/>
      <c r="C6085" s="40" t="s">
        <v>4310</v>
      </c>
      <c r="D6085" s="40" t="s">
        <v>291</v>
      </c>
      <c r="E6085" s="75">
        <v>1</v>
      </c>
      <c r="F6085" s="35">
        <v>23.75</v>
      </c>
      <c r="G6085" s="59">
        <f t="shared" si="106"/>
        <v>23.75</v>
      </c>
      <c r="H6085" s="43">
        <f>SUM(G6085:G6085)</f>
        <v>23.75</v>
      </c>
      <c r="I6085" s="44"/>
      <c r="J6085" s="34">
        <v>0</v>
      </c>
    </row>
    <row r="6086" spans="1:10" ht="15.75" hidden="1" thickBot="1" x14ac:dyDescent="0.3">
      <c r="A6086" s="265"/>
      <c r="B6086" s="253"/>
      <c r="C6086" s="60"/>
      <c r="D6086" s="78"/>
      <c r="E6086" s="79"/>
      <c r="F6086" s="80" t="s">
        <v>23</v>
      </c>
      <c r="G6086" s="80" t="str">
        <f t="shared" si="106"/>
        <v/>
      </c>
      <c r="H6086" s="81"/>
      <c r="I6086" s="63"/>
      <c r="J6086" s="34">
        <v>0</v>
      </c>
    </row>
    <row r="6087" spans="1:10" ht="15.75" hidden="1" thickBot="1" x14ac:dyDescent="0.3">
      <c r="A6087" s="256" t="s">
        <v>1470</v>
      </c>
      <c r="B6087" s="251" t="s">
        <v>3251</v>
      </c>
      <c r="C6087" s="28"/>
      <c r="D6087" s="29" t="s">
        <v>28</v>
      </c>
      <c r="E6087" s="30"/>
      <c r="F6087" s="51" t="s">
        <v>23</v>
      </c>
      <c r="G6087" s="31" t="str">
        <f t="shared" si="106"/>
        <v/>
      </c>
      <c r="H6087" s="32"/>
      <c r="I6087" s="33"/>
      <c r="J6087" s="34">
        <v>0</v>
      </c>
    </row>
    <row r="6088" spans="1:10" ht="15.75" hidden="1" thickBot="1" x14ac:dyDescent="0.3">
      <c r="A6088" s="264"/>
      <c r="B6088" s="266"/>
      <c r="C6088" s="76"/>
      <c r="D6088" s="76"/>
      <c r="E6088" s="77"/>
      <c r="F6088" s="59" t="s">
        <v>23</v>
      </c>
      <c r="G6088" s="59" t="str">
        <f t="shared" si="106"/>
        <v/>
      </c>
      <c r="H6088" s="62"/>
      <c r="I6088" s="63"/>
      <c r="J6088" s="34">
        <v>0</v>
      </c>
    </row>
    <row r="6089" spans="1:10" ht="39" hidden="1" thickBot="1" x14ac:dyDescent="0.3">
      <c r="A6089" s="264"/>
      <c r="B6089" s="266"/>
      <c r="C6089" s="40" t="s">
        <v>4311</v>
      </c>
      <c r="D6089" s="40" t="s">
        <v>291</v>
      </c>
      <c r="E6089" s="75">
        <v>1</v>
      </c>
      <c r="F6089" s="35">
        <v>208.85749999999999</v>
      </c>
      <c r="G6089" s="59">
        <f t="shared" si="106"/>
        <v>208.85749999999999</v>
      </c>
      <c r="H6089" s="43">
        <f>SUM(G6089:G6089)</f>
        <v>208.85749999999999</v>
      </c>
      <c r="I6089" s="44"/>
      <c r="J6089" s="34">
        <v>0</v>
      </c>
    </row>
    <row r="6090" spans="1:10" ht="15.75" hidden="1" thickBot="1" x14ac:dyDescent="0.3">
      <c r="A6090" s="265"/>
      <c r="B6090" s="253"/>
      <c r="C6090" s="60"/>
      <c r="D6090" s="78"/>
      <c r="E6090" s="79"/>
      <c r="F6090" s="80" t="s">
        <v>23</v>
      </c>
      <c r="G6090" s="80" t="str">
        <f t="shared" si="106"/>
        <v/>
      </c>
      <c r="H6090" s="81"/>
      <c r="I6090" s="63"/>
      <c r="J6090" s="34">
        <v>0</v>
      </c>
    </row>
    <row r="6091" spans="1:10" ht="15.75" hidden="1" thickBot="1" x14ac:dyDescent="0.3">
      <c r="A6091" s="256" t="s">
        <v>1471</v>
      </c>
      <c r="B6091" s="251" t="s">
        <v>3252</v>
      </c>
      <c r="C6091" s="28"/>
      <c r="D6091" s="29" t="s">
        <v>28</v>
      </c>
      <c r="E6091" s="30"/>
      <c r="F6091" s="51" t="s">
        <v>23</v>
      </c>
      <c r="G6091" s="31" t="str">
        <f t="shared" si="106"/>
        <v/>
      </c>
      <c r="H6091" s="32"/>
      <c r="I6091" s="33"/>
      <c r="J6091" s="34">
        <v>0</v>
      </c>
    </row>
    <row r="6092" spans="1:10" ht="15.75" hidden="1" thickBot="1" x14ac:dyDescent="0.3">
      <c r="A6092" s="264"/>
      <c r="B6092" s="266"/>
      <c r="C6092" s="76"/>
      <c r="D6092" s="76"/>
      <c r="E6092" s="77"/>
      <c r="F6092" s="59" t="s">
        <v>23</v>
      </c>
      <c r="G6092" s="59" t="str">
        <f t="shared" si="106"/>
        <v/>
      </c>
      <c r="H6092" s="62"/>
      <c r="I6092" s="63"/>
      <c r="J6092" s="34">
        <v>0</v>
      </c>
    </row>
    <row r="6093" spans="1:10" ht="39" hidden="1" thickBot="1" x14ac:dyDescent="0.3">
      <c r="A6093" s="264"/>
      <c r="B6093" s="266"/>
      <c r="C6093" s="40" t="s">
        <v>4312</v>
      </c>
      <c r="D6093" s="40" t="s">
        <v>291</v>
      </c>
      <c r="E6093" s="75">
        <v>1</v>
      </c>
      <c r="F6093" s="35">
        <v>386.96349999999995</v>
      </c>
      <c r="G6093" s="59">
        <f t="shared" si="106"/>
        <v>386.96349999999995</v>
      </c>
      <c r="H6093" s="43">
        <f>SUM(G6093:G6093)</f>
        <v>386.96349999999995</v>
      </c>
      <c r="I6093" s="44"/>
      <c r="J6093" s="34">
        <v>0</v>
      </c>
    </row>
    <row r="6094" spans="1:10" ht="15.75" hidden="1" thickBot="1" x14ac:dyDescent="0.3">
      <c r="A6094" s="265"/>
      <c r="B6094" s="253"/>
      <c r="C6094" s="60"/>
      <c r="D6094" s="78"/>
      <c r="E6094" s="79"/>
      <c r="F6094" s="80" t="s">
        <v>23</v>
      </c>
      <c r="G6094" s="80" t="str">
        <f t="shared" si="106"/>
        <v/>
      </c>
      <c r="H6094" s="81"/>
      <c r="I6094" s="63"/>
      <c r="J6094" s="34">
        <v>0</v>
      </c>
    </row>
    <row r="6095" spans="1:10" ht="15.75" hidden="1" thickBot="1" x14ac:dyDescent="0.3">
      <c r="A6095" s="256" t="s">
        <v>1472</v>
      </c>
      <c r="B6095" s="251" t="s">
        <v>3253</v>
      </c>
      <c r="C6095" s="28"/>
      <c r="D6095" s="29" t="s">
        <v>28</v>
      </c>
      <c r="E6095" s="30"/>
      <c r="F6095" s="51" t="s">
        <v>23</v>
      </c>
      <c r="G6095" s="31" t="str">
        <f t="shared" si="106"/>
        <v/>
      </c>
      <c r="H6095" s="32"/>
      <c r="I6095" s="33"/>
      <c r="J6095" s="34">
        <v>0</v>
      </c>
    </row>
    <row r="6096" spans="1:10" ht="15.75" hidden="1" thickBot="1" x14ac:dyDescent="0.3">
      <c r="A6096" s="264"/>
      <c r="B6096" s="266"/>
      <c r="C6096" s="76"/>
      <c r="D6096" s="76"/>
      <c r="E6096" s="77"/>
      <c r="F6096" s="59" t="s">
        <v>23</v>
      </c>
      <c r="G6096" s="59" t="str">
        <f t="shared" si="106"/>
        <v/>
      </c>
      <c r="H6096" s="62"/>
      <c r="I6096" s="63"/>
      <c r="J6096" s="34">
        <v>0</v>
      </c>
    </row>
    <row r="6097" spans="1:10" ht="39" hidden="1" thickBot="1" x14ac:dyDescent="0.3">
      <c r="A6097" s="264"/>
      <c r="B6097" s="266"/>
      <c r="C6097" s="40" t="s">
        <v>4313</v>
      </c>
      <c r="D6097" s="40" t="s">
        <v>291</v>
      </c>
      <c r="E6097" s="75">
        <v>1</v>
      </c>
      <c r="F6097" s="35">
        <v>838.63149999999996</v>
      </c>
      <c r="G6097" s="59">
        <f t="shared" si="106"/>
        <v>838.63149999999996</v>
      </c>
      <c r="H6097" s="43">
        <f>SUM(G6097:G6097)</f>
        <v>838.63149999999996</v>
      </c>
      <c r="I6097" s="44"/>
      <c r="J6097" s="34">
        <v>0</v>
      </c>
    </row>
    <row r="6098" spans="1:10" ht="15.75" hidden="1" thickBot="1" x14ac:dyDescent="0.3">
      <c r="A6098" s="265"/>
      <c r="B6098" s="253"/>
      <c r="C6098" s="60"/>
      <c r="D6098" s="78"/>
      <c r="E6098" s="79"/>
      <c r="F6098" s="80" t="s">
        <v>23</v>
      </c>
      <c r="G6098" s="80" t="str">
        <f t="shared" si="106"/>
        <v/>
      </c>
      <c r="H6098" s="81"/>
      <c r="I6098" s="63"/>
      <c r="J6098" s="34">
        <v>0</v>
      </c>
    </row>
    <row r="6099" spans="1:10" ht="15.75" hidden="1" thickBot="1" x14ac:dyDescent="0.3">
      <c r="A6099" s="256" t="s">
        <v>1473</v>
      </c>
      <c r="B6099" s="251" t="s">
        <v>3254</v>
      </c>
      <c r="C6099" s="28"/>
      <c r="D6099" s="29" t="s">
        <v>28</v>
      </c>
      <c r="E6099" s="30"/>
      <c r="F6099" s="51" t="s">
        <v>23</v>
      </c>
      <c r="G6099" s="31" t="str">
        <f t="shared" si="106"/>
        <v/>
      </c>
      <c r="H6099" s="32"/>
      <c r="I6099" s="33"/>
      <c r="J6099" s="34">
        <v>0</v>
      </c>
    </row>
    <row r="6100" spans="1:10" ht="15.75" hidden="1" thickBot="1" x14ac:dyDescent="0.3">
      <c r="A6100" s="264"/>
      <c r="B6100" s="266"/>
      <c r="C6100" s="76"/>
      <c r="D6100" s="76"/>
      <c r="E6100" s="77"/>
      <c r="F6100" s="59" t="s">
        <v>23</v>
      </c>
      <c r="G6100" s="59" t="str">
        <f t="shared" si="106"/>
        <v/>
      </c>
      <c r="H6100" s="62"/>
      <c r="I6100" s="63"/>
      <c r="J6100" s="34">
        <v>0</v>
      </c>
    </row>
    <row r="6101" spans="1:10" ht="39" hidden="1" thickBot="1" x14ac:dyDescent="0.3">
      <c r="A6101" s="264"/>
      <c r="B6101" s="266"/>
      <c r="C6101" s="40" t="s">
        <v>4314</v>
      </c>
      <c r="D6101" s="40" t="s">
        <v>291</v>
      </c>
      <c r="E6101" s="75">
        <v>1</v>
      </c>
      <c r="F6101" s="35">
        <v>63.792500000000004</v>
      </c>
      <c r="G6101" s="59">
        <f t="shared" si="106"/>
        <v>63.792500000000004</v>
      </c>
      <c r="H6101" s="43">
        <f>SUM(G6101:G6101)</f>
        <v>63.792500000000004</v>
      </c>
      <c r="I6101" s="44"/>
      <c r="J6101" s="34">
        <v>0</v>
      </c>
    </row>
    <row r="6102" spans="1:10" ht="15.75" hidden="1" thickBot="1" x14ac:dyDescent="0.3">
      <c r="A6102" s="265"/>
      <c r="B6102" s="253"/>
      <c r="C6102" s="60"/>
      <c r="D6102" s="78"/>
      <c r="E6102" s="79"/>
      <c r="F6102" s="80" t="s">
        <v>23</v>
      </c>
      <c r="G6102" s="80" t="str">
        <f t="shared" si="106"/>
        <v/>
      </c>
      <c r="H6102" s="81"/>
      <c r="I6102" s="63"/>
      <c r="J6102" s="34">
        <v>0</v>
      </c>
    </row>
    <row r="6103" spans="1:10" ht="15.75" hidden="1" thickBot="1" x14ac:dyDescent="0.3">
      <c r="A6103" s="256" t="s">
        <v>1474</v>
      </c>
      <c r="B6103" s="251" t="s">
        <v>3255</v>
      </c>
      <c r="C6103" s="28"/>
      <c r="D6103" s="29" t="s">
        <v>28</v>
      </c>
      <c r="E6103" s="30"/>
      <c r="F6103" s="51" t="s">
        <v>23</v>
      </c>
      <c r="G6103" s="31" t="str">
        <f t="shared" si="106"/>
        <v/>
      </c>
      <c r="H6103" s="32"/>
      <c r="I6103" s="33"/>
      <c r="J6103" s="34">
        <v>0</v>
      </c>
    </row>
    <row r="6104" spans="1:10" ht="15.75" hidden="1" thickBot="1" x14ac:dyDescent="0.3">
      <c r="A6104" s="264"/>
      <c r="B6104" s="266"/>
      <c r="C6104" s="76"/>
      <c r="D6104" s="76"/>
      <c r="E6104" s="77"/>
      <c r="F6104" s="59" t="s">
        <v>23</v>
      </c>
      <c r="G6104" s="59" t="str">
        <f t="shared" si="106"/>
        <v/>
      </c>
      <c r="H6104" s="62"/>
      <c r="I6104" s="63"/>
      <c r="J6104" s="34">
        <v>0</v>
      </c>
    </row>
    <row r="6105" spans="1:10" ht="26.25" hidden="1" thickBot="1" x14ac:dyDescent="0.3">
      <c r="A6105" s="264"/>
      <c r="B6105" s="266"/>
      <c r="C6105" s="40" t="s">
        <v>4315</v>
      </c>
      <c r="D6105" s="40" t="s">
        <v>291</v>
      </c>
      <c r="E6105" s="75">
        <v>1</v>
      </c>
      <c r="F6105" s="35">
        <v>60.866499999999988</v>
      </c>
      <c r="G6105" s="59">
        <f t="shared" si="106"/>
        <v>60.866499999999988</v>
      </c>
      <c r="H6105" s="43">
        <f>SUM(G6105:G6105)</f>
        <v>60.866499999999988</v>
      </c>
      <c r="I6105" s="44"/>
      <c r="J6105" s="34">
        <v>0</v>
      </c>
    </row>
    <row r="6106" spans="1:10" ht="15.75" hidden="1" thickBot="1" x14ac:dyDescent="0.3">
      <c r="A6106" s="265"/>
      <c r="B6106" s="253"/>
      <c r="C6106" s="60"/>
      <c r="D6106" s="78"/>
      <c r="E6106" s="79"/>
      <c r="F6106" s="80" t="s">
        <v>23</v>
      </c>
      <c r="G6106" s="80" t="str">
        <f t="shared" si="106"/>
        <v/>
      </c>
      <c r="H6106" s="81"/>
      <c r="I6106" s="63"/>
      <c r="J6106" s="34">
        <v>0</v>
      </c>
    </row>
    <row r="6107" spans="1:10" ht="15.75" hidden="1" thickBot="1" x14ac:dyDescent="0.3">
      <c r="A6107" s="256" t="s">
        <v>1475</v>
      </c>
      <c r="B6107" s="251" t="s">
        <v>3256</v>
      </c>
      <c r="C6107" s="28"/>
      <c r="D6107" s="29" t="s">
        <v>28</v>
      </c>
      <c r="E6107" s="30"/>
      <c r="F6107" s="51" t="s">
        <v>23</v>
      </c>
      <c r="G6107" s="31" t="str">
        <f t="shared" si="106"/>
        <v/>
      </c>
      <c r="H6107" s="32"/>
      <c r="I6107" s="33"/>
      <c r="J6107" s="34">
        <v>0</v>
      </c>
    </row>
    <row r="6108" spans="1:10" ht="15.75" hidden="1" thickBot="1" x14ac:dyDescent="0.3">
      <c r="A6108" s="264"/>
      <c r="B6108" s="266"/>
      <c r="C6108" s="76"/>
      <c r="D6108" s="76"/>
      <c r="E6108" s="77"/>
      <c r="F6108" s="59" t="s">
        <v>23</v>
      </c>
      <c r="G6108" s="59" t="str">
        <f t="shared" si="106"/>
        <v/>
      </c>
      <c r="H6108" s="62"/>
      <c r="I6108" s="63"/>
      <c r="J6108" s="34">
        <v>0</v>
      </c>
    </row>
    <row r="6109" spans="1:10" ht="39" hidden="1" thickBot="1" x14ac:dyDescent="0.3">
      <c r="A6109" s="264"/>
      <c r="B6109" s="266"/>
      <c r="C6109" s="40" t="s">
        <v>4316</v>
      </c>
      <c r="D6109" s="40" t="s">
        <v>291</v>
      </c>
      <c r="E6109" s="75">
        <v>1</v>
      </c>
      <c r="F6109" s="35">
        <v>108.414</v>
      </c>
      <c r="G6109" s="59">
        <f t="shared" si="106"/>
        <v>108.414</v>
      </c>
      <c r="H6109" s="43">
        <f>SUM(G6109:G6109)</f>
        <v>108.414</v>
      </c>
      <c r="I6109" s="44"/>
      <c r="J6109" s="34">
        <v>0</v>
      </c>
    </row>
    <row r="6110" spans="1:10" ht="15.75" hidden="1" thickBot="1" x14ac:dyDescent="0.3">
      <c r="A6110" s="265"/>
      <c r="B6110" s="253"/>
      <c r="C6110" s="60"/>
      <c r="D6110" s="78"/>
      <c r="E6110" s="79"/>
      <c r="F6110" s="80" t="s">
        <v>23</v>
      </c>
      <c r="G6110" s="80" t="str">
        <f t="shared" si="106"/>
        <v/>
      </c>
      <c r="H6110" s="81"/>
      <c r="I6110" s="63"/>
      <c r="J6110" s="34">
        <v>0</v>
      </c>
    </row>
    <row r="6111" spans="1:10" ht="15.75" hidden="1" thickBot="1" x14ac:dyDescent="0.3">
      <c r="A6111" s="256" t="s">
        <v>1476</v>
      </c>
      <c r="B6111" s="251" t="s">
        <v>3257</v>
      </c>
      <c r="C6111" s="28"/>
      <c r="D6111" s="29" t="s">
        <v>28</v>
      </c>
      <c r="E6111" s="30"/>
      <c r="F6111" s="51" t="s">
        <v>23</v>
      </c>
      <c r="G6111" s="31" t="str">
        <f t="shared" si="106"/>
        <v/>
      </c>
      <c r="H6111" s="32"/>
      <c r="I6111" s="33"/>
      <c r="J6111" s="34">
        <v>0</v>
      </c>
    </row>
    <row r="6112" spans="1:10" ht="15.75" hidden="1" thickBot="1" x14ac:dyDescent="0.3">
      <c r="A6112" s="264"/>
      <c r="B6112" s="266"/>
      <c r="C6112" s="76"/>
      <c r="D6112" s="76"/>
      <c r="E6112" s="77"/>
      <c r="F6112" s="59" t="s">
        <v>23</v>
      </c>
      <c r="G6112" s="59" t="str">
        <f t="shared" si="106"/>
        <v/>
      </c>
      <c r="H6112" s="62"/>
      <c r="I6112" s="63"/>
      <c r="J6112" s="34">
        <v>0</v>
      </c>
    </row>
    <row r="6113" spans="1:10" ht="15.75" hidden="1" thickBot="1" x14ac:dyDescent="0.3">
      <c r="A6113" s="264"/>
      <c r="B6113" s="266"/>
      <c r="C6113" s="40" t="s">
        <v>4317</v>
      </c>
      <c r="D6113" s="40" t="s">
        <v>1286</v>
      </c>
      <c r="E6113" s="75">
        <v>3</v>
      </c>
      <c r="F6113" s="35">
        <v>51.689499999999995</v>
      </c>
      <c r="G6113" s="59">
        <f t="shared" si="106"/>
        <v>155.06849999999997</v>
      </c>
      <c r="H6113" s="43">
        <f>SUM(G6113:G6113)</f>
        <v>155.06849999999997</v>
      </c>
      <c r="I6113" s="44"/>
      <c r="J6113" s="34">
        <v>0</v>
      </c>
    </row>
    <row r="6114" spans="1:10" ht="15.75" hidden="1" thickBot="1" x14ac:dyDescent="0.3">
      <c r="A6114" s="265"/>
      <c r="B6114" s="253"/>
      <c r="C6114" s="60"/>
      <c r="D6114" s="78"/>
      <c r="E6114" s="79"/>
      <c r="F6114" s="80" t="s">
        <v>23</v>
      </c>
      <c r="G6114" s="80" t="str">
        <f t="shared" si="106"/>
        <v/>
      </c>
      <c r="H6114" s="81"/>
      <c r="I6114" s="63"/>
      <c r="J6114" s="34">
        <v>0</v>
      </c>
    </row>
    <row r="6115" spans="1:10" ht="15.75" hidden="1" thickBot="1" x14ac:dyDescent="0.3">
      <c r="A6115" s="256" t="s">
        <v>1477</v>
      </c>
      <c r="B6115" s="251" t="s">
        <v>3258</v>
      </c>
      <c r="C6115" s="28"/>
      <c r="D6115" s="29" t="s">
        <v>3127</v>
      </c>
      <c r="E6115" s="30"/>
      <c r="F6115" s="51" t="s">
        <v>23</v>
      </c>
      <c r="G6115" s="31" t="str">
        <f t="shared" si="106"/>
        <v/>
      </c>
      <c r="H6115" s="32"/>
      <c r="I6115" s="33"/>
      <c r="J6115" s="34">
        <v>0</v>
      </c>
    </row>
    <row r="6116" spans="1:10" ht="15.75" hidden="1" thickBot="1" x14ac:dyDescent="0.3">
      <c r="A6116" s="264"/>
      <c r="B6116" s="266"/>
      <c r="C6116" s="76"/>
      <c r="D6116" s="76"/>
      <c r="E6116" s="77"/>
      <c r="F6116" s="59" t="s">
        <v>23</v>
      </c>
      <c r="G6116" s="59" t="str">
        <f t="shared" si="106"/>
        <v/>
      </c>
      <c r="H6116" s="62"/>
      <c r="I6116" s="63"/>
      <c r="J6116" s="34">
        <v>0</v>
      </c>
    </row>
    <row r="6117" spans="1:10" ht="26.25" hidden="1" thickBot="1" x14ac:dyDescent="0.3">
      <c r="A6117" s="264"/>
      <c r="B6117" s="266"/>
      <c r="C6117" s="40" t="s">
        <v>3818</v>
      </c>
      <c r="D6117" s="40" t="s">
        <v>1035</v>
      </c>
      <c r="E6117" s="75">
        <v>1</v>
      </c>
      <c r="F6117" s="35">
        <v>52.259499999999996</v>
      </c>
      <c r="G6117" s="59">
        <f t="shared" si="106"/>
        <v>52.259499999999996</v>
      </c>
      <c r="H6117" s="43">
        <f>SUM(G6117:G6117)</f>
        <v>52.259499999999996</v>
      </c>
      <c r="I6117" s="44"/>
      <c r="J6117" s="34">
        <v>0</v>
      </c>
    </row>
    <row r="6118" spans="1:10" ht="15.75" hidden="1" thickBot="1" x14ac:dyDescent="0.3">
      <c r="A6118" s="265"/>
      <c r="B6118" s="253"/>
      <c r="C6118" s="60"/>
      <c r="D6118" s="78"/>
      <c r="E6118" s="79"/>
      <c r="F6118" s="80" t="s">
        <v>23</v>
      </c>
      <c r="G6118" s="80" t="str">
        <f t="shared" si="106"/>
        <v/>
      </c>
      <c r="H6118" s="81"/>
      <c r="I6118" s="63"/>
      <c r="J6118" s="34">
        <v>0</v>
      </c>
    </row>
    <row r="6119" spans="1:10" ht="15.75" hidden="1" thickBot="1" x14ac:dyDescent="0.3">
      <c r="A6119" s="256" t="s">
        <v>1478</v>
      </c>
      <c r="B6119" s="251" t="s">
        <v>3259</v>
      </c>
      <c r="C6119" s="28"/>
      <c r="D6119" s="29" t="s">
        <v>28</v>
      </c>
      <c r="E6119" s="30"/>
      <c r="F6119" s="51" t="s">
        <v>23</v>
      </c>
      <c r="G6119" s="31" t="str">
        <f t="shared" si="106"/>
        <v/>
      </c>
      <c r="H6119" s="32"/>
      <c r="I6119" s="33"/>
      <c r="J6119" s="34">
        <v>0</v>
      </c>
    </row>
    <row r="6120" spans="1:10" ht="15.75" hidden="1" thickBot="1" x14ac:dyDescent="0.3">
      <c r="A6120" s="264"/>
      <c r="B6120" s="266"/>
      <c r="C6120" s="76"/>
      <c r="D6120" s="76"/>
      <c r="E6120" s="77"/>
      <c r="F6120" s="59" t="s">
        <v>23</v>
      </c>
      <c r="G6120" s="59" t="str">
        <f t="shared" si="106"/>
        <v/>
      </c>
      <c r="H6120" s="62"/>
      <c r="I6120" s="63"/>
      <c r="J6120" s="34">
        <v>0</v>
      </c>
    </row>
    <row r="6121" spans="1:10" ht="39" hidden="1" thickBot="1" x14ac:dyDescent="0.3">
      <c r="A6121" s="264"/>
      <c r="B6121" s="266"/>
      <c r="C6121" s="40" t="s">
        <v>4209</v>
      </c>
      <c r="D6121" s="40" t="s">
        <v>291</v>
      </c>
      <c r="E6121" s="75">
        <v>1</v>
      </c>
      <c r="F6121" s="35">
        <v>732.31700000000001</v>
      </c>
      <c r="G6121" s="59">
        <f t="shared" si="106"/>
        <v>732.31700000000001</v>
      </c>
      <c r="H6121" s="43">
        <f>SUM(G6121:G6121)</f>
        <v>732.31700000000001</v>
      </c>
      <c r="I6121" s="44"/>
      <c r="J6121" s="34">
        <v>0</v>
      </c>
    </row>
    <row r="6122" spans="1:10" ht="15.75" hidden="1" thickBot="1" x14ac:dyDescent="0.3">
      <c r="A6122" s="265"/>
      <c r="B6122" s="253"/>
      <c r="C6122" s="60"/>
      <c r="D6122" s="78"/>
      <c r="E6122" s="79"/>
      <c r="F6122" s="80" t="s">
        <v>23</v>
      </c>
      <c r="G6122" s="80" t="str">
        <f t="shared" si="106"/>
        <v/>
      </c>
      <c r="H6122" s="81"/>
      <c r="I6122" s="63"/>
      <c r="J6122" s="34">
        <v>0</v>
      </c>
    </row>
    <row r="6123" spans="1:10" ht="15.75" hidden="1" thickBot="1" x14ac:dyDescent="0.3">
      <c r="A6123" s="256" t="s">
        <v>1479</v>
      </c>
      <c r="B6123" s="251" t="s">
        <v>3260</v>
      </c>
      <c r="C6123" s="28"/>
      <c r="D6123" s="29" t="s">
        <v>28</v>
      </c>
      <c r="E6123" s="30"/>
      <c r="F6123" s="51" t="s">
        <v>23</v>
      </c>
      <c r="G6123" s="31" t="str">
        <f t="shared" si="106"/>
        <v/>
      </c>
      <c r="H6123" s="32"/>
      <c r="I6123" s="33"/>
      <c r="J6123" s="34">
        <v>0</v>
      </c>
    </row>
    <row r="6124" spans="1:10" ht="15.75" hidden="1" thickBot="1" x14ac:dyDescent="0.3">
      <c r="A6124" s="264"/>
      <c r="B6124" s="266"/>
      <c r="C6124" s="76"/>
      <c r="D6124" s="76"/>
      <c r="E6124" s="77"/>
      <c r="F6124" s="59" t="s">
        <v>23</v>
      </c>
      <c r="G6124" s="59" t="str">
        <f t="shared" ref="G6124:G6141" si="107">IF(ISNUMBER(F6124),E6124*F6124,"")</f>
        <v/>
      </c>
      <c r="H6124" s="62"/>
      <c r="I6124" s="63"/>
      <c r="J6124" s="34">
        <v>0</v>
      </c>
    </row>
    <row r="6125" spans="1:10" ht="39" hidden="1" thickBot="1" x14ac:dyDescent="0.3">
      <c r="A6125" s="264"/>
      <c r="B6125" s="266"/>
      <c r="C6125" s="40" t="s">
        <v>4318</v>
      </c>
      <c r="D6125" s="40" t="s">
        <v>291</v>
      </c>
      <c r="E6125" s="75">
        <v>1</v>
      </c>
      <c r="F6125" s="35">
        <v>597.63549999999998</v>
      </c>
      <c r="G6125" s="59">
        <f t="shared" si="107"/>
        <v>597.63549999999998</v>
      </c>
      <c r="H6125" s="43">
        <f>SUM(G6125:G6125)</f>
        <v>597.63549999999998</v>
      </c>
      <c r="I6125" s="44"/>
      <c r="J6125" s="34">
        <v>0</v>
      </c>
    </row>
    <row r="6126" spans="1:10" ht="15.75" hidden="1" thickBot="1" x14ac:dyDescent="0.3">
      <c r="A6126" s="265"/>
      <c r="B6126" s="253"/>
      <c r="C6126" s="60"/>
      <c r="D6126" s="78"/>
      <c r="E6126" s="79"/>
      <c r="F6126" s="80" t="s">
        <v>23</v>
      </c>
      <c r="G6126" s="80" t="str">
        <f t="shared" si="107"/>
        <v/>
      </c>
      <c r="H6126" s="81"/>
      <c r="I6126" s="63"/>
      <c r="J6126" s="34">
        <v>0</v>
      </c>
    </row>
    <row r="6127" spans="1:10" ht="15.75" hidden="1" thickBot="1" x14ac:dyDescent="0.3">
      <c r="A6127" s="256" t="s">
        <v>1480</v>
      </c>
      <c r="B6127" s="251" t="s">
        <v>3261</v>
      </c>
      <c r="C6127" s="28"/>
      <c r="D6127" s="29" t="s">
        <v>28</v>
      </c>
      <c r="E6127" s="30"/>
      <c r="F6127" s="51" t="s">
        <v>23</v>
      </c>
      <c r="G6127" s="31" t="str">
        <f t="shared" si="107"/>
        <v/>
      </c>
      <c r="H6127" s="32"/>
      <c r="I6127" s="33"/>
      <c r="J6127" s="34">
        <v>0</v>
      </c>
    </row>
    <row r="6128" spans="1:10" ht="15.75" hidden="1" thickBot="1" x14ac:dyDescent="0.3">
      <c r="A6128" s="264"/>
      <c r="B6128" s="266"/>
      <c r="C6128" s="76"/>
      <c r="D6128" s="76"/>
      <c r="E6128" s="77"/>
      <c r="F6128" s="59" t="s">
        <v>23</v>
      </c>
      <c r="G6128" s="59" t="str">
        <f t="shared" si="107"/>
        <v/>
      </c>
      <c r="H6128" s="62"/>
      <c r="I6128" s="63"/>
      <c r="J6128" s="34">
        <v>0</v>
      </c>
    </row>
    <row r="6129" spans="1:10" ht="26.25" hidden="1" thickBot="1" x14ac:dyDescent="0.3">
      <c r="A6129" s="264"/>
      <c r="B6129" s="266"/>
      <c r="C6129" s="40" t="s">
        <v>4319</v>
      </c>
      <c r="D6129" s="40" t="s">
        <v>291</v>
      </c>
      <c r="E6129" s="75">
        <v>1</v>
      </c>
      <c r="F6129" s="35">
        <v>305.54849999999999</v>
      </c>
      <c r="G6129" s="59">
        <f t="shared" si="107"/>
        <v>305.54849999999999</v>
      </c>
      <c r="H6129" s="43">
        <f>SUM(G6129:G6129)</f>
        <v>305.54849999999999</v>
      </c>
      <c r="I6129" s="44"/>
      <c r="J6129" s="34">
        <v>0</v>
      </c>
    </row>
    <row r="6130" spans="1:10" ht="15.75" hidden="1" thickBot="1" x14ac:dyDescent="0.3">
      <c r="A6130" s="265"/>
      <c r="B6130" s="253"/>
      <c r="C6130" s="60"/>
      <c r="D6130" s="78"/>
      <c r="E6130" s="79"/>
      <c r="F6130" s="80" t="s">
        <v>23</v>
      </c>
      <c r="G6130" s="80" t="str">
        <f t="shared" si="107"/>
        <v/>
      </c>
      <c r="H6130" s="81"/>
      <c r="I6130" s="63"/>
      <c r="J6130" s="34">
        <v>0</v>
      </c>
    </row>
    <row r="6131" spans="1:10" ht="15.75" thickBot="1" x14ac:dyDescent="0.3">
      <c r="A6131" s="256" t="s">
        <v>1481</v>
      </c>
      <c r="B6131" s="251" t="s">
        <v>3262</v>
      </c>
      <c r="C6131" s="28"/>
      <c r="D6131" s="29" t="s">
        <v>78</v>
      </c>
      <c r="E6131" s="30"/>
      <c r="F6131" s="51" t="s">
        <v>23</v>
      </c>
      <c r="G6131" s="31" t="str">
        <f t="shared" si="107"/>
        <v/>
      </c>
      <c r="H6131" s="32"/>
      <c r="I6131" s="33"/>
      <c r="J6131" s="34">
        <v>30</v>
      </c>
    </row>
    <row r="6132" spans="1:10" x14ac:dyDescent="0.25">
      <c r="A6132" s="264"/>
      <c r="B6132" s="266"/>
      <c r="C6132" s="76"/>
      <c r="D6132" s="76"/>
      <c r="E6132" s="77"/>
      <c r="F6132" s="59" t="s">
        <v>23</v>
      </c>
      <c r="G6132" s="59" t="str">
        <f t="shared" si="107"/>
        <v/>
      </c>
      <c r="H6132" s="62"/>
      <c r="I6132" s="63"/>
      <c r="J6132" s="34">
        <v>30</v>
      </c>
    </row>
    <row r="6133" spans="1:10" ht="51" x14ac:dyDescent="0.25">
      <c r="A6133" s="264"/>
      <c r="B6133" s="266"/>
      <c r="C6133" s="40" t="s">
        <v>4073</v>
      </c>
      <c r="D6133" s="40" t="s">
        <v>291</v>
      </c>
      <c r="E6133" s="75">
        <f>1/0.13/0.26</f>
        <v>29.585798816568044</v>
      </c>
      <c r="F6133" s="35">
        <v>23.75</v>
      </c>
      <c r="G6133" s="59">
        <f t="shared" si="107"/>
        <v>702.66272189349104</v>
      </c>
      <c r="H6133" s="43">
        <f>SUM(G6133:G6133)</f>
        <v>702.66272189349104</v>
      </c>
      <c r="I6133" s="44"/>
      <c r="J6133" s="34">
        <v>30</v>
      </c>
    </row>
    <row r="6134" spans="1:10" ht="15.75" thickBot="1" x14ac:dyDescent="0.3">
      <c r="A6134" s="265"/>
      <c r="B6134" s="253"/>
      <c r="C6134" s="60"/>
      <c r="D6134" s="78"/>
      <c r="E6134" s="79"/>
      <c r="F6134" s="80" t="s">
        <v>23</v>
      </c>
      <c r="G6134" s="80" t="str">
        <f t="shared" si="107"/>
        <v/>
      </c>
      <c r="H6134" s="81"/>
      <c r="I6134" s="63"/>
      <c r="J6134" s="34">
        <v>30</v>
      </c>
    </row>
    <row r="6135" spans="1:10" ht="15.75" hidden="1" thickBot="1" x14ac:dyDescent="0.3">
      <c r="A6135" s="248" t="s">
        <v>1482</v>
      </c>
      <c r="B6135" s="251" t="s">
        <v>3263</v>
      </c>
      <c r="C6135" s="28"/>
      <c r="D6135" s="29" t="s">
        <v>28</v>
      </c>
      <c r="E6135" s="30"/>
      <c r="F6135" s="51" t="s">
        <v>23</v>
      </c>
      <c r="G6135" s="31" t="str">
        <f t="shared" si="107"/>
        <v/>
      </c>
      <c r="H6135" s="32"/>
      <c r="I6135" s="33"/>
      <c r="J6135" s="34">
        <v>0</v>
      </c>
    </row>
    <row r="6136" spans="1:10" ht="15.75" hidden="1" thickBot="1" x14ac:dyDescent="0.3">
      <c r="A6136" s="262"/>
      <c r="B6136" s="266"/>
      <c r="C6136" s="76"/>
      <c r="D6136" s="76"/>
      <c r="E6136" s="77"/>
      <c r="F6136" s="59" t="s">
        <v>23</v>
      </c>
      <c r="G6136" s="59" t="str">
        <f t="shared" si="107"/>
        <v/>
      </c>
      <c r="H6136" s="62"/>
      <c r="I6136" s="63"/>
      <c r="J6136" s="34">
        <v>0</v>
      </c>
    </row>
    <row r="6137" spans="1:10" ht="15.75" hidden="1" thickBot="1" x14ac:dyDescent="0.3">
      <c r="A6137" s="262"/>
      <c r="B6137" s="266"/>
      <c r="C6137" s="40" t="s">
        <v>3760</v>
      </c>
      <c r="D6137" s="40" t="s">
        <v>3752</v>
      </c>
      <c r="E6137" s="75">
        <v>0.55000000000000004</v>
      </c>
      <c r="F6137" s="35">
        <v>28.385999999999999</v>
      </c>
      <c r="G6137" s="59">
        <f t="shared" si="107"/>
        <v>15.612300000000001</v>
      </c>
      <c r="H6137" s="43">
        <f>SUM(G6137:G6141)</f>
        <v>27.687275</v>
      </c>
      <c r="I6137" s="44"/>
      <c r="J6137" s="34">
        <v>0</v>
      </c>
    </row>
    <row r="6138" spans="1:10" ht="15.75" hidden="1" thickBot="1" x14ac:dyDescent="0.3">
      <c r="A6138" s="262"/>
      <c r="B6138" s="266"/>
      <c r="C6138" s="40" t="s">
        <v>3770</v>
      </c>
      <c r="D6138" s="40" t="s">
        <v>3752</v>
      </c>
      <c r="E6138" s="75">
        <v>0.55000000000000004</v>
      </c>
      <c r="F6138" s="35">
        <v>21.954499999999999</v>
      </c>
      <c r="G6138" s="59">
        <f t="shared" si="107"/>
        <v>12.074975</v>
      </c>
      <c r="H6138" s="47"/>
      <c r="I6138" s="44"/>
      <c r="J6138" s="34">
        <v>0</v>
      </c>
    </row>
    <row r="6139" spans="1:10" ht="15.75" hidden="1" thickBot="1" x14ac:dyDescent="0.3">
      <c r="A6139" s="262"/>
      <c r="B6139" s="266"/>
      <c r="C6139" s="40" t="s">
        <v>1483</v>
      </c>
      <c r="D6139" s="99" t="s">
        <v>28</v>
      </c>
      <c r="E6139" s="75">
        <v>0.04</v>
      </c>
      <c r="F6139" s="35">
        <v>0</v>
      </c>
      <c r="G6139" s="59">
        <f t="shared" si="107"/>
        <v>0</v>
      </c>
      <c r="H6139" s="47"/>
      <c r="I6139" s="44"/>
      <c r="J6139" s="34">
        <v>0</v>
      </c>
    </row>
    <row r="6140" spans="1:10" ht="15.75" hidden="1" thickBot="1" x14ac:dyDescent="0.3">
      <c r="A6140" s="262"/>
      <c r="B6140" s="266"/>
      <c r="C6140" s="40" t="s">
        <v>1484</v>
      </c>
      <c r="D6140" s="99" t="s">
        <v>28</v>
      </c>
      <c r="E6140" s="75">
        <v>1</v>
      </c>
      <c r="F6140" s="35">
        <v>0</v>
      </c>
      <c r="G6140" s="59">
        <f t="shared" si="107"/>
        <v>0</v>
      </c>
      <c r="H6140" s="47"/>
      <c r="I6140" s="44"/>
      <c r="J6140" s="34">
        <v>0</v>
      </c>
    </row>
    <row r="6141" spans="1:10" ht="15.75" hidden="1" thickBot="1" x14ac:dyDescent="0.3">
      <c r="A6141" s="262"/>
      <c r="B6141" s="266"/>
      <c r="C6141" s="40" t="s">
        <v>1485</v>
      </c>
      <c r="D6141" s="99" t="s">
        <v>28</v>
      </c>
      <c r="E6141" s="75">
        <v>1.0309999999999999</v>
      </c>
      <c r="F6141" s="35">
        <v>0</v>
      </c>
      <c r="G6141" s="59">
        <f t="shared" si="107"/>
        <v>0</v>
      </c>
      <c r="H6141" s="47"/>
      <c r="I6141" s="44"/>
      <c r="J6141" s="34">
        <v>0</v>
      </c>
    </row>
    <row r="6142" spans="1:10" ht="15.75" hidden="1" thickBot="1" x14ac:dyDescent="0.3">
      <c r="A6142" s="263"/>
      <c r="B6142" s="253"/>
      <c r="C6142" s="40"/>
      <c r="D6142" s="99"/>
      <c r="E6142" s="75"/>
      <c r="F6142" s="35" t="s">
        <v>23</v>
      </c>
      <c r="G6142" s="59"/>
      <c r="H6142" s="47"/>
      <c r="I6142" s="44"/>
      <c r="J6142" s="34">
        <v>0</v>
      </c>
    </row>
    <row r="6143" spans="1:10" ht="15.75" hidden="1" thickBot="1" x14ac:dyDescent="0.3">
      <c r="A6143" s="256" t="s">
        <v>1486</v>
      </c>
      <c r="B6143" s="251" t="s">
        <v>3264</v>
      </c>
      <c r="C6143" s="28"/>
      <c r="D6143" s="29" t="s">
        <v>28</v>
      </c>
      <c r="E6143" s="30"/>
      <c r="F6143" s="51" t="s">
        <v>23</v>
      </c>
      <c r="G6143" s="31" t="str">
        <f t="shared" ref="G6143:G6182" si="108">IF(ISNUMBER(F6143),E6143*F6143,"")</f>
        <v/>
      </c>
      <c r="H6143" s="32"/>
      <c r="I6143" s="33"/>
      <c r="J6143" s="34">
        <v>0</v>
      </c>
    </row>
    <row r="6144" spans="1:10" ht="15.75" hidden="1" thickBot="1" x14ac:dyDescent="0.3">
      <c r="A6144" s="264"/>
      <c r="B6144" s="266"/>
      <c r="C6144" s="76"/>
      <c r="D6144" s="76"/>
      <c r="E6144" s="77"/>
      <c r="F6144" s="59" t="s">
        <v>23</v>
      </c>
      <c r="G6144" s="59" t="str">
        <f t="shared" si="108"/>
        <v/>
      </c>
      <c r="H6144" s="62"/>
      <c r="I6144" s="63"/>
      <c r="J6144" s="34">
        <v>0</v>
      </c>
    </row>
    <row r="6145" spans="1:10" ht="26.25" hidden="1" thickBot="1" x14ac:dyDescent="0.3">
      <c r="A6145" s="264"/>
      <c r="B6145" s="266"/>
      <c r="C6145" s="40" t="s">
        <v>4321</v>
      </c>
      <c r="D6145" s="40" t="s">
        <v>291</v>
      </c>
      <c r="E6145" s="75">
        <v>1</v>
      </c>
      <c r="F6145" s="35">
        <v>39.852499999999999</v>
      </c>
      <c r="G6145" s="59">
        <f t="shared" si="108"/>
        <v>39.852499999999999</v>
      </c>
      <c r="H6145" s="43">
        <f>SUM(G6145:G6145)</f>
        <v>39.852499999999999</v>
      </c>
      <c r="I6145" s="44"/>
      <c r="J6145" s="34">
        <v>0</v>
      </c>
    </row>
    <row r="6146" spans="1:10" ht="15.75" hidden="1" thickBot="1" x14ac:dyDescent="0.3">
      <c r="A6146" s="265"/>
      <c r="B6146" s="253"/>
      <c r="C6146" s="60"/>
      <c r="D6146" s="78"/>
      <c r="E6146" s="79"/>
      <c r="F6146" s="80" t="s">
        <v>23</v>
      </c>
      <c r="G6146" s="80" t="str">
        <f t="shared" si="108"/>
        <v/>
      </c>
      <c r="H6146" s="81"/>
      <c r="I6146" s="63"/>
      <c r="J6146" s="34">
        <v>0</v>
      </c>
    </row>
    <row r="6147" spans="1:10" ht="15.75" hidden="1" thickBot="1" x14ac:dyDescent="0.3">
      <c r="A6147" s="256" t="s">
        <v>1487</v>
      </c>
      <c r="B6147" s="251" t="s">
        <v>3267</v>
      </c>
      <c r="C6147" s="28"/>
      <c r="D6147" s="29" t="s">
        <v>28</v>
      </c>
      <c r="E6147" s="30"/>
      <c r="F6147" s="51" t="s">
        <v>23</v>
      </c>
      <c r="G6147" s="31" t="str">
        <f t="shared" si="108"/>
        <v/>
      </c>
      <c r="H6147" s="32"/>
      <c r="I6147" s="33"/>
      <c r="J6147" s="34">
        <v>0</v>
      </c>
    </row>
    <row r="6148" spans="1:10" ht="15.75" hidden="1" thickBot="1" x14ac:dyDescent="0.3">
      <c r="A6148" s="264"/>
      <c r="B6148" s="266"/>
      <c r="C6148" s="76"/>
      <c r="D6148" s="76"/>
      <c r="E6148" s="77"/>
      <c r="F6148" s="59" t="s">
        <v>23</v>
      </c>
      <c r="G6148" s="59" t="str">
        <f t="shared" si="108"/>
        <v/>
      </c>
      <c r="H6148" s="62"/>
      <c r="I6148" s="63"/>
      <c r="J6148" s="34">
        <v>0</v>
      </c>
    </row>
    <row r="6149" spans="1:10" ht="15.75" hidden="1" thickBot="1" x14ac:dyDescent="0.3">
      <c r="A6149" s="264"/>
      <c r="B6149" s="266"/>
      <c r="C6149" s="40" t="s">
        <v>4322</v>
      </c>
      <c r="D6149" s="40" t="s">
        <v>291</v>
      </c>
      <c r="E6149" s="75">
        <v>1</v>
      </c>
      <c r="F6149" s="35">
        <v>126.6065</v>
      </c>
      <c r="G6149" s="59">
        <f t="shared" si="108"/>
        <v>126.6065</v>
      </c>
      <c r="H6149" s="43">
        <f>SUM(G6149:G6149)</f>
        <v>126.6065</v>
      </c>
      <c r="I6149" s="44"/>
      <c r="J6149" s="34">
        <v>0</v>
      </c>
    </row>
    <row r="6150" spans="1:10" ht="15.75" hidden="1" thickBot="1" x14ac:dyDescent="0.3">
      <c r="A6150" s="265"/>
      <c r="B6150" s="253"/>
      <c r="C6150" s="60"/>
      <c r="D6150" s="78"/>
      <c r="E6150" s="79"/>
      <c r="F6150" s="80" t="s">
        <v>23</v>
      </c>
      <c r="G6150" s="80" t="str">
        <f t="shared" si="108"/>
        <v/>
      </c>
      <c r="H6150" s="81"/>
      <c r="I6150" s="63"/>
      <c r="J6150" s="34">
        <v>0</v>
      </c>
    </row>
    <row r="6151" spans="1:10" ht="15.75" thickBot="1" x14ac:dyDescent="0.3">
      <c r="A6151" s="256" t="s">
        <v>1488</v>
      </c>
      <c r="B6151" s="251" t="s">
        <v>3270</v>
      </c>
      <c r="C6151" s="28"/>
      <c r="D6151" s="29" t="s">
        <v>80</v>
      </c>
      <c r="E6151" s="30"/>
      <c r="F6151" s="51" t="s">
        <v>23</v>
      </c>
      <c r="G6151" s="31" t="str">
        <f t="shared" si="108"/>
        <v/>
      </c>
      <c r="H6151" s="32"/>
      <c r="I6151" s="33"/>
      <c r="J6151" s="34">
        <v>60</v>
      </c>
    </row>
    <row r="6152" spans="1:10" x14ac:dyDescent="0.25">
      <c r="A6152" s="264"/>
      <c r="B6152" s="266"/>
      <c r="C6152" s="76"/>
      <c r="D6152" s="76"/>
      <c r="E6152" s="77"/>
      <c r="F6152" s="59" t="s">
        <v>23</v>
      </c>
      <c r="G6152" s="59" t="str">
        <f t="shared" si="108"/>
        <v/>
      </c>
      <c r="H6152" s="62"/>
      <c r="I6152" s="63"/>
      <c r="J6152" s="34">
        <v>60</v>
      </c>
    </row>
    <row r="6153" spans="1:10" x14ac:dyDescent="0.25">
      <c r="A6153" s="264"/>
      <c r="B6153" s="266"/>
      <c r="C6153" s="40" t="s">
        <v>4129</v>
      </c>
      <c r="D6153" s="40" t="s">
        <v>291</v>
      </c>
      <c r="E6153" s="75">
        <v>0.5</v>
      </c>
      <c r="F6153" s="35">
        <v>241.28099999999998</v>
      </c>
      <c r="G6153" s="59">
        <f t="shared" si="108"/>
        <v>120.64049999999999</v>
      </c>
      <c r="H6153" s="43">
        <f>SUM(G6153:G6153)</f>
        <v>120.64049999999999</v>
      </c>
      <c r="I6153" s="44"/>
      <c r="J6153" s="34">
        <v>60</v>
      </c>
    </row>
    <row r="6154" spans="1:10" ht="15.75" thickBot="1" x14ac:dyDescent="0.3">
      <c r="A6154" s="265"/>
      <c r="B6154" s="253"/>
      <c r="C6154" s="60"/>
      <c r="D6154" s="78"/>
      <c r="E6154" s="79"/>
      <c r="F6154" s="80" t="s">
        <v>23</v>
      </c>
      <c r="G6154" s="80" t="str">
        <f t="shared" si="108"/>
        <v/>
      </c>
      <c r="H6154" s="81"/>
      <c r="I6154" s="63"/>
      <c r="J6154" s="34">
        <v>60</v>
      </c>
    </row>
    <row r="6155" spans="1:10" ht="15.75" thickBot="1" x14ac:dyDescent="0.3">
      <c r="A6155" s="256" t="s">
        <v>1489</v>
      </c>
      <c r="B6155" s="259" t="s">
        <v>3271</v>
      </c>
      <c r="C6155" s="28"/>
      <c r="D6155" s="29" t="s">
        <v>78</v>
      </c>
      <c r="E6155" s="30"/>
      <c r="F6155" s="45" t="s">
        <v>23</v>
      </c>
      <c r="G6155" s="31" t="str">
        <f t="shared" si="108"/>
        <v/>
      </c>
      <c r="H6155" s="32"/>
      <c r="I6155" s="33"/>
      <c r="J6155" s="34">
        <v>6000</v>
      </c>
    </row>
    <row r="6156" spans="1:10" x14ac:dyDescent="0.25">
      <c r="A6156" s="257"/>
      <c r="B6156" s="267"/>
      <c r="C6156" s="36"/>
      <c r="D6156" s="36"/>
      <c r="E6156" s="37"/>
      <c r="F6156" s="46" t="s">
        <v>23</v>
      </c>
      <c r="G6156" s="35" t="str">
        <f t="shared" si="108"/>
        <v/>
      </c>
      <c r="H6156" s="39"/>
      <c r="I6156" s="35"/>
      <c r="J6156" s="34">
        <v>6000</v>
      </c>
    </row>
    <row r="6157" spans="1:10" x14ac:dyDescent="0.25">
      <c r="A6157" s="257"/>
      <c r="B6157" s="267"/>
      <c r="C6157" s="40" t="s">
        <v>3757</v>
      </c>
      <c r="D6157" s="40" t="s">
        <v>3752</v>
      </c>
      <c r="E6157" s="41">
        <f>0.1*1.3</f>
        <v>0.13</v>
      </c>
      <c r="F6157" s="35">
        <v>28.0535</v>
      </c>
      <c r="G6157" s="38">
        <f t="shared" si="108"/>
        <v>3.6469550000000002</v>
      </c>
      <c r="H6157" s="43">
        <f>SUM(G6157:G6164)</f>
        <v>252.10394000000002</v>
      </c>
      <c r="I6157" s="44"/>
      <c r="J6157" s="34">
        <v>6000</v>
      </c>
    </row>
    <row r="6158" spans="1:10" x14ac:dyDescent="0.25">
      <c r="A6158" s="257"/>
      <c r="B6158" s="267"/>
      <c r="C6158" s="40" t="s">
        <v>3754</v>
      </c>
      <c r="D6158" s="40" t="s">
        <v>3752</v>
      </c>
      <c r="E6158" s="41">
        <f>0.1*1.3</f>
        <v>0.13</v>
      </c>
      <c r="F6158" s="35">
        <v>20.814499999999999</v>
      </c>
      <c r="G6158" s="38">
        <f t="shared" si="108"/>
        <v>2.7058849999999999</v>
      </c>
      <c r="H6158" s="39"/>
      <c r="I6158" s="35"/>
      <c r="J6158" s="34">
        <v>6000</v>
      </c>
    </row>
    <row r="6159" spans="1:10" x14ac:dyDescent="0.25">
      <c r="A6159" s="257"/>
      <c r="B6159" s="267"/>
      <c r="C6159" s="40" t="s">
        <v>1146</v>
      </c>
      <c r="D6159" s="40" t="s">
        <v>1035</v>
      </c>
      <c r="E6159" s="41">
        <v>0.1</v>
      </c>
      <c r="F6159" s="38">
        <v>105.39</v>
      </c>
      <c r="G6159" s="35">
        <f t="shared" si="108"/>
        <v>10.539000000000001</v>
      </c>
      <c r="H6159" s="39"/>
      <c r="I6159" s="35"/>
      <c r="J6159" s="34">
        <v>6000</v>
      </c>
    </row>
    <row r="6160" spans="1:10" ht="25.5" x14ac:dyDescent="0.25">
      <c r="A6160" s="257"/>
      <c r="B6160" s="267"/>
      <c r="C6160" s="40" t="s">
        <v>1490</v>
      </c>
      <c r="D6160" s="40" t="s">
        <v>78</v>
      </c>
      <c r="E6160" s="41">
        <v>1.1000000000000001</v>
      </c>
      <c r="F6160" s="35">
        <v>201.34</v>
      </c>
      <c r="G6160" s="38">
        <f t="shared" si="108"/>
        <v>221.47400000000002</v>
      </c>
      <c r="H6160" s="39"/>
      <c r="I6160" s="44"/>
      <c r="J6160" s="34">
        <v>6000</v>
      </c>
    </row>
    <row r="6161" spans="1:10" x14ac:dyDescent="0.25">
      <c r="A6161" s="257"/>
      <c r="B6161" s="267"/>
      <c r="C6161" s="40" t="s">
        <v>3757</v>
      </c>
      <c r="D6161" s="40" t="s">
        <v>3752</v>
      </c>
      <c r="E6161" s="41">
        <v>0.2</v>
      </c>
      <c r="F6161" s="35">
        <v>28.0535</v>
      </c>
      <c r="G6161" s="38">
        <f t="shared" si="108"/>
        <v>5.6107000000000005</v>
      </c>
      <c r="H6161" s="39"/>
      <c r="I6161" s="35"/>
      <c r="J6161" s="34">
        <v>6000</v>
      </c>
    </row>
    <row r="6162" spans="1:10" x14ac:dyDescent="0.25">
      <c r="A6162" s="257"/>
      <c r="B6162" s="267"/>
      <c r="C6162" s="40" t="s">
        <v>3754</v>
      </c>
      <c r="D6162" s="40" t="s">
        <v>3752</v>
      </c>
      <c r="E6162" s="41">
        <v>0.2</v>
      </c>
      <c r="F6162" s="38">
        <v>20.814499999999999</v>
      </c>
      <c r="G6162" s="35">
        <f t="shared" si="108"/>
        <v>4.1628999999999996</v>
      </c>
      <c r="H6162" s="39"/>
      <c r="I6162" s="35"/>
      <c r="J6162" s="34">
        <v>6000</v>
      </c>
    </row>
    <row r="6163" spans="1:10" x14ac:dyDescent="0.25">
      <c r="A6163" s="257"/>
      <c r="B6163" s="267"/>
      <c r="C6163" s="40" t="s">
        <v>3759</v>
      </c>
      <c r="D6163" s="40" t="s">
        <v>1035</v>
      </c>
      <c r="E6163" s="41">
        <v>1.5</v>
      </c>
      <c r="F6163" s="35">
        <v>0.627</v>
      </c>
      <c r="G6163" s="38">
        <f t="shared" si="108"/>
        <v>0.9405</v>
      </c>
      <c r="H6163" s="39"/>
      <c r="I6163" s="44"/>
      <c r="J6163" s="34">
        <v>6000</v>
      </c>
    </row>
    <row r="6164" spans="1:10" x14ac:dyDescent="0.25">
      <c r="A6164" s="257"/>
      <c r="B6164" s="267"/>
      <c r="C6164" s="40" t="s">
        <v>1148</v>
      </c>
      <c r="D6164" s="40" t="s">
        <v>1035</v>
      </c>
      <c r="E6164" s="41">
        <f>ROUND(E6163*0.1,2)</f>
        <v>0.15</v>
      </c>
      <c r="F6164" s="35">
        <v>20.16</v>
      </c>
      <c r="G6164" s="38">
        <f t="shared" si="108"/>
        <v>3.024</v>
      </c>
      <c r="H6164" s="39"/>
      <c r="I6164" s="35"/>
      <c r="J6164" s="34">
        <v>6000</v>
      </c>
    </row>
    <row r="6165" spans="1:10" ht="15.75" thickBot="1" x14ac:dyDescent="0.3">
      <c r="A6165" s="258"/>
      <c r="B6165" s="261"/>
      <c r="C6165" s="40"/>
      <c r="D6165" s="40"/>
      <c r="E6165" s="41"/>
      <c r="F6165" s="35" t="s">
        <v>23</v>
      </c>
      <c r="G6165" s="35" t="str">
        <f t="shared" si="108"/>
        <v/>
      </c>
      <c r="H6165" s="39"/>
      <c r="I6165" s="35"/>
      <c r="J6165" s="34">
        <v>6000</v>
      </c>
    </row>
    <row r="6166" spans="1:10" ht="15.75" thickBot="1" x14ac:dyDescent="0.3">
      <c r="A6166" s="256" t="s">
        <v>1491</v>
      </c>
      <c r="B6166" s="259" t="s">
        <v>3272</v>
      </c>
      <c r="C6166" s="28"/>
      <c r="D6166" s="29" t="s">
        <v>78</v>
      </c>
      <c r="E6166" s="30"/>
      <c r="F6166" s="45" t="s">
        <v>23</v>
      </c>
      <c r="G6166" s="31" t="str">
        <f t="shared" si="108"/>
        <v/>
      </c>
      <c r="H6166" s="32"/>
      <c r="I6166" s="33"/>
      <c r="J6166" s="34">
        <v>6000</v>
      </c>
    </row>
    <row r="6167" spans="1:10" x14ac:dyDescent="0.25">
      <c r="A6167" s="257"/>
      <c r="B6167" s="267"/>
      <c r="C6167" s="36"/>
      <c r="D6167" s="36"/>
      <c r="E6167" s="37"/>
      <c r="F6167" s="46" t="s">
        <v>23</v>
      </c>
      <c r="G6167" s="35" t="str">
        <f t="shared" si="108"/>
        <v/>
      </c>
      <c r="H6167" s="39"/>
      <c r="I6167" s="35"/>
      <c r="J6167" s="34">
        <v>6000</v>
      </c>
    </row>
    <row r="6168" spans="1:10" x14ac:dyDescent="0.25">
      <c r="A6168" s="257"/>
      <c r="B6168" s="267"/>
      <c r="C6168" s="40" t="s">
        <v>3757</v>
      </c>
      <c r="D6168" s="40" t="s">
        <v>3752</v>
      </c>
      <c r="E6168" s="41">
        <v>0.1</v>
      </c>
      <c r="F6168" s="35">
        <v>28.0535</v>
      </c>
      <c r="G6168" s="38">
        <f t="shared" si="108"/>
        <v>2.8053500000000002</v>
      </c>
      <c r="H6168" s="43">
        <f>SUM(G6168:G6175)</f>
        <v>212.53390000000002</v>
      </c>
      <c r="I6168" s="44"/>
      <c r="J6168" s="34">
        <v>6000</v>
      </c>
    </row>
    <row r="6169" spans="1:10" x14ac:dyDescent="0.25">
      <c r="A6169" s="257"/>
      <c r="B6169" s="267"/>
      <c r="C6169" s="40" t="s">
        <v>3754</v>
      </c>
      <c r="D6169" s="40" t="s">
        <v>3752</v>
      </c>
      <c r="E6169" s="41">
        <v>0.1</v>
      </c>
      <c r="F6169" s="35">
        <v>20.814499999999999</v>
      </c>
      <c r="G6169" s="38">
        <f t="shared" si="108"/>
        <v>2.0814499999999998</v>
      </c>
      <c r="H6169" s="39"/>
      <c r="I6169" s="35"/>
      <c r="J6169" s="34">
        <v>6000</v>
      </c>
    </row>
    <row r="6170" spans="1:10" x14ac:dyDescent="0.25">
      <c r="A6170" s="257"/>
      <c r="B6170" s="267"/>
      <c r="C6170" s="40" t="s">
        <v>1146</v>
      </c>
      <c r="D6170" s="40" t="s">
        <v>1035</v>
      </c>
      <c r="E6170" s="41">
        <v>0.1</v>
      </c>
      <c r="F6170" s="38">
        <v>105.39</v>
      </c>
      <c r="G6170" s="35">
        <f t="shared" si="108"/>
        <v>10.539000000000001</v>
      </c>
      <c r="H6170" s="39"/>
      <c r="I6170" s="35"/>
      <c r="J6170" s="34">
        <v>6000</v>
      </c>
    </row>
    <row r="6171" spans="1:10" ht="25.5" x14ac:dyDescent="0.25">
      <c r="A6171" s="257"/>
      <c r="B6171" s="267"/>
      <c r="C6171" s="40" t="s">
        <v>1492</v>
      </c>
      <c r="D6171" s="40" t="s">
        <v>78</v>
      </c>
      <c r="E6171" s="41">
        <v>1.1000000000000001</v>
      </c>
      <c r="F6171" s="35">
        <v>166.7</v>
      </c>
      <c r="G6171" s="38">
        <f t="shared" si="108"/>
        <v>183.37</v>
      </c>
      <c r="H6171" s="39"/>
      <c r="I6171" s="44"/>
      <c r="J6171" s="34">
        <v>6000</v>
      </c>
    </row>
    <row r="6172" spans="1:10" x14ac:dyDescent="0.25">
      <c r="A6172" s="257"/>
      <c r="B6172" s="267"/>
      <c r="C6172" s="40" t="s">
        <v>3757</v>
      </c>
      <c r="D6172" s="40" t="s">
        <v>3752</v>
      </c>
      <c r="E6172" s="41">
        <v>0.2</v>
      </c>
      <c r="F6172" s="35">
        <v>28.0535</v>
      </c>
      <c r="G6172" s="38">
        <f t="shared" si="108"/>
        <v>5.6107000000000005</v>
      </c>
      <c r="H6172" s="39"/>
      <c r="I6172" s="35"/>
      <c r="J6172" s="34">
        <v>6000</v>
      </c>
    </row>
    <row r="6173" spans="1:10" x14ac:dyDescent="0.25">
      <c r="A6173" s="257"/>
      <c r="B6173" s="267"/>
      <c r="C6173" s="40" t="s">
        <v>3754</v>
      </c>
      <c r="D6173" s="40" t="s">
        <v>3752</v>
      </c>
      <c r="E6173" s="41">
        <v>0.2</v>
      </c>
      <c r="F6173" s="38">
        <v>20.814499999999999</v>
      </c>
      <c r="G6173" s="35">
        <f t="shared" si="108"/>
        <v>4.1628999999999996</v>
      </c>
      <c r="H6173" s="39"/>
      <c r="I6173" s="35"/>
      <c r="J6173" s="34">
        <v>6000</v>
      </c>
    </row>
    <row r="6174" spans="1:10" x14ac:dyDescent="0.25">
      <c r="A6174" s="257"/>
      <c r="B6174" s="267"/>
      <c r="C6174" s="40" t="s">
        <v>3759</v>
      </c>
      <c r="D6174" s="40" t="s">
        <v>1035</v>
      </c>
      <c r="E6174" s="41">
        <v>1.5</v>
      </c>
      <c r="F6174" s="35">
        <v>0.627</v>
      </c>
      <c r="G6174" s="38">
        <f t="shared" si="108"/>
        <v>0.9405</v>
      </c>
      <c r="H6174" s="39"/>
      <c r="I6174" s="44"/>
      <c r="J6174" s="34">
        <v>6000</v>
      </c>
    </row>
    <row r="6175" spans="1:10" x14ac:dyDescent="0.25">
      <c r="A6175" s="257"/>
      <c r="B6175" s="267"/>
      <c r="C6175" s="40" t="s">
        <v>1148</v>
      </c>
      <c r="D6175" s="40" t="s">
        <v>1035</v>
      </c>
      <c r="E6175" s="41">
        <f>ROUND(E6174*0.1,2)</f>
        <v>0.15</v>
      </c>
      <c r="F6175" s="35">
        <v>20.16</v>
      </c>
      <c r="G6175" s="38">
        <f t="shared" si="108"/>
        <v>3.024</v>
      </c>
      <c r="H6175" s="39"/>
      <c r="I6175" s="35"/>
      <c r="J6175" s="34">
        <v>6000</v>
      </c>
    </row>
    <row r="6176" spans="1:10" ht="15.75" thickBot="1" x14ac:dyDescent="0.3">
      <c r="A6176" s="258"/>
      <c r="B6176" s="261"/>
      <c r="C6176" s="40"/>
      <c r="D6176" s="40"/>
      <c r="E6176" s="41"/>
      <c r="F6176" s="35" t="s">
        <v>23</v>
      </c>
      <c r="G6176" s="35" t="str">
        <f t="shared" si="108"/>
        <v/>
      </c>
      <c r="H6176" s="39"/>
      <c r="I6176" s="35"/>
      <c r="J6176" s="34">
        <v>6000</v>
      </c>
    </row>
    <row r="6177" spans="1:10" ht="15.75" hidden="1" thickBot="1" x14ac:dyDescent="0.3">
      <c r="A6177" s="248" t="s">
        <v>1493</v>
      </c>
      <c r="B6177" s="251" t="s">
        <v>3273</v>
      </c>
      <c r="C6177" s="28"/>
      <c r="D6177" s="29" t="s">
        <v>121</v>
      </c>
      <c r="E6177" s="30"/>
      <c r="F6177" s="51" t="s">
        <v>23</v>
      </c>
      <c r="G6177" s="31" t="str">
        <f t="shared" si="108"/>
        <v/>
      </c>
      <c r="H6177" s="32"/>
      <c r="I6177" s="33"/>
      <c r="J6177" s="34">
        <v>0</v>
      </c>
    </row>
    <row r="6178" spans="1:10" ht="15.75" hidden="1" thickBot="1" x14ac:dyDescent="0.3">
      <c r="A6178" s="262"/>
      <c r="B6178" s="266"/>
      <c r="C6178" s="76"/>
      <c r="D6178" s="76"/>
      <c r="E6178" s="77"/>
      <c r="F6178" s="59" t="s">
        <v>23</v>
      </c>
      <c r="G6178" s="59" t="str">
        <f t="shared" si="108"/>
        <v/>
      </c>
      <c r="H6178" s="62"/>
      <c r="I6178" s="63"/>
      <c r="J6178" s="34">
        <v>0</v>
      </c>
    </row>
    <row r="6179" spans="1:10" ht="26.25" hidden="1" thickBot="1" x14ac:dyDescent="0.3">
      <c r="A6179" s="262"/>
      <c r="B6179" s="266"/>
      <c r="C6179" s="40" t="s">
        <v>3790</v>
      </c>
      <c r="D6179" s="40" t="s">
        <v>3764</v>
      </c>
      <c r="E6179" s="75">
        <v>0.23</v>
      </c>
      <c r="F6179" s="35">
        <v>16.34</v>
      </c>
      <c r="G6179" s="59">
        <f t="shared" si="108"/>
        <v>3.7582</v>
      </c>
      <c r="H6179" s="43">
        <f>SUM(G6179:G6182)</f>
        <v>13.291544999999999</v>
      </c>
      <c r="I6179" s="44"/>
      <c r="J6179" s="34">
        <v>0</v>
      </c>
    </row>
    <row r="6180" spans="1:10" ht="39" hidden="1" thickBot="1" x14ac:dyDescent="0.3">
      <c r="A6180" s="262"/>
      <c r="B6180" s="266"/>
      <c r="C6180" s="40" t="s">
        <v>3786</v>
      </c>
      <c r="D6180" s="40" t="s">
        <v>1035</v>
      </c>
      <c r="E6180" s="75">
        <v>3.2000000000000001E-2</v>
      </c>
      <c r="F6180" s="35">
        <v>74.575000000000003</v>
      </c>
      <c r="G6180" s="59">
        <f t="shared" si="108"/>
        <v>2.3864000000000001</v>
      </c>
      <c r="H6180" s="47"/>
      <c r="I6180" s="44"/>
      <c r="J6180" s="34">
        <v>0</v>
      </c>
    </row>
    <row r="6181" spans="1:10" ht="15.75" hidden="1" thickBot="1" x14ac:dyDescent="0.3">
      <c r="A6181" s="262"/>
      <c r="B6181" s="266"/>
      <c r="C6181" s="40" t="s">
        <v>3967</v>
      </c>
      <c r="D6181" s="40" t="s">
        <v>3752</v>
      </c>
      <c r="E6181" s="75">
        <v>0.09</v>
      </c>
      <c r="F6181" s="35">
        <v>22.106499999999997</v>
      </c>
      <c r="G6181" s="59">
        <f t="shared" si="108"/>
        <v>1.9895849999999997</v>
      </c>
      <c r="H6181" s="47"/>
      <c r="I6181" s="44"/>
      <c r="J6181" s="34">
        <v>0</v>
      </c>
    </row>
    <row r="6182" spans="1:10" ht="15.75" hidden="1" thickBot="1" x14ac:dyDescent="0.3">
      <c r="A6182" s="262"/>
      <c r="B6182" s="266"/>
      <c r="C6182" s="40" t="s">
        <v>4017</v>
      </c>
      <c r="D6182" s="40" t="s">
        <v>3752</v>
      </c>
      <c r="E6182" s="75">
        <v>0.18</v>
      </c>
      <c r="F6182" s="35">
        <v>28.651999999999997</v>
      </c>
      <c r="G6182" s="59">
        <f t="shared" si="108"/>
        <v>5.1573599999999997</v>
      </c>
      <c r="H6182" s="47"/>
      <c r="I6182" s="44"/>
      <c r="J6182" s="34">
        <v>0</v>
      </c>
    </row>
    <row r="6183" spans="1:10" ht="15.75" hidden="1" thickBot="1" x14ac:dyDescent="0.3">
      <c r="A6183" s="263"/>
      <c r="B6183" s="253"/>
      <c r="C6183" s="40"/>
      <c r="D6183" s="99"/>
      <c r="E6183" s="75"/>
      <c r="F6183" s="35" t="s">
        <v>23</v>
      </c>
      <c r="G6183" s="59"/>
      <c r="H6183" s="47"/>
      <c r="I6183" s="44"/>
      <c r="J6183" s="34">
        <v>0</v>
      </c>
    </row>
    <row r="6184" spans="1:10" ht="15.75" hidden="1" thickBot="1" x14ac:dyDescent="0.3">
      <c r="A6184" s="248" t="s">
        <v>1494</v>
      </c>
      <c r="B6184" s="251" t="s">
        <v>3274</v>
      </c>
      <c r="C6184" s="28"/>
      <c r="D6184" s="29" t="s">
        <v>78</v>
      </c>
      <c r="E6184" s="30"/>
      <c r="F6184" s="51" t="s">
        <v>23</v>
      </c>
      <c r="G6184" s="31" t="str">
        <f>IF(ISNUMBER(F6184),E6184*F6184,"")</f>
        <v/>
      </c>
      <c r="H6184" s="32"/>
      <c r="I6184" s="33"/>
      <c r="J6184" s="34">
        <v>0</v>
      </c>
    </row>
    <row r="6185" spans="1:10" ht="15.75" hidden="1" thickBot="1" x14ac:dyDescent="0.3">
      <c r="A6185" s="262"/>
      <c r="B6185" s="266"/>
      <c r="C6185" s="76"/>
      <c r="D6185" s="76"/>
      <c r="E6185" s="77"/>
      <c r="F6185" s="59" t="s">
        <v>23</v>
      </c>
      <c r="G6185" s="59" t="str">
        <f>IF(ISNUMBER(F6185),E6185*F6185,"")</f>
        <v/>
      </c>
      <c r="H6185" s="62"/>
      <c r="I6185" s="63"/>
      <c r="J6185" s="34">
        <v>0</v>
      </c>
    </row>
    <row r="6186" spans="1:10" ht="15.75" hidden="1" thickBot="1" x14ac:dyDescent="0.3">
      <c r="A6186" s="262"/>
      <c r="B6186" s="266"/>
      <c r="C6186" s="40" t="s">
        <v>3757</v>
      </c>
      <c r="D6186" s="40" t="s">
        <v>3752</v>
      </c>
      <c r="E6186" s="41">
        <v>0.5</v>
      </c>
      <c r="F6186" s="35">
        <v>28.0535</v>
      </c>
      <c r="G6186" s="38">
        <f>IF(ISNUMBER(F6186),E6186*F6186,"")</f>
        <v>14.02675</v>
      </c>
      <c r="H6186" s="43">
        <f>SUM(G6186:G6187)</f>
        <v>34.841250000000002</v>
      </c>
      <c r="I6186" s="44"/>
      <c r="J6186" s="34">
        <v>0</v>
      </c>
    </row>
    <row r="6187" spans="1:10" ht="15.75" hidden="1" thickBot="1" x14ac:dyDescent="0.3">
      <c r="A6187" s="262"/>
      <c r="B6187" s="266"/>
      <c r="C6187" s="40" t="s">
        <v>3754</v>
      </c>
      <c r="D6187" s="40" t="s">
        <v>3752</v>
      </c>
      <c r="E6187" s="41">
        <v>1</v>
      </c>
      <c r="F6187" s="38">
        <v>20.814499999999999</v>
      </c>
      <c r="G6187" s="35">
        <f>IF(ISNUMBER(F6187),E6187*F6187,"")</f>
        <v>20.814499999999999</v>
      </c>
      <c r="H6187" s="47"/>
      <c r="I6187" s="44"/>
      <c r="J6187" s="34">
        <v>0</v>
      </c>
    </row>
    <row r="6188" spans="1:10" ht="15.75" hidden="1" thickBot="1" x14ac:dyDescent="0.3">
      <c r="A6188" s="263"/>
      <c r="B6188" s="253"/>
      <c r="C6188" s="40"/>
      <c r="D6188" s="99"/>
      <c r="E6188" s="75"/>
      <c r="F6188" s="35" t="s">
        <v>23</v>
      </c>
      <c r="G6188" s="59"/>
      <c r="H6188" s="47"/>
      <c r="I6188" s="44"/>
      <c r="J6188" s="34">
        <v>0</v>
      </c>
    </row>
    <row r="6189" spans="1:10" ht="15.75" hidden="1" thickBot="1" x14ac:dyDescent="0.3">
      <c r="A6189" s="248" t="s">
        <v>1495</v>
      </c>
      <c r="B6189" s="251" t="s">
        <v>3275</v>
      </c>
      <c r="C6189" s="28"/>
      <c r="D6189" s="29" t="s">
        <v>78</v>
      </c>
      <c r="E6189" s="30"/>
      <c r="F6189" s="51" t="s">
        <v>23</v>
      </c>
      <c r="G6189" s="31" t="str">
        <f>IF(ISNUMBER(F6189),E6189*F6189,"")</f>
        <v/>
      </c>
      <c r="H6189" s="32"/>
      <c r="I6189" s="33"/>
      <c r="J6189" s="34">
        <v>0</v>
      </c>
    </row>
    <row r="6190" spans="1:10" ht="15.75" hidden="1" thickBot="1" x14ac:dyDescent="0.3">
      <c r="A6190" s="262"/>
      <c r="B6190" s="266"/>
      <c r="C6190" s="76"/>
      <c r="D6190" s="76"/>
      <c r="E6190" s="77"/>
      <c r="F6190" s="59" t="s">
        <v>23</v>
      </c>
      <c r="G6190" s="59" t="str">
        <f>IF(ISNUMBER(F6190),E6190*F6190,"")</f>
        <v/>
      </c>
      <c r="H6190" s="62"/>
      <c r="I6190" s="63"/>
      <c r="J6190" s="34">
        <v>0</v>
      </c>
    </row>
    <row r="6191" spans="1:10" ht="15.75" hidden="1" thickBot="1" x14ac:dyDescent="0.3">
      <c r="A6191" s="262"/>
      <c r="B6191" s="266"/>
      <c r="C6191" s="40" t="s">
        <v>3757</v>
      </c>
      <c r="D6191" s="40" t="s">
        <v>3752</v>
      </c>
      <c r="E6191" s="41">
        <v>1.5</v>
      </c>
      <c r="F6191" s="35">
        <v>28.0535</v>
      </c>
      <c r="G6191" s="38">
        <f>IF(ISNUMBER(F6191),E6191*F6191,"")</f>
        <v>42.080249999999999</v>
      </c>
      <c r="H6191" s="43">
        <f>SUM(G6191:G6192)</f>
        <v>62.894750000000002</v>
      </c>
      <c r="I6191" s="44"/>
      <c r="J6191" s="34">
        <v>0</v>
      </c>
    </row>
    <row r="6192" spans="1:10" ht="15.75" hidden="1" thickBot="1" x14ac:dyDescent="0.3">
      <c r="A6192" s="262"/>
      <c r="B6192" s="266"/>
      <c r="C6192" s="40" t="s">
        <v>3754</v>
      </c>
      <c r="D6192" s="40" t="s">
        <v>3752</v>
      </c>
      <c r="E6192" s="41">
        <v>1</v>
      </c>
      <c r="F6192" s="38">
        <v>20.814499999999999</v>
      </c>
      <c r="G6192" s="35">
        <f>IF(ISNUMBER(F6192),E6192*F6192,"")</f>
        <v>20.814499999999999</v>
      </c>
      <c r="H6192" s="47"/>
      <c r="I6192" s="44"/>
      <c r="J6192" s="34">
        <v>0</v>
      </c>
    </row>
    <row r="6193" spans="1:10" ht="15.75" hidden="1" thickBot="1" x14ac:dyDescent="0.3">
      <c r="A6193" s="263"/>
      <c r="B6193" s="253"/>
      <c r="C6193" s="40"/>
      <c r="D6193" s="99"/>
      <c r="E6193" s="75"/>
      <c r="F6193" s="35" t="s">
        <v>23</v>
      </c>
      <c r="G6193" s="59"/>
      <c r="H6193" s="47"/>
      <c r="I6193" s="44"/>
      <c r="J6193" s="34">
        <v>0</v>
      </c>
    </row>
    <row r="6194" spans="1:10" ht="15.75" hidden="1" thickBot="1" x14ac:dyDescent="0.3">
      <c r="A6194" s="248" t="s">
        <v>1496</v>
      </c>
      <c r="B6194" s="251" t="s">
        <v>3276</v>
      </c>
      <c r="C6194" s="28"/>
      <c r="D6194" s="29" t="s">
        <v>1748</v>
      </c>
      <c r="E6194" s="30"/>
      <c r="F6194" s="51" t="s">
        <v>23</v>
      </c>
      <c r="G6194" s="31" t="str">
        <f>IF(ISNUMBER(F6194),E6194*F6194,"")</f>
        <v/>
      </c>
      <c r="H6194" s="32"/>
      <c r="I6194" s="33"/>
      <c r="J6194" s="34">
        <v>0</v>
      </c>
    </row>
    <row r="6195" spans="1:10" ht="15.75" hidden="1" thickBot="1" x14ac:dyDescent="0.3">
      <c r="A6195" s="262"/>
      <c r="B6195" s="266"/>
      <c r="C6195" s="76"/>
      <c r="D6195" s="76"/>
      <c r="E6195" s="77"/>
      <c r="F6195" s="59" t="s">
        <v>23</v>
      </c>
      <c r="G6195" s="59" t="str">
        <f>IF(ISNUMBER(F6195),E6195*F6195,"")</f>
        <v/>
      </c>
      <c r="H6195" s="62"/>
      <c r="I6195" s="63"/>
      <c r="J6195" s="34">
        <v>0</v>
      </c>
    </row>
    <row r="6196" spans="1:10" ht="15.75" hidden="1" thickBot="1" x14ac:dyDescent="0.3">
      <c r="A6196" s="262"/>
      <c r="B6196" s="266"/>
      <c r="C6196" s="40" t="s">
        <v>3757</v>
      </c>
      <c r="D6196" s="40" t="s">
        <v>3752</v>
      </c>
      <c r="E6196" s="75">
        <v>7.4147999999999996</v>
      </c>
      <c r="F6196" s="35">
        <v>28.0535</v>
      </c>
      <c r="G6196" s="59">
        <f>IF(ISNUMBER(F6196),E6196*F6196,"")</f>
        <v>208.01109179999997</v>
      </c>
      <c r="H6196" s="43">
        <f>SUM(G6196:G6198)</f>
        <v>310.90132819999997</v>
      </c>
      <c r="I6196" s="44"/>
      <c r="J6196" s="34">
        <v>0</v>
      </c>
    </row>
    <row r="6197" spans="1:10" ht="15.75" hidden="1" thickBot="1" x14ac:dyDescent="0.3">
      <c r="A6197" s="262"/>
      <c r="B6197" s="266"/>
      <c r="C6197" s="40" t="s">
        <v>3754</v>
      </c>
      <c r="D6197" s="40" t="s">
        <v>3752</v>
      </c>
      <c r="E6197" s="75">
        <v>4.9432</v>
      </c>
      <c r="F6197" s="35">
        <v>20.814499999999999</v>
      </c>
      <c r="G6197" s="59">
        <f>IF(ISNUMBER(F6197),E6197*F6197,"")</f>
        <v>102.89023639999999</v>
      </c>
      <c r="H6197" s="47"/>
      <c r="I6197" s="44"/>
      <c r="J6197" s="34">
        <v>0</v>
      </c>
    </row>
    <row r="6198" spans="1:10" ht="15.75" hidden="1" thickBot="1" x14ac:dyDescent="0.3">
      <c r="A6198" s="262"/>
      <c r="B6198" s="266"/>
      <c r="C6198" s="40" t="s">
        <v>1497</v>
      </c>
      <c r="D6198" s="99" t="s">
        <v>82</v>
      </c>
      <c r="E6198" s="75">
        <f>1.203*2000</f>
        <v>2406</v>
      </c>
      <c r="F6198" s="35" t="s">
        <v>23</v>
      </c>
      <c r="G6198" s="59" t="str">
        <f>IF(ISNUMBER(F6198),E6198*F6198,"")</f>
        <v/>
      </c>
      <c r="H6198" s="47"/>
      <c r="I6198" s="44"/>
      <c r="J6198" s="34">
        <v>0</v>
      </c>
    </row>
    <row r="6199" spans="1:10" ht="15.75" hidden="1" thickBot="1" x14ac:dyDescent="0.3">
      <c r="A6199" s="262"/>
      <c r="B6199" s="266"/>
      <c r="C6199" s="40"/>
      <c r="D6199" s="99"/>
      <c r="E6199" s="75"/>
      <c r="F6199" s="35" t="s">
        <v>23</v>
      </c>
      <c r="G6199" s="59"/>
      <c r="H6199" s="47"/>
      <c r="I6199" s="44"/>
      <c r="J6199" s="34">
        <v>0</v>
      </c>
    </row>
    <row r="6200" spans="1:10" ht="39" hidden="1" thickBot="1" x14ac:dyDescent="0.3">
      <c r="A6200" s="262"/>
      <c r="B6200" s="266"/>
      <c r="C6200" s="54" t="s">
        <v>1498</v>
      </c>
      <c r="D6200" s="99"/>
      <c r="E6200" s="75"/>
      <c r="F6200" s="35" t="s">
        <v>23</v>
      </c>
      <c r="G6200" s="59"/>
      <c r="H6200" s="47"/>
      <c r="I6200" s="44"/>
      <c r="J6200" s="34">
        <v>0</v>
      </c>
    </row>
    <row r="6201" spans="1:10" ht="15.75" hidden="1" thickBot="1" x14ac:dyDescent="0.3">
      <c r="A6201" s="263"/>
      <c r="B6201" s="253"/>
      <c r="C6201" s="40"/>
      <c r="D6201" s="99"/>
      <c r="E6201" s="75"/>
      <c r="F6201" s="35" t="s">
        <v>23</v>
      </c>
      <c r="G6201" s="59"/>
      <c r="H6201" s="47"/>
      <c r="I6201" s="44"/>
      <c r="J6201" s="34">
        <v>0</v>
      </c>
    </row>
    <row r="6202" spans="1:10" ht="15.75" hidden="1" thickBot="1" x14ac:dyDescent="0.3">
      <c r="A6202" s="248" t="s">
        <v>1499</v>
      </c>
      <c r="B6202" s="251" t="s">
        <v>3277</v>
      </c>
      <c r="C6202" s="28"/>
      <c r="D6202" s="29" t="s">
        <v>82</v>
      </c>
      <c r="E6202" s="30"/>
      <c r="F6202" s="51" t="s">
        <v>23</v>
      </c>
      <c r="G6202" s="31" t="str">
        <f t="shared" ref="G6202:G6208" si="109">IF(ISNUMBER(F6202),E6202*F6202,"")</f>
        <v/>
      </c>
      <c r="H6202" s="32"/>
      <c r="I6202" s="33"/>
      <c r="J6202" s="34">
        <v>0</v>
      </c>
    </row>
    <row r="6203" spans="1:10" ht="15.75" hidden="1" thickBot="1" x14ac:dyDescent="0.3">
      <c r="A6203" s="262"/>
      <c r="B6203" s="266"/>
      <c r="C6203" s="76"/>
      <c r="D6203" s="76"/>
      <c r="E6203" s="77"/>
      <c r="F6203" s="59" t="s">
        <v>23</v>
      </c>
      <c r="G6203" s="59" t="str">
        <f t="shared" si="109"/>
        <v/>
      </c>
      <c r="H6203" s="62"/>
      <c r="I6203" s="63"/>
      <c r="J6203" s="34">
        <v>0</v>
      </c>
    </row>
    <row r="6204" spans="1:10" ht="39" hidden="1" thickBot="1" x14ac:dyDescent="0.3">
      <c r="A6204" s="262"/>
      <c r="B6204" s="266"/>
      <c r="C6204" s="40" t="s">
        <v>4149</v>
      </c>
      <c r="D6204" s="40" t="s">
        <v>291</v>
      </c>
      <c r="E6204" s="75">
        <v>0.21199999999999999</v>
      </c>
      <c r="F6204" s="35">
        <v>0.20899999999999999</v>
      </c>
      <c r="G6204" s="59">
        <f t="shared" si="109"/>
        <v>4.4308E-2</v>
      </c>
      <c r="H6204" s="43">
        <f>SUM(G6204:G6208)</f>
        <v>13.493999500000001</v>
      </c>
      <c r="I6204" s="44"/>
      <c r="J6204" s="34">
        <v>0</v>
      </c>
    </row>
    <row r="6205" spans="1:10" ht="26.25" hidden="1" thickBot="1" x14ac:dyDescent="0.3">
      <c r="A6205" s="262"/>
      <c r="B6205" s="266"/>
      <c r="C6205" s="40" t="s">
        <v>4033</v>
      </c>
      <c r="D6205" s="40" t="s">
        <v>1035</v>
      </c>
      <c r="E6205" s="75">
        <v>2.5000000000000001E-2</v>
      </c>
      <c r="F6205" s="35">
        <v>18.249500000000001</v>
      </c>
      <c r="G6205" s="59">
        <f t="shared" si="109"/>
        <v>0.45623750000000007</v>
      </c>
      <c r="H6205" s="47"/>
      <c r="I6205" s="44"/>
      <c r="J6205" s="34">
        <v>0</v>
      </c>
    </row>
    <row r="6206" spans="1:10" ht="15.75" hidden="1" thickBot="1" x14ac:dyDescent="0.3">
      <c r="A6206" s="262"/>
      <c r="B6206" s="266"/>
      <c r="C6206" s="40" t="s">
        <v>4167</v>
      </c>
      <c r="D6206" s="40" t="s">
        <v>3752</v>
      </c>
      <c r="E6206" s="75">
        <v>4.3E-3</v>
      </c>
      <c r="F6206" s="35">
        <v>20.785999999999998</v>
      </c>
      <c r="G6206" s="59">
        <f t="shared" si="109"/>
        <v>8.9379799999999995E-2</v>
      </c>
      <c r="H6206" s="47"/>
      <c r="I6206" s="44"/>
      <c r="J6206" s="34">
        <v>0</v>
      </c>
    </row>
    <row r="6207" spans="1:10" ht="15.75" hidden="1" thickBot="1" x14ac:dyDescent="0.3">
      <c r="A6207" s="262"/>
      <c r="B6207" s="266"/>
      <c r="C6207" s="40" t="s">
        <v>3977</v>
      </c>
      <c r="D6207" s="40" t="s">
        <v>3752</v>
      </c>
      <c r="E6207" s="75">
        <v>2.6100000000000002E-2</v>
      </c>
      <c r="F6207" s="35">
        <v>27.853999999999999</v>
      </c>
      <c r="G6207" s="59">
        <f t="shared" si="109"/>
        <v>0.72698940000000001</v>
      </c>
      <c r="H6207" s="47"/>
      <c r="I6207" s="44"/>
      <c r="J6207" s="34">
        <v>0</v>
      </c>
    </row>
    <row r="6208" spans="1:10" ht="15.75" hidden="1" thickBot="1" x14ac:dyDescent="0.3">
      <c r="A6208" s="262"/>
      <c r="B6208" s="266"/>
      <c r="C6208" s="40" t="s">
        <v>4694</v>
      </c>
      <c r="D6208" s="40" t="s">
        <v>1035</v>
      </c>
      <c r="E6208" s="75">
        <v>1</v>
      </c>
      <c r="F6208" s="35">
        <v>12.177084800000001</v>
      </c>
      <c r="G6208" s="59">
        <f t="shared" si="109"/>
        <v>12.177084800000001</v>
      </c>
      <c r="H6208" s="47"/>
      <c r="I6208" s="44"/>
      <c r="J6208" s="34">
        <v>0</v>
      </c>
    </row>
    <row r="6209" spans="1:10" ht="15.75" hidden="1" thickBot="1" x14ac:dyDescent="0.3">
      <c r="A6209" s="263"/>
      <c r="B6209" s="253"/>
      <c r="C6209" s="40"/>
      <c r="D6209" s="99"/>
      <c r="E6209" s="75"/>
      <c r="F6209" s="35" t="s">
        <v>23</v>
      </c>
      <c r="G6209" s="59"/>
      <c r="H6209" s="47"/>
      <c r="I6209" s="44"/>
      <c r="J6209" s="34">
        <v>0</v>
      </c>
    </row>
    <row r="6210" spans="1:10" ht="15.75" hidden="1" thickBot="1" x14ac:dyDescent="0.3">
      <c r="A6210" s="248" t="s">
        <v>1500</v>
      </c>
      <c r="B6210" s="251" t="s">
        <v>3278</v>
      </c>
      <c r="C6210" s="28"/>
      <c r="D6210" s="29" t="s">
        <v>1748</v>
      </c>
      <c r="E6210" s="30"/>
      <c r="F6210" s="51" t="s">
        <v>23</v>
      </c>
      <c r="G6210" s="31" t="str">
        <f t="shared" ref="G6210:G6217" si="110">IF(ISNUMBER(F6210),E6210*F6210,"")</f>
        <v/>
      </c>
      <c r="H6210" s="32"/>
      <c r="I6210" s="33"/>
      <c r="J6210" s="34">
        <v>0</v>
      </c>
    </row>
    <row r="6211" spans="1:10" ht="15.75" hidden="1" thickBot="1" x14ac:dyDescent="0.3">
      <c r="A6211" s="262"/>
      <c r="B6211" s="266"/>
      <c r="C6211" s="76"/>
      <c r="D6211" s="76"/>
      <c r="E6211" s="77"/>
      <c r="F6211" s="59" t="s">
        <v>23</v>
      </c>
      <c r="G6211" s="59" t="str">
        <f t="shared" si="110"/>
        <v/>
      </c>
      <c r="H6211" s="62"/>
      <c r="I6211" s="63"/>
      <c r="J6211" s="34">
        <v>0</v>
      </c>
    </row>
    <row r="6212" spans="1:10" ht="39" hidden="1" thickBot="1" x14ac:dyDescent="0.3">
      <c r="A6212" s="262"/>
      <c r="B6212" s="266"/>
      <c r="C6212" s="40" t="s">
        <v>4704</v>
      </c>
      <c r="D6212" s="40" t="s">
        <v>3764</v>
      </c>
      <c r="E6212" s="75">
        <v>1.103</v>
      </c>
      <c r="F6212" s="35">
        <v>613.51845821812492</v>
      </c>
      <c r="G6212" s="59">
        <f t="shared" si="110"/>
        <v>676.71085941459182</v>
      </c>
      <c r="H6212" s="43">
        <f>SUM(G6212:G6217)</f>
        <v>986.00338541459189</v>
      </c>
      <c r="I6212" s="44"/>
      <c r="J6212" s="34">
        <v>0</v>
      </c>
    </row>
    <row r="6213" spans="1:10" ht="15.75" hidden="1" thickBot="1" x14ac:dyDescent="0.3">
      <c r="A6213" s="262"/>
      <c r="B6213" s="266"/>
      <c r="C6213" s="40" t="s">
        <v>3823</v>
      </c>
      <c r="D6213" s="40" t="s">
        <v>3752</v>
      </c>
      <c r="E6213" s="75">
        <v>1.19</v>
      </c>
      <c r="F6213" s="35">
        <v>27.683</v>
      </c>
      <c r="G6213" s="59">
        <f t="shared" si="110"/>
        <v>32.942769999999996</v>
      </c>
      <c r="H6213" s="47"/>
      <c r="I6213" s="44"/>
      <c r="J6213" s="34">
        <v>0</v>
      </c>
    </row>
    <row r="6214" spans="1:10" ht="15.75" hidden="1" thickBot="1" x14ac:dyDescent="0.3">
      <c r="A6214" s="262"/>
      <c r="B6214" s="266"/>
      <c r="C6214" s="40" t="s">
        <v>3757</v>
      </c>
      <c r="D6214" s="40" t="s">
        <v>3752</v>
      </c>
      <c r="E6214" s="75">
        <v>3.5710000000000002</v>
      </c>
      <c r="F6214" s="35">
        <v>28.0535</v>
      </c>
      <c r="G6214" s="59">
        <f t="shared" si="110"/>
        <v>100.17904850000001</v>
      </c>
      <c r="H6214" s="47"/>
      <c r="I6214" s="44"/>
      <c r="J6214" s="34">
        <v>0</v>
      </c>
    </row>
    <row r="6215" spans="1:10" ht="15.75" hidden="1" thickBot="1" x14ac:dyDescent="0.3">
      <c r="A6215" s="262"/>
      <c r="B6215" s="266"/>
      <c r="C6215" s="40" t="s">
        <v>3754</v>
      </c>
      <c r="D6215" s="40" t="s">
        <v>3752</v>
      </c>
      <c r="E6215" s="75">
        <v>8.407</v>
      </c>
      <c r="F6215" s="35">
        <v>20.814499999999999</v>
      </c>
      <c r="G6215" s="59">
        <f t="shared" si="110"/>
        <v>174.98750149999998</v>
      </c>
      <c r="H6215" s="47"/>
      <c r="I6215" s="44"/>
      <c r="J6215" s="34">
        <v>0</v>
      </c>
    </row>
    <row r="6216" spans="1:10" ht="26.25" hidden="1" thickBot="1" x14ac:dyDescent="0.3">
      <c r="A6216" s="262"/>
      <c r="B6216" s="266"/>
      <c r="C6216" s="40" t="s">
        <v>4077</v>
      </c>
      <c r="D6216" s="40" t="s">
        <v>1041</v>
      </c>
      <c r="E6216" s="75">
        <v>0.94199999999999995</v>
      </c>
      <c r="F6216" s="35">
        <v>1.1304999999999998</v>
      </c>
      <c r="G6216" s="59">
        <f t="shared" si="110"/>
        <v>1.0649309999999998</v>
      </c>
      <c r="H6216" s="47"/>
      <c r="I6216" s="44"/>
      <c r="J6216" s="34">
        <v>0</v>
      </c>
    </row>
    <row r="6217" spans="1:10" ht="26.25" hidden="1" thickBot="1" x14ac:dyDescent="0.3">
      <c r="A6217" s="262"/>
      <c r="B6217" s="266"/>
      <c r="C6217" s="40" t="s">
        <v>4078</v>
      </c>
      <c r="D6217" s="40" t="s">
        <v>1052</v>
      </c>
      <c r="E6217" s="75">
        <v>0.249</v>
      </c>
      <c r="F6217" s="35">
        <v>0.47499999999999998</v>
      </c>
      <c r="G6217" s="59">
        <f t="shared" si="110"/>
        <v>0.11827499999999999</v>
      </c>
      <c r="H6217" s="47"/>
      <c r="I6217" s="44"/>
      <c r="J6217" s="34">
        <v>0</v>
      </c>
    </row>
    <row r="6218" spans="1:10" ht="15.75" hidden="1" thickBot="1" x14ac:dyDescent="0.3">
      <c r="A6218" s="263"/>
      <c r="B6218" s="253"/>
      <c r="C6218" s="40"/>
      <c r="D6218" s="99"/>
      <c r="E6218" s="75"/>
      <c r="F6218" s="35" t="s">
        <v>23</v>
      </c>
      <c r="G6218" s="59"/>
      <c r="H6218" s="47"/>
      <c r="I6218" s="44"/>
      <c r="J6218" s="34">
        <v>0</v>
      </c>
    </row>
    <row r="6219" spans="1:10" ht="15.75" hidden="1" thickBot="1" x14ac:dyDescent="0.3">
      <c r="A6219" s="248" t="s">
        <v>1501</v>
      </c>
      <c r="B6219" s="251" t="s">
        <v>3279</v>
      </c>
      <c r="C6219" s="28"/>
      <c r="D6219" s="29" t="s">
        <v>28</v>
      </c>
      <c r="E6219" s="30"/>
      <c r="F6219" s="51" t="s">
        <v>23</v>
      </c>
      <c r="G6219" s="31" t="str">
        <f t="shared" ref="G6219:G6224" si="111">IF(ISNUMBER(F6219),E6219*F6219,"")</f>
        <v/>
      </c>
      <c r="H6219" s="32"/>
      <c r="I6219" s="33"/>
      <c r="J6219" s="34">
        <v>0</v>
      </c>
    </row>
    <row r="6220" spans="1:10" ht="15.75" hidden="1" thickBot="1" x14ac:dyDescent="0.3">
      <c r="A6220" s="262"/>
      <c r="B6220" s="266"/>
      <c r="C6220" s="76"/>
      <c r="D6220" s="76"/>
      <c r="E6220" s="77"/>
      <c r="F6220" s="59" t="s">
        <v>23</v>
      </c>
      <c r="G6220" s="59" t="str">
        <f t="shared" si="111"/>
        <v/>
      </c>
      <c r="H6220" s="62"/>
      <c r="I6220" s="63"/>
      <c r="J6220" s="34">
        <v>0</v>
      </c>
    </row>
    <row r="6221" spans="1:10" ht="26.25" hidden="1" thickBot="1" x14ac:dyDescent="0.3">
      <c r="A6221" s="262"/>
      <c r="B6221" s="266"/>
      <c r="C6221" s="40" t="s">
        <v>3761</v>
      </c>
      <c r="D6221" s="40" t="s">
        <v>1041</v>
      </c>
      <c r="E6221" s="75">
        <v>0.36699999999999999</v>
      </c>
      <c r="F6221" s="35">
        <v>25.032499999999999</v>
      </c>
      <c r="G6221" s="59">
        <f t="shared" si="111"/>
        <v>9.1869274999999995</v>
      </c>
      <c r="H6221" s="43">
        <f>SUM(G6221:G6224)</f>
        <v>64.141036</v>
      </c>
      <c r="I6221" s="44"/>
      <c r="J6221" s="34">
        <v>0</v>
      </c>
    </row>
    <row r="6222" spans="1:10" ht="26.25" hidden="1" thickBot="1" x14ac:dyDescent="0.3">
      <c r="A6222" s="262"/>
      <c r="B6222" s="266"/>
      <c r="C6222" s="40" t="s">
        <v>3762</v>
      </c>
      <c r="D6222" s="40" t="s">
        <v>1052</v>
      </c>
      <c r="E6222" s="75">
        <v>0.80500000000000005</v>
      </c>
      <c r="F6222" s="35">
        <v>23.56</v>
      </c>
      <c r="G6222" s="59">
        <f t="shared" si="111"/>
        <v>18.965800000000002</v>
      </c>
      <c r="H6222" s="47"/>
      <c r="I6222" s="44"/>
      <c r="J6222" s="34">
        <v>0</v>
      </c>
    </row>
    <row r="6223" spans="1:10" ht="26.25" hidden="1" thickBot="1" x14ac:dyDescent="0.3">
      <c r="A6223" s="262"/>
      <c r="B6223" s="266"/>
      <c r="C6223" s="40" t="s">
        <v>4119</v>
      </c>
      <c r="D6223" s="40" t="s">
        <v>3752</v>
      </c>
      <c r="E6223" s="75">
        <v>0.183</v>
      </c>
      <c r="F6223" s="35">
        <v>21.555499999999999</v>
      </c>
      <c r="G6223" s="59">
        <f t="shared" si="111"/>
        <v>3.9446564999999998</v>
      </c>
      <c r="H6223" s="47"/>
      <c r="I6223" s="44"/>
      <c r="J6223" s="34">
        <v>0</v>
      </c>
    </row>
    <row r="6224" spans="1:10" ht="26.25" hidden="1" thickBot="1" x14ac:dyDescent="0.3">
      <c r="A6224" s="262"/>
      <c r="B6224" s="266"/>
      <c r="C6224" s="40" t="s">
        <v>4110</v>
      </c>
      <c r="D6224" s="40" t="s">
        <v>3752</v>
      </c>
      <c r="E6224" s="75">
        <v>1.1719999999999999</v>
      </c>
      <c r="F6224" s="35">
        <v>27.341000000000001</v>
      </c>
      <c r="G6224" s="59">
        <f t="shared" si="111"/>
        <v>32.043652000000002</v>
      </c>
      <c r="H6224" s="47"/>
      <c r="I6224" s="44"/>
      <c r="J6224" s="34">
        <v>0</v>
      </c>
    </row>
    <row r="6225" spans="1:10" ht="15.75" hidden="1" thickBot="1" x14ac:dyDescent="0.3">
      <c r="A6225" s="263"/>
      <c r="B6225" s="253"/>
      <c r="C6225" s="40"/>
      <c r="D6225" s="99"/>
      <c r="E6225" s="75"/>
      <c r="F6225" s="35" t="s">
        <v>23</v>
      </c>
      <c r="G6225" s="59"/>
      <c r="H6225" s="47"/>
      <c r="I6225" s="44"/>
      <c r="J6225" s="34">
        <v>0</v>
      </c>
    </row>
    <row r="6226" spans="1:10" ht="15.75" hidden="1" thickBot="1" x14ac:dyDescent="0.3">
      <c r="A6226" s="248" t="s">
        <v>1502</v>
      </c>
      <c r="B6226" s="259" t="s">
        <v>3280</v>
      </c>
      <c r="C6226" s="28"/>
      <c r="D6226" s="100" t="s">
        <v>82</v>
      </c>
      <c r="E6226" s="30"/>
      <c r="F6226" s="51" t="s">
        <v>23</v>
      </c>
      <c r="G6226" s="31" t="str">
        <f>IF(ISNUMBER(F6226),E6226*F6226,"")</f>
        <v/>
      </c>
      <c r="H6226" s="32"/>
      <c r="I6226" s="33"/>
      <c r="J6226" s="34">
        <v>0</v>
      </c>
    </row>
    <row r="6227" spans="1:10" ht="15.75" hidden="1" thickBot="1" x14ac:dyDescent="0.3">
      <c r="A6227" s="262"/>
      <c r="B6227" s="267"/>
      <c r="C6227" s="76"/>
      <c r="D6227" s="76"/>
      <c r="E6227" s="77"/>
      <c r="F6227" s="59" t="s">
        <v>23</v>
      </c>
      <c r="G6227" s="59" t="str">
        <f>IF(ISNUMBER(F6227),E6227*F6227,"")</f>
        <v/>
      </c>
      <c r="H6227" s="62"/>
      <c r="I6227" s="63"/>
      <c r="J6227" s="34">
        <v>0</v>
      </c>
    </row>
    <row r="6228" spans="1:10" ht="15.75" hidden="1" thickBot="1" x14ac:dyDescent="0.3">
      <c r="A6228" s="262"/>
      <c r="B6228" s="267"/>
      <c r="C6228" s="40" t="s">
        <v>3757</v>
      </c>
      <c r="D6228" s="40" t="s">
        <v>3752</v>
      </c>
      <c r="E6228" s="75">
        <f>1/5</f>
        <v>0.2</v>
      </c>
      <c r="F6228" s="35">
        <v>28.0535</v>
      </c>
      <c r="G6228" s="59">
        <f>IF(ISNUMBER(F6228),E6228*F6228,"")</f>
        <v>5.6107000000000005</v>
      </c>
      <c r="H6228" s="43">
        <f>SUM(G6228:G6230)</f>
        <v>70.88709999999999</v>
      </c>
      <c r="I6228" s="44"/>
      <c r="J6228" s="34">
        <v>0</v>
      </c>
    </row>
    <row r="6229" spans="1:10" ht="15.75" hidden="1" thickBot="1" x14ac:dyDescent="0.3">
      <c r="A6229" s="262"/>
      <c r="B6229" s="267"/>
      <c r="C6229" s="40" t="s">
        <v>3754</v>
      </c>
      <c r="D6229" s="40" t="s">
        <v>3752</v>
      </c>
      <c r="E6229" s="75">
        <f>1/5</f>
        <v>0.2</v>
      </c>
      <c r="F6229" s="35">
        <v>20.814499999999999</v>
      </c>
      <c r="G6229" s="59">
        <f>IF(ISNUMBER(F6229),E6229*F6229,"")</f>
        <v>4.1628999999999996</v>
      </c>
      <c r="H6229" s="47"/>
      <c r="I6229" s="44"/>
      <c r="J6229" s="34">
        <v>0</v>
      </c>
    </row>
    <row r="6230" spans="1:10" ht="26.25" hidden="1" thickBot="1" x14ac:dyDescent="0.3">
      <c r="A6230" s="262"/>
      <c r="B6230" s="267"/>
      <c r="C6230" s="40" t="s">
        <v>4002</v>
      </c>
      <c r="D6230" s="40" t="s">
        <v>1035</v>
      </c>
      <c r="E6230" s="75">
        <v>1</v>
      </c>
      <c r="F6230" s="35">
        <v>61.113499999999995</v>
      </c>
      <c r="G6230" s="59">
        <f>IF(ISNUMBER(F6230),E6230*F6230,"")</f>
        <v>61.113499999999995</v>
      </c>
      <c r="H6230" s="47"/>
      <c r="I6230" s="44"/>
      <c r="J6230" s="34">
        <v>0</v>
      </c>
    </row>
    <row r="6231" spans="1:10" ht="15.75" hidden="1" thickBot="1" x14ac:dyDescent="0.3">
      <c r="A6231" s="263"/>
      <c r="B6231" s="261"/>
      <c r="C6231" s="40"/>
      <c r="D6231" s="99"/>
      <c r="E6231" s="75"/>
      <c r="F6231" s="35" t="s">
        <v>23</v>
      </c>
      <c r="G6231" s="59"/>
      <c r="H6231" s="47"/>
      <c r="I6231" s="44"/>
      <c r="J6231" s="34">
        <v>0</v>
      </c>
    </row>
    <row r="6232" spans="1:10" ht="15.75" hidden="1" thickBot="1" x14ac:dyDescent="0.3">
      <c r="A6232" s="248" t="s">
        <v>1503</v>
      </c>
      <c r="B6232" s="251" t="s">
        <v>3281</v>
      </c>
      <c r="C6232" s="28"/>
      <c r="D6232" s="29" t="s">
        <v>121</v>
      </c>
      <c r="E6232" s="30"/>
      <c r="F6232" s="51" t="s">
        <v>23</v>
      </c>
      <c r="G6232" s="31" t="str">
        <f t="shared" ref="G6232:G6237" si="112">IF(ISNUMBER(F6232),E6232*F6232,"")</f>
        <v/>
      </c>
      <c r="H6232" s="32"/>
      <c r="I6232" s="33"/>
      <c r="J6232" s="34">
        <v>0</v>
      </c>
    </row>
    <row r="6233" spans="1:10" ht="15.75" hidden="1" thickBot="1" x14ac:dyDescent="0.3">
      <c r="A6233" s="262"/>
      <c r="B6233" s="266"/>
      <c r="C6233" s="76"/>
      <c r="D6233" s="76"/>
      <c r="E6233" s="77"/>
      <c r="F6233" s="59" t="s">
        <v>23</v>
      </c>
      <c r="G6233" s="59" t="str">
        <f t="shared" si="112"/>
        <v/>
      </c>
      <c r="H6233" s="62"/>
      <c r="I6233" s="63"/>
      <c r="J6233" s="34">
        <v>0</v>
      </c>
    </row>
    <row r="6234" spans="1:10" ht="15.75" hidden="1" thickBot="1" x14ac:dyDescent="0.3">
      <c r="A6234" s="262"/>
      <c r="B6234" s="266"/>
      <c r="C6234" s="40" t="s">
        <v>3757</v>
      </c>
      <c r="D6234" s="40" t="s">
        <v>3752</v>
      </c>
      <c r="E6234" s="75">
        <v>1.103</v>
      </c>
      <c r="F6234" s="35">
        <v>28.0535</v>
      </c>
      <c r="G6234" s="59">
        <f t="shared" si="112"/>
        <v>30.9430105</v>
      </c>
      <c r="H6234" s="43">
        <f>SUM(G6234:G6237)</f>
        <v>132.37126255575873</v>
      </c>
      <c r="I6234" s="44"/>
      <c r="J6234" s="34">
        <v>0</v>
      </c>
    </row>
    <row r="6235" spans="1:10" ht="15.75" hidden="1" thickBot="1" x14ac:dyDescent="0.3">
      <c r="A6235" s="262"/>
      <c r="B6235" s="266"/>
      <c r="C6235" s="40" t="s">
        <v>3754</v>
      </c>
      <c r="D6235" s="40" t="s">
        <v>3752</v>
      </c>
      <c r="E6235" s="75">
        <v>1.33</v>
      </c>
      <c r="F6235" s="35">
        <v>20.814499999999999</v>
      </c>
      <c r="G6235" s="59">
        <f t="shared" si="112"/>
        <v>27.683285000000001</v>
      </c>
      <c r="H6235" s="47"/>
      <c r="I6235" s="44"/>
      <c r="J6235" s="34">
        <v>0</v>
      </c>
    </row>
    <row r="6236" spans="1:10" ht="15.75" hidden="1" thickBot="1" x14ac:dyDescent="0.3">
      <c r="A6236" s="262"/>
      <c r="B6236" s="266"/>
      <c r="C6236" s="40" t="s">
        <v>4692</v>
      </c>
      <c r="D6236" s="40" t="s">
        <v>1035</v>
      </c>
      <c r="E6236" s="75">
        <v>2.1230000000000002</v>
      </c>
      <c r="F6236" s="35">
        <v>9.8833630000000028</v>
      </c>
      <c r="G6236" s="59">
        <f t="shared" si="112"/>
        <v>20.982379649000009</v>
      </c>
      <c r="H6236" s="47"/>
      <c r="I6236" s="44"/>
      <c r="J6236" s="34">
        <v>0</v>
      </c>
    </row>
    <row r="6237" spans="1:10" ht="39" hidden="1" thickBot="1" x14ac:dyDescent="0.3">
      <c r="A6237" s="262"/>
      <c r="B6237" s="266"/>
      <c r="C6237" s="40" t="s">
        <v>4704</v>
      </c>
      <c r="D6237" s="40" t="s">
        <v>3764</v>
      </c>
      <c r="E6237" s="75">
        <v>8.5999999999999993E-2</v>
      </c>
      <c r="F6237" s="35">
        <v>613.51845821812492</v>
      </c>
      <c r="G6237" s="59">
        <f t="shared" si="112"/>
        <v>52.76258740675874</v>
      </c>
      <c r="H6237" s="47"/>
      <c r="I6237" s="44"/>
      <c r="J6237" s="34">
        <v>0</v>
      </c>
    </row>
    <row r="6238" spans="1:10" ht="15.75" hidden="1" thickBot="1" x14ac:dyDescent="0.3">
      <c r="A6238" s="263"/>
      <c r="B6238" s="253"/>
      <c r="C6238" s="40"/>
      <c r="D6238" s="99"/>
      <c r="E6238" s="75"/>
      <c r="F6238" s="35" t="s">
        <v>23</v>
      </c>
      <c r="G6238" s="59"/>
      <c r="H6238" s="47"/>
      <c r="I6238" s="44"/>
      <c r="J6238" s="34">
        <v>0</v>
      </c>
    </row>
    <row r="6239" spans="1:10" ht="15.75" hidden="1" thickBot="1" x14ac:dyDescent="0.3">
      <c r="A6239" s="248" t="s">
        <v>1504</v>
      </c>
      <c r="B6239" s="251" t="s">
        <v>3282</v>
      </c>
      <c r="C6239" s="28"/>
      <c r="D6239" s="29" t="s">
        <v>28</v>
      </c>
      <c r="E6239" s="30"/>
      <c r="F6239" s="51" t="s">
        <v>23</v>
      </c>
      <c r="G6239" s="31" t="str">
        <f>IF(ISNUMBER(F6239),E6239*F6239,"")</f>
        <v/>
      </c>
      <c r="H6239" s="32"/>
      <c r="I6239" s="33"/>
      <c r="J6239" s="34">
        <v>0</v>
      </c>
    </row>
    <row r="6240" spans="1:10" ht="15.75" hidden="1" thickBot="1" x14ac:dyDescent="0.3">
      <c r="A6240" s="262"/>
      <c r="B6240" s="266"/>
      <c r="C6240" s="76"/>
      <c r="D6240" s="76"/>
      <c r="E6240" s="77"/>
      <c r="F6240" s="59" t="s">
        <v>23</v>
      </c>
      <c r="G6240" s="59" t="str">
        <f>IF(ISNUMBER(F6240),E6240*F6240,"")</f>
        <v/>
      </c>
      <c r="H6240" s="62"/>
      <c r="I6240" s="63"/>
      <c r="J6240" s="34">
        <v>0</v>
      </c>
    </row>
    <row r="6241" spans="1:10" ht="15.75" hidden="1" thickBot="1" x14ac:dyDescent="0.3">
      <c r="A6241" s="262"/>
      <c r="B6241" s="266"/>
      <c r="C6241" s="40" t="s">
        <v>3754</v>
      </c>
      <c r="D6241" s="40" t="s">
        <v>3752</v>
      </c>
      <c r="E6241" s="75">
        <v>0.36299999999999999</v>
      </c>
      <c r="F6241" s="35">
        <v>20.814499999999999</v>
      </c>
      <c r="G6241" s="59">
        <f>IF(ISNUMBER(F6241),E6241*F6241,"")</f>
        <v>7.5556634999999996</v>
      </c>
      <c r="H6241" s="43">
        <f>SUM(G6241:G6243)</f>
        <v>16.118723150000001</v>
      </c>
      <c r="I6241" s="44"/>
      <c r="J6241" s="34">
        <v>0</v>
      </c>
    </row>
    <row r="6242" spans="1:10" ht="26.25" hidden="1" thickBot="1" x14ac:dyDescent="0.3">
      <c r="A6242" s="262"/>
      <c r="B6242" s="266"/>
      <c r="C6242" s="40" t="s">
        <v>4324</v>
      </c>
      <c r="D6242" s="40" t="s">
        <v>1052</v>
      </c>
      <c r="E6242" s="75">
        <v>0.20030000000000001</v>
      </c>
      <c r="F6242" s="35">
        <v>22.818999999999999</v>
      </c>
      <c r="G6242" s="59">
        <f>IF(ISNUMBER(F6242),E6242*F6242,"")</f>
        <v>4.5706457</v>
      </c>
      <c r="H6242" s="47"/>
      <c r="I6242" s="44"/>
      <c r="J6242" s="34">
        <v>0</v>
      </c>
    </row>
    <row r="6243" spans="1:10" ht="26.25" hidden="1" thickBot="1" x14ac:dyDescent="0.3">
      <c r="A6243" s="262"/>
      <c r="B6243" s="266"/>
      <c r="C6243" s="40" t="s">
        <v>4325</v>
      </c>
      <c r="D6243" s="40" t="s">
        <v>1041</v>
      </c>
      <c r="E6243" s="75">
        <v>0.16270000000000001</v>
      </c>
      <c r="F6243" s="35">
        <v>24.538499999999996</v>
      </c>
      <c r="G6243" s="59">
        <f>IF(ISNUMBER(F6243),E6243*F6243,"")</f>
        <v>3.9924139499999995</v>
      </c>
      <c r="H6243" s="47"/>
      <c r="I6243" s="44"/>
      <c r="J6243" s="34">
        <v>0</v>
      </c>
    </row>
    <row r="6244" spans="1:10" ht="15.75" hidden="1" thickBot="1" x14ac:dyDescent="0.3">
      <c r="A6244" s="263"/>
      <c r="B6244" s="253"/>
      <c r="C6244" s="40"/>
      <c r="D6244" s="99"/>
      <c r="E6244" s="75"/>
      <c r="F6244" s="35" t="s">
        <v>23</v>
      </c>
      <c r="G6244" s="59"/>
      <c r="H6244" s="47"/>
      <c r="I6244" s="44"/>
      <c r="J6244" s="34">
        <v>0</v>
      </c>
    </row>
    <row r="6245" spans="1:10" ht="15.75" hidden="1" thickBot="1" x14ac:dyDescent="0.3">
      <c r="A6245" s="248" t="s">
        <v>1505</v>
      </c>
      <c r="B6245" s="251" t="s">
        <v>3283</v>
      </c>
      <c r="C6245" s="28"/>
      <c r="D6245" s="29" t="s">
        <v>28</v>
      </c>
      <c r="E6245" s="30"/>
      <c r="F6245" s="51" t="s">
        <v>23</v>
      </c>
      <c r="G6245" s="31" t="str">
        <f>IF(ISNUMBER(F6245),E6245*F6245,"")</f>
        <v/>
      </c>
      <c r="H6245" s="32"/>
      <c r="I6245" s="33"/>
      <c r="J6245" s="34">
        <v>0</v>
      </c>
    </row>
    <row r="6246" spans="1:10" ht="15.75" hidden="1" thickBot="1" x14ac:dyDescent="0.3">
      <c r="A6246" s="262"/>
      <c r="B6246" s="266"/>
      <c r="C6246" s="76"/>
      <c r="D6246" s="76"/>
      <c r="E6246" s="77"/>
      <c r="F6246" s="59" t="s">
        <v>23</v>
      </c>
      <c r="G6246" s="59" t="str">
        <f>IF(ISNUMBER(F6246),E6246*F6246,"")</f>
        <v/>
      </c>
      <c r="H6246" s="62"/>
      <c r="I6246" s="63"/>
      <c r="J6246" s="34">
        <v>0</v>
      </c>
    </row>
    <row r="6247" spans="1:10" ht="39" hidden="1" thickBot="1" x14ac:dyDescent="0.3">
      <c r="A6247" s="262"/>
      <c r="B6247" s="266"/>
      <c r="C6247" s="40" t="s">
        <v>1506</v>
      </c>
      <c r="D6247" s="99" t="s">
        <v>291</v>
      </c>
      <c r="E6247" s="75">
        <v>1</v>
      </c>
      <c r="F6247" s="35" t="s">
        <v>23</v>
      </c>
      <c r="G6247" s="59" t="str">
        <f>IF(ISNUMBER(F6247),E6247*F6247,"")</f>
        <v/>
      </c>
      <c r="H6247" s="43">
        <f>SUM(G6247:G6249)</f>
        <v>76.683683650000006</v>
      </c>
      <c r="I6247" s="44"/>
      <c r="J6247" s="34">
        <v>0</v>
      </c>
    </row>
    <row r="6248" spans="1:10" ht="15.75" hidden="1" thickBot="1" x14ac:dyDescent="0.3">
      <c r="A6248" s="262"/>
      <c r="B6248" s="266"/>
      <c r="C6248" s="40" t="s">
        <v>3770</v>
      </c>
      <c r="D6248" s="40" t="s">
        <v>3752</v>
      </c>
      <c r="E6248" s="75">
        <v>1.5233000000000001</v>
      </c>
      <c r="F6248" s="35">
        <v>21.954499999999999</v>
      </c>
      <c r="G6248" s="59">
        <f>IF(ISNUMBER(F6248),E6248*F6248,"")</f>
        <v>33.443289849999999</v>
      </c>
      <c r="H6248" s="47"/>
      <c r="I6248" s="44"/>
      <c r="J6248" s="34">
        <v>0</v>
      </c>
    </row>
    <row r="6249" spans="1:10" ht="15.75" hidden="1" thickBot="1" x14ac:dyDescent="0.3">
      <c r="A6249" s="262"/>
      <c r="B6249" s="266"/>
      <c r="C6249" s="40" t="s">
        <v>3760</v>
      </c>
      <c r="D6249" s="40" t="s">
        <v>3752</v>
      </c>
      <c r="E6249" s="75">
        <v>1.5233000000000001</v>
      </c>
      <c r="F6249" s="35">
        <v>28.385999999999999</v>
      </c>
      <c r="G6249" s="59">
        <f>IF(ISNUMBER(F6249),E6249*F6249,"")</f>
        <v>43.2403938</v>
      </c>
      <c r="H6249" s="47"/>
      <c r="I6249" s="44"/>
      <c r="J6249" s="34">
        <v>0</v>
      </c>
    </row>
    <row r="6250" spans="1:10" ht="15.75" hidden="1" thickBot="1" x14ac:dyDescent="0.3">
      <c r="A6250" s="263"/>
      <c r="B6250" s="253"/>
      <c r="C6250" s="40"/>
      <c r="D6250" s="99"/>
      <c r="E6250" s="75"/>
      <c r="F6250" s="35" t="s">
        <v>23</v>
      </c>
      <c r="G6250" s="59"/>
      <c r="H6250" s="47"/>
      <c r="I6250" s="44"/>
      <c r="J6250" s="34">
        <v>0</v>
      </c>
    </row>
    <row r="6251" spans="1:10" ht="15.75" hidden="1" thickBot="1" x14ac:dyDescent="0.3">
      <c r="A6251" s="248" t="s">
        <v>1507</v>
      </c>
      <c r="B6251" s="251" t="s">
        <v>3284</v>
      </c>
      <c r="C6251" s="28"/>
      <c r="D6251" s="29" t="s">
        <v>1748</v>
      </c>
      <c r="E6251" s="30"/>
      <c r="F6251" s="51" t="s">
        <v>23</v>
      </c>
      <c r="G6251" s="31" t="str">
        <f t="shared" ref="G6251:G6258" si="113">IF(ISNUMBER(F6251),E6251*F6251,"")</f>
        <v/>
      </c>
      <c r="H6251" s="32"/>
      <c r="I6251" s="33"/>
      <c r="J6251" s="34">
        <v>0</v>
      </c>
    </row>
    <row r="6252" spans="1:10" ht="15.75" hidden="1" thickBot="1" x14ac:dyDescent="0.3">
      <c r="A6252" s="262"/>
      <c r="B6252" s="266"/>
      <c r="C6252" s="76"/>
      <c r="D6252" s="76"/>
      <c r="E6252" s="77"/>
      <c r="F6252" s="59" t="s">
        <v>23</v>
      </c>
      <c r="G6252" s="59" t="str">
        <f t="shared" si="113"/>
        <v/>
      </c>
      <c r="H6252" s="62"/>
      <c r="I6252" s="63"/>
      <c r="J6252" s="34">
        <v>0</v>
      </c>
    </row>
    <row r="6253" spans="1:10" ht="39" hidden="1" thickBot="1" x14ac:dyDescent="0.3">
      <c r="A6253" s="262"/>
      <c r="B6253" s="266"/>
      <c r="C6253" s="40" t="s">
        <v>4326</v>
      </c>
      <c r="D6253" s="40" t="s">
        <v>3764</v>
      </c>
      <c r="E6253" s="75">
        <v>1.103</v>
      </c>
      <c r="F6253" s="35">
        <v>468.76799999999997</v>
      </c>
      <c r="G6253" s="59">
        <f t="shared" si="113"/>
        <v>517.05110400000001</v>
      </c>
      <c r="H6253" s="43">
        <f>SUM(G6253:G6258)</f>
        <v>559.02642650000007</v>
      </c>
      <c r="I6253" s="44"/>
      <c r="J6253" s="34">
        <v>0</v>
      </c>
    </row>
    <row r="6254" spans="1:10" ht="15.75" hidden="1" thickBot="1" x14ac:dyDescent="0.3">
      <c r="A6254" s="262"/>
      <c r="B6254" s="266"/>
      <c r="C6254" s="40" t="s">
        <v>3823</v>
      </c>
      <c r="D6254" s="40" t="s">
        <v>3752</v>
      </c>
      <c r="E6254" s="75">
        <v>0.125</v>
      </c>
      <c r="F6254" s="35">
        <v>27.683</v>
      </c>
      <c r="G6254" s="59">
        <f t="shared" si="113"/>
        <v>3.460375</v>
      </c>
      <c r="H6254" s="47"/>
      <c r="I6254" s="44"/>
      <c r="J6254" s="34">
        <v>0</v>
      </c>
    </row>
    <row r="6255" spans="1:10" ht="15.75" hidden="1" thickBot="1" x14ac:dyDescent="0.3">
      <c r="A6255" s="262"/>
      <c r="B6255" s="266"/>
      <c r="C6255" s="40" t="s">
        <v>3757</v>
      </c>
      <c r="D6255" s="40" t="s">
        <v>3752</v>
      </c>
      <c r="E6255" s="75">
        <v>0.753</v>
      </c>
      <c r="F6255" s="35">
        <v>28.0535</v>
      </c>
      <c r="G6255" s="59">
        <f t="shared" si="113"/>
        <v>21.124285499999999</v>
      </c>
      <c r="H6255" s="47"/>
      <c r="I6255" s="44"/>
      <c r="J6255" s="34">
        <v>0</v>
      </c>
    </row>
    <row r="6256" spans="1:10" ht="15.75" hidden="1" thickBot="1" x14ac:dyDescent="0.3">
      <c r="A6256" s="262"/>
      <c r="B6256" s="266"/>
      <c r="C6256" s="40" t="s">
        <v>3754</v>
      </c>
      <c r="D6256" s="40" t="s">
        <v>3752</v>
      </c>
      <c r="E6256" s="75">
        <v>0.82599999999999996</v>
      </c>
      <c r="F6256" s="35">
        <v>20.814499999999999</v>
      </c>
      <c r="G6256" s="59">
        <f t="shared" si="113"/>
        <v>17.192777</v>
      </c>
      <c r="H6256" s="47"/>
      <c r="I6256" s="44"/>
      <c r="J6256" s="34">
        <v>0</v>
      </c>
    </row>
    <row r="6257" spans="1:10" ht="26.25" hidden="1" thickBot="1" x14ac:dyDescent="0.3">
      <c r="A6257" s="262"/>
      <c r="B6257" s="266"/>
      <c r="C6257" s="40" t="s">
        <v>4077</v>
      </c>
      <c r="D6257" s="40" t="s">
        <v>1041</v>
      </c>
      <c r="E6257" s="75">
        <v>0.12</v>
      </c>
      <c r="F6257" s="35">
        <v>1.1304999999999998</v>
      </c>
      <c r="G6257" s="59">
        <f t="shared" si="113"/>
        <v>0.13565999999999998</v>
      </c>
      <c r="H6257" s="47"/>
      <c r="I6257" s="44"/>
      <c r="J6257" s="34">
        <v>0</v>
      </c>
    </row>
    <row r="6258" spans="1:10" ht="26.25" hidden="1" thickBot="1" x14ac:dyDescent="0.3">
      <c r="A6258" s="262"/>
      <c r="B6258" s="266"/>
      <c r="C6258" s="40" t="s">
        <v>4078</v>
      </c>
      <c r="D6258" s="40" t="s">
        <v>1052</v>
      </c>
      <c r="E6258" s="75">
        <v>0.13100000000000001</v>
      </c>
      <c r="F6258" s="35">
        <v>0.47499999999999998</v>
      </c>
      <c r="G6258" s="59">
        <f t="shared" si="113"/>
        <v>6.2225000000000003E-2</v>
      </c>
      <c r="H6258" s="47"/>
      <c r="I6258" s="44"/>
      <c r="J6258" s="34">
        <v>0</v>
      </c>
    </row>
    <row r="6259" spans="1:10" ht="15.75" hidden="1" thickBot="1" x14ac:dyDescent="0.3">
      <c r="A6259" s="263"/>
      <c r="B6259" s="253"/>
      <c r="C6259" s="40"/>
      <c r="D6259" s="99"/>
      <c r="E6259" s="75"/>
      <c r="F6259" s="35" t="s">
        <v>23</v>
      </c>
      <c r="G6259" s="59"/>
      <c r="H6259" s="47"/>
      <c r="I6259" s="44"/>
      <c r="J6259" s="34">
        <v>0</v>
      </c>
    </row>
    <row r="6260" spans="1:10" ht="15.75" hidden="1" thickBot="1" x14ac:dyDescent="0.3">
      <c r="A6260" s="248" t="s">
        <v>1508</v>
      </c>
      <c r="B6260" s="251" t="s">
        <v>3285</v>
      </c>
      <c r="C6260" s="28"/>
      <c r="D6260" s="29" t="s">
        <v>121</v>
      </c>
      <c r="E6260" s="30"/>
      <c r="F6260" s="51" t="s">
        <v>23</v>
      </c>
      <c r="G6260" s="31" t="str">
        <f t="shared" ref="G6260:G6269" si="114">IF(ISNUMBER(F6260),E6260*F6260,"")</f>
        <v/>
      </c>
      <c r="H6260" s="32"/>
      <c r="I6260" s="33"/>
      <c r="J6260" s="34">
        <v>0</v>
      </c>
    </row>
    <row r="6261" spans="1:10" ht="15.75" hidden="1" thickBot="1" x14ac:dyDescent="0.3">
      <c r="A6261" s="262"/>
      <c r="B6261" s="266"/>
      <c r="C6261" s="76"/>
      <c r="D6261" s="76"/>
      <c r="E6261" s="77"/>
      <c r="F6261" s="59" t="s">
        <v>23</v>
      </c>
      <c r="G6261" s="59" t="str">
        <f t="shared" si="114"/>
        <v/>
      </c>
      <c r="H6261" s="62"/>
      <c r="I6261" s="63"/>
      <c r="J6261" s="34">
        <v>0</v>
      </c>
    </row>
    <row r="6262" spans="1:10" ht="39" hidden="1" thickBot="1" x14ac:dyDescent="0.3">
      <c r="A6262" s="262"/>
      <c r="B6262" s="266"/>
      <c r="C6262" s="40" t="s">
        <v>4327</v>
      </c>
      <c r="D6262" s="40" t="s">
        <v>3764</v>
      </c>
      <c r="E6262" s="75">
        <v>0.1426</v>
      </c>
      <c r="F6262" s="35">
        <v>449.35949999999997</v>
      </c>
      <c r="G6262" s="59">
        <f t="shared" si="114"/>
        <v>64.078664700000004</v>
      </c>
      <c r="H6262" s="43">
        <f>SUM(G6262:G6269)</f>
        <v>108.28236665831501</v>
      </c>
      <c r="I6262" s="44"/>
      <c r="J6262" s="34">
        <v>0</v>
      </c>
    </row>
    <row r="6263" spans="1:10" ht="15.75" hidden="1" thickBot="1" x14ac:dyDescent="0.3">
      <c r="A6263" s="262"/>
      <c r="B6263" s="266"/>
      <c r="C6263" s="40" t="s">
        <v>3754</v>
      </c>
      <c r="D6263" s="40" t="s">
        <v>3752</v>
      </c>
      <c r="E6263" s="75">
        <v>0.27950000000000003</v>
      </c>
      <c r="F6263" s="35">
        <v>20.814499999999999</v>
      </c>
      <c r="G6263" s="59">
        <f t="shared" si="114"/>
        <v>5.8176527500000006</v>
      </c>
      <c r="H6263" s="47"/>
      <c r="I6263" s="44"/>
      <c r="J6263" s="34">
        <v>0</v>
      </c>
    </row>
    <row r="6264" spans="1:10" ht="51.75" hidden="1" thickBot="1" x14ac:dyDescent="0.3">
      <c r="A6264" s="262"/>
      <c r="B6264" s="266"/>
      <c r="C6264" s="40" t="s">
        <v>4328</v>
      </c>
      <c r="D6264" s="40" t="s">
        <v>1041</v>
      </c>
      <c r="E6264" s="75">
        <v>3.4200000000000001E-2</v>
      </c>
      <c r="F6264" s="35">
        <v>365.80699999999996</v>
      </c>
      <c r="G6264" s="59">
        <f t="shared" si="114"/>
        <v>12.510599399999998</v>
      </c>
      <c r="H6264" s="47"/>
      <c r="I6264" s="44"/>
      <c r="J6264" s="34">
        <v>0</v>
      </c>
    </row>
    <row r="6265" spans="1:10" ht="51.75" hidden="1" thickBot="1" x14ac:dyDescent="0.3">
      <c r="A6265" s="262"/>
      <c r="B6265" s="266"/>
      <c r="C6265" s="40" t="s">
        <v>4329</v>
      </c>
      <c r="D6265" s="40" t="s">
        <v>1052</v>
      </c>
      <c r="E6265" s="75">
        <v>6.1199999999999997E-2</v>
      </c>
      <c r="F6265" s="35">
        <v>149.09299999999999</v>
      </c>
      <c r="G6265" s="59">
        <f t="shared" si="114"/>
        <v>9.1244915999999989</v>
      </c>
      <c r="H6265" s="47"/>
      <c r="I6265" s="44"/>
      <c r="J6265" s="34">
        <v>0</v>
      </c>
    </row>
    <row r="6266" spans="1:10" ht="26.25" hidden="1" thickBot="1" x14ac:dyDescent="0.3">
      <c r="A6266" s="262"/>
      <c r="B6266" s="266"/>
      <c r="C6266" s="40" t="s">
        <v>4112</v>
      </c>
      <c r="D6266" s="40" t="s">
        <v>3752</v>
      </c>
      <c r="E6266" s="75">
        <v>6.4000000000000003E-3</v>
      </c>
      <c r="F6266" s="35">
        <v>119.79499999999999</v>
      </c>
      <c r="G6266" s="59">
        <f t="shared" si="114"/>
        <v>0.76668799999999993</v>
      </c>
      <c r="H6266" s="47"/>
      <c r="I6266" s="44"/>
      <c r="J6266" s="34">
        <v>0</v>
      </c>
    </row>
    <row r="6267" spans="1:10" ht="26.25" hidden="1" thickBot="1" x14ac:dyDescent="0.3">
      <c r="A6267" s="262"/>
      <c r="B6267" s="266"/>
      <c r="C6267" s="40" t="s">
        <v>4695</v>
      </c>
      <c r="D6267" s="40" t="s">
        <v>1035</v>
      </c>
      <c r="E6267" s="75">
        <v>1.3913</v>
      </c>
      <c r="F6267" s="35">
        <v>10.506563000000002</v>
      </c>
      <c r="G6267" s="59">
        <f t="shared" si="114"/>
        <v>14.617781101900002</v>
      </c>
      <c r="H6267" s="47"/>
      <c r="I6267" s="44"/>
      <c r="J6267" s="34">
        <v>0</v>
      </c>
    </row>
    <row r="6268" spans="1:10" ht="39" hidden="1" thickBot="1" x14ac:dyDescent="0.3">
      <c r="A6268" s="262"/>
      <c r="B6268" s="266"/>
      <c r="C6268" s="40" t="s">
        <v>4748</v>
      </c>
      <c r="D6268" s="40" t="s">
        <v>4744</v>
      </c>
      <c r="E6268" s="75">
        <v>5.2400000000000002E-2</v>
      </c>
      <c r="F6268" s="35">
        <v>2.8355343500000001</v>
      </c>
      <c r="G6268" s="59">
        <f t="shared" si="114"/>
        <v>0.14858199994000001</v>
      </c>
      <c r="H6268" s="47"/>
      <c r="I6268" s="44"/>
      <c r="J6268" s="34">
        <v>0</v>
      </c>
    </row>
    <row r="6269" spans="1:10" ht="51.75" hidden="1" thickBot="1" x14ac:dyDescent="0.3">
      <c r="A6269" s="262"/>
      <c r="B6269" s="266"/>
      <c r="C6269" s="40" t="s">
        <v>4752</v>
      </c>
      <c r="D6269" s="40" t="s">
        <v>3764</v>
      </c>
      <c r="E6269" s="75">
        <v>0.15709999999999999</v>
      </c>
      <c r="F6269" s="35">
        <v>7.75243225</v>
      </c>
      <c r="G6269" s="59">
        <f t="shared" si="114"/>
        <v>1.217907106475</v>
      </c>
      <c r="H6269" s="47"/>
      <c r="I6269" s="44"/>
      <c r="J6269" s="34">
        <v>0</v>
      </c>
    </row>
    <row r="6270" spans="1:10" ht="15.75" hidden="1" thickBot="1" x14ac:dyDescent="0.3">
      <c r="A6270" s="263"/>
      <c r="B6270" s="253"/>
      <c r="C6270" s="40"/>
      <c r="D6270" s="99"/>
      <c r="E6270" s="75"/>
      <c r="F6270" s="35" t="s">
        <v>23</v>
      </c>
      <c r="G6270" s="59"/>
      <c r="H6270" s="47"/>
      <c r="I6270" s="44"/>
      <c r="J6270" s="34">
        <v>0</v>
      </c>
    </row>
    <row r="6271" spans="1:10" ht="15.75" hidden="1" thickBot="1" x14ac:dyDescent="0.3">
      <c r="A6271" s="248" t="s">
        <v>1509</v>
      </c>
      <c r="B6271" s="251" t="s">
        <v>3286</v>
      </c>
      <c r="C6271" s="28"/>
      <c r="D6271" s="29" t="s">
        <v>82</v>
      </c>
      <c r="E6271" s="30"/>
      <c r="F6271" s="51" t="s">
        <v>23</v>
      </c>
      <c r="G6271" s="31" t="str">
        <f t="shared" ref="G6271:G6277" si="115">IF(ISNUMBER(F6271),E6271*F6271,"")</f>
        <v/>
      </c>
      <c r="H6271" s="32"/>
      <c r="I6271" s="33"/>
      <c r="J6271" s="34">
        <v>0</v>
      </c>
    </row>
    <row r="6272" spans="1:10" ht="15.75" hidden="1" thickBot="1" x14ac:dyDescent="0.3">
      <c r="A6272" s="262"/>
      <c r="B6272" s="266"/>
      <c r="C6272" s="76"/>
      <c r="D6272" s="76"/>
      <c r="E6272" s="77"/>
      <c r="F6272" s="59" t="s">
        <v>23</v>
      </c>
      <c r="G6272" s="59" t="str">
        <f t="shared" si="115"/>
        <v/>
      </c>
      <c r="H6272" s="62"/>
      <c r="I6272" s="63"/>
      <c r="J6272" s="34">
        <v>0</v>
      </c>
    </row>
    <row r="6273" spans="1:10" ht="39" hidden="1" thickBot="1" x14ac:dyDescent="0.3">
      <c r="A6273" s="262"/>
      <c r="B6273" s="266"/>
      <c r="C6273" s="40" t="s">
        <v>4149</v>
      </c>
      <c r="D6273" s="40" t="s">
        <v>291</v>
      </c>
      <c r="E6273" s="75">
        <v>1.19</v>
      </c>
      <c r="F6273" s="35">
        <v>0.20899999999999999</v>
      </c>
      <c r="G6273" s="59">
        <f t="shared" si="115"/>
        <v>0.24870999999999999</v>
      </c>
      <c r="H6273" s="43">
        <f>SUM(G6273:G6277)</f>
        <v>16.108399500000001</v>
      </c>
      <c r="I6273" s="44"/>
      <c r="J6273" s="34">
        <v>0</v>
      </c>
    </row>
    <row r="6274" spans="1:10" ht="26.25" hidden="1" thickBot="1" x14ac:dyDescent="0.3">
      <c r="A6274" s="262"/>
      <c r="B6274" s="266"/>
      <c r="C6274" s="40" t="s">
        <v>4033</v>
      </c>
      <c r="D6274" s="40" t="s">
        <v>1035</v>
      </c>
      <c r="E6274" s="75">
        <v>2.5000000000000001E-2</v>
      </c>
      <c r="F6274" s="35">
        <v>18.249500000000001</v>
      </c>
      <c r="G6274" s="59">
        <f t="shared" si="115"/>
        <v>0.45623750000000007</v>
      </c>
      <c r="H6274" s="47"/>
      <c r="I6274" s="44"/>
      <c r="J6274" s="34">
        <v>0</v>
      </c>
    </row>
    <row r="6275" spans="1:10" ht="15.75" hidden="1" thickBot="1" x14ac:dyDescent="0.3">
      <c r="A6275" s="262"/>
      <c r="B6275" s="266"/>
      <c r="C6275" s="40" t="s">
        <v>4167</v>
      </c>
      <c r="D6275" s="40" t="s">
        <v>3752</v>
      </c>
      <c r="E6275" s="75">
        <v>1.7500000000000002E-2</v>
      </c>
      <c r="F6275" s="35">
        <v>20.785999999999998</v>
      </c>
      <c r="G6275" s="59">
        <f t="shared" si="115"/>
        <v>0.363755</v>
      </c>
      <c r="H6275" s="47"/>
      <c r="I6275" s="44"/>
      <c r="J6275" s="34">
        <v>0</v>
      </c>
    </row>
    <row r="6276" spans="1:10" ht="15.75" hidden="1" thickBot="1" x14ac:dyDescent="0.3">
      <c r="A6276" s="262"/>
      <c r="B6276" s="266"/>
      <c r="C6276" s="40" t="s">
        <v>3977</v>
      </c>
      <c r="D6276" s="40" t="s">
        <v>3752</v>
      </c>
      <c r="E6276" s="75">
        <v>0.1069</v>
      </c>
      <c r="F6276" s="35">
        <v>27.853999999999999</v>
      </c>
      <c r="G6276" s="59">
        <f t="shared" si="115"/>
        <v>2.9775925999999999</v>
      </c>
      <c r="H6276" s="47"/>
      <c r="I6276" s="44"/>
      <c r="J6276" s="34">
        <v>0</v>
      </c>
    </row>
    <row r="6277" spans="1:10" ht="15.75" hidden="1" thickBot="1" x14ac:dyDescent="0.3">
      <c r="A6277" s="262"/>
      <c r="B6277" s="266"/>
      <c r="C6277" s="40" t="s">
        <v>4690</v>
      </c>
      <c r="D6277" s="40" t="s">
        <v>1035</v>
      </c>
      <c r="E6277" s="75">
        <v>1</v>
      </c>
      <c r="F6277" s="35">
        <v>12.062104400000001</v>
      </c>
      <c r="G6277" s="59">
        <f t="shared" si="115"/>
        <v>12.062104400000001</v>
      </c>
      <c r="H6277" s="47"/>
      <c r="I6277" s="44"/>
      <c r="J6277" s="34">
        <v>0</v>
      </c>
    </row>
    <row r="6278" spans="1:10" ht="15.75" hidden="1" thickBot="1" x14ac:dyDescent="0.3">
      <c r="A6278" s="263"/>
      <c r="B6278" s="253"/>
      <c r="C6278" s="40"/>
      <c r="D6278" s="99"/>
      <c r="E6278" s="75"/>
      <c r="F6278" s="35" t="s">
        <v>23</v>
      </c>
      <c r="G6278" s="59"/>
      <c r="H6278" s="47"/>
      <c r="I6278" s="44"/>
      <c r="J6278" s="34">
        <v>0</v>
      </c>
    </row>
    <row r="6279" spans="1:10" ht="15.75" hidden="1" thickBot="1" x14ac:dyDescent="0.3">
      <c r="A6279" s="248" t="s">
        <v>1510</v>
      </c>
      <c r="B6279" s="251" t="s">
        <v>3287</v>
      </c>
      <c r="C6279" s="28"/>
      <c r="D6279" s="29" t="s">
        <v>78</v>
      </c>
      <c r="E6279" s="30"/>
      <c r="F6279" s="51" t="s">
        <v>23</v>
      </c>
      <c r="G6279" s="31" t="str">
        <f t="shared" ref="G6279:G6285" si="116">IF(ISNUMBER(F6279),E6279*F6279,"")</f>
        <v/>
      </c>
      <c r="H6279" s="32"/>
      <c r="I6279" s="33"/>
      <c r="J6279" s="34">
        <v>0</v>
      </c>
    </row>
    <row r="6280" spans="1:10" ht="15.75" hidden="1" thickBot="1" x14ac:dyDescent="0.3">
      <c r="A6280" s="262"/>
      <c r="B6280" s="266"/>
      <c r="C6280" s="76"/>
      <c r="D6280" s="76"/>
      <c r="E6280" s="77"/>
      <c r="F6280" s="59" t="s">
        <v>23</v>
      </c>
      <c r="G6280" s="59" t="str">
        <f t="shared" si="116"/>
        <v/>
      </c>
      <c r="H6280" s="62"/>
      <c r="I6280" s="63"/>
      <c r="J6280" s="34">
        <v>0</v>
      </c>
    </row>
    <row r="6281" spans="1:10" ht="39" hidden="1" thickBot="1" x14ac:dyDescent="0.3">
      <c r="A6281" s="262"/>
      <c r="B6281" s="266"/>
      <c r="C6281" s="40" t="s">
        <v>3791</v>
      </c>
      <c r="D6281" s="40" t="s">
        <v>3764</v>
      </c>
      <c r="E6281" s="75">
        <v>8.14E-2</v>
      </c>
      <c r="F6281" s="35">
        <v>420.84999999999997</v>
      </c>
      <c r="G6281" s="59">
        <f t="shared" si="116"/>
        <v>34.257189999999994</v>
      </c>
      <c r="H6281" s="43">
        <f>SUM(G6281:G6285)</f>
        <v>79.011711849999983</v>
      </c>
      <c r="I6281" s="44"/>
      <c r="J6281" s="34">
        <v>0</v>
      </c>
    </row>
    <row r="6282" spans="1:10" ht="26.25" hidden="1" thickBot="1" x14ac:dyDescent="0.3">
      <c r="A6282" s="262"/>
      <c r="B6282" s="266"/>
      <c r="C6282" s="40" t="s">
        <v>3783</v>
      </c>
      <c r="D6282" s="40" t="s">
        <v>1035</v>
      </c>
      <c r="E6282" s="75">
        <v>4</v>
      </c>
      <c r="F6282" s="35">
        <v>10.145999999999999</v>
      </c>
      <c r="G6282" s="59">
        <f t="shared" si="116"/>
        <v>40.583999999999996</v>
      </c>
      <c r="H6282" s="47"/>
      <c r="I6282" s="44"/>
      <c r="J6282" s="34">
        <v>0</v>
      </c>
    </row>
    <row r="6283" spans="1:10" ht="15.75" hidden="1" thickBot="1" x14ac:dyDescent="0.3">
      <c r="A6283" s="262"/>
      <c r="B6283" s="266"/>
      <c r="C6283" s="40" t="s">
        <v>3757</v>
      </c>
      <c r="D6283" s="40" t="s">
        <v>3752</v>
      </c>
      <c r="E6283" s="75">
        <v>0.1119</v>
      </c>
      <c r="F6283" s="35">
        <v>28.0535</v>
      </c>
      <c r="G6283" s="59">
        <f t="shared" si="116"/>
        <v>3.1391866500000001</v>
      </c>
      <c r="H6283" s="47"/>
      <c r="I6283" s="44"/>
      <c r="J6283" s="34">
        <v>0</v>
      </c>
    </row>
    <row r="6284" spans="1:10" ht="15.75" hidden="1" thickBot="1" x14ac:dyDescent="0.3">
      <c r="A6284" s="262"/>
      <c r="B6284" s="266"/>
      <c r="C6284" s="40" t="s">
        <v>3754</v>
      </c>
      <c r="D6284" s="40" t="s">
        <v>3752</v>
      </c>
      <c r="E6284" s="75">
        <v>4.6600000000000003E-2</v>
      </c>
      <c r="F6284" s="35">
        <v>20.814499999999999</v>
      </c>
      <c r="G6284" s="59">
        <f t="shared" si="116"/>
        <v>0.96995569999999998</v>
      </c>
      <c r="H6284" s="47"/>
      <c r="I6284" s="44"/>
      <c r="J6284" s="34">
        <v>0</v>
      </c>
    </row>
    <row r="6285" spans="1:10" ht="26.25" hidden="1" thickBot="1" x14ac:dyDescent="0.3">
      <c r="A6285" s="262"/>
      <c r="B6285" s="266"/>
      <c r="C6285" s="40" t="s">
        <v>4163</v>
      </c>
      <c r="D6285" s="40" t="s">
        <v>1041</v>
      </c>
      <c r="E6285" s="75">
        <v>7.0000000000000001E-3</v>
      </c>
      <c r="F6285" s="35">
        <v>8.7684999999999995</v>
      </c>
      <c r="G6285" s="59">
        <f t="shared" si="116"/>
        <v>6.1379499999999997E-2</v>
      </c>
      <c r="H6285" s="47"/>
      <c r="I6285" s="44"/>
      <c r="J6285" s="34">
        <v>0</v>
      </c>
    </row>
    <row r="6286" spans="1:10" ht="15.75" hidden="1" thickBot="1" x14ac:dyDescent="0.3">
      <c r="A6286" s="263"/>
      <c r="B6286" s="253"/>
      <c r="C6286" s="40"/>
      <c r="D6286" s="99"/>
      <c r="E6286" s="75"/>
      <c r="F6286" s="35" t="s">
        <v>23</v>
      </c>
      <c r="G6286" s="59"/>
      <c r="H6286" s="47"/>
      <c r="I6286" s="44"/>
      <c r="J6286" s="34">
        <v>0</v>
      </c>
    </row>
    <row r="6287" spans="1:10" ht="15.75" hidden="1" thickBot="1" x14ac:dyDescent="0.3">
      <c r="A6287" s="248" t="s">
        <v>1511</v>
      </c>
      <c r="B6287" s="251" t="s">
        <v>3288</v>
      </c>
      <c r="C6287" s="28"/>
      <c r="D6287" s="29" t="s">
        <v>121</v>
      </c>
      <c r="E6287" s="30"/>
      <c r="F6287" s="51" t="s">
        <v>23</v>
      </c>
      <c r="G6287" s="31" t="str">
        <f t="shared" ref="G6287:G6292" si="117">IF(ISNUMBER(F6287),E6287*F6287,"")</f>
        <v/>
      </c>
      <c r="H6287" s="32"/>
      <c r="I6287" s="33"/>
      <c r="J6287" s="34">
        <v>0</v>
      </c>
    </row>
    <row r="6288" spans="1:10" ht="15.75" hidden="1" thickBot="1" x14ac:dyDescent="0.3">
      <c r="A6288" s="262"/>
      <c r="B6288" s="266"/>
      <c r="C6288" s="76"/>
      <c r="D6288" s="76"/>
      <c r="E6288" s="77"/>
      <c r="F6288" s="59" t="s">
        <v>23</v>
      </c>
      <c r="G6288" s="59" t="str">
        <f t="shared" si="117"/>
        <v/>
      </c>
      <c r="H6288" s="62"/>
      <c r="I6288" s="63"/>
      <c r="J6288" s="34">
        <v>0</v>
      </c>
    </row>
    <row r="6289" spans="1:10" ht="26.25" hidden="1" thickBot="1" x14ac:dyDescent="0.3">
      <c r="A6289" s="262"/>
      <c r="B6289" s="266"/>
      <c r="C6289" s="40" t="s">
        <v>3995</v>
      </c>
      <c r="D6289" s="40" t="s">
        <v>1286</v>
      </c>
      <c r="E6289" s="75">
        <v>1.0353000000000001</v>
      </c>
      <c r="F6289" s="35">
        <v>57.436999999999998</v>
      </c>
      <c r="G6289" s="59">
        <f t="shared" si="117"/>
        <v>59.4645261</v>
      </c>
      <c r="H6289" s="43">
        <f>SUM(G6289:G6292)</f>
        <v>66.02250244999999</v>
      </c>
      <c r="I6289" s="44"/>
      <c r="J6289" s="34">
        <v>0</v>
      </c>
    </row>
    <row r="6290" spans="1:10" ht="15.75" hidden="1" thickBot="1" x14ac:dyDescent="0.3">
      <c r="A6290" s="262"/>
      <c r="B6290" s="266"/>
      <c r="C6290" s="40" t="s">
        <v>4498</v>
      </c>
      <c r="D6290" s="40" t="s">
        <v>291</v>
      </c>
      <c r="E6290" s="75">
        <v>7.2999999999999995E-2</v>
      </c>
      <c r="F6290" s="35">
        <v>2.1564999999999999</v>
      </c>
      <c r="G6290" s="59">
        <f t="shared" si="117"/>
        <v>0.15742449999999997</v>
      </c>
      <c r="H6290" s="47"/>
      <c r="I6290" s="44"/>
      <c r="J6290" s="34">
        <v>0</v>
      </c>
    </row>
    <row r="6291" spans="1:10" ht="26.25" hidden="1" thickBot="1" x14ac:dyDescent="0.3">
      <c r="A6291" s="262"/>
      <c r="B6291" s="266"/>
      <c r="C6291" s="40" t="s">
        <v>4119</v>
      </c>
      <c r="D6291" s="40" t="s">
        <v>3752</v>
      </c>
      <c r="E6291" s="75">
        <v>0.13089999999999999</v>
      </c>
      <c r="F6291" s="35">
        <v>21.555499999999999</v>
      </c>
      <c r="G6291" s="59">
        <f t="shared" si="117"/>
        <v>2.8216149499999994</v>
      </c>
      <c r="H6291" s="47"/>
      <c r="I6291" s="44"/>
      <c r="J6291" s="34">
        <v>0</v>
      </c>
    </row>
    <row r="6292" spans="1:10" ht="26.25" hidden="1" thickBot="1" x14ac:dyDescent="0.3">
      <c r="A6292" s="262"/>
      <c r="B6292" s="266"/>
      <c r="C6292" s="40" t="s">
        <v>4110</v>
      </c>
      <c r="D6292" s="40" t="s">
        <v>3752</v>
      </c>
      <c r="E6292" s="75">
        <v>0.13089999999999999</v>
      </c>
      <c r="F6292" s="35">
        <v>27.341000000000001</v>
      </c>
      <c r="G6292" s="59">
        <f t="shared" si="117"/>
        <v>3.5789369</v>
      </c>
      <c r="H6292" s="47"/>
      <c r="I6292" s="44"/>
      <c r="J6292" s="34">
        <v>0</v>
      </c>
    </row>
    <row r="6293" spans="1:10" ht="15.75" hidden="1" thickBot="1" x14ac:dyDescent="0.3">
      <c r="A6293" s="263"/>
      <c r="B6293" s="253"/>
      <c r="C6293" s="40"/>
      <c r="D6293" s="99"/>
      <c r="E6293" s="75"/>
      <c r="F6293" s="35" t="s">
        <v>23</v>
      </c>
      <c r="G6293" s="59"/>
      <c r="H6293" s="47"/>
      <c r="I6293" s="44"/>
      <c r="J6293" s="34">
        <v>0</v>
      </c>
    </row>
    <row r="6294" spans="1:10" ht="15.75" hidden="1" thickBot="1" x14ac:dyDescent="0.3">
      <c r="A6294" s="248" t="s">
        <v>1512</v>
      </c>
      <c r="B6294" s="259" t="s">
        <v>3289</v>
      </c>
      <c r="C6294" s="28"/>
      <c r="D6294" s="29" t="s">
        <v>78</v>
      </c>
      <c r="E6294" s="30"/>
      <c r="F6294" s="51" t="s">
        <v>23</v>
      </c>
      <c r="G6294" s="31" t="str">
        <f t="shared" ref="G6294:G6302" si="118">IF(ISNUMBER(F6294),E6294*F6294,"")</f>
        <v/>
      </c>
      <c r="H6294" s="32"/>
      <c r="I6294" s="33"/>
      <c r="J6294" s="34">
        <v>0</v>
      </c>
    </row>
    <row r="6295" spans="1:10" ht="15.75" hidden="1" thickBot="1" x14ac:dyDescent="0.3">
      <c r="A6295" s="262"/>
      <c r="B6295" s="267"/>
      <c r="C6295" s="76"/>
      <c r="D6295" s="76"/>
      <c r="E6295" s="77"/>
      <c r="F6295" s="59" t="s">
        <v>23</v>
      </c>
      <c r="G6295" s="59" t="str">
        <f t="shared" si="118"/>
        <v/>
      </c>
      <c r="H6295" s="62"/>
      <c r="I6295" s="63"/>
      <c r="J6295" s="34">
        <v>0</v>
      </c>
    </row>
    <row r="6296" spans="1:10" ht="26.25" hidden="1" thickBot="1" x14ac:dyDescent="0.3">
      <c r="A6296" s="262"/>
      <c r="B6296" s="267"/>
      <c r="C6296" s="40" t="s">
        <v>4330</v>
      </c>
      <c r="D6296" s="40" t="s">
        <v>291</v>
      </c>
      <c r="E6296" s="75">
        <v>10.204000000000001</v>
      </c>
      <c r="F6296" s="35">
        <v>4.1609999999999996</v>
      </c>
      <c r="G6296" s="59">
        <f t="shared" si="118"/>
        <v>42.458843999999999</v>
      </c>
      <c r="H6296" s="43">
        <f>SUM(G6296:G6302)</f>
        <v>86.165628792768743</v>
      </c>
      <c r="I6296" s="44"/>
      <c r="J6296" s="34">
        <v>0</v>
      </c>
    </row>
    <row r="6297" spans="1:10" ht="26.25" hidden="1" thickBot="1" x14ac:dyDescent="0.3">
      <c r="A6297" s="262"/>
      <c r="B6297" s="267"/>
      <c r="C6297" s="40" t="s">
        <v>4331</v>
      </c>
      <c r="D6297" s="40" t="s">
        <v>291</v>
      </c>
      <c r="E6297" s="75">
        <v>1.46</v>
      </c>
      <c r="F6297" s="35">
        <v>2.375</v>
      </c>
      <c r="G6297" s="59">
        <f t="shared" si="118"/>
        <v>3.4674999999999998</v>
      </c>
      <c r="H6297" s="47"/>
      <c r="I6297" s="44"/>
      <c r="J6297" s="34">
        <v>0</v>
      </c>
    </row>
    <row r="6298" spans="1:10" ht="26.25" hidden="1" thickBot="1" x14ac:dyDescent="0.3">
      <c r="A6298" s="262"/>
      <c r="B6298" s="267"/>
      <c r="C6298" s="40" t="s">
        <v>4332</v>
      </c>
      <c r="D6298" s="40" t="s">
        <v>291</v>
      </c>
      <c r="E6298" s="75">
        <v>1.46</v>
      </c>
      <c r="F6298" s="35">
        <v>3.8</v>
      </c>
      <c r="G6298" s="59">
        <f t="shared" si="118"/>
        <v>5.548</v>
      </c>
      <c r="H6298" s="47"/>
      <c r="I6298" s="44"/>
      <c r="J6298" s="34">
        <v>0</v>
      </c>
    </row>
    <row r="6299" spans="1:10" ht="26.25" hidden="1" thickBot="1" x14ac:dyDescent="0.3">
      <c r="A6299" s="262"/>
      <c r="B6299" s="267"/>
      <c r="C6299" s="40" t="s">
        <v>4333</v>
      </c>
      <c r="D6299" s="40" t="s">
        <v>291</v>
      </c>
      <c r="E6299" s="75">
        <v>0.97</v>
      </c>
      <c r="F6299" s="35">
        <v>4.6834999999999996</v>
      </c>
      <c r="G6299" s="59">
        <f t="shared" si="118"/>
        <v>4.5429949999999995</v>
      </c>
      <c r="H6299" s="47"/>
      <c r="I6299" s="44"/>
      <c r="J6299" s="34">
        <v>0</v>
      </c>
    </row>
    <row r="6300" spans="1:10" ht="15.75" hidden="1" thickBot="1" x14ac:dyDescent="0.3">
      <c r="A6300" s="262"/>
      <c r="B6300" s="267"/>
      <c r="C6300" s="40" t="s">
        <v>3757</v>
      </c>
      <c r="D6300" s="40" t="s">
        <v>3752</v>
      </c>
      <c r="E6300" s="75">
        <v>0.45</v>
      </c>
      <c r="F6300" s="35">
        <v>28.0535</v>
      </c>
      <c r="G6300" s="59">
        <f t="shared" si="118"/>
        <v>12.624074999999999</v>
      </c>
      <c r="H6300" s="47"/>
      <c r="I6300" s="44"/>
      <c r="J6300" s="34">
        <v>0</v>
      </c>
    </row>
    <row r="6301" spans="1:10" ht="15.75" hidden="1" thickBot="1" x14ac:dyDescent="0.3">
      <c r="A6301" s="262"/>
      <c r="B6301" s="267"/>
      <c r="C6301" s="40" t="s">
        <v>3754</v>
      </c>
      <c r="D6301" s="40" t="s">
        <v>3752</v>
      </c>
      <c r="E6301" s="75">
        <v>0.45</v>
      </c>
      <c r="F6301" s="35">
        <v>20.814499999999999</v>
      </c>
      <c r="G6301" s="59">
        <f t="shared" si="118"/>
        <v>9.3665249999999993</v>
      </c>
      <c r="H6301" s="47"/>
      <c r="I6301" s="44"/>
      <c r="J6301" s="34">
        <v>0</v>
      </c>
    </row>
    <row r="6302" spans="1:10" ht="51.75" hidden="1" thickBot="1" x14ac:dyDescent="0.3">
      <c r="A6302" s="262"/>
      <c r="B6302" s="267"/>
      <c r="C6302" s="40" t="s">
        <v>4742</v>
      </c>
      <c r="D6302" s="40" t="s">
        <v>3764</v>
      </c>
      <c r="E6302" s="75">
        <v>1.1299999999999999E-2</v>
      </c>
      <c r="F6302" s="35">
        <v>721.91945068749999</v>
      </c>
      <c r="G6302" s="59">
        <f t="shared" si="118"/>
        <v>8.1576897927687497</v>
      </c>
      <c r="H6302" s="47"/>
      <c r="I6302" s="44"/>
      <c r="J6302" s="34">
        <v>0</v>
      </c>
    </row>
    <row r="6303" spans="1:10" ht="15.75" hidden="1" thickBot="1" x14ac:dyDescent="0.3">
      <c r="A6303" s="263"/>
      <c r="B6303" s="261"/>
      <c r="C6303" s="40"/>
      <c r="D6303" s="99"/>
      <c r="E6303" s="75"/>
      <c r="F6303" s="35" t="s">
        <v>23</v>
      </c>
      <c r="G6303" s="59"/>
      <c r="H6303" s="47"/>
      <c r="I6303" s="44"/>
      <c r="J6303" s="34">
        <v>0</v>
      </c>
    </row>
    <row r="6304" spans="1:10" ht="15.75" hidden="1" thickBot="1" x14ac:dyDescent="0.3">
      <c r="A6304" s="248" t="s">
        <v>1513</v>
      </c>
      <c r="B6304" s="251" t="s">
        <v>3290</v>
      </c>
      <c r="C6304" s="28"/>
      <c r="D6304" s="29" t="s">
        <v>28</v>
      </c>
      <c r="E6304" s="30"/>
      <c r="F6304" s="51" t="s">
        <v>23</v>
      </c>
      <c r="G6304" s="31" t="str">
        <f t="shared" ref="G6304:G6326" si="119">IF(ISNUMBER(F6304),E6304*F6304,"")</f>
        <v/>
      </c>
      <c r="H6304" s="32"/>
      <c r="I6304" s="33"/>
      <c r="J6304" s="34">
        <v>0</v>
      </c>
    </row>
    <row r="6305" spans="1:10" ht="15.75" hidden="1" thickBot="1" x14ac:dyDescent="0.3">
      <c r="A6305" s="262"/>
      <c r="B6305" s="266"/>
      <c r="C6305" s="76"/>
      <c r="D6305" s="76"/>
      <c r="E6305" s="77"/>
      <c r="F6305" s="59" t="s">
        <v>23</v>
      </c>
      <c r="G6305" s="59" t="str">
        <f t="shared" si="119"/>
        <v/>
      </c>
      <c r="H6305" s="62"/>
      <c r="I6305" s="63"/>
      <c r="J6305" s="34">
        <v>0</v>
      </c>
    </row>
    <row r="6306" spans="1:10" ht="15.75" hidden="1" thickBot="1" x14ac:dyDescent="0.3">
      <c r="A6306" s="262"/>
      <c r="B6306" s="266"/>
      <c r="C6306" s="40" t="s">
        <v>4334</v>
      </c>
      <c r="D6306" s="40" t="s">
        <v>291</v>
      </c>
      <c r="E6306" s="75">
        <v>21</v>
      </c>
      <c r="F6306" s="35">
        <v>3.23</v>
      </c>
      <c r="G6306" s="59">
        <f t="shared" si="119"/>
        <v>67.83</v>
      </c>
      <c r="H6306" s="43">
        <f>SUM(G6306:G6326)</f>
        <v>1558.0071804788033</v>
      </c>
      <c r="I6306" s="44"/>
      <c r="J6306" s="34">
        <v>0</v>
      </c>
    </row>
    <row r="6307" spans="1:10" ht="26.25" hidden="1" thickBot="1" x14ac:dyDescent="0.3">
      <c r="A6307" s="262"/>
      <c r="B6307" s="266"/>
      <c r="C6307" s="40" t="s">
        <v>4659</v>
      </c>
      <c r="D6307" s="40" t="s">
        <v>80</v>
      </c>
      <c r="E6307" s="75">
        <v>8.2000000000000007E-3</v>
      </c>
      <c r="F6307" s="35">
        <v>7.9229999999999992</v>
      </c>
      <c r="G6307" s="59">
        <f t="shared" si="119"/>
        <v>6.4968600000000001E-2</v>
      </c>
      <c r="H6307" s="47"/>
      <c r="I6307" s="44"/>
      <c r="J6307" s="34">
        <v>0</v>
      </c>
    </row>
    <row r="6308" spans="1:10" ht="26.25" hidden="1" thickBot="1" x14ac:dyDescent="0.3">
      <c r="A6308" s="262"/>
      <c r="B6308" s="266"/>
      <c r="C6308" s="40" t="s">
        <v>3840</v>
      </c>
      <c r="D6308" s="40" t="s">
        <v>1286</v>
      </c>
      <c r="E6308" s="75">
        <v>0.17760000000000001</v>
      </c>
      <c r="F6308" s="35">
        <v>7.7330000000000005</v>
      </c>
      <c r="G6308" s="59">
        <f t="shared" si="119"/>
        <v>1.3733808000000001</v>
      </c>
      <c r="H6308" s="47"/>
      <c r="I6308" s="44"/>
      <c r="J6308" s="34">
        <v>0</v>
      </c>
    </row>
    <row r="6309" spans="1:10" ht="26.25" hidden="1" thickBot="1" x14ac:dyDescent="0.3">
      <c r="A6309" s="262"/>
      <c r="B6309" s="266"/>
      <c r="C6309" s="40" t="s">
        <v>4135</v>
      </c>
      <c r="D6309" s="40" t="s">
        <v>1286</v>
      </c>
      <c r="E6309" s="75">
        <v>0.2112</v>
      </c>
      <c r="F6309" s="35">
        <v>2.7075</v>
      </c>
      <c r="G6309" s="59">
        <f t="shared" si="119"/>
        <v>0.571824</v>
      </c>
      <c r="H6309" s="47"/>
      <c r="I6309" s="44"/>
      <c r="J6309" s="34">
        <v>0</v>
      </c>
    </row>
    <row r="6310" spans="1:10" ht="15.75" hidden="1" thickBot="1" x14ac:dyDescent="0.3">
      <c r="A6310" s="262"/>
      <c r="B6310" s="266"/>
      <c r="C6310" s="40" t="s">
        <v>4335</v>
      </c>
      <c r="D6310" s="40" t="s">
        <v>1035</v>
      </c>
      <c r="E6310" s="75">
        <v>1.8700000000000001E-2</v>
      </c>
      <c r="F6310" s="35">
        <v>21.1755</v>
      </c>
      <c r="G6310" s="59">
        <f t="shared" si="119"/>
        <v>0.39598185000000002</v>
      </c>
      <c r="H6310" s="47"/>
      <c r="I6310" s="44"/>
      <c r="J6310" s="34">
        <v>0</v>
      </c>
    </row>
    <row r="6311" spans="1:10" ht="51.75" hidden="1" thickBot="1" x14ac:dyDescent="0.3">
      <c r="A6311" s="262"/>
      <c r="B6311" s="266"/>
      <c r="C6311" s="40" t="s">
        <v>4044</v>
      </c>
      <c r="D6311" s="40" t="s">
        <v>1041</v>
      </c>
      <c r="E6311" s="75">
        <v>3.1300000000000001E-2</v>
      </c>
      <c r="F6311" s="35">
        <v>123.91799999999999</v>
      </c>
      <c r="G6311" s="59">
        <f t="shared" si="119"/>
        <v>3.8786334</v>
      </c>
      <c r="H6311" s="47"/>
      <c r="I6311" s="44"/>
      <c r="J6311" s="34">
        <v>0</v>
      </c>
    </row>
    <row r="6312" spans="1:10" ht="51.75" hidden="1" thickBot="1" x14ac:dyDescent="0.3">
      <c r="A6312" s="262"/>
      <c r="B6312" s="266"/>
      <c r="C6312" s="40" t="s">
        <v>4045</v>
      </c>
      <c r="D6312" s="40" t="s">
        <v>1052</v>
      </c>
      <c r="E6312" s="75">
        <v>6.3700000000000007E-2</v>
      </c>
      <c r="F6312" s="35">
        <v>52.392499999999998</v>
      </c>
      <c r="G6312" s="59">
        <f t="shared" si="119"/>
        <v>3.3374022500000002</v>
      </c>
      <c r="H6312" s="47"/>
      <c r="I6312" s="44"/>
      <c r="J6312" s="34">
        <v>0</v>
      </c>
    </row>
    <row r="6313" spans="1:10" ht="26.25" hidden="1" thickBot="1" x14ac:dyDescent="0.3">
      <c r="A6313" s="262"/>
      <c r="B6313" s="266"/>
      <c r="C6313" s="40" t="s">
        <v>4137</v>
      </c>
      <c r="D6313" s="40" t="s">
        <v>1286</v>
      </c>
      <c r="E6313" s="75">
        <v>0.66239999999999999</v>
      </c>
      <c r="F6313" s="35">
        <v>22.42</v>
      </c>
      <c r="G6313" s="59">
        <f t="shared" si="119"/>
        <v>14.851008</v>
      </c>
      <c r="H6313" s="47"/>
      <c r="I6313" s="44"/>
      <c r="J6313" s="34">
        <v>0</v>
      </c>
    </row>
    <row r="6314" spans="1:10" ht="26.25" hidden="1" thickBot="1" x14ac:dyDescent="0.3">
      <c r="A6314" s="262"/>
      <c r="B6314" s="266"/>
      <c r="C6314" s="40" t="s">
        <v>4336</v>
      </c>
      <c r="D6314" s="40" t="s">
        <v>291</v>
      </c>
      <c r="E6314" s="75">
        <v>47.175699999999999</v>
      </c>
      <c r="F6314" s="35">
        <v>5.2060000000000004</v>
      </c>
      <c r="G6314" s="59">
        <f t="shared" si="119"/>
        <v>245.5966942</v>
      </c>
      <c r="H6314" s="47"/>
      <c r="I6314" s="44"/>
      <c r="J6314" s="34">
        <v>0</v>
      </c>
    </row>
    <row r="6315" spans="1:10" ht="26.25" hidden="1" thickBot="1" x14ac:dyDescent="0.3">
      <c r="A6315" s="262"/>
      <c r="B6315" s="266"/>
      <c r="C6315" s="40" t="s">
        <v>4337</v>
      </c>
      <c r="D6315" s="40" t="s">
        <v>291</v>
      </c>
      <c r="E6315" s="75">
        <v>1</v>
      </c>
      <c r="F6315" s="35">
        <v>41.543499999999995</v>
      </c>
      <c r="G6315" s="59">
        <f t="shared" si="119"/>
        <v>41.543499999999995</v>
      </c>
      <c r="H6315" s="47"/>
      <c r="I6315" s="44"/>
      <c r="J6315" s="34">
        <v>0</v>
      </c>
    </row>
    <row r="6316" spans="1:10" ht="39" hidden="1" thickBot="1" x14ac:dyDescent="0.3">
      <c r="A6316" s="262"/>
      <c r="B6316" s="266"/>
      <c r="C6316" s="40" t="s">
        <v>4732</v>
      </c>
      <c r="D6316" s="40" t="s">
        <v>3764</v>
      </c>
      <c r="E6316" s="75">
        <v>4.1799999999999997E-2</v>
      </c>
      <c r="F6316" s="35">
        <v>587.39179487499985</v>
      </c>
      <c r="G6316" s="59">
        <f t="shared" si="119"/>
        <v>24.552977025774993</v>
      </c>
      <c r="H6316" s="47"/>
      <c r="I6316" s="44"/>
      <c r="J6316" s="34">
        <v>0</v>
      </c>
    </row>
    <row r="6317" spans="1:10" ht="15.75" hidden="1" thickBot="1" x14ac:dyDescent="0.3">
      <c r="A6317" s="262"/>
      <c r="B6317" s="266"/>
      <c r="C6317" s="40" t="s">
        <v>3757</v>
      </c>
      <c r="D6317" s="40" t="s">
        <v>3752</v>
      </c>
      <c r="E6317" s="75">
        <v>9.5631000000000004</v>
      </c>
      <c r="F6317" s="35">
        <v>28.0535</v>
      </c>
      <c r="G6317" s="59">
        <f t="shared" si="119"/>
        <v>268.27842585000002</v>
      </c>
      <c r="H6317" s="47"/>
      <c r="I6317" s="44"/>
      <c r="J6317" s="34">
        <v>0</v>
      </c>
    </row>
    <row r="6318" spans="1:10" ht="15.75" hidden="1" thickBot="1" x14ac:dyDescent="0.3">
      <c r="A6318" s="262"/>
      <c r="B6318" s="266"/>
      <c r="C6318" s="40" t="s">
        <v>3754</v>
      </c>
      <c r="D6318" s="40" t="s">
        <v>3752</v>
      </c>
      <c r="E6318" s="75">
        <v>7.5138999999999996</v>
      </c>
      <c r="F6318" s="35">
        <v>20.814499999999999</v>
      </c>
      <c r="G6318" s="59">
        <f t="shared" si="119"/>
        <v>156.39807154999997</v>
      </c>
      <c r="H6318" s="47"/>
      <c r="I6318" s="44"/>
      <c r="J6318" s="34">
        <v>0</v>
      </c>
    </row>
    <row r="6319" spans="1:10" ht="26.25" hidden="1" thickBot="1" x14ac:dyDescent="0.3">
      <c r="A6319" s="262"/>
      <c r="B6319" s="266"/>
      <c r="C6319" s="40" t="s">
        <v>4739</v>
      </c>
      <c r="D6319" s="40" t="s">
        <v>3764</v>
      </c>
      <c r="E6319" s="75">
        <v>0.47460000000000002</v>
      </c>
      <c r="F6319" s="35">
        <v>659.4423539375</v>
      </c>
      <c r="G6319" s="59">
        <f t="shared" si="119"/>
        <v>312.97134117873753</v>
      </c>
      <c r="H6319" s="47"/>
      <c r="I6319" s="44"/>
      <c r="J6319" s="34">
        <v>0</v>
      </c>
    </row>
    <row r="6320" spans="1:10" ht="26.25" hidden="1" thickBot="1" x14ac:dyDescent="0.3">
      <c r="A6320" s="262"/>
      <c r="B6320" s="266"/>
      <c r="C6320" s="40" t="s">
        <v>4696</v>
      </c>
      <c r="D6320" s="40" t="s">
        <v>3764</v>
      </c>
      <c r="E6320" s="75">
        <v>2.9899999999999999E-2</v>
      </c>
      <c r="F6320" s="35">
        <v>1178.0212398044553</v>
      </c>
      <c r="G6320" s="59">
        <f t="shared" si="119"/>
        <v>35.222835070153209</v>
      </c>
      <c r="H6320" s="47"/>
      <c r="I6320" s="44"/>
      <c r="J6320" s="34">
        <v>0</v>
      </c>
    </row>
    <row r="6321" spans="1:10" ht="26.25" hidden="1" thickBot="1" x14ac:dyDescent="0.3">
      <c r="A6321" s="262"/>
      <c r="B6321" s="266"/>
      <c r="C6321" s="40" t="s">
        <v>4697</v>
      </c>
      <c r="D6321" s="40" t="s">
        <v>3764</v>
      </c>
      <c r="E6321" s="75">
        <v>6.1499999999999999E-2</v>
      </c>
      <c r="F6321" s="35">
        <v>1141.0188557044551</v>
      </c>
      <c r="G6321" s="59">
        <f t="shared" si="119"/>
        <v>70.172659625823982</v>
      </c>
      <c r="H6321" s="47"/>
      <c r="I6321" s="44"/>
      <c r="J6321" s="34">
        <v>0</v>
      </c>
    </row>
    <row r="6322" spans="1:10" ht="26.25" hidden="1" thickBot="1" x14ac:dyDescent="0.3">
      <c r="A6322" s="262"/>
      <c r="B6322" s="266"/>
      <c r="C6322" s="40" t="s">
        <v>4685</v>
      </c>
      <c r="D6322" s="40" t="s">
        <v>1035</v>
      </c>
      <c r="E6322" s="75">
        <v>0.98719999999999997</v>
      </c>
      <c r="F6322" s="35">
        <v>12.692247</v>
      </c>
      <c r="G6322" s="59">
        <f t="shared" si="119"/>
        <v>12.5297862384</v>
      </c>
      <c r="H6322" s="47"/>
      <c r="I6322" s="44"/>
      <c r="J6322" s="34">
        <v>0</v>
      </c>
    </row>
    <row r="6323" spans="1:10" ht="26.25" hidden="1" thickBot="1" x14ac:dyDescent="0.3">
      <c r="A6323" s="262"/>
      <c r="B6323" s="266"/>
      <c r="C6323" s="40" t="s">
        <v>4686</v>
      </c>
      <c r="D6323" s="40" t="s">
        <v>1035</v>
      </c>
      <c r="E6323" s="75">
        <v>2.468</v>
      </c>
      <c r="F6323" s="35">
        <v>12.161820199999999</v>
      </c>
      <c r="G6323" s="59">
        <f t="shared" si="119"/>
        <v>30.015372253599999</v>
      </c>
      <c r="H6323" s="47"/>
      <c r="I6323" s="44"/>
      <c r="J6323" s="34">
        <v>0</v>
      </c>
    </row>
    <row r="6324" spans="1:10" ht="39" hidden="1" thickBot="1" x14ac:dyDescent="0.3">
      <c r="A6324" s="262"/>
      <c r="B6324" s="266"/>
      <c r="C6324" s="40" t="s">
        <v>4704</v>
      </c>
      <c r="D6324" s="40" t="s">
        <v>3764</v>
      </c>
      <c r="E6324" s="75">
        <v>0.1628</v>
      </c>
      <c r="F6324" s="35">
        <v>613.51845821812492</v>
      </c>
      <c r="G6324" s="59">
        <f t="shared" si="119"/>
        <v>99.880804997910744</v>
      </c>
      <c r="H6324" s="47"/>
      <c r="I6324" s="44"/>
      <c r="J6324" s="34">
        <v>0</v>
      </c>
    </row>
    <row r="6325" spans="1:10" ht="26.25" hidden="1" thickBot="1" x14ac:dyDescent="0.3">
      <c r="A6325" s="262"/>
      <c r="B6325" s="266"/>
      <c r="C6325" s="40" t="s">
        <v>4710</v>
      </c>
      <c r="D6325" s="40" t="s">
        <v>3764</v>
      </c>
      <c r="E6325" s="75">
        <v>6.1600000000000002E-2</v>
      </c>
      <c r="F6325" s="35">
        <v>2617.6528209237504</v>
      </c>
      <c r="G6325" s="59">
        <f t="shared" si="119"/>
        <v>161.24741376890302</v>
      </c>
      <c r="H6325" s="47"/>
      <c r="I6325" s="44"/>
      <c r="J6325" s="34">
        <v>0</v>
      </c>
    </row>
    <row r="6326" spans="1:10" ht="26.25" hidden="1" thickBot="1" x14ac:dyDescent="0.3">
      <c r="A6326" s="262"/>
      <c r="B6326" s="266"/>
      <c r="C6326" s="40" t="s">
        <v>4717</v>
      </c>
      <c r="D6326" s="40" t="s">
        <v>177</v>
      </c>
      <c r="E6326" s="75">
        <v>1.17</v>
      </c>
      <c r="F6326" s="35">
        <v>6.2342733499999996</v>
      </c>
      <c r="G6326" s="59">
        <f t="shared" si="119"/>
        <v>7.2940998194999995</v>
      </c>
      <c r="H6326" s="47"/>
      <c r="I6326" s="44"/>
      <c r="J6326" s="34">
        <v>0</v>
      </c>
    </row>
    <row r="6327" spans="1:10" ht="15.75" hidden="1" thickBot="1" x14ac:dyDescent="0.3">
      <c r="A6327" s="263"/>
      <c r="B6327" s="253"/>
      <c r="C6327" s="40"/>
      <c r="D6327" s="99"/>
      <c r="E6327" s="75"/>
      <c r="F6327" s="35" t="s">
        <v>23</v>
      </c>
      <c r="G6327" s="59"/>
      <c r="H6327" s="47"/>
      <c r="I6327" s="44"/>
      <c r="J6327" s="34">
        <v>0</v>
      </c>
    </row>
    <row r="6328" spans="1:10" ht="15.75" hidden="1" thickBot="1" x14ac:dyDescent="0.3">
      <c r="A6328" s="248" t="s">
        <v>1514</v>
      </c>
      <c r="B6328" s="251" t="s">
        <v>3291</v>
      </c>
      <c r="C6328" s="28"/>
      <c r="D6328" s="29" t="s">
        <v>121</v>
      </c>
      <c r="E6328" s="30"/>
      <c r="F6328" s="51" t="s">
        <v>23</v>
      </c>
      <c r="G6328" s="31" t="str">
        <f t="shared" ref="G6328:G6336" si="120">IF(ISNUMBER(F6328),E6328*F6328,"")</f>
        <v/>
      </c>
      <c r="H6328" s="32"/>
      <c r="I6328" s="33"/>
      <c r="J6328" s="34">
        <v>0</v>
      </c>
    </row>
    <row r="6329" spans="1:10" ht="15.75" hidden="1" thickBot="1" x14ac:dyDescent="0.3">
      <c r="A6329" s="262"/>
      <c r="B6329" s="266"/>
      <c r="C6329" s="76"/>
      <c r="D6329" s="76"/>
      <c r="E6329" s="77"/>
      <c r="F6329" s="59" t="s">
        <v>23</v>
      </c>
      <c r="G6329" s="59" t="str">
        <f t="shared" si="120"/>
        <v/>
      </c>
      <c r="H6329" s="62"/>
      <c r="I6329" s="63"/>
      <c r="J6329" s="34">
        <v>0</v>
      </c>
    </row>
    <row r="6330" spans="1:10" ht="26.25" hidden="1" thickBot="1" x14ac:dyDescent="0.3">
      <c r="A6330" s="262"/>
      <c r="B6330" s="266"/>
      <c r="C6330" s="40" t="s">
        <v>4678</v>
      </c>
      <c r="D6330" s="40" t="s">
        <v>1035</v>
      </c>
      <c r="E6330" s="75">
        <f>3.12/'[2]Comp.Aux1'!D667</f>
        <v>3.7864077669902918</v>
      </c>
      <c r="F6330" s="35">
        <v>15.5251185</v>
      </c>
      <c r="G6330" s="59">
        <f t="shared" si="120"/>
        <v>58.784429271844665</v>
      </c>
      <c r="H6330" s="43">
        <f>SUM(G6330:G6336)</f>
        <v>536.69661622320461</v>
      </c>
      <c r="I6330" s="44"/>
      <c r="J6330" s="34">
        <v>0</v>
      </c>
    </row>
    <row r="6331" spans="1:10" ht="39" hidden="1" thickBot="1" x14ac:dyDescent="0.3">
      <c r="A6331" s="262"/>
      <c r="B6331" s="266"/>
      <c r="C6331" s="40" t="s">
        <v>4701</v>
      </c>
      <c r="D6331" s="40" t="s">
        <v>3764</v>
      </c>
      <c r="E6331" s="75">
        <v>0.17299999999999999</v>
      </c>
      <c r="F6331" s="35">
        <v>624.7713789687499</v>
      </c>
      <c r="G6331" s="59">
        <f t="shared" si="120"/>
        <v>108.08544856159372</v>
      </c>
      <c r="H6331" s="47"/>
      <c r="I6331" s="44"/>
      <c r="J6331" s="34">
        <v>0</v>
      </c>
    </row>
    <row r="6332" spans="1:10" ht="39" hidden="1" thickBot="1" x14ac:dyDescent="0.3">
      <c r="A6332" s="262"/>
      <c r="B6332" s="266"/>
      <c r="C6332" s="40" t="s">
        <v>4684</v>
      </c>
      <c r="D6332" s="40" t="s">
        <v>177</v>
      </c>
      <c r="E6332" s="75">
        <v>2.56</v>
      </c>
      <c r="F6332" s="35">
        <v>125.61390200000001</v>
      </c>
      <c r="G6332" s="59">
        <f t="shared" si="120"/>
        <v>321.57158912000006</v>
      </c>
      <c r="H6332" s="47"/>
      <c r="I6332" s="44"/>
      <c r="J6332" s="34">
        <v>0</v>
      </c>
    </row>
    <row r="6333" spans="1:10" ht="39" hidden="1" thickBot="1" x14ac:dyDescent="0.3">
      <c r="A6333" s="262"/>
      <c r="B6333" s="266"/>
      <c r="C6333" s="40" t="s">
        <v>4679</v>
      </c>
      <c r="D6333" s="40" t="s">
        <v>3764</v>
      </c>
      <c r="E6333" s="75">
        <v>3.3000000000000002E-2</v>
      </c>
      <c r="F6333" s="35">
        <v>934.3795233262498</v>
      </c>
      <c r="G6333" s="59">
        <f t="shared" si="120"/>
        <v>30.834524269766245</v>
      </c>
      <c r="H6333" s="47"/>
      <c r="I6333" s="44"/>
      <c r="J6333" s="34">
        <v>0</v>
      </c>
    </row>
    <row r="6334" spans="1:10" ht="15.75" hidden="1" thickBot="1" x14ac:dyDescent="0.3">
      <c r="A6334" s="262"/>
      <c r="B6334" s="266"/>
      <c r="C6334" s="40" t="s">
        <v>3757</v>
      </c>
      <c r="D6334" s="40" t="s">
        <v>3752</v>
      </c>
      <c r="E6334" s="75">
        <v>0.25</v>
      </c>
      <c r="F6334" s="35">
        <v>28.0535</v>
      </c>
      <c r="G6334" s="59">
        <f t="shared" si="120"/>
        <v>7.0133749999999999</v>
      </c>
      <c r="H6334" s="47"/>
      <c r="I6334" s="44"/>
      <c r="J6334" s="34">
        <v>0</v>
      </c>
    </row>
    <row r="6335" spans="1:10" ht="15.75" hidden="1" thickBot="1" x14ac:dyDescent="0.3">
      <c r="A6335" s="262"/>
      <c r="B6335" s="266"/>
      <c r="C6335" s="40" t="s">
        <v>3754</v>
      </c>
      <c r="D6335" s="40" t="s">
        <v>3752</v>
      </c>
      <c r="E6335" s="75">
        <v>0.5</v>
      </c>
      <c r="F6335" s="35">
        <v>20.814499999999999</v>
      </c>
      <c r="G6335" s="59">
        <f t="shared" si="120"/>
        <v>10.407249999999999</v>
      </c>
      <c r="H6335" s="47"/>
      <c r="I6335" s="44"/>
      <c r="J6335" s="34">
        <v>0</v>
      </c>
    </row>
    <row r="6336" spans="1:10" ht="15.75" hidden="1" thickBot="1" x14ac:dyDescent="0.3">
      <c r="A6336" s="262"/>
      <c r="B6336" s="266"/>
      <c r="C6336" s="40" t="s">
        <v>1515</v>
      </c>
      <c r="D6336" s="99" t="s">
        <v>28</v>
      </c>
      <c r="E6336" s="75">
        <v>1.7</v>
      </c>
      <c r="F6336" s="35">
        <v>0</v>
      </c>
      <c r="G6336" s="59">
        <f t="shared" si="120"/>
        <v>0</v>
      </c>
      <c r="H6336" s="47"/>
      <c r="I6336" s="44"/>
      <c r="J6336" s="34">
        <v>0</v>
      </c>
    </row>
    <row r="6337" spans="1:10" ht="15.75" hidden="1" thickBot="1" x14ac:dyDescent="0.3">
      <c r="A6337" s="263"/>
      <c r="B6337" s="253"/>
      <c r="C6337" s="40"/>
      <c r="D6337" s="99"/>
      <c r="E6337" s="75"/>
      <c r="F6337" s="35" t="s">
        <v>23</v>
      </c>
      <c r="G6337" s="59"/>
      <c r="H6337" s="47"/>
      <c r="I6337" s="44"/>
      <c r="J6337" s="34">
        <v>0</v>
      </c>
    </row>
    <row r="6338" spans="1:10" ht="15.75" hidden="1" thickBot="1" x14ac:dyDescent="0.3">
      <c r="A6338" s="248" t="s">
        <v>1516</v>
      </c>
      <c r="B6338" s="251" t="s">
        <v>3292</v>
      </c>
      <c r="C6338" s="28"/>
      <c r="D6338" s="29" t="s">
        <v>28</v>
      </c>
      <c r="E6338" s="30"/>
      <c r="F6338" s="51" t="s">
        <v>23</v>
      </c>
      <c r="G6338" s="31" t="str">
        <f t="shared" ref="G6338:G6345" si="121">IF(ISNUMBER(F6338),E6338*F6338,"")</f>
        <v/>
      </c>
      <c r="H6338" s="32"/>
      <c r="I6338" s="33"/>
      <c r="J6338" s="34">
        <v>0</v>
      </c>
    </row>
    <row r="6339" spans="1:10" ht="15.75" hidden="1" thickBot="1" x14ac:dyDescent="0.3">
      <c r="A6339" s="262"/>
      <c r="B6339" s="266"/>
      <c r="C6339" s="76"/>
      <c r="D6339" s="76"/>
      <c r="E6339" s="77"/>
      <c r="F6339" s="59" t="s">
        <v>23</v>
      </c>
      <c r="G6339" s="59" t="str">
        <f t="shared" si="121"/>
        <v/>
      </c>
      <c r="H6339" s="62"/>
      <c r="I6339" s="63"/>
      <c r="J6339" s="34">
        <v>0</v>
      </c>
    </row>
    <row r="6340" spans="1:10" ht="15.75" hidden="1" thickBot="1" x14ac:dyDescent="0.3">
      <c r="A6340" s="262"/>
      <c r="B6340" s="266"/>
      <c r="C6340" s="40" t="s">
        <v>3754</v>
      </c>
      <c r="D6340" s="40" t="s">
        <v>3752</v>
      </c>
      <c r="E6340" s="75">
        <v>1.5444</v>
      </c>
      <c r="F6340" s="35">
        <v>20.814499999999999</v>
      </c>
      <c r="G6340" s="59">
        <f t="shared" si="121"/>
        <v>32.145913799999995</v>
      </c>
      <c r="H6340" s="43">
        <f>SUM(G6340:G6345)</f>
        <v>140.22772729999997</v>
      </c>
      <c r="I6340" s="44"/>
      <c r="J6340" s="34">
        <v>0</v>
      </c>
    </row>
    <row r="6341" spans="1:10" ht="15.75" hidden="1" thickBot="1" x14ac:dyDescent="0.3">
      <c r="A6341" s="262"/>
      <c r="B6341" s="266"/>
      <c r="C6341" s="40" t="s">
        <v>4047</v>
      </c>
      <c r="D6341" s="40" t="s">
        <v>3752</v>
      </c>
      <c r="E6341" s="75">
        <v>1.5444</v>
      </c>
      <c r="F6341" s="35">
        <v>22.011500000000002</v>
      </c>
      <c r="G6341" s="59">
        <f t="shared" si="121"/>
        <v>33.9945606</v>
      </c>
      <c r="H6341" s="47"/>
      <c r="I6341" s="44"/>
      <c r="J6341" s="34">
        <v>0</v>
      </c>
    </row>
    <row r="6342" spans="1:10" ht="51.75" hidden="1" thickBot="1" x14ac:dyDescent="0.3">
      <c r="A6342" s="262"/>
      <c r="B6342" s="266"/>
      <c r="C6342" s="40" t="s">
        <v>4044</v>
      </c>
      <c r="D6342" s="40" t="s">
        <v>1041</v>
      </c>
      <c r="E6342" s="75">
        <v>0.1333</v>
      </c>
      <c r="F6342" s="35">
        <v>123.91799999999999</v>
      </c>
      <c r="G6342" s="59">
        <f t="shared" si="121"/>
        <v>16.518269399999998</v>
      </c>
      <c r="H6342" s="47"/>
      <c r="I6342" s="44"/>
      <c r="J6342" s="34">
        <v>0</v>
      </c>
    </row>
    <row r="6343" spans="1:10" ht="51.75" hidden="1" thickBot="1" x14ac:dyDescent="0.3">
      <c r="A6343" s="262"/>
      <c r="B6343" s="266"/>
      <c r="C6343" s="40" t="s">
        <v>4045</v>
      </c>
      <c r="D6343" s="40" t="s">
        <v>1052</v>
      </c>
      <c r="E6343" s="75">
        <v>0.54459999999999997</v>
      </c>
      <c r="F6343" s="35">
        <v>52.392499999999998</v>
      </c>
      <c r="G6343" s="59">
        <f t="shared" si="121"/>
        <v>28.532955499999996</v>
      </c>
      <c r="H6343" s="47"/>
      <c r="I6343" s="44"/>
      <c r="J6343" s="34">
        <v>0</v>
      </c>
    </row>
    <row r="6344" spans="1:10" ht="15.75" hidden="1" thickBot="1" x14ac:dyDescent="0.3">
      <c r="A6344" s="262"/>
      <c r="B6344" s="266"/>
      <c r="C6344" s="40" t="s">
        <v>3754</v>
      </c>
      <c r="D6344" s="40" t="s">
        <v>3752</v>
      </c>
      <c r="E6344" s="75">
        <v>0.67800000000000005</v>
      </c>
      <c r="F6344" s="35">
        <v>20.814499999999999</v>
      </c>
      <c r="G6344" s="59">
        <f t="shared" si="121"/>
        <v>14.112231</v>
      </c>
      <c r="H6344" s="47"/>
      <c r="I6344" s="44"/>
      <c r="J6344" s="34">
        <v>0</v>
      </c>
    </row>
    <row r="6345" spans="1:10" ht="15.75" hidden="1" thickBot="1" x14ac:dyDescent="0.3">
      <c r="A6345" s="262"/>
      <c r="B6345" s="266"/>
      <c r="C6345" s="40" t="s">
        <v>4047</v>
      </c>
      <c r="D6345" s="40" t="s">
        <v>3752</v>
      </c>
      <c r="E6345" s="75">
        <v>0.67800000000000005</v>
      </c>
      <c r="F6345" s="35">
        <v>22.011500000000002</v>
      </c>
      <c r="G6345" s="59">
        <f t="shared" si="121"/>
        <v>14.923797000000002</v>
      </c>
      <c r="H6345" s="47"/>
      <c r="I6345" s="44"/>
      <c r="J6345" s="34">
        <v>0</v>
      </c>
    </row>
    <row r="6346" spans="1:10" ht="15.75" hidden="1" thickBot="1" x14ac:dyDescent="0.3">
      <c r="A6346" s="263"/>
      <c r="B6346" s="253"/>
      <c r="C6346" s="40"/>
      <c r="D6346" s="99"/>
      <c r="E6346" s="75"/>
      <c r="F6346" s="35" t="s">
        <v>23</v>
      </c>
      <c r="G6346" s="59"/>
      <c r="H6346" s="47"/>
      <c r="I6346" s="44"/>
      <c r="J6346" s="34">
        <v>0</v>
      </c>
    </row>
    <row r="6347" spans="1:10" ht="15.75" hidden="1" thickBot="1" x14ac:dyDescent="0.3">
      <c r="A6347" s="248" t="s">
        <v>1517</v>
      </c>
      <c r="B6347" s="251" t="s">
        <v>3293</v>
      </c>
      <c r="C6347" s="28"/>
      <c r="D6347" s="29" t="s">
        <v>78</v>
      </c>
      <c r="E6347" s="30"/>
      <c r="F6347" s="51" t="s">
        <v>23</v>
      </c>
      <c r="G6347" s="31" t="str">
        <f>IF(ISNUMBER(F6347),E6347*F6347,"")</f>
        <v/>
      </c>
      <c r="H6347" s="32"/>
      <c r="I6347" s="33"/>
      <c r="J6347" s="34">
        <v>0</v>
      </c>
    </row>
    <row r="6348" spans="1:10" ht="15.75" hidden="1" thickBot="1" x14ac:dyDescent="0.3">
      <c r="A6348" s="262"/>
      <c r="B6348" s="266"/>
      <c r="C6348" s="76"/>
      <c r="D6348" s="76"/>
      <c r="E6348" s="77"/>
      <c r="F6348" s="59" t="s">
        <v>23</v>
      </c>
      <c r="G6348" s="59" t="str">
        <f>IF(ISNUMBER(F6348),E6348*F6348,"")</f>
        <v/>
      </c>
      <c r="H6348" s="62"/>
      <c r="I6348" s="63"/>
      <c r="J6348" s="34">
        <v>0</v>
      </c>
    </row>
    <row r="6349" spans="1:10" ht="15.75" hidden="1" thickBot="1" x14ac:dyDescent="0.3">
      <c r="A6349" s="262"/>
      <c r="B6349" s="266"/>
      <c r="C6349" s="40" t="s">
        <v>3754</v>
      </c>
      <c r="D6349" s="40" t="s">
        <v>3752</v>
      </c>
      <c r="E6349" s="75">
        <v>9.7100000000000006E-2</v>
      </c>
      <c r="F6349" s="35">
        <v>20.814499999999999</v>
      </c>
      <c r="G6349" s="59">
        <f>IF(ISNUMBER(F6349),E6349*F6349,"")</f>
        <v>2.0210879500000001</v>
      </c>
      <c r="H6349" s="43">
        <f>SUM(G6349:G6350)</f>
        <v>3.3768956499999998</v>
      </c>
      <c r="I6349" s="44"/>
      <c r="J6349" s="34">
        <v>0</v>
      </c>
    </row>
    <row r="6350" spans="1:10" ht="15.75" hidden="1" thickBot="1" x14ac:dyDescent="0.3">
      <c r="A6350" s="262"/>
      <c r="B6350" s="266"/>
      <c r="C6350" s="40" t="s">
        <v>3816</v>
      </c>
      <c r="D6350" s="40" t="s">
        <v>3752</v>
      </c>
      <c r="E6350" s="75">
        <v>4.9399999999999999E-2</v>
      </c>
      <c r="F6350" s="35">
        <v>27.445499999999999</v>
      </c>
      <c r="G6350" s="59">
        <f>IF(ISNUMBER(F6350),E6350*F6350,"")</f>
        <v>1.3558076999999999</v>
      </c>
      <c r="H6350" s="47"/>
      <c r="I6350" s="44"/>
      <c r="J6350" s="34">
        <v>0</v>
      </c>
    </row>
    <row r="6351" spans="1:10" ht="15.75" hidden="1" thickBot="1" x14ac:dyDescent="0.3">
      <c r="A6351" s="263"/>
      <c r="B6351" s="253"/>
      <c r="C6351" s="40"/>
      <c r="D6351" s="99"/>
      <c r="E6351" s="75"/>
      <c r="F6351" s="35" t="s">
        <v>23</v>
      </c>
      <c r="G6351" s="59"/>
      <c r="H6351" s="47"/>
      <c r="I6351" s="44"/>
      <c r="J6351" s="34">
        <v>0</v>
      </c>
    </row>
    <row r="6352" spans="1:10" ht="15.75" hidden="1" thickBot="1" x14ac:dyDescent="0.3">
      <c r="A6352" s="248" t="s">
        <v>1518</v>
      </c>
      <c r="B6352" s="251" t="s">
        <v>3294</v>
      </c>
      <c r="C6352" s="28"/>
      <c r="D6352" s="29" t="s">
        <v>121</v>
      </c>
      <c r="E6352" s="30"/>
      <c r="F6352" s="51" t="s">
        <v>23</v>
      </c>
      <c r="G6352" s="31" t="str">
        <f t="shared" ref="G6352:G6364" si="122">IF(ISNUMBER(F6352),E6352*F6352,"")</f>
        <v/>
      </c>
      <c r="H6352" s="32"/>
      <c r="I6352" s="33"/>
      <c r="J6352" s="34">
        <v>0</v>
      </c>
    </row>
    <row r="6353" spans="1:10" ht="15.75" hidden="1" thickBot="1" x14ac:dyDescent="0.3">
      <c r="A6353" s="262"/>
      <c r="B6353" s="266"/>
      <c r="C6353" s="76"/>
      <c r="D6353" s="76"/>
      <c r="E6353" s="77"/>
      <c r="F6353" s="59" t="s">
        <v>23</v>
      </c>
      <c r="G6353" s="59" t="str">
        <f t="shared" si="122"/>
        <v/>
      </c>
      <c r="H6353" s="62"/>
      <c r="I6353" s="63"/>
      <c r="J6353" s="34">
        <v>0</v>
      </c>
    </row>
    <row r="6354" spans="1:10" ht="26.25" hidden="1" thickBot="1" x14ac:dyDescent="0.3">
      <c r="A6354" s="262"/>
      <c r="B6354" s="266"/>
      <c r="C6354" s="40" t="s">
        <v>4338</v>
      </c>
      <c r="D6354" s="40" t="s">
        <v>1286</v>
      </c>
      <c r="E6354" s="75">
        <v>0.74450000000000005</v>
      </c>
      <c r="F6354" s="35">
        <v>8.6259999999999994</v>
      </c>
      <c r="G6354" s="59">
        <f t="shared" si="122"/>
        <v>6.4220569999999997</v>
      </c>
      <c r="H6354" s="43">
        <f>SUM(G6354:G6364)</f>
        <v>61.807465789267866</v>
      </c>
      <c r="I6354" s="44"/>
      <c r="J6354" s="34">
        <v>0</v>
      </c>
    </row>
    <row r="6355" spans="1:10" ht="26.25" hidden="1" thickBot="1" x14ac:dyDescent="0.3">
      <c r="A6355" s="262"/>
      <c r="B6355" s="266"/>
      <c r="C6355" s="40" t="s">
        <v>3982</v>
      </c>
      <c r="D6355" s="40" t="s">
        <v>1286</v>
      </c>
      <c r="E6355" s="75">
        <v>0.41249999999999998</v>
      </c>
      <c r="F6355" s="35">
        <v>31.026999999999994</v>
      </c>
      <c r="G6355" s="59">
        <f t="shared" si="122"/>
        <v>12.798637499999996</v>
      </c>
      <c r="H6355" s="47"/>
      <c r="I6355" s="44"/>
      <c r="J6355" s="34">
        <v>0</v>
      </c>
    </row>
    <row r="6356" spans="1:10" ht="15.75" hidden="1" thickBot="1" x14ac:dyDescent="0.3">
      <c r="A6356" s="262"/>
      <c r="B6356" s="266"/>
      <c r="C6356" s="40" t="s">
        <v>4155</v>
      </c>
      <c r="D6356" s="40" t="s">
        <v>1035</v>
      </c>
      <c r="E6356" s="75">
        <v>0.111</v>
      </c>
      <c r="F6356" s="35">
        <v>20.776499999999999</v>
      </c>
      <c r="G6356" s="59">
        <f t="shared" si="122"/>
        <v>2.3061914999999997</v>
      </c>
      <c r="H6356" s="47"/>
      <c r="I6356" s="44"/>
      <c r="J6356" s="34">
        <v>0</v>
      </c>
    </row>
    <row r="6357" spans="1:10" ht="15.75" hidden="1" thickBot="1" x14ac:dyDescent="0.3">
      <c r="A6357" s="262"/>
      <c r="B6357" s="266"/>
      <c r="C6357" s="40" t="s">
        <v>3755</v>
      </c>
      <c r="D6357" s="40" t="s">
        <v>80</v>
      </c>
      <c r="E6357" s="75">
        <v>2.5600000000000001E-2</v>
      </c>
      <c r="F6357" s="35">
        <v>27.663999999999998</v>
      </c>
      <c r="G6357" s="59">
        <f t="shared" si="122"/>
        <v>0.70819840000000001</v>
      </c>
      <c r="H6357" s="47"/>
      <c r="I6357" s="44"/>
      <c r="J6357" s="34">
        <v>0</v>
      </c>
    </row>
    <row r="6358" spans="1:10" ht="26.25" hidden="1" thickBot="1" x14ac:dyDescent="0.3">
      <c r="A6358" s="262"/>
      <c r="B6358" s="266"/>
      <c r="C6358" s="40" t="s">
        <v>4339</v>
      </c>
      <c r="D6358" s="40" t="s">
        <v>1286</v>
      </c>
      <c r="E6358" s="75">
        <v>0.55000000000000004</v>
      </c>
      <c r="F6358" s="35">
        <v>8.7399999999999984</v>
      </c>
      <c r="G6358" s="59">
        <f t="shared" si="122"/>
        <v>4.8069999999999995</v>
      </c>
      <c r="H6358" s="47"/>
      <c r="I6358" s="44"/>
      <c r="J6358" s="34">
        <v>0</v>
      </c>
    </row>
    <row r="6359" spans="1:10" ht="15.75" hidden="1" thickBot="1" x14ac:dyDescent="0.3">
      <c r="A6359" s="262"/>
      <c r="B6359" s="266"/>
      <c r="C6359" s="40" t="s">
        <v>4111</v>
      </c>
      <c r="D6359" s="40" t="s">
        <v>3752</v>
      </c>
      <c r="E6359" s="75">
        <v>0.35630000000000001</v>
      </c>
      <c r="F6359" s="35">
        <v>21.983000000000001</v>
      </c>
      <c r="G6359" s="59">
        <f t="shared" si="122"/>
        <v>7.8325429</v>
      </c>
      <c r="H6359" s="47"/>
      <c r="I6359" s="44"/>
      <c r="J6359" s="34">
        <v>0</v>
      </c>
    </row>
    <row r="6360" spans="1:10" ht="15.75" hidden="1" thickBot="1" x14ac:dyDescent="0.3">
      <c r="A6360" s="262"/>
      <c r="B6360" s="266"/>
      <c r="C6360" s="40" t="s">
        <v>3823</v>
      </c>
      <c r="D6360" s="40" t="s">
        <v>3752</v>
      </c>
      <c r="E6360" s="75">
        <v>0.71250000000000002</v>
      </c>
      <c r="F6360" s="35">
        <v>27.683</v>
      </c>
      <c r="G6360" s="59">
        <f t="shared" si="122"/>
        <v>19.724137500000001</v>
      </c>
      <c r="H6360" s="47"/>
      <c r="I6360" s="44"/>
      <c r="J6360" s="34">
        <v>0</v>
      </c>
    </row>
    <row r="6361" spans="1:10" ht="26.25" hidden="1" thickBot="1" x14ac:dyDescent="0.3">
      <c r="A6361" s="262"/>
      <c r="B6361" s="266"/>
      <c r="C6361" s="40" t="s">
        <v>4168</v>
      </c>
      <c r="D6361" s="40" t="s">
        <v>1041</v>
      </c>
      <c r="E6361" s="75">
        <v>3.8999999999999998E-3</v>
      </c>
      <c r="F6361" s="35">
        <v>22.895</v>
      </c>
      <c r="G6361" s="59">
        <f t="shared" si="122"/>
        <v>8.9290499999999995E-2</v>
      </c>
      <c r="H6361" s="47"/>
      <c r="I6361" s="44"/>
      <c r="J6361" s="34">
        <v>0</v>
      </c>
    </row>
    <row r="6362" spans="1:10" ht="26.25" hidden="1" thickBot="1" x14ac:dyDescent="0.3">
      <c r="A6362" s="262"/>
      <c r="B6362" s="266"/>
      <c r="C6362" s="40" t="s">
        <v>4120</v>
      </c>
      <c r="D6362" s="40" t="s">
        <v>1052</v>
      </c>
      <c r="E6362" s="75">
        <v>1.6799999999999999E-2</v>
      </c>
      <c r="F6362" s="35">
        <v>21.973499999999998</v>
      </c>
      <c r="G6362" s="59">
        <f t="shared" si="122"/>
        <v>0.36915479999999995</v>
      </c>
      <c r="H6362" s="47"/>
      <c r="I6362" s="44"/>
      <c r="J6362" s="34">
        <v>0</v>
      </c>
    </row>
    <row r="6363" spans="1:10" ht="39" hidden="1" thickBot="1" x14ac:dyDescent="0.3">
      <c r="A6363" s="262"/>
      <c r="B6363" s="266"/>
      <c r="C6363" s="40" t="s">
        <v>4707</v>
      </c>
      <c r="D6363" s="40" t="s">
        <v>3764</v>
      </c>
      <c r="E6363" s="75">
        <v>4.5999999999999999E-3</v>
      </c>
      <c r="F6363" s="35">
        <v>630.62803027562495</v>
      </c>
      <c r="G6363" s="59">
        <f t="shared" si="122"/>
        <v>2.9008889392678747</v>
      </c>
      <c r="H6363" s="47"/>
      <c r="I6363" s="44"/>
      <c r="J6363" s="34">
        <v>0</v>
      </c>
    </row>
    <row r="6364" spans="1:10" ht="15.75" hidden="1" thickBot="1" x14ac:dyDescent="0.3">
      <c r="A6364" s="262"/>
      <c r="B6364" s="266"/>
      <c r="C6364" s="40" t="s">
        <v>4747</v>
      </c>
      <c r="D6364" s="40" t="s">
        <v>291</v>
      </c>
      <c r="E6364" s="75">
        <v>1.5</v>
      </c>
      <c r="F6364" s="35">
        <v>2.5662445000000003</v>
      </c>
      <c r="G6364" s="59">
        <f t="shared" si="122"/>
        <v>3.8493667500000006</v>
      </c>
      <c r="H6364" s="47"/>
      <c r="I6364" s="44"/>
      <c r="J6364" s="34">
        <v>0</v>
      </c>
    </row>
    <row r="6365" spans="1:10" ht="15.75" hidden="1" thickBot="1" x14ac:dyDescent="0.3">
      <c r="A6365" s="263"/>
      <c r="B6365" s="253"/>
      <c r="C6365" s="40"/>
      <c r="D6365" s="99"/>
      <c r="E6365" s="75"/>
      <c r="F6365" s="35" t="s">
        <v>23</v>
      </c>
      <c r="G6365" s="59"/>
      <c r="H6365" s="47"/>
      <c r="I6365" s="44"/>
      <c r="J6365" s="34">
        <v>0</v>
      </c>
    </row>
    <row r="6366" spans="1:10" ht="15.75" hidden="1" thickBot="1" x14ac:dyDescent="0.3">
      <c r="A6366" s="248" t="s">
        <v>1519</v>
      </c>
      <c r="B6366" s="259" t="s">
        <v>3295</v>
      </c>
      <c r="C6366" s="28"/>
      <c r="D6366" s="29" t="s">
        <v>28</v>
      </c>
      <c r="E6366" s="30"/>
      <c r="F6366" s="51" t="s">
        <v>23</v>
      </c>
      <c r="G6366" s="31" t="str">
        <f t="shared" ref="G6366:G6377" si="123">IF(ISNUMBER(F6366),E6366*F6366,"")</f>
        <v/>
      </c>
      <c r="H6366" s="32"/>
      <c r="I6366" s="33"/>
      <c r="J6366" s="34">
        <v>0</v>
      </c>
    </row>
    <row r="6367" spans="1:10" ht="15.75" hidden="1" thickBot="1" x14ac:dyDescent="0.3">
      <c r="A6367" s="262"/>
      <c r="B6367" s="267"/>
      <c r="C6367" s="76"/>
      <c r="D6367" s="76"/>
      <c r="E6367" s="77"/>
      <c r="F6367" s="59" t="s">
        <v>23</v>
      </c>
      <c r="G6367" s="59" t="str">
        <f t="shared" si="123"/>
        <v/>
      </c>
      <c r="H6367" s="62"/>
      <c r="I6367" s="63"/>
      <c r="J6367" s="34">
        <v>0</v>
      </c>
    </row>
    <row r="6368" spans="1:10" ht="26.25" hidden="1" thickBot="1" x14ac:dyDescent="0.3">
      <c r="A6368" s="262"/>
      <c r="B6368" s="267"/>
      <c r="C6368" s="40" t="s">
        <v>1520</v>
      </c>
      <c r="D6368" s="99" t="s">
        <v>291</v>
      </c>
      <c r="E6368" s="75">
        <v>4</v>
      </c>
      <c r="F6368" s="35">
        <v>0</v>
      </c>
      <c r="G6368" s="59">
        <f t="shared" si="123"/>
        <v>0</v>
      </c>
      <c r="H6368" s="43">
        <f>SUM(G6368:G6377)</f>
        <v>440.60780577699995</v>
      </c>
      <c r="I6368" s="44"/>
      <c r="J6368" s="34">
        <v>0</v>
      </c>
    </row>
    <row r="6369" spans="1:10" ht="15.75" hidden="1" thickBot="1" x14ac:dyDescent="0.3">
      <c r="A6369" s="262"/>
      <c r="B6369" s="267"/>
      <c r="C6369" s="40" t="s">
        <v>3757</v>
      </c>
      <c r="D6369" s="40" t="s">
        <v>3752</v>
      </c>
      <c r="E6369" s="75">
        <v>0.4</v>
      </c>
      <c r="F6369" s="35">
        <v>28.0535</v>
      </c>
      <c r="G6369" s="59">
        <f t="shared" si="123"/>
        <v>11.221400000000001</v>
      </c>
      <c r="H6369" s="47"/>
      <c r="I6369" s="44"/>
      <c r="J6369" s="34">
        <v>0</v>
      </c>
    </row>
    <row r="6370" spans="1:10" ht="15.75" hidden="1" thickBot="1" x14ac:dyDescent="0.3">
      <c r="A6370" s="262"/>
      <c r="B6370" s="267"/>
      <c r="C6370" s="40" t="s">
        <v>3968</v>
      </c>
      <c r="D6370" s="40" t="s">
        <v>3752</v>
      </c>
      <c r="E6370" s="75">
        <v>1.5</v>
      </c>
      <c r="F6370" s="35">
        <v>27.853999999999999</v>
      </c>
      <c r="G6370" s="59">
        <f t="shared" si="123"/>
        <v>41.780999999999999</v>
      </c>
      <c r="H6370" s="47"/>
      <c r="I6370" s="44"/>
      <c r="J6370" s="34">
        <v>0</v>
      </c>
    </row>
    <row r="6371" spans="1:10" ht="15.75" hidden="1" thickBot="1" x14ac:dyDescent="0.3">
      <c r="A6371" s="262"/>
      <c r="B6371" s="267"/>
      <c r="C6371" s="40" t="s">
        <v>3754</v>
      </c>
      <c r="D6371" s="40" t="s">
        <v>3752</v>
      </c>
      <c r="E6371" s="75">
        <v>0.4</v>
      </c>
      <c r="F6371" s="35">
        <v>20.814499999999999</v>
      </c>
      <c r="G6371" s="59">
        <f t="shared" si="123"/>
        <v>8.3257999999999992</v>
      </c>
      <c r="H6371" s="47"/>
      <c r="I6371" s="44"/>
      <c r="J6371" s="34">
        <v>0</v>
      </c>
    </row>
    <row r="6372" spans="1:10" ht="15.75" hidden="1" thickBot="1" x14ac:dyDescent="0.3">
      <c r="A6372" s="262"/>
      <c r="B6372" s="267"/>
      <c r="C6372" s="40" t="s">
        <v>4083</v>
      </c>
      <c r="D6372" s="40" t="s">
        <v>1035</v>
      </c>
      <c r="E6372" s="75">
        <f>0.023*74.69</f>
        <v>1.71787</v>
      </c>
      <c r="F6372" s="35">
        <v>10.307499999999999</v>
      </c>
      <c r="G6372" s="59">
        <f t="shared" si="123"/>
        <v>17.706945025</v>
      </c>
      <c r="H6372" s="47"/>
      <c r="I6372" s="44"/>
      <c r="J6372" s="34">
        <v>0</v>
      </c>
    </row>
    <row r="6373" spans="1:10" ht="26.25" hidden="1" thickBot="1" x14ac:dyDescent="0.3">
      <c r="A6373" s="262"/>
      <c r="B6373" s="267"/>
      <c r="C6373" s="40" t="s">
        <v>4340</v>
      </c>
      <c r="D6373" s="40" t="s">
        <v>1286</v>
      </c>
      <c r="E6373" s="75">
        <v>3.05</v>
      </c>
      <c r="F6373" s="35">
        <v>110.85549999999999</v>
      </c>
      <c r="G6373" s="59">
        <f t="shared" si="123"/>
        <v>338.10927499999997</v>
      </c>
      <c r="H6373" s="47"/>
      <c r="I6373" s="44"/>
      <c r="J6373" s="34">
        <v>0</v>
      </c>
    </row>
    <row r="6374" spans="1:10" ht="26.25" hidden="1" thickBot="1" x14ac:dyDescent="0.3">
      <c r="A6374" s="262"/>
      <c r="B6374" s="267"/>
      <c r="C6374" s="40" t="s">
        <v>4035</v>
      </c>
      <c r="D6374" s="40" t="s">
        <v>291</v>
      </c>
      <c r="E6374" s="75">
        <v>4</v>
      </c>
      <c r="F6374" s="35">
        <v>2.4224999999999999</v>
      </c>
      <c r="G6374" s="59">
        <f t="shared" si="123"/>
        <v>9.69</v>
      </c>
      <c r="H6374" s="47"/>
      <c r="I6374" s="44"/>
      <c r="J6374" s="34">
        <v>0</v>
      </c>
    </row>
    <row r="6375" spans="1:10" ht="15.75" hidden="1" thickBot="1" x14ac:dyDescent="0.3">
      <c r="A6375" s="262"/>
      <c r="B6375" s="267"/>
      <c r="C6375" s="40" t="s">
        <v>3961</v>
      </c>
      <c r="D6375" s="40" t="s">
        <v>1035</v>
      </c>
      <c r="E6375" s="75">
        <v>0.02</v>
      </c>
      <c r="F6375" s="35">
        <v>184.92699999999999</v>
      </c>
      <c r="G6375" s="59">
        <f t="shared" si="123"/>
        <v>3.6985399999999999</v>
      </c>
      <c r="H6375" s="47"/>
      <c r="I6375" s="44"/>
      <c r="J6375" s="34">
        <v>0</v>
      </c>
    </row>
    <row r="6376" spans="1:10" ht="15.75" hidden="1" thickBot="1" x14ac:dyDescent="0.3">
      <c r="A6376" s="262"/>
      <c r="B6376" s="267"/>
      <c r="C6376" s="40" t="s">
        <v>3753</v>
      </c>
      <c r="D6376" s="40" t="s">
        <v>3752</v>
      </c>
      <c r="E6376" s="41">
        <f>0.5708*0.48</f>
        <v>0.27398399999999995</v>
      </c>
      <c r="F6376" s="35">
        <v>29.202999999999996</v>
      </c>
      <c r="G6376" s="59">
        <f t="shared" si="123"/>
        <v>8.0011547519999979</v>
      </c>
      <c r="H6376" s="47"/>
      <c r="I6376" s="44"/>
      <c r="J6376" s="34">
        <v>0</v>
      </c>
    </row>
    <row r="6377" spans="1:10" ht="15.75" hidden="1" thickBot="1" x14ac:dyDescent="0.3">
      <c r="A6377" s="262"/>
      <c r="B6377" s="267"/>
      <c r="C6377" s="40" t="s">
        <v>141</v>
      </c>
      <c r="D6377" s="58" t="s">
        <v>80</v>
      </c>
      <c r="E6377" s="41">
        <f>ROUND(0.48*3*3.6/75,4)</f>
        <v>6.9099999999999995E-2</v>
      </c>
      <c r="F6377" s="35">
        <v>30.01</v>
      </c>
      <c r="G6377" s="59">
        <f t="shared" si="123"/>
        <v>2.0736909999999997</v>
      </c>
      <c r="H6377" s="47"/>
      <c r="I6377" s="44"/>
      <c r="J6377" s="34">
        <v>0</v>
      </c>
    </row>
    <row r="6378" spans="1:10" ht="15.75" hidden="1" thickBot="1" x14ac:dyDescent="0.3">
      <c r="A6378" s="262"/>
      <c r="B6378" s="267"/>
      <c r="C6378" s="40"/>
      <c r="D6378" s="99"/>
      <c r="E6378" s="75"/>
      <c r="F6378" s="35" t="s">
        <v>23</v>
      </c>
      <c r="G6378" s="59"/>
      <c r="H6378" s="47"/>
      <c r="I6378" s="44"/>
      <c r="J6378" s="34">
        <v>0</v>
      </c>
    </row>
    <row r="6379" spans="1:10" ht="39" hidden="1" thickBot="1" x14ac:dyDescent="0.3">
      <c r="A6379" s="262"/>
      <c r="B6379" s="267"/>
      <c r="C6379" s="54" t="s">
        <v>142</v>
      </c>
      <c r="D6379" s="99"/>
      <c r="E6379" s="75"/>
      <c r="F6379" s="35" t="s">
        <v>23</v>
      </c>
      <c r="G6379" s="59"/>
      <c r="H6379" s="47"/>
      <c r="I6379" s="44"/>
      <c r="J6379" s="34">
        <v>0</v>
      </c>
    </row>
    <row r="6380" spans="1:10" ht="15.75" hidden="1" thickBot="1" x14ac:dyDescent="0.3">
      <c r="A6380" s="263"/>
      <c r="B6380" s="261"/>
      <c r="C6380" s="40"/>
      <c r="D6380" s="99"/>
      <c r="E6380" s="75"/>
      <c r="F6380" s="35" t="s">
        <v>23</v>
      </c>
      <c r="G6380" s="59"/>
      <c r="H6380" s="47"/>
      <c r="I6380" s="44"/>
      <c r="J6380" s="34">
        <v>0</v>
      </c>
    </row>
    <row r="6381" spans="1:10" ht="15.75" hidden="1" thickBot="1" x14ac:dyDescent="0.3">
      <c r="A6381" s="248" t="s">
        <v>1521</v>
      </c>
      <c r="B6381" s="251" t="s">
        <v>3296</v>
      </c>
      <c r="C6381" s="28"/>
      <c r="D6381" s="29" t="s">
        <v>28</v>
      </c>
      <c r="E6381" s="30"/>
      <c r="F6381" s="45" t="s">
        <v>23</v>
      </c>
      <c r="G6381" s="31" t="str">
        <f t="shared" ref="G6381:G6444" si="124">IF(ISNUMBER(F6381),E6381*F6381,"")</f>
        <v/>
      </c>
      <c r="H6381" s="32"/>
      <c r="I6381" s="33"/>
      <c r="J6381" s="34">
        <v>0</v>
      </c>
    </row>
    <row r="6382" spans="1:10" ht="15.75" hidden="1" thickBot="1" x14ac:dyDescent="0.3">
      <c r="A6382" s="249"/>
      <c r="B6382" s="266"/>
      <c r="C6382" s="36"/>
      <c r="D6382" s="36"/>
      <c r="E6382" s="37"/>
      <c r="F6382" s="46" t="s">
        <v>23</v>
      </c>
      <c r="G6382" s="35" t="str">
        <f t="shared" si="124"/>
        <v/>
      </c>
      <c r="H6382" s="39"/>
      <c r="I6382" s="35"/>
      <c r="J6382" s="34">
        <v>0</v>
      </c>
    </row>
    <row r="6383" spans="1:10" ht="26.25" hidden="1" thickBot="1" x14ac:dyDescent="0.3">
      <c r="A6383" s="249"/>
      <c r="B6383" s="266"/>
      <c r="C6383" s="40" t="s">
        <v>1522</v>
      </c>
      <c r="D6383" s="40" t="s">
        <v>291</v>
      </c>
      <c r="E6383" s="41">
        <v>1</v>
      </c>
      <c r="F6383" s="38" t="s">
        <v>23</v>
      </c>
      <c r="G6383" s="35" t="str">
        <f t="shared" si="124"/>
        <v/>
      </c>
      <c r="H6383" s="43">
        <f>SUM(G6383:G6386)</f>
        <v>90.686097499999988</v>
      </c>
      <c r="I6383" s="44"/>
      <c r="J6383" s="34">
        <v>0</v>
      </c>
    </row>
    <row r="6384" spans="1:10" ht="51.75" hidden="1" thickBot="1" x14ac:dyDescent="0.3">
      <c r="A6384" s="249"/>
      <c r="B6384" s="266"/>
      <c r="C6384" s="40" t="s">
        <v>4213</v>
      </c>
      <c r="D6384" s="40" t="s">
        <v>1041</v>
      </c>
      <c r="E6384" s="41">
        <v>0.111</v>
      </c>
      <c r="F6384" s="38">
        <v>238.74449999999999</v>
      </c>
      <c r="G6384" s="35">
        <f t="shared" si="124"/>
        <v>26.500639499999998</v>
      </c>
      <c r="H6384" s="48"/>
      <c r="I6384" s="49"/>
      <c r="J6384" s="34">
        <v>0</v>
      </c>
    </row>
    <row r="6385" spans="1:10" ht="15.75" hidden="1" thickBot="1" x14ac:dyDescent="0.3">
      <c r="A6385" s="249"/>
      <c r="B6385" s="266"/>
      <c r="C6385" s="40" t="s">
        <v>3770</v>
      </c>
      <c r="D6385" s="40" t="s">
        <v>3752</v>
      </c>
      <c r="E6385" s="41">
        <f>1.124/2</f>
        <v>0.56200000000000006</v>
      </c>
      <c r="F6385" s="38">
        <v>21.954499999999999</v>
      </c>
      <c r="G6385" s="35">
        <f t="shared" si="124"/>
        <v>12.338429000000001</v>
      </c>
      <c r="H6385" s="48"/>
      <c r="I6385" s="49"/>
      <c r="J6385" s="34">
        <v>0</v>
      </c>
    </row>
    <row r="6386" spans="1:10" ht="15.75" hidden="1" thickBot="1" x14ac:dyDescent="0.3">
      <c r="A6386" s="249"/>
      <c r="B6386" s="266"/>
      <c r="C6386" s="40" t="s">
        <v>3760</v>
      </c>
      <c r="D6386" s="40" t="s">
        <v>3752</v>
      </c>
      <c r="E6386" s="41">
        <f>3.653/2</f>
        <v>1.8265</v>
      </c>
      <c r="F6386" s="35">
        <v>28.385999999999999</v>
      </c>
      <c r="G6386" s="35">
        <f t="shared" si="124"/>
        <v>51.847028999999999</v>
      </c>
      <c r="H6386" s="39"/>
      <c r="I6386" s="35"/>
      <c r="J6386" s="34">
        <v>0</v>
      </c>
    </row>
    <row r="6387" spans="1:10" ht="15.75" hidden="1" thickBot="1" x14ac:dyDescent="0.3">
      <c r="A6387" s="250"/>
      <c r="B6387" s="253"/>
      <c r="C6387" s="40"/>
      <c r="D6387" s="40"/>
      <c r="E6387" s="41"/>
      <c r="F6387" s="35" t="s">
        <v>23</v>
      </c>
      <c r="G6387" s="35" t="str">
        <f t="shared" si="124"/>
        <v/>
      </c>
      <c r="H6387" s="39"/>
      <c r="I6387" s="35"/>
      <c r="J6387" s="34">
        <v>0</v>
      </c>
    </row>
    <row r="6388" spans="1:10" ht="15.75" hidden="1" thickBot="1" x14ac:dyDescent="0.3">
      <c r="A6388" s="248" t="s">
        <v>1523</v>
      </c>
      <c r="B6388" s="251" t="s">
        <v>3297</v>
      </c>
      <c r="C6388" s="28"/>
      <c r="D6388" s="29" t="s">
        <v>28</v>
      </c>
      <c r="E6388" s="30"/>
      <c r="F6388" s="45" t="s">
        <v>23</v>
      </c>
      <c r="G6388" s="31" t="str">
        <f t="shared" si="124"/>
        <v/>
      </c>
      <c r="H6388" s="32"/>
      <c r="I6388" s="33"/>
      <c r="J6388" s="34">
        <v>0</v>
      </c>
    </row>
    <row r="6389" spans="1:10" ht="15.75" hidden="1" thickBot="1" x14ac:dyDescent="0.3">
      <c r="A6389" s="249"/>
      <c r="B6389" s="266"/>
      <c r="C6389" s="36"/>
      <c r="D6389" s="36"/>
      <c r="E6389" s="37"/>
      <c r="F6389" s="46" t="s">
        <v>23</v>
      </c>
      <c r="G6389" s="35" t="str">
        <f t="shared" si="124"/>
        <v/>
      </c>
      <c r="H6389" s="39"/>
      <c r="I6389" s="35"/>
      <c r="J6389" s="34">
        <v>0</v>
      </c>
    </row>
    <row r="6390" spans="1:10" ht="26.25" hidden="1" thickBot="1" x14ac:dyDescent="0.3">
      <c r="A6390" s="249"/>
      <c r="B6390" s="266"/>
      <c r="C6390" s="40" t="s">
        <v>1524</v>
      </c>
      <c r="D6390" s="40" t="s">
        <v>291</v>
      </c>
      <c r="E6390" s="41">
        <v>1</v>
      </c>
      <c r="F6390" s="38">
        <v>0</v>
      </c>
      <c r="G6390" s="35">
        <f t="shared" si="124"/>
        <v>0</v>
      </c>
      <c r="H6390" s="43">
        <f>SUM(G6390:G6392)</f>
        <v>12.585125</v>
      </c>
      <c r="I6390" s="44"/>
      <c r="J6390" s="34">
        <v>0</v>
      </c>
    </row>
    <row r="6391" spans="1:10" ht="15.75" hidden="1" thickBot="1" x14ac:dyDescent="0.3">
      <c r="A6391" s="249"/>
      <c r="B6391" s="266"/>
      <c r="C6391" s="40" t="s">
        <v>3770</v>
      </c>
      <c r="D6391" s="40" t="s">
        <v>3752</v>
      </c>
      <c r="E6391" s="41">
        <v>0.25</v>
      </c>
      <c r="F6391" s="38">
        <v>21.954499999999999</v>
      </c>
      <c r="G6391" s="35">
        <f t="shared" si="124"/>
        <v>5.4886249999999999</v>
      </c>
      <c r="H6391" s="48"/>
      <c r="I6391" s="49"/>
      <c r="J6391" s="34">
        <v>0</v>
      </c>
    </row>
    <row r="6392" spans="1:10" ht="15.75" hidden="1" thickBot="1" x14ac:dyDescent="0.3">
      <c r="A6392" s="249"/>
      <c r="B6392" s="266"/>
      <c r="C6392" s="40" t="s">
        <v>3760</v>
      </c>
      <c r="D6392" s="40" t="s">
        <v>3752</v>
      </c>
      <c r="E6392" s="41">
        <v>0.25</v>
      </c>
      <c r="F6392" s="35">
        <v>28.385999999999999</v>
      </c>
      <c r="G6392" s="35">
        <f t="shared" si="124"/>
        <v>7.0964999999999998</v>
      </c>
      <c r="H6392" s="39"/>
      <c r="I6392" s="35"/>
      <c r="J6392" s="34">
        <v>0</v>
      </c>
    </row>
    <row r="6393" spans="1:10" ht="15.75" hidden="1" thickBot="1" x14ac:dyDescent="0.3">
      <c r="A6393" s="250"/>
      <c r="B6393" s="253"/>
      <c r="C6393" s="60"/>
      <c r="D6393" s="60"/>
      <c r="E6393" s="79"/>
      <c r="F6393" s="87" t="s">
        <v>23</v>
      </c>
      <c r="G6393" s="87" t="str">
        <f t="shared" si="124"/>
        <v/>
      </c>
      <c r="H6393" s="89"/>
      <c r="I6393" s="35"/>
      <c r="J6393" s="34">
        <v>0</v>
      </c>
    </row>
    <row r="6394" spans="1:10" ht="15.75" hidden="1" thickBot="1" x14ac:dyDescent="0.3">
      <c r="A6394" s="248" t="s">
        <v>1525</v>
      </c>
      <c r="B6394" s="251" t="s">
        <v>3298</v>
      </c>
      <c r="C6394" s="28"/>
      <c r="D6394" s="29" t="s">
        <v>121</v>
      </c>
      <c r="E6394" s="30"/>
      <c r="F6394" s="45" t="s">
        <v>23</v>
      </c>
      <c r="G6394" s="31" t="str">
        <f t="shared" si="124"/>
        <v/>
      </c>
      <c r="H6394" s="32"/>
      <c r="I6394" s="33"/>
      <c r="J6394" s="34">
        <v>0</v>
      </c>
    </row>
    <row r="6395" spans="1:10" ht="15.75" hidden="1" thickBot="1" x14ac:dyDescent="0.3">
      <c r="A6395" s="249"/>
      <c r="B6395" s="266"/>
      <c r="C6395" s="36"/>
      <c r="D6395" s="36"/>
      <c r="E6395" s="37"/>
      <c r="F6395" s="46" t="s">
        <v>23</v>
      </c>
      <c r="G6395" s="35" t="str">
        <f t="shared" si="124"/>
        <v/>
      </c>
      <c r="H6395" s="39"/>
      <c r="I6395" s="35"/>
      <c r="J6395" s="34">
        <v>0</v>
      </c>
    </row>
    <row r="6396" spans="1:10" ht="26.25" hidden="1" thickBot="1" x14ac:dyDescent="0.3">
      <c r="A6396" s="249"/>
      <c r="B6396" s="266"/>
      <c r="C6396" s="40" t="s">
        <v>4110</v>
      </c>
      <c r="D6396" s="40" t="s">
        <v>3752</v>
      </c>
      <c r="E6396" s="41">
        <v>0.13</v>
      </c>
      <c r="F6396" s="38">
        <v>27.341000000000001</v>
      </c>
      <c r="G6396" s="35">
        <f t="shared" si="124"/>
        <v>3.5543300000000002</v>
      </c>
      <c r="H6396" s="43">
        <f>SUM(G6396:G6399)</f>
        <v>196.69297799999998</v>
      </c>
      <c r="I6396" s="44"/>
      <c r="J6396" s="34">
        <v>0</v>
      </c>
    </row>
    <row r="6397" spans="1:10" ht="26.25" hidden="1" thickBot="1" x14ac:dyDescent="0.3">
      <c r="A6397" s="249"/>
      <c r="B6397" s="266"/>
      <c r="C6397" s="40" t="s">
        <v>4119</v>
      </c>
      <c r="D6397" s="40" t="s">
        <v>3752</v>
      </c>
      <c r="E6397" s="41">
        <v>0.13</v>
      </c>
      <c r="F6397" s="38">
        <v>21.555499999999999</v>
      </c>
      <c r="G6397" s="35">
        <f t="shared" si="124"/>
        <v>2.8022149999999999</v>
      </c>
      <c r="H6397" s="48"/>
      <c r="I6397" s="49"/>
      <c r="J6397" s="34">
        <v>0</v>
      </c>
    </row>
    <row r="6398" spans="1:10" ht="15.75" hidden="1" thickBot="1" x14ac:dyDescent="0.3">
      <c r="A6398" s="249"/>
      <c r="B6398" s="266"/>
      <c r="C6398" s="40" t="s">
        <v>4017</v>
      </c>
      <c r="D6398" s="40" t="s">
        <v>3752</v>
      </c>
      <c r="E6398" s="41">
        <v>0.13</v>
      </c>
      <c r="F6398" s="38">
        <v>28.651999999999997</v>
      </c>
      <c r="G6398" s="35">
        <f t="shared" si="124"/>
        <v>3.7247599999999998</v>
      </c>
      <c r="H6398" s="48"/>
      <c r="I6398" s="49"/>
      <c r="J6398" s="34">
        <v>0</v>
      </c>
    </row>
    <row r="6399" spans="1:10" ht="26.25" hidden="1" thickBot="1" x14ac:dyDescent="0.3">
      <c r="A6399" s="249"/>
      <c r="B6399" s="266"/>
      <c r="C6399" s="40" t="s">
        <v>4341</v>
      </c>
      <c r="D6399" s="40" t="s">
        <v>1286</v>
      </c>
      <c r="E6399" s="41">
        <v>1.0389999999999999</v>
      </c>
      <c r="F6399" s="35">
        <v>179.607</v>
      </c>
      <c r="G6399" s="35">
        <f t="shared" si="124"/>
        <v>186.611673</v>
      </c>
      <c r="H6399" s="39"/>
      <c r="I6399" s="35"/>
      <c r="J6399" s="34">
        <v>0</v>
      </c>
    </row>
    <row r="6400" spans="1:10" ht="15.75" hidden="1" thickBot="1" x14ac:dyDescent="0.3">
      <c r="A6400" s="250"/>
      <c r="B6400" s="253"/>
      <c r="C6400" s="40"/>
      <c r="D6400" s="40"/>
      <c r="E6400" s="41"/>
      <c r="F6400" s="35" t="s">
        <v>23</v>
      </c>
      <c r="G6400" s="35" t="str">
        <f t="shared" si="124"/>
        <v/>
      </c>
      <c r="H6400" s="39"/>
      <c r="I6400" s="35"/>
      <c r="J6400" s="34">
        <v>0</v>
      </c>
    </row>
    <row r="6401" spans="1:10" ht="15.75" hidden="1" thickBot="1" x14ac:dyDescent="0.3">
      <c r="A6401" s="248" t="s">
        <v>1526</v>
      </c>
      <c r="B6401" s="251" t="s">
        <v>3299</v>
      </c>
      <c r="C6401" s="28"/>
      <c r="D6401" s="29" t="s">
        <v>28</v>
      </c>
      <c r="E6401" s="30"/>
      <c r="F6401" s="45" t="s">
        <v>23</v>
      </c>
      <c r="G6401" s="31" t="str">
        <f t="shared" si="124"/>
        <v/>
      </c>
      <c r="H6401" s="32"/>
      <c r="I6401" s="33"/>
      <c r="J6401" s="34">
        <v>0</v>
      </c>
    </row>
    <row r="6402" spans="1:10" ht="15.75" hidden="1" thickBot="1" x14ac:dyDescent="0.3">
      <c r="A6402" s="249"/>
      <c r="B6402" s="266"/>
      <c r="C6402" s="36"/>
      <c r="D6402" s="36"/>
      <c r="E6402" s="37"/>
      <c r="F6402" s="46" t="s">
        <v>23</v>
      </c>
      <c r="G6402" s="35" t="str">
        <f t="shared" si="124"/>
        <v/>
      </c>
      <c r="H6402" s="39"/>
      <c r="I6402" s="35"/>
      <c r="J6402" s="34">
        <v>0</v>
      </c>
    </row>
    <row r="6403" spans="1:10" ht="26.25" hidden="1" thickBot="1" x14ac:dyDescent="0.3">
      <c r="A6403" s="249"/>
      <c r="B6403" s="266"/>
      <c r="C6403" s="40" t="s">
        <v>4110</v>
      </c>
      <c r="D6403" s="40" t="s">
        <v>3752</v>
      </c>
      <c r="E6403" s="75">
        <v>3</v>
      </c>
      <c r="F6403" s="35">
        <v>27.341000000000001</v>
      </c>
      <c r="G6403" s="35">
        <f t="shared" si="124"/>
        <v>82.022999999999996</v>
      </c>
      <c r="H6403" s="43">
        <f>SUM(G6403:G6403)</f>
        <v>82.022999999999996</v>
      </c>
      <c r="I6403" s="44"/>
      <c r="J6403" s="34">
        <v>0</v>
      </c>
    </row>
    <row r="6404" spans="1:10" ht="15.75" hidden="1" thickBot="1" x14ac:dyDescent="0.3">
      <c r="A6404" s="250"/>
      <c r="B6404" s="253"/>
      <c r="C6404" s="60"/>
      <c r="D6404" s="60"/>
      <c r="E6404" s="79"/>
      <c r="F6404" s="87" t="s">
        <v>23</v>
      </c>
      <c r="G6404" s="87" t="str">
        <f t="shared" si="124"/>
        <v/>
      </c>
      <c r="H6404" s="89"/>
      <c r="I6404" s="35"/>
      <c r="J6404" s="34">
        <v>0</v>
      </c>
    </row>
    <row r="6405" spans="1:10" ht="15.75" hidden="1" thickBot="1" x14ac:dyDescent="0.3">
      <c r="A6405" s="248" t="s">
        <v>1527</v>
      </c>
      <c r="B6405" s="251" t="s">
        <v>3300</v>
      </c>
      <c r="C6405" s="28"/>
      <c r="D6405" s="29" t="s">
        <v>28</v>
      </c>
      <c r="E6405" s="30"/>
      <c r="F6405" s="45" t="s">
        <v>23</v>
      </c>
      <c r="G6405" s="31" t="str">
        <f t="shared" si="124"/>
        <v/>
      </c>
      <c r="H6405" s="32"/>
      <c r="I6405" s="33"/>
      <c r="J6405" s="34">
        <v>0</v>
      </c>
    </row>
    <row r="6406" spans="1:10" ht="15.75" hidden="1" thickBot="1" x14ac:dyDescent="0.3">
      <c r="A6406" s="249"/>
      <c r="B6406" s="266"/>
      <c r="C6406" s="36"/>
      <c r="D6406" s="36"/>
      <c r="E6406" s="37"/>
      <c r="F6406" s="46" t="s">
        <v>23</v>
      </c>
      <c r="G6406" s="35" t="str">
        <f t="shared" si="124"/>
        <v/>
      </c>
      <c r="H6406" s="39"/>
      <c r="I6406" s="35"/>
      <c r="J6406" s="34">
        <v>0</v>
      </c>
    </row>
    <row r="6407" spans="1:10" ht="26.25" hidden="1" thickBot="1" x14ac:dyDescent="0.3">
      <c r="A6407" s="249"/>
      <c r="B6407" s="266"/>
      <c r="C6407" s="40" t="s">
        <v>4110</v>
      </c>
      <c r="D6407" s="40" t="s">
        <v>3752</v>
      </c>
      <c r="E6407" s="75">
        <v>5.2</v>
      </c>
      <c r="F6407" s="38">
        <v>27.341000000000001</v>
      </c>
      <c r="G6407" s="35">
        <f t="shared" si="124"/>
        <v>142.17320000000001</v>
      </c>
      <c r="H6407" s="43">
        <f>SUM(G6407:G6408)</f>
        <v>254.26179999999999</v>
      </c>
      <c r="I6407" s="44"/>
      <c r="J6407" s="34">
        <v>0</v>
      </c>
    </row>
    <row r="6408" spans="1:10" ht="26.25" hidden="1" thickBot="1" x14ac:dyDescent="0.3">
      <c r="A6408" s="249"/>
      <c r="B6408" s="266"/>
      <c r="C6408" s="40" t="s">
        <v>4119</v>
      </c>
      <c r="D6408" s="40" t="s">
        <v>3752</v>
      </c>
      <c r="E6408" s="75">
        <v>5.2</v>
      </c>
      <c r="F6408" s="35">
        <v>21.555499999999999</v>
      </c>
      <c r="G6408" s="35">
        <f t="shared" si="124"/>
        <v>112.0886</v>
      </c>
      <c r="H6408" s="39"/>
      <c r="I6408" s="35"/>
      <c r="J6408" s="34">
        <v>0</v>
      </c>
    </row>
    <row r="6409" spans="1:10" ht="15.75" hidden="1" thickBot="1" x14ac:dyDescent="0.3">
      <c r="A6409" s="250"/>
      <c r="B6409" s="253"/>
      <c r="C6409" s="60"/>
      <c r="D6409" s="60"/>
      <c r="E6409" s="79"/>
      <c r="F6409" s="87" t="s">
        <v>23</v>
      </c>
      <c r="G6409" s="87" t="str">
        <f t="shared" si="124"/>
        <v/>
      </c>
      <c r="H6409" s="89"/>
      <c r="I6409" s="35"/>
      <c r="J6409" s="34">
        <v>0</v>
      </c>
    </row>
    <row r="6410" spans="1:10" ht="15.75" hidden="1" thickBot="1" x14ac:dyDescent="0.3">
      <c r="A6410" s="248" t="s">
        <v>1528</v>
      </c>
      <c r="B6410" s="251" t="s">
        <v>3301</v>
      </c>
      <c r="C6410" s="28"/>
      <c r="D6410" s="29" t="s">
        <v>28</v>
      </c>
      <c r="E6410" s="30"/>
      <c r="F6410" s="45" t="s">
        <v>23</v>
      </c>
      <c r="G6410" s="31" t="str">
        <f t="shared" si="124"/>
        <v/>
      </c>
      <c r="H6410" s="32"/>
      <c r="I6410" s="33"/>
      <c r="J6410" s="34">
        <v>0</v>
      </c>
    </row>
    <row r="6411" spans="1:10" ht="15.75" hidden="1" thickBot="1" x14ac:dyDescent="0.3">
      <c r="A6411" s="249"/>
      <c r="B6411" s="266"/>
      <c r="C6411" s="36"/>
      <c r="D6411" s="36"/>
      <c r="E6411" s="37"/>
      <c r="F6411" s="46" t="s">
        <v>23</v>
      </c>
      <c r="G6411" s="35" t="str">
        <f t="shared" si="124"/>
        <v/>
      </c>
      <c r="H6411" s="39"/>
      <c r="I6411" s="35"/>
      <c r="J6411" s="34">
        <v>0</v>
      </c>
    </row>
    <row r="6412" spans="1:10" ht="15.75" hidden="1" thickBot="1" x14ac:dyDescent="0.3">
      <c r="A6412" s="249"/>
      <c r="B6412" s="266"/>
      <c r="C6412" s="40" t="s">
        <v>3754</v>
      </c>
      <c r="D6412" s="40" t="s">
        <v>3752</v>
      </c>
      <c r="E6412" s="75">
        <v>0.9</v>
      </c>
      <c r="F6412" s="35">
        <v>20.814499999999999</v>
      </c>
      <c r="G6412" s="35">
        <f t="shared" si="124"/>
        <v>18.733049999999999</v>
      </c>
      <c r="H6412" s="43">
        <f>SUM(G6412:G6412)</f>
        <v>18.733049999999999</v>
      </c>
      <c r="I6412" s="44"/>
      <c r="J6412" s="34">
        <v>0</v>
      </c>
    </row>
    <row r="6413" spans="1:10" ht="15.75" hidden="1" thickBot="1" x14ac:dyDescent="0.3">
      <c r="A6413" s="250"/>
      <c r="B6413" s="253"/>
      <c r="C6413" s="60"/>
      <c r="D6413" s="60"/>
      <c r="E6413" s="79"/>
      <c r="F6413" s="87" t="s">
        <v>23</v>
      </c>
      <c r="G6413" s="87" t="str">
        <f t="shared" si="124"/>
        <v/>
      </c>
      <c r="H6413" s="89"/>
      <c r="I6413" s="35"/>
      <c r="J6413" s="34">
        <v>0</v>
      </c>
    </row>
    <row r="6414" spans="1:10" ht="15.75" hidden="1" thickBot="1" x14ac:dyDescent="0.3">
      <c r="A6414" s="248" t="s">
        <v>1529</v>
      </c>
      <c r="B6414" s="251" t="s">
        <v>3302</v>
      </c>
      <c r="C6414" s="28"/>
      <c r="D6414" s="29" t="s">
        <v>28</v>
      </c>
      <c r="E6414" s="30"/>
      <c r="F6414" s="45" t="s">
        <v>23</v>
      </c>
      <c r="G6414" s="31" t="str">
        <f t="shared" si="124"/>
        <v/>
      </c>
      <c r="H6414" s="32"/>
      <c r="I6414" s="33"/>
      <c r="J6414" s="34">
        <v>0</v>
      </c>
    </row>
    <row r="6415" spans="1:10" ht="15.75" hidden="1" thickBot="1" x14ac:dyDescent="0.3">
      <c r="A6415" s="249"/>
      <c r="B6415" s="266"/>
      <c r="C6415" s="36"/>
      <c r="D6415" s="36"/>
      <c r="E6415" s="37"/>
      <c r="F6415" s="46" t="s">
        <v>23</v>
      </c>
      <c r="G6415" s="35" t="str">
        <f t="shared" si="124"/>
        <v/>
      </c>
      <c r="H6415" s="39"/>
      <c r="I6415" s="35"/>
      <c r="J6415" s="34">
        <v>0</v>
      </c>
    </row>
    <row r="6416" spans="1:10" ht="15.75" hidden="1" thickBot="1" x14ac:dyDescent="0.3">
      <c r="A6416" s="249"/>
      <c r="B6416" s="266"/>
      <c r="C6416" s="40" t="s">
        <v>3754</v>
      </c>
      <c r="D6416" s="40" t="s">
        <v>3752</v>
      </c>
      <c r="E6416" s="75">
        <f>0.9*1.5</f>
        <v>1.35</v>
      </c>
      <c r="F6416" s="35">
        <v>20.814499999999999</v>
      </c>
      <c r="G6416" s="35">
        <f t="shared" si="124"/>
        <v>28.099575000000002</v>
      </c>
      <c r="H6416" s="43">
        <f>SUM(G6416:G6416)</f>
        <v>28.099575000000002</v>
      </c>
      <c r="I6416" s="44"/>
      <c r="J6416" s="34">
        <v>0</v>
      </c>
    </row>
    <row r="6417" spans="1:10" ht="15.75" hidden="1" thickBot="1" x14ac:dyDescent="0.3">
      <c r="A6417" s="250"/>
      <c r="B6417" s="253"/>
      <c r="C6417" s="60"/>
      <c r="D6417" s="60"/>
      <c r="E6417" s="79"/>
      <c r="F6417" s="87" t="s">
        <v>23</v>
      </c>
      <c r="G6417" s="87" t="str">
        <f t="shared" si="124"/>
        <v/>
      </c>
      <c r="H6417" s="89"/>
      <c r="I6417" s="35"/>
      <c r="J6417" s="34">
        <v>0</v>
      </c>
    </row>
    <row r="6418" spans="1:10" ht="15.75" hidden="1" thickBot="1" x14ac:dyDescent="0.3">
      <c r="A6418" s="248" t="s">
        <v>1530</v>
      </c>
      <c r="B6418" s="251" t="s">
        <v>3303</v>
      </c>
      <c r="C6418" s="28"/>
      <c r="D6418" s="29" t="s">
        <v>78</v>
      </c>
      <c r="E6418" s="30"/>
      <c r="F6418" s="45" t="s">
        <v>23</v>
      </c>
      <c r="G6418" s="31" t="str">
        <f t="shared" si="124"/>
        <v/>
      </c>
      <c r="H6418" s="32"/>
      <c r="I6418" s="33"/>
      <c r="J6418" s="34">
        <v>0</v>
      </c>
    </row>
    <row r="6419" spans="1:10" ht="15.75" hidden="1" thickBot="1" x14ac:dyDescent="0.3">
      <c r="A6419" s="249"/>
      <c r="B6419" s="266"/>
      <c r="C6419" s="36"/>
      <c r="D6419" s="36"/>
      <c r="E6419" s="37"/>
      <c r="F6419" s="46" t="s">
        <v>23</v>
      </c>
      <c r="G6419" s="35" t="str">
        <f t="shared" si="124"/>
        <v/>
      </c>
      <c r="H6419" s="39"/>
      <c r="I6419" s="35"/>
      <c r="J6419" s="34">
        <v>0</v>
      </c>
    </row>
    <row r="6420" spans="1:10" ht="15.75" hidden="1" thickBot="1" x14ac:dyDescent="0.3">
      <c r="A6420" s="249"/>
      <c r="B6420" s="266"/>
      <c r="C6420" s="40" t="s">
        <v>3757</v>
      </c>
      <c r="D6420" s="40" t="s">
        <v>3752</v>
      </c>
      <c r="E6420" s="75">
        <v>0.09</v>
      </c>
      <c r="F6420" s="38">
        <v>28.0535</v>
      </c>
      <c r="G6420" s="35">
        <f t="shared" si="124"/>
        <v>2.5248149999999998</v>
      </c>
      <c r="H6420" s="43">
        <f>SUM(G6420:G6421)</f>
        <v>21.257864999999999</v>
      </c>
      <c r="I6420" s="44"/>
      <c r="J6420" s="34">
        <v>0</v>
      </c>
    </row>
    <row r="6421" spans="1:10" ht="15.75" hidden="1" thickBot="1" x14ac:dyDescent="0.3">
      <c r="A6421" s="249"/>
      <c r="B6421" s="266"/>
      <c r="C6421" s="40" t="s">
        <v>3754</v>
      </c>
      <c r="D6421" s="40" t="s">
        <v>3752</v>
      </c>
      <c r="E6421" s="75">
        <v>0.9</v>
      </c>
      <c r="F6421" s="35">
        <v>20.814499999999999</v>
      </c>
      <c r="G6421" s="35">
        <f t="shared" si="124"/>
        <v>18.733049999999999</v>
      </c>
      <c r="H6421" s="39"/>
      <c r="I6421" s="35"/>
      <c r="J6421" s="34">
        <v>0</v>
      </c>
    </row>
    <row r="6422" spans="1:10" ht="15.75" hidden="1" thickBot="1" x14ac:dyDescent="0.3">
      <c r="A6422" s="250"/>
      <c r="B6422" s="253"/>
      <c r="C6422" s="60"/>
      <c r="D6422" s="60"/>
      <c r="E6422" s="79"/>
      <c r="F6422" s="87" t="s">
        <v>23</v>
      </c>
      <c r="G6422" s="87" t="str">
        <f t="shared" si="124"/>
        <v/>
      </c>
      <c r="H6422" s="89"/>
      <c r="I6422" s="35"/>
      <c r="J6422" s="34">
        <v>0</v>
      </c>
    </row>
    <row r="6423" spans="1:10" ht="15.75" thickBot="1" x14ac:dyDescent="0.3">
      <c r="A6423" s="248" t="s">
        <v>1531</v>
      </c>
      <c r="B6423" s="251" t="s">
        <v>3304</v>
      </c>
      <c r="C6423" s="28"/>
      <c r="D6423" s="29" t="s">
        <v>78</v>
      </c>
      <c r="E6423" s="30"/>
      <c r="F6423" s="45" t="s">
        <v>23</v>
      </c>
      <c r="G6423" s="31" t="str">
        <f t="shared" si="124"/>
        <v/>
      </c>
      <c r="H6423" s="32"/>
      <c r="I6423" s="33"/>
      <c r="J6423" s="34">
        <v>90000</v>
      </c>
    </row>
    <row r="6424" spans="1:10" x14ac:dyDescent="0.25">
      <c r="A6424" s="249"/>
      <c r="B6424" s="266"/>
      <c r="C6424" s="36"/>
      <c r="D6424" s="36"/>
      <c r="E6424" s="37"/>
      <c r="F6424" s="46" t="s">
        <v>23</v>
      </c>
      <c r="G6424" s="35" t="str">
        <f t="shared" si="124"/>
        <v/>
      </c>
      <c r="H6424" s="39"/>
      <c r="I6424" s="35"/>
      <c r="J6424" s="34">
        <v>90000</v>
      </c>
    </row>
    <row r="6425" spans="1:10" x14ac:dyDescent="0.25">
      <c r="A6425" s="249"/>
      <c r="B6425" s="266"/>
      <c r="C6425" s="40" t="s">
        <v>3754</v>
      </c>
      <c r="D6425" s="40" t="s">
        <v>3752</v>
      </c>
      <c r="E6425" s="41">
        <v>9.7100000000000006E-2</v>
      </c>
      <c r="F6425" s="38">
        <v>20.814499999999999</v>
      </c>
      <c r="G6425" s="35">
        <f t="shared" si="124"/>
        <v>2.0210879500000001</v>
      </c>
      <c r="H6425" s="43">
        <f>SUM(G6425:G6426)</f>
        <v>3.3768956499999998</v>
      </c>
      <c r="I6425" s="44"/>
      <c r="J6425" s="34">
        <v>90000</v>
      </c>
    </row>
    <row r="6426" spans="1:10" x14ac:dyDescent="0.25">
      <c r="A6426" s="249"/>
      <c r="B6426" s="266"/>
      <c r="C6426" s="40" t="s">
        <v>3816</v>
      </c>
      <c r="D6426" s="40" t="s">
        <v>3752</v>
      </c>
      <c r="E6426" s="41">
        <v>4.9399999999999999E-2</v>
      </c>
      <c r="F6426" s="35">
        <v>27.445499999999999</v>
      </c>
      <c r="G6426" s="35">
        <f t="shared" si="124"/>
        <v>1.3558076999999999</v>
      </c>
      <c r="H6426" s="39"/>
      <c r="I6426" s="35"/>
      <c r="J6426" s="34">
        <v>90000</v>
      </c>
    </row>
    <row r="6427" spans="1:10" ht="15.75" thickBot="1" x14ac:dyDescent="0.3">
      <c r="A6427" s="250"/>
      <c r="B6427" s="253"/>
      <c r="C6427" s="60"/>
      <c r="D6427" s="60"/>
      <c r="E6427" s="79"/>
      <c r="F6427" s="87" t="s">
        <v>23</v>
      </c>
      <c r="G6427" s="87" t="str">
        <f t="shared" si="124"/>
        <v/>
      </c>
      <c r="H6427" s="89"/>
      <c r="I6427" s="35"/>
      <c r="J6427" s="34">
        <v>90000</v>
      </c>
    </row>
    <row r="6428" spans="1:10" ht="15.75" hidden="1" thickBot="1" x14ac:dyDescent="0.3">
      <c r="A6428" s="248" t="s">
        <v>1532</v>
      </c>
      <c r="B6428" s="251" t="s">
        <v>3305</v>
      </c>
      <c r="C6428" s="28"/>
      <c r="D6428" s="29" t="s">
        <v>78</v>
      </c>
      <c r="E6428" s="30"/>
      <c r="F6428" s="45" t="s">
        <v>23</v>
      </c>
      <c r="G6428" s="31" t="str">
        <f t="shared" si="124"/>
        <v/>
      </c>
      <c r="H6428" s="32"/>
      <c r="I6428" s="33"/>
      <c r="J6428" s="34">
        <v>0</v>
      </c>
    </row>
    <row r="6429" spans="1:10" ht="15.75" hidden="1" thickBot="1" x14ac:dyDescent="0.3">
      <c r="A6429" s="262"/>
      <c r="B6429" s="252"/>
      <c r="C6429" s="36"/>
      <c r="D6429" s="36"/>
      <c r="E6429" s="37"/>
      <c r="F6429" s="46" t="s">
        <v>23</v>
      </c>
      <c r="G6429" s="35" t="str">
        <f t="shared" si="124"/>
        <v/>
      </c>
      <c r="H6429" s="39"/>
      <c r="I6429" s="35"/>
      <c r="J6429" s="34">
        <v>0</v>
      </c>
    </row>
    <row r="6430" spans="1:10" ht="26.25" hidden="1" thickBot="1" x14ac:dyDescent="0.3">
      <c r="A6430" s="262"/>
      <c r="B6430" s="252"/>
      <c r="C6430" s="40" t="s">
        <v>3827</v>
      </c>
      <c r="D6430" s="40" t="s">
        <v>3752</v>
      </c>
      <c r="E6430" s="41">
        <v>0.5</v>
      </c>
      <c r="F6430" s="38">
        <v>23.882999999999999</v>
      </c>
      <c r="G6430" s="35">
        <f t="shared" si="124"/>
        <v>11.9415</v>
      </c>
      <c r="H6430" s="43">
        <f>SUM(G6430:G6431)</f>
        <v>22.624249999999996</v>
      </c>
      <c r="I6430" s="44"/>
      <c r="J6430" s="34">
        <v>0</v>
      </c>
    </row>
    <row r="6431" spans="1:10" ht="26.25" hidden="1" thickBot="1" x14ac:dyDescent="0.3">
      <c r="A6431" s="262"/>
      <c r="B6431" s="252"/>
      <c r="C6431" s="40" t="s">
        <v>3800</v>
      </c>
      <c r="D6431" s="40" t="s">
        <v>3752</v>
      </c>
      <c r="E6431" s="41">
        <v>0.5</v>
      </c>
      <c r="F6431" s="38">
        <v>21.365499999999997</v>
      </c>
      <c r="G6431" s="35">
        <f t="shared" si="124"/>
        <v>10.682749999999999</v>
      </c>
      <c r="H6431" s="39"/>
      <c r="I6431" s="35"/>
      <c r="J6431" s="34">
        <v>0</v>
      </c>
    </row>
    <row r="6432" spans="1:10" ht="15.75" hidden="1" thickBot="1" x14ac:dyDescent="0.3">
      <c r="A6432" s="263"/>
      <c r="B6432" s="253"/>
      <c r="C6432" s="40"/>
      <c r="D6432" s="40"/>
      <c r="E6432" s="41"/>
      <c r="F6432" s="35" t="s">
        <v>23</v>
      </c>
      <c r="G6432" s="35" t="str">
        <f t="shared" si="124"/>
        <v/>
      </c>
      <c r="H6432" s="39"/>
      <c r="I6432" s="35"/>
      <c r="J6432" s="34">
        <v>0</v>
      </c>
    </row>
    <row r="6433" spans="1:10" ht="15.75" hidden="1" thickBot="1" x14ac:dyDescent="0.3">
      <c r="A6433" s="248" t="s">
        <v>1533</v>
      </c>
      <c r="B6433" s="251" t="s">
        <v>3133</v>
      </c>
      <c r="C6433" s="28"/>
      <c r="D6433" s="29" t="s">
        <v>28</v>
      </c>
      <c r="E6433" s="30"/>
      <c r="F6433" s="45" t="s">
        <v>23</v>
      </c>
      <c r="G6433" s="31" t="str">
        <f t="shared" si="124"/>
        <v/>
      </c>
      <c r="H6433" s="32"/>
      <c r="I6433" s="33"/>
      <c r="J6433" s="34">
        <v>0</v>
      </c>
    </row>
    <row r="6434" spans="1:10" ht="15.75" hidden="1" thickBot="1" x14ac:dyDescent="0.3">
      <c r="A6434" s="262"/>
      <c r="B6434" s="252"/>
      <c r="C6434" s="36"/>
      <c r="D6434" s="36"/>
      <c r="E6434" s="37"/>
      <c r="F6434" s="46" t="s">
        <v>23</v>
      </c>
      <c r="G6434" s="35" t="str">
        <f t="shared" si="124"/>
        <v/>
      </c>
      <c r="H6434" s="39"/>
      <c r="I6434" s="35"/>
      <c r="J6434" s="34">
        <v>0</v>
      </c>
    </row>
    <row r="6435" spans="1:10" ht="26.25" hidden="1" thickBot="1" x14ac:dyDescent="0.3">
      <c r="A6435" s="262"/>
      <c r="B6435" s="252"/>
      <c r="C6435" s="40" t="s">
        <v>4342</v>
      </c>
      <c r="D6435" s="40" t="s">
        <v>291</v>
      </c>
      <c r="E6435" s="41">
        <v>1</v>
      </c>
      <c r="F6435" s="38">
        <v>25.574000000000002</v>
      </c>
      <c r="G6435" s="35">
        <f t="shared" si="124"/>
        <v>25.574000000000002</v>
      </c>
      <c r="H6435" s="43">
        <f>SUM(G6435:G6438)</f>
        <v>51.185479400000006</v>
      </c>
      <c r="I6435" s="44"/>
      <c r="J6435" s="34">
        <v>0</v>
      </c>
    </row>
    <row r="6436" spans="1:10" ht="39" hidden="1" thickBot="1" x14ac:dyDescent="0.3">
      <c r="A6436" s="262"/>
      <c r="B6436" s="252"/>
      <c r="C6436" s="40" t="s">
        <v>4148</v>
      </c>
      <c r="D6436" s="40" t="s">
        <v>291</v>
      </c>
      <c r="E6436" s="41">
        <v>2</v>
      </c>
      <c r="F6436" s="38">
        <v>0.35149999999999998</v>
      </c>
      <c r="G6436" s="35">
        <f t="shared" si="124"/>
        <v>0.70299999999999996</v>
      </c>
      <c r="H6436" s="39"/>
      <c r="I6436" s="35"/>
      <c r="J6436" s="34">
        <v>0</v>
      </c>
    </row>
    <row r="6437" spans="1:10" ht="15.75" hidden="1" thickBot="1" x14ac:dyDescent="0.3">
      <c r="A6437" s="262"/>
      <c r="B6437" s="252"/>
      <c r="C6437" s="40" t="s">
        <v>3770</v>
      </c>
      <c r="D6437" s="40" t="s">
        <v>3752</v>
      </c>
      <c r="E6437" s="41">
        <v>0.49480000000000002</v>
      </c>
      <c r="F6437" s="38">
        <v>21.954499999999999</v>
      </c>
      <c r="G6437" s="35">
        <f t="shared" si="124"/>
        <v>10.863086600000001</v>
      </c>
      <c r="H6437" s="39"/>
      <c r="I6437" s="35"/>
      <c r="J6437" s="34">
        <v>0</v>
      </c>
    </row>
    <row r="6438" spans="1:10" ht="15.75" hidden="1" thickBot="1" x14ac:dyDescent="0.3">
      <c r="A6438" s="262"/>
      <c r="B6438" s="252"/>
      <c r="C6438" s="40" t="s">
        <v>3760</v>
      </c>
      <c r="D6438" s="40" t="s">
        <v>3752</v>
      </c>
      <c r="E6438" s="41">
        <v>0.49480000000000002</v>
      </c>
      <c r="F6438" s="38">
        <v>28.385999999999999</v>
      </c>
      <c r="G6438" s="35">
        <f t="shared" si="124"/>
        <v>14.0453928</v>
      </c>
      <c r="H6438" s="39"/>
      <c r="I6438" s="35"/>
      <c r="J6438" s="34">
        <v>0</v>
      </c>
    </row>
    <row r="6439" spans="1:10" ht="15.75" hidden="1" thickBot="1" x14ac:dyDescent="0.3">
      <c r="A6439" s="263"/>
      <c r="B6439" s="253"/>
      <c r="C6439" s="40"/>
      <c r="D6439" s="40"/>
      <c r="E6439" s="41"/>
      <c r="F6439" s="35" t="s">
        <v>23</v>
      </c>
      <c r="G6439" s="35" t="str">
        <f t="shared" si="124"/>
        <v/>
      </c>
      <c r="H6439" s="39"/>
      <c r="I6439" s="35"/>
      <c r="J6439" s="34">
        <v>0</v>
      </c>
    </row>
    <row r="6440" spans="1:10" ht="15.75" hidden="1" thickBot="1" x14ac:dyDescent="0.3">
      <c r="A6440" s="248" t="s">
        <v>1534</v>
      </c>
      <c r="B6440" s="251" t="s">
        <v>3306</v>
      </c>
      <c r="C6440" s="28"/>
      <c r="D6440" s="29" t="s">
        <v>78</v>
      </c>
      <c r="E6440" s="30"/>
      <c r="F6440" s="45" t="s">
        <v>23</v>
      </c>
      <c r="G6440" s="31" t="str">
        <f t="shared" si="124"/>
        <v/>
      </c>
      <c r="H6440" s="32"/>
      <c r="I6440" s="33"/>
      <c r="J6440" s="34">
        <v>0</v>
      </c>
    </row>
    <row r="6441" spans="1:10" ht="15.75" hidden="1" thickBot="1" x14ac:dyDescent="0.3">
      <c r="A6441" s="249"/>
      <c r="B6441" s="266"/>
      <c r="C6441" s="36"/>
      <c r="D6441" s="36"/>
      <c r="E6441" s="37"/>
      <c r="F6441" s="46" t="s">
        <v>23</v>
      </c>
      <c r="G6441" s="35" t="str">
        <f t="shared" si="124"/>
        <v/>
      </c>
      <c r="H6441" s="39"/>
      <c r="I6441" s="35"/>
      <c r="J6441" s="34">
        <v>0</v>
      </c>
    </row>
    <row r="6442" spans="1:10" ht="15.75" hidden="1" thickBot="1" x14ac:dyDescent="0.3">
      <c r="A6442" s="249"/>
      <c r="B6442" s="266"/>
      <c r="C6442" s="40" t="s">
        <v>3844</v>
      </c>
      <c r="D6442" s="40" t="s">
        <v>3752</v>
      </c>
      <c r="E6442" s="41">
        <v>0.45910000000000001</v>
      </c>
      <c r="F6442" s="38">
        <v>25.934999999999999</v>
      </c>
      <c r="G6442" s="35">
        <f t="shared" si="124"/>
        <v>11.9067585</v>
      </c>
      <c r="H6442" s="43">
        <f>SUM(G6442:G6443)</f>
        <v>15.199612399999999</v>
      </c>
      <c r="I6442" s="44"/>
      <c r="J6442" s="34">
        <v>0</v>
      </c>
    </row>
    <row r="6443" spans="1:10" ht="15.75" hidden="1" thickBot="1" x14ac:dyDescent="0.3">
      <c r="A6443" s="249"/>
      <c r="B6443" s="266"/>
      <c r="C6443" s="40" t="s">
        <v>3754</v>
      </c>
      <c r="D6443" s="40" t="s">
        <v>3752</v>
      </c>
      <c r="E6443" s="41">
        <v>0.15820000000000001</v>
      </c>
      <c r="F6443" s="35">
        <v>20.814499999999999</v>
      </c>
      <c r="G6443" s="35">
        <f t="shared" si="124"/>
        <v>3.2928538999999999</v>
      </c>
      <c r="H6443" s="39"/>
      <c r="I6443" s="35"/>
      <c r="J6443" s="34">
        <v>0</v>
      </c>
    </row>
    <row r="6444" spans="1:10" ht="15.75" hidden="1" thickBot="1" x14ac:dyDescent="0.3">
      <c r="A6444" s="250"/>
      <c r="B6444" s="253"/>
      <c r="C6444" s="60"/>
      <c r="D6444" s="60"/>
      <c r="E6444" s="79"/>
      <c r="F6444" s="87" t="s">
        <v>23</v>
      </c>
      <c r="G6444" s="87" t="str">
        <f t="shared" si="124"/>
        <v/>
      </c>
      <c r="H6444" s="89"/>
      <c r="I6444" s="35"/>
      <c r="J6444" s="34">
        <v>0</v>
      </c>
    </row>
    <row r="6445" spans="1:10" ht="15.75" hidden="1" thickBot="1" x14ac:dyDescent="0.3">
      <c r="A6445" s="248" t="s">
        <v>1535</v>
      </c>
      <c r="B6445" s="251" t="s">
        <v>3307</v>
      </c>
      <c r="C6445" s="28"/>
      <c r="D6445" s="29" t="s">
        <v>78</v>
      </c>
      <c r="E6445" s="30"/>
      <c r="F6445" s="45" t="s">
        <v>23</v>
      </c>
      <c r="G6445" s="31" t="str">
        <f t="shared" ref="G6445:G6508" si="125">IF(ISNUMBER(F6445),E6445*F6445,"")</f>
        <v/>
      </c>
      <c r="H6445" s="32"/>
      <c r="I6445" s="33"/>
      <c r="J6445" s="34">
        <v>0</v>
      </c>
    </row>
    <row r="6446" spans="1:10" ht="15.75" hidden="1" thickBot="1" x14ac:dyDescent="0.3">
      <c r="A6446" s="249"/>
      <c r="B6446" s="266"/>
      <c r="C6446" s="36"/>
      <c r="D6446" s="36"/>
      <c r="E6446" s="37"/>
      <c r="F6446" s="46" t="s">
        <v>23</v>
      </c>
      <c r="G6446" s="35" t="str">
        <f t="shared" si="125"/>
        <v/>
      </c>
      <c r="H6446" s="39"/>
      <c r="I6446" s="35"/>
      <c r="J6446" s="34">
        <v>0</v>
      </c>
    </row>
    <row r="6447" spans="1:10" ht="26.25" hidden="1" thickBot="1" x14ac:dyDescent="0.3">
      <c r="A6447" s="249"/>
      <c r="B6447" s="266"/>
      <c r="C6447" s="40" t="s">
        <v>3763</v>
      </c>
      <c r="D6447" s="40" t="s">
        <v>3764</v>
      </c>
      <c r="E6447" s="41">
        <v>5.6800000000000003E-2</v>
      </c>
      <c r="F6447" s="38">
        <v>204.23099999999999</v>
      </c>
      <c r="G6447" s="35">
        <f t="shared" si="125"/>
        <v>11.6003208</v>
      </c>
      <c r="H6447" s="43">
        <f>SUM(G6447:G6452)</f>
        <v>22.270748349999998</v>
      </c>
      <c r="I6447" s="44"/>
      <c r="J6447" s="34">
        <v>0</v>
      </c>
    </row>
    <row r="6448" spans="1:10" ht="15.75" hidden="1" thickBot="1" x14ac:dyDescent="0.3">
      <c r="A6448" s="249"/>
      <c r="B6448" s="266"/>
      <c r="C6448" s="40" t="s">
        <v>4323</v>
      </c>
      <c r="D6448" s="40" t="s">
        <v>3764</v>
      </c>
      <c r="E6448" s="41">
        <v>6.4000000000000003E-3</v>
      </c>
      <c r="F6448" s="35">
        <v>160.68299999999999</v>
      </c>
      <c r="G6448" s="35">
        <f t="shared" si="125"/>
        <v>1.0283712</v>
      </c>
      <c r="H6448" s="39"/>
      <c r="I6448" s="35"/>
      <c r="J6448" s="34">
        <v>0</v>
      </c>
    </row>
    <row r="6449" spans="1:10" ht="15.75" hidden="1" thickBot="1" x14ac:dyDescent="0.3">
      <c r="A6449" s="249"/>
      <c r="B6449" s="266"/>
      <c r="C6449" s="40" t="s">
        <v>3844</v>
      </c>
      <c r="D6449" s="40" t="s">
        <v>3752</v>
      </c>
      <c r="E6449" s="41">
        <v>0.2041</v>
      </c>
      <c r="F6449" s="35">
        <v>25.934999999999999</v>
      </c>
      <c r="G6449" s="35">
        <f t="shared" si="125"/>
        <v>5.2933335000000001</v>
      </c>
      <c r="H6449" s="39"/>
      <c r="I6449" s="35"/>
      <c r="J6449" s="34">
        <v>0</v>
      </c>
    </row>
    <row r="6450" spans="1:10" ht="15.75" hidden="1" thickBot="1" x14ac:dyDescent="0.3">
      <c r="A6450" s="249"/>
      <c r="B6450" s="266"/>
      <c r="C6450" s="40" t="s">
        <v>3754</v>
      </c>
      <c r="D6450" s="40" t="s">
        <v>3752</v>
      </c>
      <c r="E6450" s="41">
        <v>0.2041</v>
      </c>
      <c r="F6450" s="35">
        <v>20.814499999999999</v>
      </c>
      <c r="G6450" s="35">
        <f t="shared" si="125"/>
        <v>4.2482394499999998</v>
      </c>
      <c r="H6450" s="39"/>
      <c r="I6450" s="35"/>
      <c r="J6450" s="34">
        <v>0</v>
      </c>
    </row>
    <row r="6451" spans="1:10" ht="39" hidden="1" thickBot="1" x14ac:dyDescent="0.3">
      <c r="A6451" s="249"/>
      <c r="B6451" s="266"/>
      <c r="C6451" s="40" t="s">
        <v>4663</v>
      </c>
      <c r="D6451" s="40" t="s">
        <v>1041</v>
      </c>
      <c r="E6451" s="41">
        <v>5.4999999999999997E-3</v>
      </c>
      <c r="F6451" s="35">
        <v>8.7590000000000003</v>
      </c>
      <c r="G6451" s="35">
        <f t="shared" si="125"/>
        <v>4.8174500000000002E-2</v>
      </c>
      <c r="H6451" s="39"/>
      <c r="I6451" s="35"/>
      <c r="J6451" s="34">
        <v>0</v>
      </c>
    </row>
    <row r="6452" spans="1:10" ht="39" hidden="1" thickBot="1" x14ac:dyDescent="0.3">
      <c r="A6452" s="249"/>
      <c r="B6452" s="266"/>
      <c r="C6452" s="40" t="s">
        <v>4669</v>
      </c>
      <c r="D6452" s="40" t="s">
        <v>1052</v>
      </c>
      <c r="E6452" s="41">
        <v>9.6600000000000005E-2</v>
      </c>
      <c r="F6452" s="35">
        <v>0.54149999999999998</v>
      </c>
      <c r="G6452" s="35">
        <f t="shared" si="125"/>
        <v>5.2308899999999998E-2</v>
      </c>
      <c r="H6452" s="39"/>
      <c r="I6452" s="35"/>
      <c r="J6452" s="34">
        <v>0</v>
      </c>
    </row>
    <row r="6453" spans="1:10" ht="15.75" hidden="1" thickBot="1" x14ac:dyDescent="0.3">
      <c r="A6453" s="250"/>
      <c r="B6453" s="253"/>
      <c r="C6453" s="60"/>
      <c r="D6453" s="60"/>
      <c r="E6453" s="79"/>
      <c r="F6453" s="87" t="s">
        <v>23</v>
      </c>
      <c r="G6453" s="87" t="str">
        <f t="shared" si="125"/>
        <v/>
      </c>
      <c r="H6453" s="89"/>
      <c r="I6453" s="35"/>
      <c r="J6453" s="34">
        <v>0</v>
      </c>
    </row>
    <row r="6454" spans="1:10" ht="15.75" hidden="1" thickBot="1" x14ac:dyDescent="0.3">
      <c r="A6454" s="248" t="s">
        <v>1536</v>
      </c>
      <c r="B6454" s="251" t="s">
        <v>3308</v>
      </c>
      <c r="C6454" s="28"/>
      <c r="D6454" s="29" t="s">
        <v>28</v>
      </c>
      <c r="E6454" s="30"/>
      <c r="F6454" s="45" t="s">
        <v>23</v>
      </c>
      <c r="G6454" s="31" t="str">
        <f t="shared" si="125"/>
        <v/>
      </c>
      <c r="H6454" s="32"/>
      <c r="I6454" s="33"/>
      <c r="J6454" s="34">
        <v>0</v>
      </c>
    </row>
    <row r="6455" spans="1:10" ht="15.75" hidden="1" thickBot="1" x14ac:dyDescent="0.3">
      <c r="A6455" s="249"/>
      <c r="B6455" s="266"/>
      <c r="C6455" s="36"/>
      <c r="D6455" s="36"/>
      <c r="E6455" s="37"/>
      <c r="F6455" s="46" t="s">
        <v>23</v>
      </c>
      <c r="G6455" s="35" t="str">
        <f t="shared" si="125"/>
        <v/>
      </c>
      <c r="H6455" s="39"/>
      <c r="I6455" s="35"/>
      <c r="J6455" s="34">
        <v>0</v>
      </c>
    </row>
    <row r="6456" spans="1:10" ht="26.25" hidden="1" thickBot="1" x14ac:dyDescent="0.3">
      <c r="A6456" s="249"/>
      <c r="B6456" s="266"/>
      <c r="C6456" s="40" t="s">
        <v>4343</v>
      </c>
      <c r="D6456" s="40" t="s">
        <v>291</v>
      </c>
      <c r="E6456" s="41">
        <v>3</v>
      </c>
      <c r="F6456" s="38">
        <v>1.577</v>
      </c>
      <c r="G6456" s="35">
        <f t="shared" si="125"/>
        <v>4.7309999999999999</v>
      </c>
      <c r="H6456" s="43">
        <f>SUM(G6456:G6459)</f>
        <v>108.34564084999998</v>
      </c>
      <c r="I6456" s="44"/>
      <c r="J6456" s="34">
        <v>0</v>
      </c>
    </row>
    <row r="6457" spans="1:10" ht="15.75" hidden="1" thickBot="1" x14ac:dyDescent="0.3">
      <c r="A6457" s="249"/>
      <c r="B6457" s="266"/>
      <c r="C6457" s="40" t="s">
        <v>4344</v>
      </c>
      <c r="D6457" s="40" t="s">
        <v>291</v>
      </c>
      <c r="E6457" s="41">
        <v>1</v>
      </c>
      <c r="F6457" s="38">
        <v>83.191499999999991</v>
      </c>
      <c r="G6457" s="35">
        <f t="shared" si="125"/>
        <v>83.191499999999991</v>
      </c>
      <c r="H6457" s="48"/>
      <c r="I6457" s="49"/>
      <c r="J6457" s="34">
        <v>0</v>
      </c>
    </row>
    <row r="6458" spans="1:10" ht="15.75" hidden="1" thickBot="1" x14ac:dyDescent="0.3">
      <c r="A6458" s="249"/>
      <c r="B6458" s="266"/>
      <c r="C6458" s="40" t="s">
        <v>3770</v>
      </c>
      <c r="D6458" s="40" t="s">
        <v>3752</v>
      </c>
      <c r="E6458" s="41">
        <v>0.40570000000000001</v>
      </c>
      <c r="F6458" s="38">
        <v>21.954499999999999</v>
      </c>
      <c r="G6458" s="35">
        <f t="shared" si="125"/>
        <v>8.9069406499999992</v>
      </c>
      <c r="H6458" s="48"/>
      <c r="I6458" s="49"/>
      <c r="J6458" s="34">
        <v>0</v>
      </c>
    </row>
    <row r="6459" spans="1:10" ht="15.75" hidden="1" thickBot="1" x14ac:dyDescent="0.3">
      <c r="A6459" s="249"/>
      <c r="B6459" s="266"/>
      <c r="C6459" s="40" t="s">
        <v>3760</v>
      </c>
      <c r="D6459" s="40" t="s">
        <v>3752</v>
      </c>
      <c r="E6459" s="41">
        <v>0.40570000000000001</v>
      </c>
      <c r="F6459" s="35">
        <v>28.385999999999999</v>
      </c>
      <c r="G6459" s="35">
        <f t="shared" si="125"/>
        <v>11.5162002</v>
      </c>
      <c r="H6459" s="39"/>
      <c r="I6459" s="35"/>
      <c r="J6459" s="34">
        <v>0</v>
      </c>
    </row>
    <row r="6460" spans="1:10" ht="15.75" hidden="1" thickBot="1" x14ac:dyDescent="0.3">
      <c r="A6460" s="250"/>
      <c r="B6460" s="253"/>
      <c r="C6460" s="40"/>
      <c r="D6460" s="40"/>
      <c r="E6460" s="41"/>
      <c r="F6460" s="35" t="s">
        <v>23</v>
      </c>
      <c r="G6460" s="35" t="str">
        <f t="shared" si="125"/>
        <v/>
      </c>
      <c r="H6460" s="39"/>
      <c r="I6460" s="35"/>
      <c r="J6460" s="34">
        <v>0</v>
      </c>
    </row>
    <row r="6461" spans="1:10" ht="15.75" hidden="1" thickBot="1" x14ac:dyDescent="0.3">
      <c r="A6461" s="248" t="s">
        <v>1537</v>
      </c>
      <c r="B6461" s="251" t="s">
        <v>3309</v>
      </c>
      <c r="C6461" s="28"/>
      <c r="D6461" s="29" t="s">
        <v>28</v>
      </c>
      <c r="E6461" s="30"/>
      <c r="F6461" s="45" t="s">
        <v>23</v>
      </c>
      <c r="G6461" s="31" t="str">
        <f t="shared" si="125"/>
        <v/>
      </c>
      <c r="H6461" s="32"/>
      <c r="I6461" s="33"/>
      <c r="J6461" s="34">
        <v>0</v>
      </c>
    </row>
    <row r="6462" spans="1:10" ht="15.75" hidden="1" thickBot="1" x14ac:dyDescent="0.3">
      <c r="A6462" s="249"/>
      <c r="B6462" s="266"/>
      <c r="C6462" s="36"/>
      <c r="D6462" s="36"/>
      <c r="E6462" s="37"/>
      <c r="F6462" s="46" t="s">
        <v>23</v>
      </c>
      <c r="G6462" s="35" t="str">
        <f t="shared" si="125"/>
        <v/>
      </c>
      <c r="H6462" s="39"/>
      <c r="I6462" s="35"/>
      <c r="J6462" s="34">
        <v>0</v>
      </c>
    </row>
    <row r="6463" spans="1:10" ht="26.25" hidden="1" thickBot="1" x14ac:dyDescent="0.3">
      <c r="A6463" s="249"/>
      <c r="B6463" s="266"/>
      <c r="C6463" s="40" t="s">
        <v>4345</v>
      </c>
      <c r="D6463" s="40" t="s">
        <v>291</v>
      </c>
      <c r="E6463" s="41">
        <v>4</v>
      </c>
      <c r="F6463" s="38">
        <v>23.825999999999997</v>
      </c>
      <c r="G6463" s="35">
        <f t="shared" si="125"/>
        <v>95.303999999999988</v>
      </c>
      <c r="H6463" s="43">
        <f>SUM(G6463:G6466)</f>
        <v>216.09454299999999</v>
      </c>
      <c r="I6463" s="44"/>
      <c r="J6463" s="34">
        <v>0</v>
      </c>
    </row>
    <row r="6464" spans="1:10" ht="15.75" hidden="1" thickBot="1" x14ac:dyDescent="0.3">
      <c r="A6464" s="249"/>
      <c r="B6464" s="266"/>
      <c r="C6464" s="40" t="s">
        <v>1538</v>
      </c>
      <c r="D6464" s="40" t="s">
        <v>291</v>
      </c>
      <c r="E6464" s="41">
        <v>1</v>
      </c>
      <c r="F6464" s="38" t="s">
        <v>23</v>
      </c>
      <c r="G6464" s="35" t="str">
        <f t="shared" si="125"/>
        <v/>
      </c>
      <c r="H6464" s="48"/>
      <c r="I6464" s="49"/>
      <c r="J6464" s="34">
        <v>0</v>
      </c>
    </row>
    <row r="6465" spans="1:10" ht="15.75" hidden="1" thickBot="1" x14ac:dyDescent="0.3">
      <c r="A6465" s="249"/>
      <c r="B6465" s="266"/>
      <c r="C6465" s="40" t="s">
        <v>3770</v>
      </c>
      <c r="D6465" s="40" t="s">
        <v>3752</v>
      </c>
      <c r="E6465" s="41">
        <v>1.0580000000000001</v>
      </c>
      <c r="F6465" s="38">
        <v>21.954499999999999</v>
      </c>
      <c r="G6465" s="35">
        <f t="shared" si="125"/>
        <v>23.227861000000001</v>
      </c>
      <c r="H6465" s="48"/>
      <c r="I6465" s="49"/>
      <c r="J6465" s="34">
        <v>0</v>
      </c>
    </row>
    <row r="6466" spans="1:10" ht="15.75" hidden="1" thickBot="1" x14ac:dyDescent="0.3">
      <c r="A6466" s="249"/>
      <c r="B6466" s="266"/>
      <c r="C6466" s="40" t="s">
        <v>3760</v>
      </c>
      <c r="D6466" s="40" t="s">
        <v>3752</v>
      </c>
      <c r="E6466" s="41">
        <v>3.4369999999999998</v>
      </c>
      <c r="F6466" s="35">
        <v>28.385999999999999</v>
      </c>
      <c r="G6466" s="35">
        <f t="shared" si="125"/>
        <v>97.562681999999995</v>
      </c>
      <c r="H6466" s="39"/>
      <c r="I6466" s="35"/>
      <c r="J6466" s="34">
        <v>0</v>
      </c>
    </row>
    <row r="6467" spans="1:10" ht="15.75" hidden="1" thickBot="1" x14ac:dyDescent="0.3">
      <c r="A6467" s="250"/>
      <c r="B6467" s="253"/>
      <c r="C6467" s="40"/>
      <c r="D6467" s="40"/>
      <c r="E6467" s="41"/>
      <c r="F6467" s="35" t="s">
        <v>23</v>
      </c>
      <c r="G6467" s="35" t="str">
        <f t="shared" si="125"/>
        <v/>
      </c>
      <c r="H6467" s="39"/>
      <c r="I6467" s="35"/>
      <c r="J6467" s="34">
        <v>0</v>
      </c>
    </row>
    <row r="6468" spans="1:10" ht="15.75" hidden="1" thickBot="1" x14ac:dyDescent="0.3">
      <c r="A6468" s="248" t="s">
        <v>1539</v>
      </c>
      <c r="B6468" s="251" t="s">
        <v>1540</v>
      </c>
      <c r="C6468" s="28"/>
      <c r="D6468" s="29" t="s">
        <v>28</v>
      </c>
      <c r="E6468" s="30"/>
      <c r="F6468" s="45" t="s">
        <v>23</v>
      </c>
      <c r="G6468" s="31" t="str">
        <f t="shared" si="125"/>
        <v/>
      </c>
      <c r="H6468" s="32"/>
      <c r="I6468" s="33"/>
      <c r="J6468" s="34">
        <v>0</v>
      </c>
    </row>
    <row r="6469" spans="1:10" ht="15.75" hidden="1" thickBot="1" x14ac:dyDescent="0.3">
      <c r="A6469" s="249"/>
      <c r="B6469" s="266"/>
      <c r="C6469" s="36"/>
      <c r="D6469" s="36"/>
      <c r="E6469" s="37"/>
      <c r="F6469" s="46" t="s">
        <v>23</v>
      </c>
      <c r="G6469" s="35" t="str">
        <f t="shared" si="125"/>
        <v/>
      </c>
      <c r="H6469" s="39"/>
      <c r="I6469" s="35"/>
      <c r="J6469" s="34">
        <v>0</v>
      </c>
    </row>
    <row r="6470" spans="1:10" ht="15.75" hidden="1" thickBot="1" x14ac:dyDescent="0.3">
      <c r="A6470" s="249"/>
      <c r="B6470" s="266"/>
      <c r="C6470" s="40" t="s">
        <v>1540</v>
      </c>
      <c r="D6470" s="53" t="s">
        <v>28</v>
      </c>
      <c r="E6470" s="41">
        <v>1</v>
      </c>
      <c r="F6470" s="38" t="s">
        <v>23</v>
      </c>
      <c r="G6470" s="35" t="str">
        <f t="shared" si="125"/>
        <v/>
      </c>
      <c r="H6470" s="43">
        <f>SUM(G6470:G6473)</f>
        <v>48.285358182799996</v>
      </c>
      <c r="I6470" s="44"/>
      <c r="J6470" s="34">
        <v>0</v>
      </c>
    </row>
    <row r="6471" spans="1:10" ht="39" hidden="1" thickBot="1" x14ac:dyDescent="0.3">
      <c r="A6471" s="249"/>
      <c r="B6471" s="266"/>
      <c r="C6471" s="40" t="s">
        <v>4733</v>
      </c>
      <c r="D6471" s="40" t="s">
        <v>3764</v>
      </c>
      <c r="E6471" s="41">
        <v>1.9199999999999998E-2</v>
      </c>
      <c r="F6471" s="38">
        <v>853.36371524999993</v>
      </c>
      <c r="G6471" s="35">
        <f t="shared" si="125"/>
        <v>16.384583332799998</v>
      </c>
      <c r="H6471" s="48"/>
      <c r="I6471" s="49"/>
      <c r="J6471" s="34">
        <v>0</v>
      </c>
    </row>
    <row r="6472" spans="1:10" ht="15.75" hidden="1" thickBot="1" x14ac:dyDescent="0.3">
      <c r="A6472" s="249"/>
      <c r="B6472" s="266"/>
      <c r="C6472" s="40" t="s">
        <v>3770</v>
      </c>
      <c r="D6472" s="40" t="s">
        <v>3752</v>
      </c>
      <c r="E6472" s="41">
        <v>0.63370000000000004</v>
      </c>
      <c r="F6472" s="38">
        <v>21.954499999999999</v>
      </c>
      <c r="G6472" s="35">
        <f t="shared" si="125"/>
        <v>13.91256665</v>
      </c>
      <c r="H6472" s="48"/>
      <c r="I6472" s="49"/>
      <c r="J6472" s="34">
        <v>0</v>
      </c>
    </row>
    <row r="6473" spans="1:10" ht="15.75" hidden="1" thickBot="1" x14ac:dyDescent="0.3">
      <c r="A6473" s="249"/>
      <c r="B6473" s="266"/>
      <c r="C6473" s="40" t="s">
        <v>3760</v>
      </c>
      <c r="D6473" s="40" t="s">
        <v>3752</v>
      </c>
      <c r="E6473" s="41">
        <v>0.63370000000000004</v>
      </c>
      <c r="F6473" s="35">
        <v>28.385999999999999</v>
      </c>
      <c r="G6473" s="35">
        <f t="shared" si="125"/>
        <v>17.988208199999999</v>
      </c>
      <c r="H6473" s="39"/>
      <c r="I6473" s="35"/>
      <c r="J6473" s="34">
        <v>0</v>
      </c>
    </row>
    <row r="6474" spans="1:10" ht="15.75" hidden="1" thickBot="1" x14ac:dyDescent="0.3">
      <c r="A6474" s="250"/>
      <c r="B6474" s="253"/>
      <c r="C6474" s="60"/>
      <c r="D6474" s="60"/>
      <c r="E6474" s="79"/>
      <c r="F6474" s="87" t="s">
        <v>23</v>
      </c>
      <c r="G6474" s="87" t="str">
        <f t="shared" si="125"/>
        <v/>
      </c>
      <c r="H6474" s="89"/>
      <c r="I6474" s="35"/>
      <c r="J6474" s="34">
        <v>0</v>
      </c>
    </row>
    <row r="6475" spans="1:10" ht="15.75" hidden="1" thickBot="1" x14ac:dyDescent="0.3">
      <c r="A6475" s="248" t="s">
        <v>1541</v>
      </c>
      <c r="B6475" s="251" t="s">
        <v>3310</v>
      </c>
      <c r="C6475" s="28"/>
      <c r="D6475" s="29" t="s">
        <v>28</v>
      </c>
      <c r="E6475" s="30"/>
      <c r="F6475" s="45" t="s">
        <v>23</v>
      </c>
      <c r="G6475" s="31" t="str">
        <f t="shared" si="125"/>
        <v/>
      </c>
      <c r="H6475" s="32"/>
      <c r="I6475" s="33"/>
      <c r="J6475" s="34">
        <v>0</v>
      </c>
    </row>
    <row r="6476" spans="1:10" ht="15.75" hidden="1" thickBot="1" x14ac:dyDescent="0.3">
      <c r="A6476" s="249"/>
      <c r="B6476" s="252"/>
      <c r="C6476" s="36"/>
      <c r="D6476" s="36"/>
      <c r="E6476" s="37"/>
      <c r="F6476" s="46" t="s">
        <v>23</v>
      </c>
      <c r="G6476" s="35" t="str">
        <f t="shared" si="125"/>
        <v/>
      </c>
      <c r="H6476" s="39"/>
      <c r="I6476" s="35"/>
      <c r="J6476" s="34">
        <v>0</v>
      </c>
    </row>
    <row r="6477" spans="1:10" ht="26.25" hidden="1" thickBot="1" x14ac:dyDescent="0.3">
      <c r="A6477" s="249"/>
      <c r="B6477" s="252"/>
      <c r="C6477" s="40" t="s">
        <v>1542</v>
      </c>
      <c r="D6477" s="53" t="s">
        <v>28</v>
      </c>
      <c r="E6477" s="41">
        <v>1</v>
      </c>
      <c r="F6477" s="38" t="s">
        <v>23</v>
      </c>
      <c r="G6477" s="35" t="str">
        <f t="shared" si="125"/>
        <v/>
      </c>
      <c r="H6477" s="43">
        <f>SUM(G6477:G6480)</f>
        <v>48.285358182799996</v>
      </c>
      <c r="I6477" s="44"/>
      <c r="J6477" s="34">
        <v>0</v>
      </c>
    </row>
    <row r="6478" spans="1:10" ht="39" hidden="1" thickBot="1" x14ac:dyDescent="0.3">
      <c r="A6478" s="249"/>
      <c r="B6478" s="252"/>
      <c r="C6478" s="40" t="s">
        <v>4733</v>
      </c>
      <c r="D6478" s="40" t="s">
        <v>3764</v>
      </c>
      <c r="E6478" s="41">
        <v>1.9199999999999998E-2</v>
      </c>
      <c r="F6478" s="35">
        <v>853.36371524999993</v>
      </c>
      <c r="G6478" s="35">
        <f t="shared" si="125"/>
        <v>16.384583332799998</v>
      </c>
      <c r="H6478" s="39"/>
      <c r="I6478" s="35"/>
      <c r="J6478" s="34">
        <v>0</v>
      </c>
    </row>
    <row r="6479" spans="1:10" ht="15.75" hidden="1" thickBot="1" x14ac:dyDescent="0.3">
      <c r="A6479" s="249"/>
      <c r="B6479" s="252"/>
      <c r="C6479" s="40" t="s">
        <v>3770</v>
      </c>
      <c r="D6479" s="40" t="s">
        <v>3752</v>
      </c>
      <c r="E6479" s="41">
        <v>0.63370000000000004</v>
      </c>
      <c r="F6479" s="35">
        <v>21.954499999999999</v>
      </c>
      <c r="G6479" s="35">
        <f t="shared" si="125"/>
        <v>13.91256665</v>
      </c>
      <c r="H6479" s="39"/>
      <c r="I6479" s="35"/>
      <c r="J6479" s="34">
        <v>0</v>
      </c>
    </row>
    <row r="6480" spans="1:10" ht="15.75" hidden="1" thickBot="1" x14ac:dyDescent="0.3">
      <c r="A6480" s="249"/>
      <c r="B6480" s="252"/>
      <c r="C6480" s="40" t="s">
        <v>3760</v>
      </c>
      <c r="D6480" s="40" t="s">
        <v>3752</v>
      </c>
      <c r="E6480" s="41">
        <v>0.63370000000000004</v>
      </c>
      <c r="F6480" s="35">
        <v>28.385999999999999</v>
      </c>
      <c r="G6480" s="38">
        <f t="shared" si="125"/>
        <v>17.988208199999999</v>
      </c>
      <c r="H6480" s="39"/>
      <c r="I6480" s="35"/>
      <c r="J6480" s="34">
        <v>0</v>
      </c>
    </row>
    <row r="6481" spans="1:10" ht="15.75" hidden="1" thickBot="1" x14ac:dyDescent="0.3">
      <c r="A6481" s="249"/>
      <c r="B6481" s="253"/>
      <c r="C6481" s="40"/>
      <c r="D6481" s="40"/>
      <c r="E6481" s="41"/>
      <c r="F6481" s="35" t="s">
        <v>23</v>
      </c>
      <c r="G6481" s="35" t="str">
        <f t="shared" si="125"/>
        <v/>
      </c>
      <c r="H6481" s="39"/>
      <c r="I6481" s="35"/>
      <c r="J6481" s="34">
        <v>0</v>
      </c>
    </row>
    <row r="6482" spans="1:10" ht="15.75" hidden="1" thickBot="1" x14ac:dyDescent="0.3">
      <c r="A6482" s="248" t="s">
        <v>1543</v>
      </c>
      <c r="B6482" s="251" t="s">
        <v>3311</v>
      </c>
      <c r="C6482" s="28"/>
      <c r="D6482" s="29" t="s">
        <v>28</v>
      </c>
      <c r="E6482" s="30"/>
      <c r="F6482" s="45" t="s">
        <v>23</v>
      </c>
      <c r="G6482" s="31" t="str">
        <f t="shared" si="125"/>
        <v/>
      </c>
      <c r="H6482" s="32"/>
      <c r="I6482" s="33"/>
      <c r="J6482" s="34">
        <v>0</v>
      </c>
    </row>
    <row r="6483" spans="1:10" ht="15.75" hidden="1" thickBot="1" x14ac:dyDescent="0.3">
      <c r="A6483" s="249"/>
      <c r="B6483" s="252"/>
      <c r="C6483" s="36"/>
      <c r="D6483" s="36"/>
      <c r="E6483" s="37"/>
      <c r="F6483" s="46" t="s">
        <v>23</v>
      </c>
      <c r="G6483" s="35" t="str">
        <f t="shared" si="125"/>
        <v/>
      </c>
      <c r="H6483" s="39"/>
      <c r="I6483" s="35"/>
      <c r="J6483" s="34">
        <v>0</v>
      </c>
    </row>
    <row r="6484" spans="1:10" ht="26.25" hidden="1" thickBot="1" x14ac:dyDescent="0.3">
      <c r="A6484" s="249"/>
      <c r="B6484" s="252"/>
      <c r="C6484" s="40" t="s">
        <v>1544</v>
      </c>
      <c r="D6484" s="53" t="s">
        <v>28</v>
      </c>
      <c r="E6484" s="41">
        <v>1</v>
      </c>
      <c r="F6484" s="38" t="s">
        <v>23</v>
      </c>
      <c r="G6484" s="35" t="str">
        <f t="shared" si="125"/>
        <v/>
      </c>
      <c r="H6484" s="43">
        <f>SUM(G6484:G6487)</f>
        <v>48.285358182799996</v>
      </c>
      <c r="I6484" s="44"/>
      <c r="J6484" s="34">
        <v>0</v>
      </c>
    </row>
    <row r="6485" spans="1:10" ht="39" hidden="1" thickBot="1" x14ac:dyDescent="0.3">
      <c r="A6485" s="249"/>
      <c r="B6485" s="252"/>
      <c r="C6485" s="40" t="s">
        <v>4733</v>
      </c>
      <c r="D6485" s="40" t="s">
        <v>3764</v>
      </c>
      <c r="E6485" s="41">
        <v>1.9199999999999998E-2</v>
      </c>
      <c r="F6485" s="35">
        <v>853.36371524999993</v>
      </c>
      <c r="G6485" s="35">
        <f t="shared" si="125"/>
        <v>16.384583332799998</v>
      </c>
      <c r="H6485" s="39"/>
      <c r="I6485" s="35"/>
      <c r="J6485" s="34">
        <v>0</v>
      </c>
    </row>
    <row r="6486" spans="1:10" ht="15.75" hidden="1" thickBot="1" x14ac:dyDescent="0.3">
      <c r="A6486" s="249"/>
      <c r="B6486" s="252"/>
      <c r="C6486" s="40" t="s">
        <v>3770</v>
      </c>
      <c r="D6486" s="40" t="s">
        <v>3752</v>
      </c>
      <c r="E6486" s="41">
        <v>0.63370000000000004</v>
      </c>
      <c r="F6486" s="35">
        <v>21.954499999999999</v>
      </c>
      <c r="G6486" s="35">
        <f t="shared" si="125"/>
        <v>13.91256665</v>
      </c>
      <c r="H6486" s="39"/>
      <c r="I6486" s="35"/>
      <c r="J6486" s="34">
        <v>0</v>
      </c>
    </row>
    <row r="6487" spans="1:10" ht="15.75" hidden="1" thickBot="1" x14ac:dyDescent="0.3">
      <c r="A6487" s="249"/>
      <c r="B6487" s="252"/>
      <c r="C6487" s="40" t="s">
        <v>3760</v>
      </c>
      <c r="D6487" s="40" t="s">
        <v>3752</v>
      </c>
      <c r="E6487" s="41">
        <v>0.63370000000000004</v>
      </c>
      <c r="F6487" s="35">
        <v>28.385999999999999</v>
      </c>
      <c r="G6487" s="38">
        <f t="shared" si="125"/>
        <v>17.988208199999999</v>
      </c>
      <c r="H6487" s="39"/>
      <c r="I6487" s="35"/>
      <c r="J6487" s="34">
        <v>0</v>
      </c>
    </row>
    <row r="6488" spans="1:10" ht="15.75" hidden="1" thickBot="1" x14ac:dyDescent="0.3">
      <c r="A6488" s="249"/>
      <c r="B6488" s="253"/>
      <c r="C6488" s="40"/>
      <c r="D6488" s="40"/>
      <c r="E6488" s="41"/>
      <c r="F6488" s="35" t="s">
        <v>23</v>
      </c>
      <c r="G6488" s="35" t="str">
        <f t="shared" si="125"/>
        <v/>
      </c>
      <c r="H6488" s="39"/>
      <c r="I6488" s="35"/>
      <c r="J6488" s="34">
        <v>0</v>
      </c>
    </row>
    <row r="6489" spans="1:10" ht="15.75" hidden="1" thickBot="1" x14ac:dyDescent="0.3">
      <c r="A6489" s="248" t="s">
        <v>1545</v>
      </c>
      <c r="B6489" s="251" t="s">
        <v>3312</v>
      </c>
      <c r="C6489" s="28"/>
      <c r="D6489" s="29" t="s">
        <v>28</v>
      </c>
      <c r="E6489" s="30"/>
      <c r="F6489" s="45" t="s">
        <v>23</v>
      </c>
      <c r="G6489" s="31" t="str">
        <f t="shared" si="125"/>
        <v/>
      </c>
      <c r="H6489" s="32"/>
      <c r="I6489" s="33"/>
      <c r="J6489" s="34">
        <v>0</v>
      </c>
    </row>
    <row r="6490" spans="1:10" ht="15.75" hidden="1" thickBot="1" x14ac:dyDescent="0.3">
      <c r="A6490" s="249"/>
      <c r="B6490" s="266"/>
      <c r="C6490" s="36"/>
      <c r="D6490" s="36"/>
      <c r="E6490" s="37"/>
      <c r="F6490" s="46" t="s">
        <v>23</v>
      </c>
      <c r="G6490" s="35" t="str">
        <f t="shared" si="125"/>
        <v/>
      </c>
      <c r="H6490" s="39"/>
      <c r="I6490" s="35"/>
      <c r="J6490" s="34">
        <v>0</v>
      </c>
    </row>
    <row r="6491" spans="1:10" ht="26.25" hidden="1" thickBot="1" x14ac:dyDescent="0.3">
      <c r="A6491" s="249"/>
      <c r="B6491" s="266"/>
      <c r="C6491" s="40" t="s">
        <v>3858</v>
      </c>
      <c r="D6491" s="40" t="s">
        <v>291</v>
      </c>
      <c r="E6491" s="75">
        <v>1</v>
      </c>
      <c r="F6491" s="35">
        <v>16.102499999999999</v>
      </c>
      <c r="G6491" s="35">
        <f t="shared" si="125"/>
        <v>16.102499999999999</v>
      </c>
      <c r="H6491" s="43">
        <f>SUM(G6491:G6491)</f>
        <v>16.102499999999999</v>
      </c>
      <c r="I6491" s="44"/>
      <c r="J6491" s="34">
        <v>0</v>
      </c>
    </row>
    <row r="6492" spans="1:10" ht="15.75" hidden="1" thickBot="1" x14ac:dyDescent="0.3">
      <c r="A6492" s="250"/>
      <c r="B6492" s="253"/>
      <c r="C6492" s="60"/>
      <c r="D6492" s="60"/>
      <c r="E6492" s="79"/>
      <c r="F6492" s="87" t="s">
        <v>23</v>
      </c>
      <c r="G6492" s="87" t="str">
        <f t="shared" si="125"/>
        <v/>
      </c>
      <c r="H6492" s="89"/>
      <c r="I6492" s="35"/>
      <c r="J6492" s="34">
        <v>0</v>
      </c>
    </row>
    <row r="6493" spans="1:10" ht="15.75" hidden="1" thickBot="1" x14ac:dyDescent="0.3">
      <c r="A6493" s="248" t="s">
        <v>1546</v>
      </c>
      <c r="B6493" s="251" t="s">
        <v>3034</v>
      </c>
      <c r="C6493" s="28"/>
      <c r="D6493" s="29" t="s">
        <v>28</v>
      </c>
      <c r="E6493" s="30"/>
      <c r="F6493" s="45" t="s">
        <v>23</v>
      </c>
      <c r="G6493" s="31" t="str">
        <f t="shared" si="125"/>
        <v/>
      </c>
      <c r="H6493" s="32"/>
      <c r="I6493" s="33"/>
      <c r="J6493" s="34">
        <v>0</v>
      </c>
    </row>
    <row r="6494" spans="1:10" ht="15.75" hidden="1" thickBot="1" x14ac:dyDescent="0.3">
      <c r="A6494" s="249"/>
      <c r="B6494" s="266"/>
      <c r="C6494" s="36"/>
      <c r="D6494" s="36"/>
      <c r="E6494" s="37"/>
      <c r="F6494" s="46" t="s">
        <v>23</v>
      </c>
      <c r="G6494" s="35" t="str">
        <f t="shared" si="125"/>
        <v/>
      </c>
      <c r="H6494" s="39"/>
      <c r="I6494" s="35"/>
      <c r="J6494" s="34">
        <v>0</v>
      </c>
    </row>
    <row r="6495" spans="1:10" ht="26.25" hidden="1" thickBot="1" x14ac:dyDescent="0.3">
      <c r="A6495" s="249"/>
      <c r="B6495" s="266"/>
      <c r="C6495" s="40" t="s">
        <v>4346</v>
      </c>
      <c r="D6495" s="40" t="s">
        <v>291</v>
      </c>
      <c r="E6495" s="75">
        <v>1</v>
      </c>
      <c r="F6495" s="35">
        <v>3.0305</v>
      </c>
      <c r="G6495" s="35">
        <f t="shared" si="125"/>
        <v>3.0305</v>
      </c>
      <c r="H6495" s="43">
        <f>SUM(G6495:G6495)</f>
        <v>3.0305</v>
      </c>
      <c r="I6495" s="44"/>
      <c r="J6495" s="34">
        <v>0</v>
      </c>
    </row>
    <row r="6496" spans="1:10" ht="15.75" hidden="1" thickBot="1" x14ac:dyDescent="0.3">
      <c r="A6496" s="250"/>
      <c r="B6496" s="253"/>
      <c r="C6496" s="60"/>
      <c r="D6496" s="60"/>
      <c r="E6496" s="79"/>
      <c r="F6496" s="87" t="s">
        <v>23</v>
      </c>
      <c r="G6496" s="87" t="str">
        <f t="shared" si="125"/>
        <v/>
      </c>
      <c r="H6496" s="89"/>
      <c r="I6496" s="35"/>
      <c r="J6496" s="34">
        <v>0</v>
      </c>
    </row>
    <row r="6497" spans="1:10" ht="15.75" hidden="1" thickBot="1" x14ac:dyDescent="0.3">
      <c r="A6497" s="248" t="s">
        <v>1547</v>
      </c>
      <c r="B6497" s="251" t="s">
        <v>3313</v>
      </c>
      <c r="C6497" s="28"/>
      <c r="D6497" s="29" t="s">
        <v>82</v>
      </c>
      <c r="E6497" s="30"/>
      <c r="F6497" s="45" t="s">
        <v>23</v>
      </c>
      <c r="G6497" s="31" t="str">
        <f t="shared" si="125"/>
        <v/>
      </c>
      <c r="H6497" s="32"/>
      <c r="I6497" s="33"/>
      <c r="J6497" s="34">
        <v>0</v>
      </c>
    </row>
    <row r="6498" spans="1:10" ht="15.75" hidden="1" thickBot="1" x14ac:dyDescent="0.3">
      <c r="A6498" s="249"/>
      <c r="B6498" s="266"/>
      <c r="C6498" s="36"/>
      <c r="D6498" s="36"/>
      <c r="E6498" s="37"/>
      <c r="F6498" s="46" t="s">
        <v>23</v>
      </c>
      <c r="G6498" s="35" t="str">
        <f t="shared" si="125"/>
        <v/>
      </c>
      <c r="H6498" s="39"/>
      <c r="I6498" s="35"/>
      <c r="J6498" s="34">
        <v>0</v>
      </c>
    </row>
    <row r="6499" spans="1:10" ht="15.75" hidden="1" thickBot="1" x14ac:dyDescent="0.3">
      <c r="A6499" s="249"/>
      <c r="B6499" s="266"/>
      <c r="C6499" s="40" t="s">
        <v>4013</v>
      </c>
      <c r="D6499" s="40" t="s">
        <v>1035</v>
      </c>
      <c r="E6499" s="75">
        <v>1</v>
      </c>
      <c r="F6499" s="35">
        <v>3.6194999999999999</v>
      </c>
      <c r="G6499" s="35">
        <f t="shared" si="125"/>
        <v>3.6194999999999999</v>
      </c>
      <c r="H6499" s="43">
        <f>SUM(G6499:G6499)</f>
        <v>3.6194999999999999</v>
      </c>
      <c r="I6499" s="44"/>
      <c r="J6499" s="34">
        <v>0</v>
      </c>
    </row>
    <row r="6500" spans="1:10" ht="15.75" hidden="1" thickBot="1" x14ac:dyDescent="0.3">
      <c r="A6500" s="250"/>
      <c r="B6500" s="253"/>
      <c r="C6500" s="60"/>
      <c r="D6500" s="60"/>
      <c r="E6500" s="79"/>
      <c r="F6500" s="87" t="s">
        <v>23</v>
      </c>
      <c r="G6500" s="87" t="str">
        <f t="shared" si="125"/>
        <v/>
      </c>
      <c r="H6500" s="89"/>
      <c r="I6500" s="35"/>
      <c r="J6500" s="34">
        <v>0</v>
      </c>
    </row>
    <row r="6501" spans="1:10" ht="15.75" hidden="1" thickBot="1" x14ac:dyDescent="0.3">
      <c r="A6501" s="248" t="s">
        <v>1548</v>
      </c>
      <c r="B6501" s="251" t="s">
        <v>2219</v>
      </c>
      <c r="C6501" s="28"/>
      <c r="D6501" s="29" t="s">
        <v>28</v>
      </c>
      <c r="E6501" s="30"/>
      <c r="F6501" s="45" t="s">
        <v>23</v>
      </c>
      <c r="G6501" s="31" t="str">
        <f t="shared" si="125"/>
        <v/>
      </c>
      <c r="H6501" s="32"/>
      <c r="I6501" s="33"/>
      <c r="J6501" s="34">
        <v>0</v>
      </c>
    </row>
    <row r="6502" spans="1:10" ht="15.75" hidden="1" thickBot="1" x14ac:dyDescent="0.3">
      <c r="A6502" s="249"/>
      <c r="B6502" s="266"/>
      <c r="C6502" s="36"/>
      <c r="D6502" s="36"/>
      <c r="E6502" s="37"/>
      <c r="F6502" s="46" t="s">
        <v>23</v>
      </c>
      <c r="G6502" s="35" t="str">
        <f t="shared" si="125"/>
        <v/>
      </c>
      <c r="H6502" s="39"/>
      <c r="I6502" s="35"/>
      <c r="J6502" s="34">
        <v>0</v>
      </c>
    </row>
    <row r="6503" spans="1:10" ht="15.75" hidden="1" thickBot="1" x14ac:dyDescent="0.3">
      <c r="A6503" s="249"/>
      <c r="B6503" s="266"/>
      <c r="C6503" s="40" t="s">
        <v>4347</v>
      </c>
      <c r="D6503" s="40" t="s">
        <v>291</v>
      </c>
      <c r="E6503" s="75">
        <v>1</v>
      </c>
      <c r="F6503" s="35">
        <v>43.699999999999996</v>
      </c>
      <c r="G6503" s="35">
        <f t="shared" si="125"/>
        <v>43.699999999999996</v>
      </c>
      <c r="H6503" s="43">
        <f>SUM(G6503:G6503)</f>
        <v>43.699999999999996</v>
      </c>
      <c r="I6503" s="44"/>
      <c r="J6503" s="34">
        <v>0</v>
      </c>
    </row>
    <row r="6504" spans="1:10" ht="15.75" hidden="1" thickBot="1" x14ac:dyDescent="0.3">
      <c r="A6504" s="250"/>
      <c r="B6504" s="253"/>
      <c r="C6504" s="60"/>
      <c r="D6504" s="60"/>
      <c r="E6504" s="79"/>
      <c r="F6504" s="87" t="s">
        <v>23</v>
      </c>
      <c r="G6504" s="87" t="str">
        <f t="shared" si="125"/>
        <v/>
      </c>
      <c r="H6504" s="89"/>
      <c r="I6504" s="35"/>
      <c r="J6504" s="34">
        <v>0</v>
      </c>
    </row>
    <row r="6505" spans="1:10" ht="15.75" hidden="1" thickBot="1" x14ac:dyDescent="0.3">
      <c r="A6505" s="248" t="s">
        <v>1549</v>
      </c>
      <c r="B6505" s="251" t="s">
        <v>3314</v>
      </c>
      <c r="C6505" s="28"/>
      <c r="D6505" s="29" t="s">
        <v>28</v>
      </c>
      <c r="E6505" s="30"/>
      <c r="F6505" s="45" t="s">
        <v>23</v>
      </c>
      <c r="G6505" s="31" t="str">
        <f t="shared" si="125"/>
        <v/>
      </c>
      <c r="H6505" s="32"/>
      <c r="I6505" s="33"/>
      <c r="J6505" s="34">
        <v>0</v>
      </c>
    </row>
    <row r="6506" spans="1:10" ht="15.75" hidden="1" thickBot="1" x14ac:dyDescent="0.3">
      <c r="A6506" s="249"/>
      <c r="B6506" s="266"/>
      <c r="C6506" s="36"/>
      <c r="D6506" s="36"/>
      <c r="E6506" s="37"/>
      <c r="F6506" s="46" t="s">
        <v>23</v>
      </c>
      <c r="G6506" s="35" t="str">
        <f t="shared" si="125"/>
        <v/>
      </c>
      <c r="H6506" s="39"/>
      <c r="I6506" s="35"/>
      <c r="J6506" s="34">
        <v>0</v>
      </c>
    </row>
    <row r="6507" spans="1:10" ht="26.25" hidden="1" thickBot="1" x14ac:dyDescent="0.3">
      <c r="A6507" s="249"/>
      <c r="B6507" s="266"/>
      <c r="C6507" s="40" t="s">
        <v>4348</v>
      </c>
      <c r="D6507" s="40" t="s">
        <v>291</v>
      </c>
      <c r="E6507" s="75">
        <v>1</v>
      </c>
      <c r="F6507" s="35">
        <v>151.905</v>
      </c>
      <c r="G6507" s="35">
        <f t="shared" si="125"/>
        <v>151.905</v>
      </c>
      <c r="H6507" s="43">
        <f>SUM(G6507:G6507)</f>
        <v>151.905</v>
      </c>
      <c r="I6507" s="44"/>
      <c r="J6507" s="34">
        <v>0</v>
      </c>
    </row>
    <row r="6508" spans="1:10" ht="15.75" hidden="1" thickBot="1" x14ac:dyDescent="0.3">
      <c r="A6508" s="250"/>
      <c r="B6508" s="253"/>
      <c r="C6508" s="60"/>
      <c r="D6508" s="60"/>
      <c r="E6508" s="79"/>
      <c r="F6508" s="87" t="s">
        <v>23</v>
      </c>
      <c r="G6508" s="87" t="str">
        <f t="shared" si="125"/>
        <v/>
      </c>
      <c r="H6508" s="89"/>
      <c r="I6508" s="35"/>
      <c r="J6508" s="34">
        <v>0</v>
      </c>
    </row>
    <row r="6509" spans="1:10" ht="15.75" hidden="1" thickBot="1" x14ac:dyDescent="0.3">
      <c r="A6509" s="248" t="s">
        <v>1550</v>
      </c>
      <c r="B6509" s="251" t="s">
        <v>3315</v>
      </c>
      <c r="C6509" s="28"/>
      <c r="D6509" s="29" t="s">
        <v>28</v>
      </c>
      <c r="E6509" s="30"/>
      <c r="F6509" s="45" t="s">
        <v>23</v>
      </c>
      <c r="G6509" s="31" t="str">
        <f t="shared" ref="G6509:G6572" si="126">IF(ISNUMBER(F6509),E6509*F6509,"")</f>
        <v/>
      </c>
      <c r="H6509" s="32"/>
      <c r="I6509" s="33"/>
      <c r="J6509" s="34">
        <v>0</v>
      </c>
    </row>
    <row r="6510" spans="1:10" ht="15.75" hidden="1" thickBot="1" x14ac:dyDescent="0.3">
      <c r="A6510" s="249"/>
      <c r="B6510" s="266"/>
      <c r="C6510" s="36"/>
      <c r="D6510" s="36"/>
      <c r="E6510" s="37"/>
      <c r="F6510" s="46" t="s">
        <v>23</v>
      </c>
      <c r="G6510" s="35" t="str">
        <f t="shared" si="126"/>
        <v/>
      </c>
      <c r="H6510" s="39"/>
      <c r="I6510" s="35"/>
      <c r="J6510" s="34">
        <v>0</v>
      </c>
    </row>
    <row r="6511" spans="1:10" ht="26.25" hidden="1" thickBot="1" x14ac:dyDescent="0.3">
      <c r="A6511" s="249"/>
      <c r="B6511" s="266"/>
      <c r="C6511" s="40" t="s">
        <v>4349</v>
      </c>
      <c r="D6511" s="40" t="s">
        <v>291</v>
      </c>
      <c r="E6511" s="75">
        <v>1</v>
      </c>
      <c r="F6511" s="35">
        <v>161.97499999999999</v>
      </c>
      <c r="G6511" s="35">
        <f t="shared" si="126"/>
        <v>161.97499999999999</v>
      </c>
      <c r="H6511" s="43">
        <f>SUM(G6511:G6511)</f>
        <v>161.97499999999999</v>
      </c>
      <c r="I6511" s="44"/>
      <c r="J6511" s="34">
        <v>0</v>
      </c>
    </row>
    <row r="6512" spans="1:10" ht="15.75" hidden="1" thickBot="1" x14ac:dyDescent="0.3">
      <c r="A6512" s="250"/>
      <c r="B6512" s="253"/>
      <c r="C6512" s="60"/>
      <c r="D6512" s="60"/>
      <c r="E6512" s="79"/>
      <c r="F6512" s="87" t="s">
        <v>23</v>
      </c>
      <c r="G6512" s="87" t="str">
        <f t="shared" si="126"/>
        <v/>
      </c>
      <c r="H6512" s="89"/>
      <c r="I6512" s="35"/>
      <c r="J6512" s="34">
        <v>0</v>
      </c>
    </row>
    <row r="6513" spans="1:10" ht="15.75" hidden="1" thickBot="1" x14ac:dyDescent="0.3">
      <c r="A6513" s="248" t="s">
        <v>1551</v>
      </c>
      <c r="B6513" s="251" t="s">
        <v>3316</v>
      </c>
      <c r="C6513" s="28"/>
      <c r="D6513" s="29" t="s">
        <v>28</v>
      </c>
      <c r="E6513" s="30"/>
      <c r="F6513" s="45" t="s">
        <v>23</v>
      </c>
      <c r="G6513" s="31" t="str">
        <f t="shared" si="126"/>
        <v/>
      </c>
      <c r="H6513" s="32"/>
      <c r="I6513" s="33"/>
      <c r="J6513" s="34">
        <v>0</v>
      </c>
    </row>
    <row r="6514" spans="1:10" ht="15.75" hidden="1" thickBot="1" x14ac:dyDescent="0.3">
      <c r="A6514" s="249"/>
      <c r="B6514" s="266"/>
      <c r="C6514" s="36"/>
      <c r="D6514" s="36"/>
      <c r="E6514" s="37"/>
      <c r="F6514" s="46" t="s">
        <v>23</v>
      </c>
      <c r="G6514" s="35" t="str">
        <f t="shared" si="126"/>
        <v/>
      </c>
      <c r="H6514" s="39"/>
      <c r="I6514" s="35"/>
      <c r="J6514" s="34">
        <v>0</v>
      </c>
    </row>
    <row r="6515" spans="1:10" ht="26.25" hidden="1" thickBot="1" x14ac:dyDescent="0.3">
      <c r="A6515" s="249"/>
      <c r="B6515" s="266"/>
      <c r="C6515" s="40" t="s">
        <v>4350</v>
      </c>
      <c r="D6515" s="40" t="s">
        <v>291</v>
      </c>
      <c r="E6515" s="75">
        <v>1</v>
      </c>
      <c r="F6515" s="35">
        <v>4.1229999999999993</v>
      </c>
      <c r="G6515" s="35">
        <f t="shared" si="126"/>
        <v>4.1229999999999993</v>
      </c>
      <c r="H6515" s="43">
        <f>SUM(G6515:G6515)</f>
        <v>4.1229999999999993</v>
      </c>
      <c r="I6515" s="44"/>
      <c r="J6515" s="34">
        <v>0</v>
      </c>
    </row>
    <row r="6516" spans="1:10" ht="15.75" hidden="1" thickBot="1" x14ac:dyDescent="0.3">
      <c r="A6516" s="250"/>
      <c r="B6516" s="253"/>
      <c r="C6516" s="60"/>
      <c r="D6516" s="60"/>
      <c r="E6516" s="79"/>
      <c r="F6516" s="87" t="s">
        <v>23</v>
      </c>
      <c r="G6516" s="87" t="str">
        <f t="shared" si="126"/>
        <v/>
      </c>
      <c r="H6516" s="89"/>
      <c r="I6516" s="35"/>
      <c r="J6516" s="34">
        <v>0</v>
      </c>
    </row>
    <row r="6517" spans="1:10" ht="15.75" hidden="1" thickBot="1" x14ac:dyDescent="0.3">
      <c r="A6517" s="248" t="s">
        <v>1552</v>
      </c>
      <c r="B6517" s="251" t="s">
        <v>3317</v>
      </c>
      <c r="C6517" s="28"/>
      <c r="D6517" s="29" t="s">
        <v>28</v>
      </c>
      <c r="E6517" s="30"/>
      <c r="F6517" s="45" t="s">
        <v>23</v>
      </c>
      <c r="G6517" s="31" t="str">
        <f t="shared" si="126"/>
        <v/>
      </c>
      <c r="H6517" s="32"/>
      <c r="I6517" s="33"/>
      <c r="J6517" s="34">
        <v>0</v>
      </c>
    </row>
    <row r="6518" spans="1:10" ht="15.75" hidden="1" thickBot="1" x14ac:dyDescent="0.3">
      <c r="A6518" s="249"/>
      <c r="B6518" s="266"/>
      <c r="C6518" s="36"/>
      <c r="D6518" s="36"/>
      <c r="E6518" s="37"/>
      <c r="F6518" s="46" t="s">
        <v>23</v>
      </c>
      <c r="G6518" s="35" t="str">
        <f t="shared" si="126"/>
        <v/>
      </c>
      <c r="H6518" s="39"/>
      <c r="I6518" s="35"/>
      <c r="J6518" s="34">
        <v>0</v>
      </c>
    </row>
    <row r="6519" spans="1:10" ht="26.25" hidden="1" thickBot="1" x14ac:dyDescent="0.3">
      <c r="A6519" s="249"/>
      <c r="B6519" s="266"/>
      <c r="C6519" s="40" t="s">
        <v>3886</v>
      </c>
      <c r="D6519" s="40" t="s">
        <v>291</v>
      </c>
      <c r="E6519" s="75">
        <v>1</v>
      </c>
      <c r="F6519" s="35">
        <v>247.65549999999999</v>
      </c>
      <c r="G6519" s="35">
        <f t="shared" si="126"/>
        <v>247.65549999999999</v>
      </c>
      <c r="H6519" s="43">
        <f>SUM(G6519:G6519)</f>
        <v>247.65549999999999</v>
      </c>
      <c r="I6519" s="44"/>
      <c r="J6519" s="34">
        <v>0</v>
      </c>
    </row>
    <row r="6520" spans="1:10" ht="15.75" hidden="1" thickBot="1" x14ac:dyDescent="0.3">
      <c r="A6520" s="250"/>
      <c r="B6520" s="253"/>
      <c r="C6520" s="60"/>
      <c r="D6520" s="60"/>
      <c r="E6520" s="79"/>
      <c r="F6520" s="87" t="s">
        <v>23</v>
      </c>
      <c r="G6520" s="87" t="str">
        <f t="shared" si="126"/>
        <v/>
      </c>
      <c r="H6520" s="89"/>
      <c r="I6520" s="35"/>
      <c r="J6520" s="34">
        <v>0</v>
      </c>
    </row>
    <row r="6521" spans="1:10" ht="15.75" hidden="1" thickBot="1" x14ac:dyDescent="0.3">
      <c r="A6521" s="248" t="s">
        <v>1553</v>
      </c>
      <c r="B6521" s="251" t="s">
        <v>3318</v>
      </c>
      <c r="C6521" s="28"/>
      <c r="D6521" s="29" t="s">
        <v>28</v>
      </c>
      <c r="E6521" s="30"/>
      <c r="F6521" s="45" t="s">
        <v>23</v>
      </c>
      <c r="G6521" s="31" t="str">
        <f t="shared" si="126"/>
        <v/>
      </c>
      <c r="H6521" s="32"/>
      <c r="I6521" s="33"/>
      <c r="J6521" s="34">
        <v>0</v>
      </c>
    </row>
    <row r="6522" spans="1:10" ht="15.75" hidden="1" thickBot="1" x14ac:dyDescent="0.3">
      <c r="A6522" s="249"/>
      <c r="B6522" s="266"/>
      <c r="C6522" s="36"/>
      <c r="D6522" s="36"/>
      <c r="E6522" s="37"/>
      <c r="F6522" s="46" t="s">
        <v>23</v>
      </c>
      <c r="G6522" s="35" t="str">
        <f t="shared" si="126"/>
        <v/>
      </c>
      <c r="H6522" s="39"/>
      <c r="I6522" s="35"/>
      <c r="J6522" s="34">
        <v>0</v>
      </c>
    </row>
    <row r="6523" spans="1:10" ht="26.25" hidden="1" thickBot="1" x14ac:dyDescent="0.3">
      <c r="A6523" s="249"/>
      <c r="B6523" s="266"/>
      <c r="C6523" s="40" t="s">
        <v>4351</v>
      </c>
      <c r="D6523" s="40" t="s">
        <v>291</v>
      </c>
      <c r="E6523" s="75">
        <v>1</v>
      </c>
      <c r="F6523" s="35">
        <v>22.505500000000001</v>
      </c>
      <c r="G6523" s="35">
        <f t="shared" si="126"/>
        <v>22.505500000000001</v>
      </c>
      <c r="H6523" s="43">
        <f>SUM(G6523:G6523)</f>
        <v>22.505500000000001</v>
      </c>
      <c r="I6523" s="44"/>
      <c r="J6523" s="34">
        <v>0</v>
      </c>
    </row>
    <row r="6524" spans="1:10" ht="15.75" hidden="1" thickBot="1" x14ac:dyDescent="0.3">
      <c r="A6524" s="250"/>
      <c r="B6524" s="253"/>
      <c r="C6524" s="60"/>
      <c r="D6524" s="60"/>
      <c r="E6524" s="79"/>
      <c r="F6524" s="87" t="s">
        <v>23</v>
      </c>
      <c r="G6524" s="87" t="str">
        <f t="shared" si="126"/>
        <v/>
      </c>
      <c r="H6524" s="89"/>
      <c r="I6524" s="35"/>
      <c r="J6524" s="34">
        <v>0</v>
      </c>
    </row>
    <row r="6525" spans="1:10" ht="15.75" hidden="1" thickBot="1" x14ac:dyDescent="0.3">
      <c r="A6525" s="248" t="s">
        <v>1554</v>
      </c>
      <c r="B6525" s="251" t="s">
        <v>3319</v>
      </c>
      <c r="C6525" s="28"/>
      <c r="D6525" s="29" t="s">
        <v>28</v>
      </c>
      <c r="E6525" s="30"/>
      <c r="F6525" s="45" t="s">
        <v>23</v>
      </c>
      <c r="G6525" s="31" t="str">
        <f t="shared" si="126"/>
        <v/>
      </c>
      <c r="H6525" s="32"/>
      <c r="I6525" s="33"/>
      <c r="J6525" s="34">
        <v>0</v>
      </c>
    </row>
    <row r="6526" spans="1:10" ht="15.75" hidden="1" thickBot="1" x14ac:dyDescent="0.3">
      <c r="A6526" s="249"/>
      <c r="B6526" s="266"/>
      <c r="C6526" s="36"/>
      <c r="D6526" s="36"/>
      <c r="E6526" s="37"/>
      <c r="F6526" s="46" t="s">
        <v>23</v>
      </c>
      <c r="G6526" s="35" t="str">
        <f t="shared" si="126"/>
        <v/>
      </c>
      <c r="H6526" s="39"/>
      <c r="I6526" s="35"/>
      <c r="J6526" s="34">
        <v>0</v>
      </c>
    </row>
    <row r="6527" spans="1:10" ht="26.25" hidden="1" thickBot="1" x14ac:dyDescent="0.3">
      <c r="A6527" s="249"/>
      <c r="B6527" s="266"/>
      <c r="C6527" s="40" t="s">
        <v>4352</v>
      </c>
      <c r="D6527" s="40" t="s">
        <v>291</v>
      </c>
      <c r="E6527" s="75">
        <v>1</v>
      </c>
      <c r="F6527" s="35">
        <v>47.404999999999994</v>
      </c>
      <c r="G6527" s="35">
        <f t="shared" si="126"/>
        <v>47.404999999999994</v>
      </c>
      <c r="H6527" s="43">
        <f>SUM(G6527:G6527)</f>
        <v>47.404999999999994</v>
      </c>
      <c r="I6527" s="44"/>
      <c r="J6527" s="34">
        <v>0</v>
      </c>
    </row>
    <row r="6528" spans="1:10" ht="15.75" hidden="1" thickBot="1" x14ac:dyDescent="0.3">
      <c r="A6528" s="250"/>
      <c r="B6528" s="253"/>
      <c r="C6528" s="60"/>
      <c r="D6528" s="60"/>
      <c r="E6528" s="79"/>
      <c r="F6528" s="87" t="s">
        <v>23</v>
      </c>
      <c r="G6528" s="87" t="str">
        <f t="shared" si="126"/>
        <v/>
      </c>
      <c r="H6528" s="89"/>
      <c r="I6528" s="35"/>
      <c r="J6528" s="34">
        <v>0</v>
      </c>
    </row>
    <row r="6529" spans="1:10" ht="15.75" hidden="1" thickBot="1" x14ac:dyDescent="0.3">
      <c r="A6529" s="248" t="s">
        <v>1555</v>
      </c>
      <c r="B6529" s="251" t="s">
        <v>3320</v>
      </c>
      <c r="C6529" s="28"/>
      <c r="D6529" s="29" t="s">
        <v>28</v>
      </c>
      <c r="E6529" s="30"/>
      <c r="F6529" s="45" t="s">
        <v>23</v>
      </c>
      <c r="G6529" s="31" t="str">
        <f t="shared" si="126"/>
        <v/>
      </c>
      <c r="H6529" s="32"/>
      <c r="I6529" s="33"/>
      <c r="J6529" s="34">
        <v>0</v>
      </c>
    </row>
    <row r="6530" spans="1:10" ht="15.75" hidden="1" thickBot="1" x14ac:dyDescent="0.3">
      <c r="A6530" s="249"/>
      <c r="B6530" s="266"/>
      <c r="C6530" s="36"/>
      <c r="D6530" s="36"/>
      <c r="E6530" s="37"/>
      <c r="F6530" s="46" t="s">
        <v>23</v>
      </c>
      <c r="G6530" s="35" t="str">
        <f t="shared" si="126"/>
        <v/>
      </c>
      <c r="H6530" s="39"/>
      <c r="I6530" s="35"/>
      <c r="J6530" s="34">
        <v>0</v>
      </c>
    </row>
    <row r="6531" spans="1:10" ht="39" hidden="1" thickBot="1" x14ac:dyDescent="0.3">
      <c r="A6531" s="249"/>
      <c r="B6531" s="266"/>
      <c r="C6531" s="40" t="s">
        <v>4353</v>
      </c>
      <c r="D6531" s="40" t="s">
        <v>291</v>
      </c>
      <c r="E6531" s="75">
        <v>1</v>
      </c>
      <c r="F6531" s="35">
        <v>528.53250000000003</v>
      </c>
      <c r="G6531" s="35">
        <f t="shared" si="126"/>
        <v>528.53250000000003</v>
      </c>
      <c r="H6531" s="43">
        <f>SUM(G6531:G6531)</f>
        <v>528.53250000000003</v>
      </c>
      <c r="I6531" s="44"/>
      <c r="J6531" s="34">
        <v>0</v>
      </c>
    </row>
    <row r="6532" spans="1:10" ht="15.75" hidden="1" thickBot="1" x14ac:dyDescent="0.3">
      <c r="A6532" s="250"/>
      <c r="B6532" s="253"/>
      <c r="C6532" s="60"/>
      <c r="D6532" s="60"/>
      <c r="E6532" s="79"/>
      <c r="F6532" s="87" t="s">
        <v>23</v>
      </c>
      <c r="G6532" s="87" t="str">
        <f t="shared" si="126"/>
        <v/>
      </c>
      <c r="H6532" s="89"/>
      <c r="I6532" s="35"/>
      <c r="J6532" s="34">
        <v>0</v>
      </c>
    </row>
    <row r="6533" spans="1:10" ht="15.75" hidden="1" thickBot="1" x14ac:dyDescent="0.3">
      <c r="A6533" s="248" t="s">
        <v>1556</v>
      </c>
      <c r="B6533" s="251" t="s">
        <v>3321</v>
      </c>
      <c r="C6533" s="28"/>
      <c r="D6533" s="29" t="s">
        <v>28</v>
      </c>
      <c r="E6533" s="30"/>
      <c r="F6533" s="45" t="s">
        <v>23</v>
      </c>
      <c r="G6533" s="31" t="str">
        <f t="shared" si="126"/>
        <v/>
      </c>
      <c r="H6533" s="32"/>
      <c r="I6533" s="33"/>
      <c r="J6533" s="34">
        <v>0</v>
      </c>
    </row>
    <row r="6534" spans="1:10" ht="15.75" hidden="1" thickBot="1" x14ac:dyDescent="0.3">
      <c r="A6534" s="249"/>
      <c r="B6534" s="266"/>
      <c r="C6534" s="36"/>
      <c r="D6534" s="36"/>
      <c r="E6534" s="37"/>
      <c r="F6534" s="46" t="s">
        <v>23</v>
      </c>
      <c r="G6534" s="35" t="str">
        <f t="shared" si="126"/>
        <v/>
      </c>
      <c r="H6534" s="39"/>
      <c r="I6534" s="35"/>
      <c r="J6534" s="34">
        <v>0</v>
      </c>
    </row>
    <row r="6535" spans="1:10" ht="64.5" hidden="1" thickBot="1" x14ac:dyDescent="0.3">
      <c r="A6535" s="249"/>
      <c r="B6535" s="266"/>
      <c r="C6535" s="40" t="s">
        <v>4354</v>
      </c>
      <c r="D6535" s="40" t="s">
        <v>291</v>
      </c>
      <c r="E6535" s="75">
        <v>1</v>
      </c>
      <c r="F6535" s="35">
        <v>321.15699999999998</v>
      </c>
      <c r="G6535" s="35">
        <f t="shared" si="126"/>
        <v>321.15699999999998</v>
      </c>
      <c r="H6535" s="43">
        <f>SUM(G6535:G6535)</f>
        <v>321.15699999999998</v>
      </c>
      <c r="I6535" s="44"/>
      <c r="J6535" s="34">
        <v>0</v>
      </c>
    </row>
    <row r="6536" spans="1:10" ht="15.75" hidden="1" thickBot="1" x14ac:dyDescent="0.3">
      <c r="A6536" s="250"/>
      <c r="B6536" s="253"/>
      <c r="C6536" s="60"/>
      <c r="D6536" s="60"/>
      <c r="E6536" s="79"/>
      <c r="F6536" s="87" t="s">
        <v>23</v>
      </c>
      <c r="G6536" s="87" t="str">
        <f t="shared" si="126"/>
        <v/>
      </c>
      <c r="H6536" s="89"/>
      <c r="I6536" s="35"/>
      <c r="J6536" s="34">
        <v>0</v>
      </c>
    </row>
    <row r="6537" spans="1:10" ht="15.75" hidden="1" thickBot="1" x14ac:dyDescent="0.3">
      <c r="A6537" s="248" t="s">
        <v>1557</v>
      </c>
      <c r="B6537" s="251" t="s">
        <v>2214</v>
      </c>
      <c r="C6537" s="28"/>
      <c r="D6537" s="29" t="s">
        <v>28</v>
      </c>
      <c r="E6537" s="30"/>
      <c r="F6537" s="45" t="s">
        <v>23</v>
      </c>
      <c r="G6537" s="31" t="str">
        <f t="shared" si="126"/>
        <v/>
      </c>
      <c r="H6537" s="32"/>
      <c r="I6537" s="33"/>
      <c r="J6537" s="34">
        <v>0</v>
      </c>
    </row>
    <row r="6538" spans="1:10" ht="15.75" hidden="1" thickBot="1" x14ac:dyDescent="0.3">
      <c r="A6538" s="249"/>
      <c r="B6538" s="266"/>
      <c r="C6538" s="36"/>
      <c r="D6538" s="36"/>
      <c r="E6538" s="37"/>
      <c r="F6538" s="46" t="s">
        <v>23</v>
      </c>
      <c r="G6538" s="35" t="str">
        <f t="shared" si="126"/>
        <v/>
      </c>
      <c r="H6538" s="39"/>
      <c r="I6538" s="35"/>
      <c r="J6538" s="34">
        <v>0</v>
      </c>
    </row>
    <row r="6539" spans="1:10" ht="26.25" hidden="1" thickBot="1" x14ac:dyDescent="0.3">
      <c r="A6539" s="249"/>
      <c r="B6539" s="266"/>
      <c r="C6539" s="40" t="s">
        <v>4355</v>
      </c>
      <c r="D6539" s="40" t="s">
        <v>291</v>
      </c>
      <c r="E6539" s="75">
        <v>1</v>
      </c>
      <c r="F6539" s="35">
        <v>75.467999999999989</v>
      </c>
      <c r="G6539" s="35">
        <f t="shared" si="126"/>
        <v>75.467999999999989</v>
      </c>
      <c r="H6539" s="43">
        <f>SUM(G6539:G6539)</f>
        <v>75.467999999999989</v>
      </c>
      <c r="I6539" s="44"/>
      <c r="J6539" s="34">
        <v>0</v>
      </c>
    </row>
    <row r="6540" spans="1:10" ht="15.75" hidden="1" thickBot="1" x14ac:dyDescent="0.3">
      <c r="A6540" s="250"/>
      <c r="B6540" s="253"/>
      <c r="C6540" s="60"/>
      <c r="D6540" s="60"/>
      <c r="E6540" s="79"/>
      <c r="F6540" s="87" t="s">
        <v>23</v>
      </c>
      <c r="G6540" s="87" t="str">
        <f t="shared" si="126"/>
        <v/>
      </c>
      <c r="H6540" s="89"/>
      <c r="I6540" s="35"/>
      <c r="J6540" s="34">
        <v>0</v>
      </c>
    </row>
    <row r="6541" spans="1:10" ht="15.75" hidden="1" thickBot="1" x14ac:dyDescent="0.3">
      <c r="A6541" s="248" t="s">
        <v>1558</v>
      </c>
      <c r="B6541" s="251" t="s">
        <v>2215</v>
      </c>
      <c r="C6541" s="28"/>
      <c r="D6541" s="29" t="s">
        <v>28</v>
      </c>
      <c r="E6541" s="30"/>
      <c r="F6541" s="45" t="s">
        <v>23</v>
      </c>
      <c r="G6541" s="31" t="str">
        <f t="shared" si="126"/>
        <v/>
      </c>
      <c r="H6541" s="32"/>
      <c r="I6541" s="33"/>
      <c r="J6541" s="34">
        <v>0</v>
      </c>
    </row>
    <row r="6542" spans="1:10" ht="15.75" hidden="1" thickBot="1" x14ac:dyDescent="0.3">
      <c r="A6542" s="249"/>
      <c r="B6542" s="266"/>
      <c r="C6542" s="36"/>
      <c r="D6542" s="36"/>
      <c r="E6542" s="37"/>
      <c r="F6542" s="46" t="s">
        <v>23</v>
      </c>
      <c r="G6542" s="35" t="str">
        <f t="shared" si="126"/>
        <v/>
      </c>
      <c r="H6542" s="39"/>
      <c r="I6542" s="35"/>
      <c r="J6542" s="34">
        <v>0</v>
      </c>
    </row>
    <row r="6543" spans="1:10" ht="26.25" hidden="1" thickBot="1" x14ac:dyDescent="0.3">
      <c r="A6543" s="249"/>
      <c r="B6543" s="266"/>
      <c r="C6543" s="40" t="s">
        <v>3871</v>
      </c>
      <c r="D6543" s="40" t="s">
        <v>291</v>
      </c>
      <c r="E6543" s="75">
        <v>1</v>
      </c>
      <c r="F6543" s="35">
        <v>140.73299999999998</v>
      </c>
      <c r="G6543" s="35">
        <f t="shared" si="126"/>
        <v>140.73299999999998</v>
      </c>
      <c r="H6543" s="43">
        <f>SUM(G6543:G6543)</f>
        <v>140.73299999999998</v>
      </c>
      <c r="I6543" s="44"/>
      <c r="J6543" s="34">
        <v>0</v>
      </c>
    </row>
    <row r="6544" spans="1:10" ht="15.75" hidden="1" thickBot="1" x14ac:dyDescent="0.3">
      <c r="A6544" s="250"/>
      <c r="B6544" s="253"/>
      <c r="C6544" s="60"/>
      <c r="D6544" s="60"/>
      <c r="E6544" s="79"/>
      <c r="F6544" s="87" t="s">
        <v>23</v>
      </c>
      <c r="G6544" s="87" t="str">
        <f t="shared" si="126"/>
        <v/>
      </c>
      <c r="H6544" s="89"/>
      <c r="I6544" s="35"/>
      <c r="J6544" s="34">
        <v>0</v>
      </c>
    </row>
    <row r="6545" spans="1:10" ht="15.75" hidden="1" thickBot="1" x14ac:dyDescent="0.3">
      <c r="A6545" s="248" t="s">
        <v>1559</v>
      </c>
      <c r="B6545" s="251" t="s">
        <v>3322</v>
      </c>
      <c r="C6545" s="28"/>
      <c r="D6545" s="29" t="s">
        <v>28</v>
      </c>
      <c r="E6545" s="30"/>
      <c r="F6545" s="45" t="s">
        <v>23</v>
      </c>
      <c r="G6545" s="31" t="str">
        <f t="shared" si="126"/>
        <v/>
      </c>
      <c r="H6545" s="32"/>
      <c r="I6545" s="33"/>
      <c r="J6545" s="34">
        <v>0</v>
      </c>
    </row>
    <row r="6546" spans="1:10" ht="15.75" hidden="1" thickBot="1" x14ac:dyDescent="0.3">
      <c r="A6546" s="249"/>
      <c r="B6546" s="266"/>
      <c r="C6546" s="36"/>
      <c r="D6546" s="36"/>
      <c r="E6546" s="37"/>
      <c r="F6546" s="46" t="s">
        <v>23</v>
      </c>
      <c r="G6546" s="35" t="str">
        <f t="shared" si="126"/>
        <v/>
      </c>
      <c r="H6546" s="39"/>
      <c r="I6546" s="35"/>
      <c r="J6546" s="34">
        <v>0</v>
      </c>
    </row>
    <row r="6547" spans="1:10" ht="26.25" hidden="1" thickBot="1" x14ac:dyDescent="0.3">
      <c r="A6547" s="249"/>
      <c r="B6547" s="266"/>
      <c r="C6547" s="40" t="s">
        <v>4037</v>
      </c>
      <c r="D6547" s="40" t="s">
        <v>291</v>
      </c>
      <c r="E6547" s="75">
        <v>1</v>
      </c>
      <c r="F6547" s="35">
        <v>74.48</v>
      </c>
      <c r="G6547" s="35">
        <f t="shared" si="126"/>
        <v>74.48</v>
      </c>
      <c r="H6547" s="43">
        <f>SUM(G6547:G6547)</f>
        <v>74.48</v>
      </c>
      <c r="I6547" s="44"/>
      <c r="J6547" s="34">
        <v>0</v>
      </c>
    </row>
    <row r="6548" spans="1:10" ht="15.75" hidden="1" thickBot="1" x14ac:dyDescent="0.3">
      <c r="A6548" s="250"/>
      <c r="B6548" s="253"/>
      <c r="C6548" s="60"/>
      <c r="D6548" s="60"/>
      <c r="E6548" s="79"/>
      <c r="F6548" s="87" t="s">
        <v>23</v>
      </c>
      <c r="G6548" s="87" t="str">
        <f t="shared" si="126"/>
        <v/>
      </c>
      <c r="H6548" s="89"/>
      <c r="I6548" s="35"/>
      <c r="J6548" s="34">
        <v>0</v>
      </c>
    </row>
    <row r="6549" spans="1:10" ht="15.75" hidden="1" thickBot="1" x14ac:dyDescent="0.3">
      <c r="A6549" s="248" t="s">
        <v>1560</v>
      </c>
      <c r="B6549" s="251" t="s">
        <v>2223</v>
      </c>
      <c r="C6549" s="28"/>
      <c r="D6549" s="29" t="s">
        <v>28</v>
      </c>
      <c r="E6549" s="30"/>
      <c r="F6549" s="45" t="s">
        <v>23</v>
      </c>
      <c r="G6549" s="31" t="str">
        <f t="shared" si="126"/>
        <v/>
      </c>
      <c r="H6549" s="32"/>
      <c r="I6549" s="33"/>
      <c r="J6549" s="34">
        <v>0</v>
      </c>
    </row>
    <row r="6550" spans="1:10" ht="15.75" hidden="1" thickBot="1" x14ac:dyDescent="0.3">
      <c r="A6550" s="249"/>
      <c r="B6550" s="266"/>
      <c r="C6550" s="36"/>
      <c r="D6550" s="36"/>
      <c r="E6550" s="37"/>
      <c r="F6550" s="46" t="s">
        <v>23</v>
      </c>
      <c r="G6550" s="35" t="str">
        <f t="shared" si="126"/>
        <v/>
      </c>
      <c r="H6550" s="39"/>
      <c r="I6550" s="35"/>
      <c r="J6550" s="34">
        <v>0</v>
      </c>
    </row>
    <row r="6551" spans="1:10" ht="26.25" hidden="1" thickBot="1" x14ac:dyDescent="0.3">
      <c r="A6551" s="249"/>
      <c r="B6551" s="266"/>
      <c r="C6551" s="40" t="s">
        <v>4356</v>
      </c>
      <c r="D6551" s="40" t="s">
        <v>291</v>
      </c>
      <c r="E6551" s="75">
        <v>1</v>
      </c>
      <c r="F6551" s="35">
        <v>125.419</v>
      </c>
      <c r="G6551" s="35">
        <f t="shared" si="126"/>
        <v>125.419</v>
      </c>
      <c r="H6551" s="43">
        <f>SUM(G6551:G6551)</f>
        <v>125.419</v>
      </c>
      <c r="I6551" s="44"/>
      <c r="J6551" s="34">
        <v>0</v>
      </c>
    </row>
    <row r="6552" spans="1:10" ht="15.75" hidden="1" thickBot="1" x14ac:dyDescent="0.3">
      <c r="A6552" s="250"/>
      <c r="B6552" s="253"/>
      <c r="C6552" s="60"/>
      <c r="D6552" s="60"/>
      <c r="E6552" s="79"/>
      <c r="F6552" s="87" t="s">
        <v>23</v>
      </c>
      <c r="G6552" s="87" t="str">
        <f t="shared" si="126"/>
        <v/>
      </c>
      <c r="H6552" s="89"/>
      <c r="I6552" s="35"/>
      <c r="J6552" s="34">
        <v>0</v>
      </c>
    </row>
    <row r="6553" spans="1:10" ht="15.75" hidden="1" thickBot="1" x14ac:dyDescent="0.3">
      <c r="A6553" s="248" t="s">
        <v>1561</v>
      </c>
      <c r="B6553" s="251" t="s">
        <v>3323</v>
      </c>
      <c r="C6553" s="28"/>
      <c r="D6553" s="29" t="s">
        <v>28</v>
      </c>
      <c r="E6553" s="30"/>
      <c r="F6553" s="45" t="s">
        <v>23</v>
      </c>
      <c r="G6553" s="31" t="str">
        <f t="shared" si="126"/>
        <v/>
      </c>
      <c r="H6553" s="32"/>
      <c r="I6553" s="33"/>
      <c r="J6553" s="34">
        <v>0</v>
      </c>
    </row>
    <row r="6554" spans="1:10" ht="15.75" hidden="1" thickBot="1" x14ac:dyDescent="0.3">
      <c r="A6554" s="249"/>
      <c r="B6554" s="266"/>
      <c r="C6554" s="36"/>
      <c r="D6554" s="36"/>
      <c r="E6554" s="37"/>
      <c r="F6554" s="46" t="s">
        <v>23</v>
      </c>
      <c r="G6554" s="35" t="str">
        <f t="shared" si="126"/>
        <v/>
      </c>
      <c r="H6554" s="39"/>
      <c r="I6554" s="35"/>
      <c r="J6554" s="34">
        <v>0</v>
      </c>
    </row>
    <row r="6555" spans="1:10" ht="26.25" hidden="1" thickBot="1" x14ac:dyDescent="0.3">
      <c r="A6555" s="249"/>
      <c r="B6555" s="266"/>
      <c r="C6555" s="40" t="s">
        <v>4357</v>
      </c>
      <c r="D6555" s="40" t="s">
        <v>291</v>
      </c>
      <c r="E6555" s="75">
        <v>1</v>
      </c>
      <c r="F6555" s="35">
        <v>109.51599999999999</v>
      </c>
      <c r="G6555" s="35">
        <f t="shared" si="126"/>
        <v>109.51599999999999</v>
      </c>
      <c r="H6555" s="43">
        <f>SUM(G6555:G6555)</f>
        <v>109.51599999999999</v>
      </c>
      <c r="I6555" s="44"/>
      <c r="J6555" s="34">
        <v>0</v>
      </c>
    </row>
    <row r="6556" spans="1:10" ht="15.75" hidden="1" thickBot="1" x14ac:dyDescent="0.3">
      <c r="A6556" s="250"/>
      <c r="B6556" s="253"/>
      <c r="C6556" s="60"/>
      <c r="D6556" s="60"/>
      <c r="E6556" s="79"/>
      <c r="F6556" s="87" t="s">
        <v>23</v>
      </c>
      <c r="G6556" s="87" t="str">
        <f t="shared" si="126"/>
        <v/>
      </c>
      <c r="H6556" s="89"/>
      <c r="I6556" s="35"/>
      <c r="J6556" s="34">
        <v>0</v>
      </c>
    </row>
    <row r="6557" spans="1:10" ht="15.75" hidden="1" thickBot="1" x14ac:dyDescent="0.3">
      <c r="A6557" s="248" t="s">
        <v>1562</v>
      </c>
      <c r="B6557" s="251" t="s">
        <v>3031</v>
      </c>
      <c r="C6557" s="28"/>
      <c r="D6557" s="29" t="s">
        <v>28</v>
      </c>
      <c r="E6557" s="30"/>
      <c r="F6557" s="45" t="s">
        <v>23</v>
      </c>
      <c r="G6557" s="31" t="str">
        <f t="shared" si="126"/>
        <v/>
      </c>
      <c r="H6557" s="32"/>
      <c r="I6557" s="33"/>
      <c r="J6557" s="34">
        <v>0</v>
      </c>
    </row>
    <row r="6558" spans="1:10" ht="15.75" hidden="1" thickBot="1" x14ac:dyDescent="0.3">
      <c r="A6558" s="249"/>
      <c r="B6558" s="266"/>
      <c r="C6558" s="36"/>
      <c r="D6558" s="36"/>
      <c r="E6558" s="37"/>
      <c r="F6558" s="46" t="s">
        <v>23</v>
      </c>
      <c r="G6558" s="35" t="str">
        <f t="shared" si="126"/>
        <v/>
      </c>
      <c r="H6558" s="39"/>
      <c r="I6558" s="35"/>
      <c r="J6558" s="34">
        <v>0</v>
      </c>
    </row>
    <row r="6559" spans="1:10" ht="26.25" hidden="1" thickBot="1" x14ac:dyDescent="0.3">
      <c r="A6559" s="249"/>
      <c r="B6559" s="266"/>
      <c r="C6559" s="40" t="s">
        <v>4358</v>
      </c>
      <c r="D6559" s="40" t="s">
        <v>291</v>
      </c>
      <c r="E6559" s="75">
        <v>1</v>
      </c>
      <c r="F6559" s="35">
        <v>184.73699999999999</v>
      </c>
      <c r="G6559" s="35">
        <f t="shared" si="126"/>
        <v>184.73699999999999</v>
      </c>
      <c r="H6559" s="43">
        <f>SUM(G6559:G6559)</f>
        <v>184.73699999999999</v>
      </c>
      <c r="I6559" s="44"/>
      <c r="J6559" s="34">
        <v>0</v>
      </c>
    </row>
    <row r="6560" spans="1:10" ht="15.75" hidden="1" thickBot="1" x14ac:dyDescent="0.3">
      <c r="A6560" s="250"/>
      <c r="B6560" s="253"/>
      <c r="C6560" s="60"/>
      <c r="D6560" s="60"/>
      <c r="E6560" s="79"/>
      <c r="F6560" s="87" t="s">
        <v>23</v>
      </c>
      <c r="G6560" s="87" t="str">
        <f t="shared" si="126"/>
        <v/>
      </c>
      <c r="H6560" s="89"/>
      <c r="I6560" s="35"/>
      <c r="J6560" s="34">
        <v>0</v>
      </c>
    </row>
    <row r="6561" spans="1:10" ht="15.75" hidden="1" thickBot="1" x14ac:dyDescent="0.3">
      <c r="A6561" s="248" t="s">
        <v>1563</v>
      </c>
      <c r="B6561" s="251" t="s">
        <v>3324</v>
      </c>
      <c r="C6561" s="28"/>
      <c r="D6561" s="29" t="s">
        <v>28</v>
      </c>
      <c r="E6561" s="30"/>
      <c r="F6561" s="45" t="s">
        <v>23</v>
      </c>
      <c r="G6561" s="31" t="str">
        <f t="shared" si="126"/>
        <v/>
      </c>
      <c r="H6561" s="32"/>
      <c r="I6561" s="33"/>
      <c r="J6561" s="34">
        <v>0</v>
      </c>
    </row>
    <row r="6562" spans="1:10" ht="15.75" hidden="1" thickBot="1" x14ac:dyDescent="0.3">
      <c r="A6562" s="249"/>
      <c r="B6562" s="266"/>
      <c r="C6562" s="36"/>
      <c r="D6562" s="36"/>
      <c r="E6562" s="37"/>
      <c r="F6562" s="46" t="s">
        <v>23</v>
      </c>
      <c r="G6562" s="35" t="str">
        <f t="shared" si="126"/>
        <v/>
      </c>
      <c r="H6562" s="39"/>
      <c r="I6562" s="35"/>
      <c r="J6562" s="34">
        <v>0</v>
      </c>
    </row>
    <row r="6563" spans="1:10" ht="15.75" hidden="1" thickBot="1" x14ac:dyDescent="0.3">
      <c r="A6563" s="249"/>
      <c r="B6563" s="266"/>
      <c r="C6563" s="40" t="s">
        <v>4359</v>
      </c>
      <c r="D6563" s="40" t="s">
        <v>291</v>
      </c>
      <c r="E6563" s="75">
        <v>1</v>
      </c>
      <c r="F6563" s="35">
        <v>23.141999999999999</v>
      </c>
      <c r="G6563" s="35">
        <f t="shared" si="126"/>
        <v>23.141999999999999</v>
      </c>
      <c r="H6563" s="43">
        <f>SUM(G6563:G6563)</f>
        <v>23.141999999999999</v>
      </c>
      <c r="I6563" s="44"/>
      <c r="J6563" s="34">
        <v>0</v>
      </c>
    </row>
    <row r="6564" spans="1:10" ht="15.75" hidden="1" thickBot="1" x14ac:dyDescent="0.3">
      <c r="A6564" s="250"/>
      <c r="B6564" s="253"/>
      <c r="C6564" s="60"/>
      <c r="D6564" s="60"/>
      <c r="E6564" s="79"/>
      <c r="F6564" s="87" t="s">
        <v>23</v>
      </c>
      <c r="G6564" s="87" t="str">
        <f t="shared" si="126"/>
        <v/>
      </c>
      <c r="H6564" s="89"/>
      <c r="I6564" s="35"/>
      <c r="J6564" s="34">
        <v>0</v>
      </c>
    </row>
    <row r="6565" spans="1:10" ht="15.75" hidden="1" thickBot="1" x14ac:dyDescent="0.3">
      <c r="A6565" s="248" t="s">
        <v>1564</v>
      </c>
      <c r="B6565" s="251" t="s">
        <v>3070</v>
      </c>
      <c r="C6565" s="28"/>
      <c r="D6565" s="29" t="s">
        <v>28</v>
      </c>
      <c r="E6565" s="30"/>
      <c r="F6565" s="45" t="s">
        <v>23</v>
      </c>
      <c r="G6565" s="31" t="str">
        <f t="shared" si="126"/>
        <v/>
      </c>
      <c r="H6565" s="32"/>
      <c r="I6565" s="33"/>
      <c r="J6565" s="34">
        <v>0</v>
      </c>
    </row>
    <row r="6566" spans="1:10" ht="15.75" hidden="1" thickBot="1" x14ac:dyDescent="0.3">
      <c r="A6566" s="249"/>
      <c r="B6566" s="266"/>
      <c r="C6566" s="36"/>
      <c r="D6566" s="36"/>
      <c r="E6566" s="37"/>
      <c r="F6566" s="46" t="s">
        <v>23</v>
      </c>
      <c r="G6566" s="35" t="str">
        <f t="shared" si="126"/>
        <v/>
      </c>
      <c r="H6566" s="39"/>
      <c r="I6566" s="35"/>
      <c r="J6566" s="34">
        <v>0</v>
      </c>
    </row>
    <row r="6567" spans="1:10" ht="15.75" hidden="1" thickBot="1" x14ac:dyDescent="0.3">
      <c r="A6567" s="249"/>
      <c r="B6567" s="266"/>
      <c r="C6567" s="40" t="s">
        <v>4071</v>
      </c>
      <c r="D6567" s="40" t="s">
        <v>291</v>
      </c>
      <c r="E6567" s="75">
        <v>1</v>
      </c>
      <c r="F6567" s="35">
        <v>63.526499999999999</v>
      </c>
      <c r="G6567" s="35">
        <f t="shared" si="126"/>
        <v>63.526499999999999</v>
      </c>
      <c r="H6567" s="43">
        <f>SUM(G6567:G6567)</f>
        <v>63.526499999999999</v>
      </c>
      <c r="I6567" s="44"/>
      <c r="J6567" s="34">
        <v>0</v>
      </c>
    </row>
    <row r="6568" spans="1:10" ht="15.75" hidden="1" thickBot="1" x14ac:dyDescent="0.3">
      <c r="A6568" s="250"/>
      <c r="B6568" s="253"/>
      <c r="C6568" s="60"/>
      <c r="D6568" s="60"/>
      <c r="E6568" s="79"/>
      <c r="F6568" s="87" t="s">
        <v>23</v>
      </c>
      <c r="G6568" s="87" t="str">
        <f t="shared" si="126"/>
        <v/>
      </c>
      <c r="H6568" s="89"/>
      <c r="I6568" s="35"/>
      <c r="J6568" s="34">
        <v>0</v>
      </c>
    </row>
    <row r="6569" spans="1:10" ht="15.75" hidden="1" thickBot="1" x14ac:dyDescent="0.3">
      <c r="A6569" s="248" t="s">
        <v>1565</v>
      </c>
      <c r="B6569" s="251" t="s">
        <v>3325</v>
      </c>
      <c r="C6569" s="28"/>
      <c r="D6569" s="29" t="s">
        <v>28</v>
      </c>
      <c r="E6569" s="30"/>
      <c r="F6569" s="45" t="s">
        <v>23</v>
      </c>
      <c r="G6569" s="31" t="str">
        <f t="shared" si="126"/>
        <v/>
      </c>
      <c r="H6569" s="32"/>
      <c r="I6569" s="33"/>
      <c r="J6569" s="34">
        <v>0</v>
      </c>
    </row>
    <row r="6570" spans="1:10" ht="15.75" hidden="1" thickBot="1" x14ac:dyDescent="0.3">
      <c r="A6570" s="249"/>
      <c r="B6570" s="266"/>
      <c r="C6570" s="36"/>
      <c r="D6570" s="36"/>
      <c r="E6570" s="37"/>
      <c r="F6570" s="46" t="s">
        <v>23</v>
      </c>
      <c r="G6570" s="35" t="str">
        <f t="shared" si="126"/>
        <v/>
      </c>
      <c r="H6570" s="39"/>
      <c r="I6570" s="35"/>
      <c r="J6570" s="34">
        <v>0</v>
      </c>
    </row>
    <row r="6571" spans="1:10" ht="15.75" hidden="1" thickBot="1" x14ac:dyDescent="0.3">
      <c r="A6571" s="249"/>
      <c r="B6571" s="266"/>
      <c r="C6571" s="40" t="s">
        <v>3913</v>
      </c>
      <c r="D6571" s="40" t="s">
        <v>291</v>
      </c>
      <c r="E6571" s="75">
        <v>1</v>
      </c>
      <c r="F6571" s="35">
        <v>73.330500000000001</v>
      </c>
      <c r="G6571" s="35">
        <f t="shared" si="126"/>
        <v>73.330500000000001</v>
      </c>
      <c r="H6571" s="43">
        <f>SUM(G6571:G6571)</f>
        <v>73.330500000000001</v>
      </c>
      <c r="I6571" s="44"/>
      <c r="J6571" s="34">
        <v>0</v>
      </c>
    </row>
    <row r="6572" spans="1:10" ht="15.75" hidden="1" thickBot="1" x14ac:dyDescent="0.3">
      <c r="A6572" s="250"/>
      <c r="B6572" s="253"/>
      <c r="C6572" s="60"/>
      <c r="D6572" s="60"/>
      <c r="E6572" s="79"/>
      <c r="F6572" s="87" t="s">
        <v>23</v>
      </c>
      <c r="G6572" s="87" t="str">
        <f t="shared" si="126"/>
        <v/>
      </c>
      <c r="H6572" s="89"/>
      <c r="I6572" s="35"/>
      <c r="J6572" s="34">
        <v>0</v>
      </c>
    </row>
    <row r="6573" spans="1:10" ht="15.75" hidden="1" thickBot="1" x14ac:dyDescent="0.3">
      <c r="A6573" s="248" t="s">
        <v>1566</v>
      </c>
      <c r="B6573" s="251" t="s">
        <v>3326</v>
      </c>
      <c r="C6573" s="28"/>
      <c r="D6573" s="29" t="s">
        <v>28</v>
      </c>
      <c r="E6573" s="30"/>
      <c r="F6573" s="45" t="s">
        <v>23</v>
      </c>
      <c r="G6573" s="31" t="str">
        <f t="shared" ref="G6573:G6636" si="127">IF(ISNUMBER(F6573),E6573*F6573,"")</f>
        <v/>
      </c>
      <c r="H6573" s="32"/>
      <c r="I6573" s="33"/>
      <c r="J6573" s="34">
        <v>0</v>
      </c>
    </row>
    <row r="6574" spans="1:10" ht="15.75" hidden="1" thickBot="1" x14ac:dyDescent="0.3">
      <c r="A6574" s="249"/>
      <c r="B6574" s="266"/>
      <c r="C6574" s="36"/>
      <c r="D6574" s="36"/>
      <c r="E6574" s="37"/>
      <c r="F6574" s="46" t="s">
        <v>23</v>
      </c>
      <c r="G6574" s="35" t="str">
        <f t="shared" si="127"/>
        <v/>
      </c>
      <c r="H6574" s="39"/>
      <c r="I6574" s="35"/>
      <c r="J6574" s="34">
        <v>0</v>
      </c>
    </row>
    <row r="6575" spans="1:10" ht="26.25" hidden="1" thickBot="1" x14ac:dyDescent="0.3">
      <c r="A6575" s="249"/>
      <c r="B6575" s="266"/>
      <c r="C6575" s="40" t="s">
        <v>3910</v>
      </c>
      <c r="D6575" s="40" t="s">
        <v>291</v>
      </c>
      <c r="E6575" s="75">
        <v>1</v>
      </c>
      <c r="F6575" s="35">
        <v>177.81149999999997</v>
      </c>
      <c r="G6575" s="35">
        <f t="shared" si="127"/>
        <v>177.81149999999997</v>
      </c>
      <c r="H6575" s="43">
        <f>SUM(G6575:G6575)</f>
        <v>177.81149999999997</v>
      </c>
      <c r="I6575" s="44"/>
      <c r="J6575" s="34">
        <v>0</v>
      </c>
    </row>
    <row r="6576" spans="1:10" ht="15.75" hidden="1" thickBot="1" x14ac:dyDescent="0.3">
      <c r="A6576" s="250"/>
      <c r="B6576" s="253"/>
      <c r="C6576" s="60"/>
      <c r="D6576" s="60"/>
      <c r="E6576" s="79"/>
      <c r="F6576" s="87" t="s">
        <v>23</v>
      </c>
      <c r="G6576" s="87" t="str">
        <f t="shared" si="127"/>
        <v/>
      </c>
      <c r="H6576" s="89"/>
      <c r="I6576" s="35"/>
      <c r="J6576" s="34">
        <v>0</v>
      </c>
    </row>
    <row r="6577" spans="1:10" ht="15.75" hidden="1" thickBot="1" x14ac:dyDescent="0.3">
      <c r="A6577" s="248" t="s">
        <v>1567</v>
      </c>
      <c r="B6577" s="251" t="s">
        <v>3327</v>
      </c>
      <c r="C6577" s="28"/>
      <c r="D6577" s="29" t="s">
        <v>28</v>
      </c>
      <c r="E6577" s="30"/>
      <c r="F6577" s="45" t="s">
        <v>23</v>
      </c>
      <c r="G6577" s="31" t="str">
        <f t="shared" si="127"/>
        <v/>
      </c>
      <c r="H6577" s="32"/>
      <c r="I6577" s="33"/>
      <c r="J6577" s="34">
        <v>0</v>
      </c>
    </row>
    <row r="6578" spans="1:10" ht="15.75" hidden="1" thickBot="1" x14ac:dyDescent="0.3">
      <c r="A6578" s="249"/>
      <c r="B6578" s="266"/>
      <c r="C6578" s="36"/>
      <c r="D6578" s="36"/>
      <c r="E6578" s="37"/>
      <c r="F6578" s="46" t="s">
        <v>23</v>
      </c>
      <c r="G6578" s="35" t="str">
        <f t="shared" si="127"/>
        <v/>
      </c>
      <c r="H6578" s="39"/>
      <c r="I6578" s="35"/>
      <c r="J6578" s="34">
        <v>0</v>
      </c>
    </row>
    <row r="6579" spans="1:10" ht="15.75" hidden="1" thickBot="1" x14ac:dyDescent="0.3">
      <c r="A6579" s="249"/>
      <c r="B6579" s="266"/>
      <c r="C6579" s="40" t="s">
        <v>4360</v>
      </c>
      <c r="D6579" s="40" t="s">
        <v>291</v>
      </c>
      <c r="E6579" s="75">
        <v>1</v>
      </c>
      <c r="F6579" s="35">
        <v>274.17950000000002</v>
      </c>
      <c r="G6579" s="35">
        <f t="shared" si="127"/>
        <v>274.17950000000002</v>
      </c>
      <c r="H6579" s="43">
        <f>SUM(G6579:G6579)</f>
        <v>274.17950000000002</v>
      </c>
      <c r="I6579" s="44"/>
      <c r="J6579" s="34">
        <v>0</v>
      </c>
    </row>
    <row r="6580" spans="1:10" ht="15.75" hidden="1" thickBot="1" x14ac:dyDescent="0.3">
      <c r="A6580" s="250"/>
      <c r="B6580" s="253"/>
      <c r="C6580" s="60"/>
      <c r="D6580" s="60"/>
      <c r="E6580" s="79"/>
      <c r="F6580" s="87" t="s">
        <v>23</v>
      </c>
      <c r="G6580" s="87" t="str">
        <f t="shared" si="127"/>
        <v/>
      </c>
      <c r="H6580" s="89"/>
      <c r="I6580" s="35"/>
      <c r="J6580" s="34">
        <v>0</v>
      </c>
    </row>
    <row r="6581" spans="1:10" ht="15.75" hidden="1" thickBot="1" x14ac:dyDescent="0.3">
      <c r="A6581" s="248" t="s">
        <v>1568</v>
      </c>
      <c r="B6581" s="251" t="s">
        <v>3328</v>
      </c>
      <c r="C6581" s="28"/>
      <c r="D6581" s="29" t="s">
        <v>28</v>
      </c>
      <c r="E6581" s="30"/>
      <c r="F6581" s="45" t="s">
        <v>23</v>
      </c>
      <c r="G6581" s="31" t="str">
        <f t="shared" si="127"/>
        <v/>
      </c>
      <c r="H6581" s="32"/>
      <c r="I6581" s="33"/>
      <c r="J6581" s="34">
        <v>0</v>
      </c>
    </row>
    <row r="6582" spans="1:10" ht="15.75" hidden="1" thickBot="1" x14ac:dyDescent="0.3">
      <c r="A6582" s="249"/>
      <c r="B6582" s="266"/>
      <c r="C6582" s="36"/>
      <c r="D6582" s="36"/>
      <c r="E6582" s="37"/>
      <c r="F6582" s="46" t="s">
        <v>23</v>
      </c>
      <c r="G6582" s="35" t="str">
        <f t="shared" si="127"/>
        <v/>
      </c>
      <c r="H6582" s="39"/>
      <c r="I6582" s="35"/>
      <c r="J6582" s="34">
        <v>0</v>
      </c>
    </row>
    <row r="6583" spans="1:10" ht="15.75" hidden="1" thickBot="1" x14ac:dyDescent="0.3">
      <c r="A6583" s="249"/>
      <c r="B6583" s="266"/>
      <c r="C6583" s="40" t="s">
        <v>4071</v>
      </c>
      <c r="D6583" s="40" t="s">
        <v>291</v>
      </c>
      <c r="E6583" s="75">
        <v>1</v>
      </c>
      <c r="F6583" s="35">
        <v>63.526499999999999</v>
      </c>
      <c r="G6583" s="35">
        <f t="shared" si="127"/>
        <v>63.526499999999999</v>
      </c>
      <c r="H6583" s="43">
        <f>SUM(G6583:G6583)</f>
        <v>63.526499999999999</v>
      </c>
      <c r="I6583" s="44"/>
      <c r="J6583" s="34">
        <v>0</v>
      </c>
    </row>
    <row r="6584" spans="1:10" ht="15.75" hidden="1" thickBot="1" x14ac:dyDescent="0.3">
      <c r="A6584" s="250"/>
      <c r="B6584" s="253"/>
      <c r="C6584" s="60"/>
      <c r="D6584" s="60"/>
      <c r="E6584" s="79"/>
      <c r="F6584" s="87" t="s">
        <v>23</v>
      </c>
      <c r="G6584" s="87" t="str">
        <f t="shared" si="127"/>
        <v/>
      </c>
      <c r="H6584" s="89"/>
      <c r="I6584" s="35"/>
      <c r="J6584" s="34">
        <v>0</v>
      </c>
    </row>
    <row r="6585" spans="1:10" ht="15.75" hidden="1" thickBot="1" x14ac:dyDescent="0.3">
      <c r="A6585" s="248" t="s">
        <v>1569</v>
      </c>
      <c r="B6585" s="251" t="s">
        <v>3329</v>
      </c>
      <c r="C6585" s="28"/>
      <c r="D6585" s="29" t="s">
        <v>28</v>
      </c>
      <c r="E6585" s="30"/>
      <c r="F6585" s="45" t="s">
        <v>23</v>
      </c>
      <c r="G6585" s="31" t="str">
        <f t="shared" si="127"/>
        <v/>
      </c>
      <c r="H6585" s="32"/>
      <c r="I6585" s="33"/>
      <c r="J6585" s="34">
        <v>0</v>
      </c>
    </row>
    <row r="6586" spans="1:10" ht="15.75" hidden="1" thickBot="1" x14ac:dyDescent="0.3">
      <c r="A6586" s="249"/>
      <c r="B6586" s="266"/>
      <c r="C6586" s="36"/>
      <c r="D6586" s="36"/>
      <c r="E6586" s="37"/>
      <c r="F6586" s="46" t="s">
        <v>23</v>
      </c>
      <c r="G6586" s="35" t="str">
        <f t="shared" si="127"/>
        <v/>
      </c>
      <c r="H6586" s="39"/>
      <c r="I6586" s="35"/>
      <c r="J6586" s="34">
        <v>0</v>
      </c>
    </row>
    <row r="6587" spans="1:10" ht="26.25" hidden="1" thickBot="1" x14ac:dyDescent="0.3">
      <c r="A6587" s="249"/>
      <c r="B6587" s="266"/>
      <c r="C6587" s="40" t="s">
        <v>4361</v>
      </c>
      <c r="D6587" s="40" t="s">
        <v>291</v>
      </c>
      <c r="E6587" s="75">
        <v>1</v>
      </c>
      <c r="F6587" s="35">
        <v>121.41</v>
      </c>
      <c r="G6587" s="35">
        <f t="shared" si="127"/>
        <v>121.41</v>
      </c>
      <c r="H6587" s="43">
        <f>SUM(G6587:G6587)</f>
        <v>121.41</v>
      </c>
      <c r="I6587" s="44"/>
      <c r="J6587" s="34">
        <v>0</v>
      </c>
    </row>
    <row r="6588" spans="1:10" ht="15.75" hidden="1" thickBot="1" x14ac:dyDescent="0.3">
      <c r="A6588" s="250"/>
      <c r="B6588" s="253"/>
      <c r="C6588" s="60"/>
      <c r="D6588" s="60"/>
      <c r="E6588" s="79"/>
      <c r="F6588" s="87" t="s">
        <v>23</v>
      </c>
      <c r="G6588" s="87" t="str">
        <f t="shared" si="127"/>
        <v/>
      </c>
      <c r="H6588" s="89"/>
      <c r="I6588" s="35"/>
      <c r="J6588" s="34">
        <v>0</v>
      </c>
    </row>
    <row r="6589" spans="1:10" ht="15.75" hidden="1" thickBot="1" x14ac:dyDescent="0.3">
      <c r="A6589" s="248" t="s">
        <v>1570</v>
      </c>
      <c r="B6589" s="251" t="s">
        <v>3330</v>
      </c>
      <c r="C6589" s="28"/>
      <c r="D6589" s="29" t="s">
        <v>28</v>
      </c>
      <c r="E6589" s="30"/>
      <c r="F6589" s="45" t="s">
        <v>23</v>
      </c>
      <c r="G6589" s="31" t="str">
        <f t="shared" si="127"/>
        <v/>
      </c>
      <c r="H6589" s="32"/>
      <c r="I6589" s="33"/>
      <c r="J6589" s="34">
        <v>0</v>
      </c>
    </row>
    <row r="6590" spans="1:10" ht="15.75" hidden="1" thickBot="1" x14ac:dyDescent="0.3">
      <c r="A6590" s="249"/>
      <c r="B6590" s="266"/>
      <c r="C6590" s="36"/>
      <c r="D6590" s="36"/>
      <c r="E6590" s="37"/>
      <c r="F6590" s="46" t="s">
        <v>23</v>
      </c>
      <c r="G6590" s="35" t="str">
        <f t="shared" si="127"/>
        <v/>
      </c>
      <c r="H6590" s="39"/>
      <c r="I6590" s="35"/>
      <c r="J6590" s="34">
        <v>0</v>
      </c>
    </row>
    <row r="6591" spans="1:10" ht="26.25" hidden="1" thickBot="1" x14ac:dyDescent="0.3">
      <c r="A6591" s="249"/>
      <c r="B6591" s="266"/>
      <c r="C6591" s="40" t="s">
        <v>4362</v>
      </c>
      <c r="D6591" s="40" t="s">
        <v>291</v>
      </c>
      <c r="E6591" s="75">
        <v>1</v>
      </c>
      <c r="F6591" s="35">
        <v>96.168499999999995</v>
      </c>
      <c r="G6591" s="35">
        <f t="shared" si="127"/>
        <v>96.168499999999995</v>
      </c>
      <c r="H6591" s="43">
        <f>SUM(G6591:G6591)</f>
        <v>96.168499999999995</v>
      </c>
      <c r="I6591" s="44"/>
      <c r="J6591" s="34">
        <v>0</v>
      </c>
    </row>
    <row r="6592" spans="1:10" ht="15.75" hidden="1" thickBot="1" x14ac:dyDescent="0.3">
      <c r="A6592" s="250"/>
      <c r="B6592" s="253"/>
      <c r="C6592" s="60"/>
      <c r="D6592" s="60"/>
      <c r="E6592" s="79"/>
      <c r="F6592" s="87" t="s">
        <v>23</v>
      </c>
      <c r="G6592" s="87" t="str">
        <f t="shared" si="127"/>
        <v/>
      </c>
      <c r="H6592" s="89"/>
      <c r="I6592" s="35"/>
      <c r="J6592" s="34">
        <v>0</v>
      </c>
    </row>
    <row r="6593" spans="1:10" ht="15.75" hidden="1" thickBot="1" x14ac:dyDescent="0.3">
      <c r="A6593" s="248" t="s">
        <v>1571</v>
      </c>
      <c r="B6593" s="251" t="s">
        <v>3331</v>
      </c>
      <c r="C6593" s="28"/>
      <c r="D6593" s="29" t="s">
        <v>28</v>
      </c>
      <c r="E6593" s="30"/>
      <c r="F6593" s="45" t="s">
        <v>23</v>
      </c>
      <c r="G6593" s="31" t="str">
        <f t="shared" si="127"/>
        <v/>
      </c>
      <c r="H6593" s="32"/>
      <c r="I6593" s="33"/>
      <c r="J6593" s="34">
        <v>0</v>
      </c>
    </row>
    <row r="6594" spans="1:10" ht="15.75" hidden="1" thickBot="1" x14ac:dyDescent="0.3">
      <c r="A6594" s="249"/>
      <c r="B6594" s="266"/>
      <c r="C6594" s="36"/>
      <c r="D6594" s="36"/>
      <c r="E6594" s="37"/>
      <c r="F6594" s="46" t="s">
        <v>23</v>
      </c>
      <c r="G6594" s="35" t="str">
        <f t="shared" si="127"/>
        <v/>
      </c>
      <c r="H6594" s="39"/>
      <c r="I6594" s="35"/>
      <c r="J6594" s="34">
        <v>0</v>
      </c>
    </row>
    <row r="6595" spans="1:10" ht="26.25" hidden="1" thickBot="1" x14ac:dyDescent="0.3">
      <c r="A6595" s="249"/>
      <c r="B6595" s="266"/>
      <c r="C6595" s="40" t="s">
        <v>4363</v>
      </c>
      <c r="D6595" s="40" t="s">
        <v>291</v>
      </c>
      <c r="E6595" s="75">
        <v>1</v>
      </c>
      <c r="F6595" s="35">
        <v>70.566000000000003</v>
      </c>
      <c r="G6595" s="35">
        <f t="shared" si="127"/>
        <v>70.566000000000003</v>
      </c>
      <c r="H6595" s="43">
        <f>SUM(G6595:G6595)</f>
        <v>70.566000000000003</v>
      </c>
      <c r="I6595" s="44"/>
      <c r="J6595" s="34">
        <v>0</v>
      </c>
    </row>
    <row r="6596" spans="1:10" ht="15.75" hidden="1" thickBot="1" x14ac:dyDescent="0.3">
      <c r="A6596" s="250"/>
      <c r="B6596" s="253"/>
      <c r="C6596" s="60"/>
      <c r="D6596" s="60"/>
      <c r="E6596" s="79"/>
      <c r="F6596" s="87" t="s">
        <v>23</v>
      </c>
      <c r="G6596" s="87" t="str">
        <f t="shared" si="127"/>
        <v/>
      </c>
      <c r="H6596" s="89"/>
      <c r="I6596" s="35"/>
      <c r="J6596" s="34">
        <v>0</v>
      </c>
    </row>
    <row r="6597" spans="1:10" ht="15.75" hidden="1" thickBot="1" x14ac:dyDescent="0.3">
      <c r="A6597" s="248" t="s">
        <v>1572</v>
      </c>
      <c r="B6597" s="251" t="s">
        <v>3332</v>
      </c>
      <c r="C6597" s="28"/>
      <c r="D6597" s="29" t="s">
        <v>28</v>
      </c>
      <c r="E6597" s="30"/>
      <c r="F6597" s="45" t="s">
        <v>23</v>
      </c>
      <c r="G6597" s="31" t="str">
        <f t="shared" si="127"/>
        <v/>
      </c>
      <c r="H6597" s="32"/>
      <c r="I6597" s="33"/>
      <c r="J6597" s="34">
        <v>0</v>
      </c>
    </row>
    <row r="6598" spans="1:10" ht="15.75" hidden="1" thickBot="1" x14ac:dyDescent="0.3">
      <c r="A6598" s="249"/>
      <c r="B6598" s="266"/>
      <c r="C6598" s="36"/>
      <c r="D6598" s="36"/>
      <c r="E6598" s="37"/>
      <c r="F6598" s="46" t="s">
        <v>23</v>
      </c>
      <c r="G6598" s="35" t="str">
        <f t="shared" si="127"/>
        <v/>
      </c>
      <c r="H6598" s="39"/>
      <c r="I6598" s="35"/>
      <c r="J6598" s="34">
        <v>0</v>
      </c>
    </row>
    <row r="6599" spans="1:10" ht="26.25" hidden="1" thickBot="1" x14ac:dyDescent="0.3">
      <c r="A6599" s="249"/>
      <c r="B6599" s="266"/>
      <c r="C6599" s="40" t="s">
        <v>4364</v>
      </c>
      <c r="D6599" s="40" t="s">
        <v>291</v>
      </c>
      <c r="E6599" s="75">
        <v>1</v>
      </c>
      <c r="F6599" s="35">
        <v>42.3795</v>
      </c>
      <c r="G6599" s="35">
        <f t="shared" si="127"/>
        <v>42.3795</v>
      </c>
      <c r="H6599" s="43">
        <f>SUM(G6599:G6599)</f>
        <v>42.3795</v>
      </c>
      <c r="I6599" s="44"/>
      <c r="J6599" s="34">
        <v>0</v>
      </c>
    </row>
    <row r="6600" spans="1:10" ht="15.75" hidden="1" thickBot="1" x14ac:dyDescent="0.3">
      <c r="A6600" s="250"/>
      <c r="B6600" s="253"/>
      <c r="C6600" s="60"/>
      <c r="D6600" s="60"/>
      <c r="E6600" s="79"/>
      <c r="F6600" s="87" t="s">
        <v>23</v>
      </c>
      <c r="G6600" s="87" t="str">
        <f t="shared" si="127"/>
        <v/>
      </c>
      <c r="H6600" s="89"/>
      <c r="I6600" s="35"/>
      <c r="J6600" s="34">
        <v>0</v>
      </c>
    </row>
    <row r="6601" spans="1:10" ht="15.75" hidden="1" thickBot="1" x14ac:dyDescent="0.3">
      <c r="A6601" s="248" t="s">
        <v>1573</v>
      </c>
      <c r="B6601" s="251" t="s">
        <v>3333</v>
      </c>
      <c r="C6601" s="28"/>
      <c r="D6601" s="29" t="s">
        <v>28</v>
      </c>
      <c r="E6601" s="30"/>
      <c r="F6601" s="45" t="s">
        <v>23</v>
      </c>
      <c r="G6601" s="31" t="str">
        <f t="shared" si="127"/>
        <v/>
      </c>
      <c r="H6601" s="32"/>
      <c r="I6601" s="33"/>
      <c r="J6601" s="34">
        <v>0</v>
      </c>
    </row>
    <row r="6602" spans="1:10" ht="15.75" hidden="1" thickBot="1" x14ac:dyDescent="0.3">
      <c r="A6602" s="249"/>
      <c r="B6602" s="266"/>
      <c r="C6602" s="36"/>
      <c r="D6602" s="36"/>
      <c r="E6602" s="37"/>
      <c r="F6602" s="46" t="s">
        <v>23</v>
      </c>
      <c r="G6602" s="35" t="str">
        <f t="shared" si="127"/>
        <v/>
      </c>
      <c r="H6602" s="39"/>
      <c r="I6602" s="35"/>
      <c r="J6602" s="34">
        <v>0</v>
      </c>
    </row>
    <row r="6603" spans="1:10" ht="26.25" hidden="1" thickBot="1" x14ac:dyDescent="0.3">
      <c r="A6603" s="249"/>
      <c r="B6603" s="266"/>
      <c r="C6603" s="40" t="s">
        <v>4365</v>
      </c>
      <c r="D6603" s="40" t="s">
        <v>291</v>
      </c>
      <c r="E6603" s="75">
        <v>1</v>
      </c>
      <c r="F6603" s="35">
        <v>350.721</v>
      </c>
      <c r="G6603" s="35">
        <f t="shared" si="127"/>
        <v>350.721</v>
      </c>
      <c r="H6603" s="43">
        <f>SUM(G6603:G6603)</f>
        <v>350.721</v>
      </c>
      <c r="I6603" s="44"/>
      <c r="J6603" s="34">
        <v>0</v>
      </c>
    </row>
    <row r="6604" spans="1:10" ht="15.75" hidden="1" thickBot="1" x14ac:dyDescent="0.3">
      <c r="A6604" s="250"/>
      <c r="B6604" s="253"/>
      <c r="C6604" s="60"/>
      <c r="D6604" s="60"/>
      <c r="E6604" s="79"/>
      <c r="F6604" s="87" t="s">
        <v>23</v>
      </c>
      <c r="G6604" s="87" t="str">
        <f t="shared" si="127"/>
        <v/>
      </c>
      <c r="H6604" s="89"/>
      <c r="I6604" s="35"/>
      <c r="J6604" s="34">
        <v>0</v>
      </c>
    </row>
    <row r="6605" spans="1:10" ht="15.75" hidden="1" thickBot="1" x14ac:dyDescent="0.3">
      <c r="A6605" s="248" t="s">
        <v>1574</v>
      </c>
      <c r="B6605" s="251" t="s">
        <v>3334</v>
      </c>
      <c r="C6605" s="28"/>
      <c r="D6605" s="29" t="s">
        <v>28</v>
      </c>
      <c r="E6605" s="30"/>
      <c r="F6605" s="45" t="s">
        <v>23</v>
      </c>
      <c r="G6605" s="31" t="str">
        <f t="shared" si="127"/>
        <v/>
      </c>
      <c r="H6605" s="32"/>
      <c r="I6605" s="33"/>
      <c r="J6605" s="34">
        <v>0</v>
      </c>
    </row>
    <row r="6606" spans="1:10" ht="15.75" hidden="1" thickBot="1" x14ac:dyDescent="0.3">
      <c r="A6606" s="249"/>
      <c r="B6606" s="266"/>
      <c r="C6606" s="36"/>
      <c r="D6606" s="36"/>
      <c r="E6606" s="37"/>
      <c r="F6606" s="46" t="s">
        <v>23</v>
      </c>
      <c r="G6606" s="35" t="str">
        <f t="shared" si="127"/>
        <v/>
      </c>
      <c r="H6606" s="39"/>
      <c r="I6606" s="35"/>
      <c r="J6606" s="34">
        <v>0</v>
      </c>
    </row>
    <row r="6607" spans="1:10" ht="26.25" hidden="1" thickBot="1" x14ac:dyDescent="0.3">
      <c r="A6607" s="249"/>
      <c r="B6607" s="266"/>
      <c r="C6607" s="40" t="s">
        <v>4366</v>
      </c>
      <c r="D6607" s="40" t="s">
        <v>291</v>
      </c>
      <c r="E6607" s="75">
        <v>1</v>
      </c>
      <c r="F6607" s="35">
        <v>169.1095</v>
      </c>
      <c r="G6607" s="35">
        <f t="shared" si="127"/>
        <v>169.1095</v>
      </c>
      <c r="H6607" s="43">
        <f>SUM(G6607:G6607)</f>
        <v>169.1095</v>
      </c>
      <c r="I6607" s="44"/>
      <c r="J6607" s="34">
        <v>0</v>
      </c>
    </row>
    <row r="6608" spans="1:10" ht="15.75" hidden="1" thickBot="1" x14ac:dyDescent="0.3">
      <c r="A6608" s="250"/>
      <c r="B6608" s="253"/>
      <c r="C6608" s="60"/>
      <c r="D6608" s="60"/>
      <c r="E6608" s="79"/>
      <c r="F6608" s="87" t="s">
        <v>23</v>
      </c>
      <c r="G6608" s="87" t="str">
        <f t="shared" si="127"/>
        <v/>
      </c>
      <c r="H6608" s="89"/>
      <c r="I6608" s="35"/>
      <c r="J6608" s="34">
        <v>0</v>
      </c>
    </row>
    <row r="6609" spans="1:10" ht="15.75" hidden="1" thickBot="1" x14ac:dyDescent="0.3">
      <c r="A6609" s="248" t="s">
        <v>1575</v>
      </c>
      <c r="B6609" s="251" t="s">
        <v>3335</v>
      </c>
      <c r="C6609" s="28"/>
      <c r="D6609" s="29" t="s">
        <v>28</v>
      </c>
      <c r="E6609" s="30"/>
      <c r="F6609" s="45" t="s">
        <v>23</v>
      </c>
      <c r="G6609" s="31" t="str">
        <f t="shared" si="127"/>
        <v/>
      </c>
      <c r="H6609" s="32"/>
      <c r="I6609" s="33"/>
      <c r="J6609" s="34">
        <v>0</v>
      </c>
    </row>
    <row r="6610" spans="1:10" ht="15.75" hidden="1" thickBot="1" x14ac:dyDescent="0.3">
      <c r="A6610" s="249"/>
      <c r="B6610" s="266"/>
      <c r="C6610" s="36"/>
      <c r="D6610" s="36"/>
      <c r="E6610" s="37"/>
      <c r="F6610" s="46" t="s">
        <v>23</v>
      </c>
      <c r="G6610" s="35" t="str">
        <f t="shared" si="127"/>
        <v/>
      </c>
      <c r="H6610" s="39"/>
      <c r="I6610" s="35"/>
      <c r="J6610" s="34">
        <v>0</v>
      </c>
    </row>
    <row r="6611" spans="1:10" ht="26.25" hidden="1" thickBot="1" x14ac:dyDescent="0.3">
      <c r="A6611" s="249"/>
      <c r="B6611" s="266"/>
      <c r="C6611" s="40" t="s">
        <v>4367</v>
      </c>
      <c r="D6611" s="40" t="s">
        <v>291</v>
      </c>
      <c r="E6611" s="75">
        <v>1</v>
      </c>
      <c r="F6611" s="35">
        <v>424.61199999999997</v>
      </c>
      <c r="G6611" s="35">
        <f t="shared" si="127"/>
        <v>424.61199999999997</v>
      </c>
      <c r="H6611" s="43">
        <f>SUM(G6611:G6611)</f>
        <v>424.61199999999997</v>
      </c>
      <c r="I6611" s="44"/>
      <c r="J6611" s="34">
        <v>0</v>
      </c>
    </row>
    <row r="6612" spans="1:10" ht="15.75" hidden="1" thickBot="1" x14ac:dyDescent="0.3">
      <c r="A6612" s="250"/>
      <c r="B6612" s="253"/>
      <c r="C6612" s="60"/>
      <c r="D6612" s="60"/>
      <c r="E6612" s="79"/>
      <c r="F6612" s="87" t="s">
        <v>23</v>
      </c>
      <c r="G6612" s="87" t="str">
        <f t="shared" si="127"/>
        <v/>
      </c>
      <c r="H6612" s="89"/>
      <c r="I6612" s="35"/>
      <c r="J6612" s="34">
        <v>0</v>
      </c>
    </row>
    <row r="6613" spans="1:10" ht="15.75" hidden="1" thickBot="1" x14ac:dyDescent="0.3">
      <c r="A6613" s="248" t="s">
        <v>1576</v>
      </c>
      <c r="B6613" s="251" t="s">
        <v>3336</v>
      </c>
      <c r="C6613" s="28"/>
      <c r="D6613" s="29" t="s">
        <v>28</v>
      </c>
      <c r="E6613" s="30"/>
      <c r="F6613" s="45" t="s">
        <v>23</v>
      </c>
      <c r="G6613" s="31" t="str">
        <f t="shared" si="127"/>
        <v/>
      </c>
      <c r="H6613" s="32"/>
      <c r="I6613" s="33"/>
      <c r="J6613" s="34">
        <v>0</v>
      </c>
    </row>
    <row r="6614" spans="1:10" ht="15.75" hidden="1" thickBot="1" x14ac:dyDescent="0.3">
      <c r="A6614" s="249"/>
      <c r="B6614" s="266"/>
      <c r="C6614" s="36"/>
      <c r="D6614" s="36"/>
      <c r="E6614" s="37"/>
      <c r="F6614" s="46" t="s">
        <v>23</v>
      </c>
      <c r="G6614" s="35" t="str">
        <f t="shared" si="127"/>
        <v/>
      </c>
      <c r="H6614" s="39"/>
      <c r="I6614" s="35"/>
      <c r="J6614" s="34">
        <v>0</v>
      </c>
    </row>
    <row r="6615" spans="1:10" ht="26.25" hidden="1" thickBot="1" x14ac:dyDescent="0.3">
      <c r="A6615" s="249"/>
      <c r="B6615" s="266"/>
      <c r="C6615" s="40" t="s">
        <v>4368</v>
      </c>
      <c r="D6615" s="40" t="s">
        <v>291</v>
      </c>
      <c r="E6615" s="75">
        <v>1</v>
      </c>
      <c r="F6615" s="35">
        <v>44.707000000000001</v>
      </c>
      <c r="G6615" s="35">
        <f t="shared" si="127"/>
        <v>44.707000000000001</v>
      </c>
      <c r="H6615" s="43">
        <f>SUM(G6615:G6615)</f>
        <v>44.707000000000001</v>
      </c>
      <c r="I6615" s="44"/>
      <c r="J6615" s="34">
        <v>0</v>
      </c>
    </row>
    <row r="6616" spans="1:10" ht="15.75" hidden="1" thickBot="1" x14ac:dyDescent="0.3">
      <c r="A6616" s="250"/>
      <c r="B6616" s="253"/>
      <c r="C6616" s="60"/>
      <c r="D6616" s="60"/>
      <c r="E6616" s="79"/>
      <c r="F6616" s="87" t="s">
        <v>23</v>
      </c>
      <c r="G6616" s="87" t="str">
        <f t="shared" si="127"/>
        <v/>
      </c>
      <c r="H6616" s="89"/>
      <c r="I6616" s="35"/>
      <c r="J6616" s="34">
        <v>0</v>
      </c>
    </row>
    <row r="6617" spans="1:10" ht="15.75" hidden="1" thickBot="1" x14ac:dyDescent="0.3">
      <c r="A6617" s="248" t="s">
        <v>1577</v>
      </c>
      <c r="B6617" s="251" t="s">
        <v>3337</v>
      </c>
      <c r="C6617" s="28"/>
      <c r="D6617" s="29" t="s">
        <v>28</v>
      </c>
      <c r="E6617" s="30"/>
      <c r="F6617" s="45" t="s">
        <v>23</v>
      </c>
      <c r="G6617" s="31" t="str">
        <f t="shared" si="127"/>
        <v/>
      </c>
      <c r="H6617" s="32"/>
      <c r="I6617" s="33"/>
      <c r="J6617" s="34">
        <v>0</v>
      </c>
    </row>
    <row r="6618" spans="1:10" ht="15.75" hidden="1" thickBot="1" x14ac:dyDescent="0.3">
      <c r="A6618" s="249"/>
      <c r="B6618" s="266"/>
      <c r="C6618" s="36"/>
      <c r="D6618" s="36"/>
      <c r="E6618" s="37"/>
      <c r="F6618" s="46" t="s">
        <v>23</v>
      </c>
      <c r="G6618" s="35" t="str">
        <f t="shared" si="127"/>
        <v/>
      </c>
      <c r="H6618" s="39"/>
      <c r="I6618" s="35"/>
      <c r="J6618" s="34">
        <v>0</v>
      </c>
    </row>
    <row r="6619" spans="1:10" ht="26.25" hidden="1" thickBot="1" x14ac:dyDescent="0.3">
      <c r="A6619" s="249"/>
      <c r="B6619" s="266"/>
      <c r="C6619" s="40" t="s">
        <v>4369</v>
      </c>
      <c r="D6619" s="40" t="s">
        <v>291</v>
      </c>
      <c r="E6619" s="75">
        <v>1</v>
      </c>
      <c r="F6619" s="35">
        <v>884.7349999999999</v>
      </c>
      <c r="G6619" s="35">
        <f t="shared" si="127"/>
        <v>884.7349999999999</v>
      </c>
      <c r="H6619" s="43">
        <f>SUM(G6619:G6619)</f>
        <v>884.7349999999999</v>
      </c>
      <c r="I6619" s="44"/>
      <c r="J6619" s="34">
        <v>0</v>
      </c>
    </row>
    <row r="6620" spans="1:10" ht="15.75" hidden="1" thickBot="1" x14ac:dyDescent="0.3">
      <c r="A6620" s="250"/>
      <c r="B6620" s="253"/>
      <c r="C6620" s="60"/>
      <c r="D6620" s="60"/>
      <c r="E6620" s="79"/>
      <c r="F6620" s="87" t="s">
        <v>23</v>
      </c>
      <c r="G6620" s="87" t="str">
        <f t="shared" si="127"/>
        <v/>
      </c>
      <c r="H6620" s="89"/>
      <c r="I6620" s="35"/>
      <c r="J6620" s="34">
        <v>0</v>
      </c>
    </row>
    <row r="6621" spans="1:10" ht="15.75" hidden="1" thickBot="1" x14ac:dyDescent="0.3">
      <c r="A6621" s="248" t="s">
        <v>1578</v>
      </c>
      <c r="B6621" s="251" t="s">
        <v>3338</v>
      </c>
      <c r="C6621" s="28"/>
      <c r="D6621" s="29" t="s">
        <v>28</v>
      </c>
      <c r="E6621" s="30"/>
      <c r="F6621" s="45" t="s">
        <v>23</v>
      </c>
      <c r="G6621" s="31" t="str">
        <f t="shared" si="127"/>
        <v/>
      </c>
      <c r="H6621" s="32"/>
      <c r="I6621" s="33"/>
      <c r="J6621" s="34">
        <v>0</v>
      </c>
    </row>
    <row r="6622" spans="1:10" ht="15.75" hidden="1" thickBot="1" x14ac:dyDescent="0.3">
      <c r="A6622" s="249"/>
      <c r="B6622" s="266"/>
      <c r="C6622" s="36"/>
      <c r="D6622" s="36"/>
      <c r="E6622" s="37"/>
      <c r="F6622" s="46" t="s">
        <v>23</v>
      </c>
      <c r="G6622" s="35" t="str">
        <f t="shared" si="127"/>
        <v/>
      </c>
      <c r="H6622" s="39"/>
      <c r="I6622" s="35"/>
      <c r="J6622" s="34">
        <v>0</v>
      </c>
    </row>
    <row r="6623" spans="1:10" ht="26.25" hidden="1" thickBot="1" x14ac:dyDescent="0.3">
      <c r="A6623" s="249"/>
      <c r="B6623" s="266"/>
      <c r="C6623" s="40" t="s">
        <v>4370</v>
      </c>
      <c r="D6623" s="40" t="s">
        <v>291</v>
      </c>
      <c r="E6623" s="75">
        <v>1</v>
      </c>
      <c r="F6623" s="35">
        <v>30.029499999999999</v>
      </c>
      <c r="G6623" s="35">
        <f t="shared" si="127"/>
        <v>30.029499999999999</v>
      </c>
      <c r="H6623" s="43">
        <f>SUM(G6623:G6623)</f>
        <v>30.029499999999999</v>
      </c>
      <c r="I6623" s="44"/>
      <c r="J6623" s="34">
        <v>0</v>
      </c>
    </row>
    <row r="6624" spans="1:10" ht="15.75" hidden="1" thickBot="1" x14ac:dyDescent="0.3">
      <c r="A6624" s="250"/>
      <c r="B6624" s="253"/>
      <c r="C6624" s="60"/>
      <c r="D6624" s="60"/>
      <c r="E6624" s="79"/>
      <c r="F6624" s="87" t="s">
        <v>23</v>
      </c>
      <c r="G6624" s="87" t="str">
        <f t="shared" si="127"/>
        <v/>
      </c>
      <c r="H6624" s="89"/>
      <c r="I6624" s="35"/>
      <c r="J6624" s="34">
        <v>0</v>
      </c>
    </row>
    <row r="6625" spans="1:10" ht="15.75" hidden="1" thickBot="1" x14ac:dyDescent="0.3">
      <c r="A6625" s="248" t="s">
        <v>1579</v>
      </c>
      <c r="B6625" s="251" t="s">
        <v>3339</v>
      </c>
      <c r="C6625" s="28"/>
      <c r="D6625" s="29" t="s">
        <v>28</v>
      </c>
      <c r="E6625" s="30"/>
      <c r="F6625" s="45" t="s">
        <v>23</v>
      </c>
      <c r="G6625" s="31" t="str">
        <f t="shared" si="127"/>
        <v/>
      </c>
      <c r="H6625" s="32"/>
      <c r="I6625" s="33"/>
      <c r="J6625" s="34">
        <v>0</v>
      </c>
    </row>
    <row r="6626" spans="1:10" ht="15.75" hidden="1" thickBot="1" x14ac:dyDescent="0.3">
      <c r="A6626" s="249"/>
      <c r="B6626" s="266"/>
      <c r="C6626" s="36"/>
      <c r="D6626" s="36"/>
      <c r="E6626" s="37"/>
      <c r="F6626" s="46" t="s">
        <v>23</v>
      </c>
      <c r="G6626" s="35" t="str">
        <f t="shared" si="127"/>
        <v/>
      </c>
      <c r="H6626" s="39"/>
      <c r="I6626" s="35"/>
      <c r="J6626" s="34">
        <v>0</v>
      </c>
    </row>
    <row r="6627" spans="1:10" ht="26.25" hidden="1" thickBot="1" x14ac:dyDescent="0.3">
      <c r="A6627" s="249"/>
      <c r="B6627" s="266"/>
      <c r="C6627" s="40" t="s">
        <v>4371</v>
      </c>
      <c r="D6627" s="40" t="s">
        <v>291</v>
      </c>
      <c r="E6627" s="75">
        <v>1</v>
      </c>
      <c r="F6627" s="35">
        <v>35.853000000000002</v>
      </c>
      <c r="G6627" s="35">
        <f t="shared" si="127"/>
        <v>35.853000000000002</v>
      </c>
      <c r="H6627" s="43">
        <f>SUM(G6627:G6627)</f>
        <v>35.853000000000002</v>
      </c>
      <c r="I6627" s="44"/>
      <c r="J6627" s="34">
        <v>0</v>
      </c>
    </row>
    <row r="6628" spans="1:10" ht="15.75" hidden="1" thickBot="1" x14ac:dyDescent="0.3">
      <c r="A6628" s="250"/>
      <c r="B6628" s="253"/>
      <c r="C6628" s="60"/>
      <c r="D6628" s="60"/>
      <c r="E6628" s="79"/>
      <c r="F6628" s="87" t="s">
        <v>23</v>
      </c>
      <c r="G6628" s="87" t="str">
        <f t="shared" si="127"/>
        <v/>
      </c>
      <c r="H6628" s="89"/>
      <c r="I6628" s="35"/>
      <c r="J6628" s="34">
        <v>0</v>
      </c>
    </row>
    <row r="6629" spans="1:10" ht="15.75" hidden="1" thickBot="1" x14ac:dyDescent="0.3">
      <c r="A6629" s="248" t="s">
        <v>1580</v>
      </c>
      <c r="B6629" s="251" t="s">
        <v>3340</v>
      </c>
      <c r="C6629" s="28"/>
      <c r="D6629" s="29" t="s">
        <v>28</v>
      </c>
      <c r="E6629" s="30"/>
      <c r="F6629" s="45" t="s">
        <v>23</v>
      </c>
      <c r="G6629" s="31" t="str">
        <f t="shared" si="127"/>
        <v/>
      </c>
      <c r="H6629" s="32"/>
      <c r="I6629" s="33"/>
      <c r="J6629" s="34">
        <v>0</v>
      </c>
    </row>
    <row r="6630" spans="1:10" ht="15.75" hidden="1" thickBot="1" x14ac:dyDescent="0.3">
      <c r="A6630" s="249"/>
      <c r="B6630" s="266"/>
      <c r="C6630" s="36"/>
      <c r="D6630" s="36"/>
      <c r="E6630" s="37"/>
      <c r="F6630" s="46" t="s">
        <v>23</v>
      </c>
      <c r="G6630" s="35" t="str">
        <f t="shared" si="127"/>
        <v/>
      </c>
      <c r="H6630" s="39"/>
      <c r="I6630" s="35"/>
      <c r="J6630" s="34">
        <v>0</v>
      </c>
    </row>
    <row r="6631" spans="1:10" ht="26.25" hidden="1" thickBot="1" x14ac:dyDescent="0.3">
      <c r="A6631" s="249"/>
      <c r="B6631" s="266"/>
      <c r="C6631" s="40" t="s">
        <v>4372</v>
      </c>
      <c r="D6631" s="40" t="s">
        <v>291</v>
      </c>
      <c r="E6631" s="75">
        <v>1</v>
      </c>
      <c r="F6631" s="35">
        <v>23.5505</v>
      </c>
      <c r="G6631" s="35">
        <f t="shared" si="127"/>
        <v>23.5505</v>
      </c>
      <c r="H6631" s="43">
        <f>SUM(G6631:G6631)</f>
        <v>23.5505</v>
      </c>
      <c r="I6631" s="44"/>
      <c r="J6631" s="34">
        <v>0</v>
      </c>
    </row>
    <row r="6632" spans="1:10" ht="15.75" hidden="1" thickBot="1" x14ac:dyDescent="0.3">
      <c r="A6632" s="250"/>
      <c r="B6632" s="253"/>
      <c r="C6632" s="60"/>
      <c r="D6632" s="60"/>
      <c r="E6632" s="79"/>
      <c r="F6632" s="87" t="s">
        <v>23</v>
      </c>
      <c r="G6632" s="87" t="str">
        <f t="shared" si="127"/>
        <v/>
      </c>
      <c r="H6632" s="89"/>
      <c r="I6632" s="35"/>
      <c r="J6632" s="34">
        <v>0</v>
      </c>
    </row>
    <row r="6633" spans="1:10" ht="15.75" hidden="1" thickBot="1" x14ac:dyDescent="0.3">
      <c r="A6633" s="248" t="s">
        <v>1581</v>
      </c>
      <c r="B6633" s="251" t="s">
        <v>3341</v>
      </c>
      <c r="C6633" s="28"/>
      <c r="D6633" s="29" t="s">
        <v>28</v>
      </c>
      <c r="E6633" s="30"/>
      <c r="F6633" s="45" t="s">
        <v>23</v>
      </c>
      <c r="G6633" s="31" t="str">
        <f t="shared" si="127"/>
        <v/>
      </c>
      <c r="H6633" s="32"/>
      <c r="I6633" s="33"/>
      <c r="J6633" s="34">
        <v>0</v>
      </c>
    </row>
    <row r="6634" spans="1:10" ht="15.75" hidden="1" thickBot="1" x14ac:dyDescent="0.3">
      <c r="A6634" s="249"/>
      <c r="B6634" s="266"/>
      <c r="C6634" s="36"/>
      <c r="D6634" s="36"/>
      <c r="E6634" s="37"/>
      <c r="F6634" s="46" t="s">
        <v>23</v>
      </c>
      <c r="G6634" s="35" t="str">
        <f t="shared" si="127"/>
        <v/>
      </c>
      <c r="H6634" s="39"/>
      <c r="I6634" s="35"/>
      <c r="J6634" s="34">
        <v>0</v>
      </c>
    </row>
    <row r="6635" spans="1:10" ht="26.25" hidden="1" thickBot="1" x14ac:dyDescent="0.3">
      <c r="A6635" s="249"/>
      <c r="B6635" s="266"/>
      <c r="C6635" s="40" t="s">
        <v>4373</v>
      </c>
      <c r="D6635" s="40" t="s">
        <v>291</v>
      </c>
      <c r="E6635" s="75">
        <v>1</v>
      </c>
      <c r="F6635" s="35">
        <v>64.542999999999992</v>
      </c>
      <c r="G6635" s="35">
        <f t="shared" si="127"/>
        <v>64.542999999999992</v>
      </c>
      <c r="H6635" s="43">
        <f>SUM(G6635:G6635)</f>
        <v>64.542999999999992</v>
      </c>
      <c r="I6635" s="44"/>
      <c r="J6635" s="34">
        <v>0</v>
      </c>
    </row>
    <row r="6636" spans="1:10" ht="15.75" hidden="1" thickBot="1" x14ac:dyDescent="0.3">
      <c r="A6636" s="250"/>
      <c r="B6636" s="253"/>
      <c r="C6636" s="60"/>
      <c r="D6636" s="60"/>
      <c r="E6636" s="79"/>
      <c r="F6636" s="87" t="s">
        <v>23</v>
      </c>
      <c r="G6636" s="87" t="str">
        <f t="shared" si="127"/>
        <v/>
      </c>
      <c r="H6636" s="89"/>
      <c r="I6636" s="35"/>
      <c r="J6636" s="34">
        <v>0</v>
      </c>
    </row>
    <row r="6637" spans="1:10" ht="15.75" hidden="1" thickBot="1" x14ac:dyDescent="0.3">
      <c r="A6637" s="248" t="s">
        <v>1582</v>
      </c>
      <c r="B6637" s="251" t="s">
        <v>3342</v>
      </c>
      <c r="C6637" s="28"/>
      <c r="D6637" s="29" t="s">
        <v>28</v>
      </c>
      <c r="E6637" s="30"/>
      <c r="F6637" s="45" t="s">
        <v>23</v>
      </c>
      <c r="G6637" s="31" t="str">
        <f t="shared" ref="G6637:G6700" si="128">IF(ISNUMBER(F6637),E6637*F6637,"")</f>
        <v/>
      </c>
      <c r="H6637" s="32"/>
      <c r="I6637" s="33"/>
      <c r="J6637" s="34">
        <v>0</v>
      </c>
    </row>
    <row r="6638" spans="1:10" ht="15.75" hidden="1" thickBot="1" x14ac:dyDescent="0.3">
      <c r="A6638" s="249"/>
      <c r="B6638" s="266"/>
      <c r="C6638" s="36"/>
      <c r="D6638" s="36"/>
      <c r="E6638" s="37"/>
      <c r="F6638" s="46" t="s">
        <v>23</v>
      </c>
      <c r="G6638" s="35" t="str">
        <f t="shared" si="128"/>
        <v/>
      </c>
      <c r="H6638" s="39"/>
      <c r="I6638" s="35"/>
      <c r="J6638" s="34">
        <v>0</v>
      </c>
    </row>
    <row r="6639" spans="1:10" ht="26.25" hidden="1" thickBot="1" x14ac:dyDescent="0.3">
      <c r="A6639" s="249"/>
      <c r="B6639" s="266"/>
      <c r="C6639" s="40" t="s">
        <v>4374</v>
      </c>
      <c r="D6639" s="40" t="s">
        <v>291</v>
      </c>
      <c r="E6639" s="75">
        <v>1</v>
      </c>
      <c r="F6639" s="35">
        <v>114.91199999999999</v>
      </c>
      <c r="G6639" s="35">
        <f t="shared" si="128"/>
        <v>114.91199999999999</v>
      </c>
      <c r="H6639" s="43">
        <f>SUM(G6639:G6639)</f>
        <v>114.91199999999999</v>
      </c>
      <c r="I6639" s="44"/>
      <c r="J6639" s="34">
        <v>0</v>
      </c>
    </row>
    <row r="6640" spans="1:10" ht="15.75" hidden="1" thickBot="1" x14ac:dyDescent="0.3">
      <c r="A6640" s="250"/>
      <c r="B6640" s="253"/>
      <c r="C6640" s="60"/>
      <c r="D6640" s="60"/>
      <c r="E6640" s="79"/>
      <c r="F6640" s="87" t="s">
        <v>23</v>
      </c>
      <c r="G6640" s="87" t="str">
        <f t="shared" si="128"/>
        <v/>
      </c>
      <c r="H6640" s="89"/>
      <c r="I6640" s="35"/>
      <c r="J6640" s="34">
        <v>0</v>
      </c>
    </row>
    <row r="6641" spans="1:10" ht="15.75" hidden="1" thickBot="1" x14ac:dyDescent="0.3">
      <c r="A6641" s="248" t="s">
        <v>1583</v>
      </c>
      <c r="B6641" s="251" t="s">
        <v>3343</v>
      </c>
      <c r="C6641" s="28"/>
      <c r="D6641" s="29" t="s">
        <v>28</v>
      </c>
      <c r="E6641" s="30"/>
      <c r="F6641" s="45" t="s">
        <v>23</v>
      </c>
      <c r="G6641" s="31" t="str">
        <f t="shared" si="128"/>
        <v/>
      </c>
      <c r="H6641" s="32"/>
      <c r="I6641" s="33"/>
      <c r="J6641" s="34">
        <v>0</v>
      </c>
    </row>
    <row r="6642" spans="1:10" ht="15.75" hidden="1" thickBot="1" x14ac:dyDescent="0.3">
      <c r="A6642" s="249"/>
      <c r="B6642" s="266"/>
      <c r="C6642" s="36"/>
      <c r="D6642" s="36"/>
      <c r="E6642" s="37"/>
      <c r="F6642" s="46" t="s">
        <v>23</v>
      </c>
      <c r="G6642" s="35" t="str">
        <f t="shared" si="128"/>
        <v/>
      </c>
      <c r="H6642" s="39"/>
      <c r="I6642" s="35"/>
      <c r="J6642" s="34">
        <v>0</v>
      </c>
    </row>
    <row r="6643" spans="1:10" ht="51.75" hidden="1" thickBot="1" x14ac:dyDescent="0.3">
      <c r="A6643" s="249"/>
      <c r="B6643" s="266"/>
      <c r="C6643" s="40" t="s">
        <v>4375</v>
      </c>
      <c r="D6643" s="40" t="s">
        <v>291</v>
      </c>
      <c r="E6643" s="75">
        <v>1</v>
      </c>
      <c r="F6643" s="35">
        <v>190</v>
      </c>
      <c r="G6643" s="35">
        <f t="shared" si="128"/>
        <v>190</v>
      </c>
      <c r="H6643" s="43">
        <f>SUM(G6643:G6643)</f>
        <v>190</v>
      </c>
      <c r="I6643" s="44"/>
      <c r="J6643" s="34">
        <v>0</v>
      </c>
    </row>
    <row r="6644" spans="1:10" ht="15.75" hidden="1" thickBot="1" x14ac:dyDescent="0.3">
      <c r="A6644" s="250"/>
      <c r="B6644" s="253"/>
      <c r="C6644" s="60"/>
      <c r="D6644" s="60"/>
      <c r="E6644" s="79"/>
      <c r="F6644" s="87" t="s">
        <v>23</v>
      </c>
      <c r="G6644" s="87" t="str">
        <f t="shared" si="128"/>
        <v/>
      </c>
      <c r="H6644" s="89"/>
      <c r="I6644" s="35"/>
      <c r="J6644" s="34">
        <v>0</v>
      </c>
    </row>
    <row r="6645" spans="1:10" ht="15.75" hidden="1" thickBot="1" x14ac:dyDescent="0.3">
      <c r="A6645" s="248" t="s">
        <v>1584</v>
      </c>
      <c r="B6645" s="251" t="s">
        <v>3344</v>
      </c>
      <c r="C6645" s="28"/>
      <c r="D6645" s="29" t="s">
        <v>28</v>
      </c>
      <c r="E6645" s="30"/>
      <c r="F6645" s="45" t="s">
        <v>23</v>
      </c>
      <c r="G6645" s="31" t="str">
        <f t="shared" si="128"/>
        <v/>
      </c>
      <c r="H6645" s="32"/>
      <c r="I6645" s="33"/>
      <c r="J6645" s="34">
        <v>0</v>
      </c>
    </row>
    <row r="6646" spans="1:10" ht="15.75" hidden="1" thickBot="1" x14ac:dyDescent="0.3">
      <c r="A6646" s="249"/>
      <c r="B6646" s="266"/>
      <c r="C6646" s="36"/>
      <c r="D6646" s="36"/>
      <c r="E6646" s="37"/>
      <c r="F6646" s="46" t="s">
        <v>23</v>
      </c>
      <c r="G6646" s="35" t="str">
        <f t="shared" si="128"/>
        <v/>
      </c>
      <c r="H6646" s="39"/>
      <c r="I6646" s="35"/>
      <c r="J6646" s="34">
        <v>0</v>
      </c>
    </row>
    <row r="6647" spans="1:10" ht="26.25" hidden="1" thickBot="1" x14ac:dyDescent="0.3">
      <c r="A6647" s="249"/>
      <c r="B6647" s="266"/>
      <c r="C6647" s="40" t="s">
        <v>4376</v>
      </c>
      <c r="D6647" s="40" t="s">
        <v>291</v>
      </c>
      <c r="E6647" s="75">
        <v>1</v>
      </c>
      <c r="F6647" s="35">
        <v>21.2515</v>
      </c>
      <c r="G6647" s="35">
        <f t="shared" si="128"/>
        <v>21.2515</v>
      </c>
      <c r="H6647" s="43">
        <f>SUM(G6647:G6647)</f>
        <v>21.2515</v>
      </c>
      <c r="I6647" s="44"/>
      <c r="J6647" s="34">
        <v>0</v>
      </c>
    </row>
    <row r="6648" spans="1:10" ht="15.75" hidden="1" thickBot="1" x14ac:dyDescent="0.3">
      <c r="A6648" s="250"/>
      <c r="B6648" s="253"/>
      <c r="C6648" s="60"/>
      <c r="D6648" s="60"/>
      <c r="E6648" s="79"/>
      <c r="F6648" s="87" t="s">
        <v>23</v>
      </c>
      <c r="G6648" s="87" t="str">
        <f t="shared" si="128"/>
        <v/>
      </c>
      <c r="H6648" s="89"/>
      <c r="I6648" s="35"/>
      <c r="J6648" s="34">
        <v>0</v>
      </c>
    </row>
    <row r="6649" spans="1:10" ht="15.75" hidden="1" thickBot="1" x14ac:dyDescent="0.3">
      <c r="A6649" s="248" t="s">
        <v>1585</v>
      </c>
      <c r="B6649" s="251" t="s">
        <v>3345</v>
      </c>
      <c r="C6649" s="28"/>
      <c r="D6649" s="29" t="s">
        <v>28</v>
      </c>
      <c r="E6649" s="30"/>
      <c r="F6649" s="45" t="s">
        <v>23</v>
      </c>
      <c r="G6649" s="31" t="str">
        <f t="shared" si="128"/>
        <v/>
      </c>
      <c r="H6649" s="32"/>
      <c r="I6649" s="33"/>
      <c r="J6649" s="34">
        <v>0</v>
      </c>
    </row>
    <row r="6650" spans="1:10" ht="15.75" hidden="1" thickBot="1" x14ac:dyDescent="0.3">
      <c r="A6650" s="249"/>
      <c r="B6650" s="266"/>
      <c r="C6650" s="36"/>
      <c r="D6650" s="36"/>
      <c r="E6650" s="37"/>
      <c r="F6650" s="46" t="s">
        <v>23</v>
      </c>
      <c r="G6650" s="35" t="str">
        <f t="shared" si="128"/>
        <v/>
      </c>
      <c r="H6650" s="39"/>
      <c r="I6650" s="35"/>
      <c r="J6650" s="34">
        <v>0</v>
      </c>
    </row>
    <row r="6651" spans="1:10" ht="26.25" hidden="1" thickBot="1" x14ac:dyDescent="0.3">
      <c r="A6651" s="249"/>
      <c r="B6651" s="266"/>
      <c r="C6651" s="40" t="s">
        <v>4377</v>
      </c>
      <c r="D6651" s="40" t="s">
        <v>291</v>
      </c>
      <c r="E6651" s="75">
        <v>1</v>
      </c>
      <c r="F6651" s="35">
        <v>8.8445</v>
      </c>
      <c r="G6651" s="35">
        <f t="shared" si="128"/>
        <v>8.8445</v>
      </c>
      <c r="H6651" s="43">
        <f>SUM(G6651:G6651)</f>
        <v>8.8445</v>
      </c>
      <c r="I6651" s="44"/>
      <c r="J6651" s="34">
        <v>0</v>
      </c>
    </row>
    <row r="6652" spans="1:10" ht="15.75" hidden="1" thickBot="1" x14ac:dyDescent="0.3">
      <c r="A6652" s="250"/>
      <c r="B6652" s="253"/>
      <c r="C6652" s="60"/>
      <c r="D6652" s="60"/>
      <c r="E6652" s="79"/>
      <c r="F6652" s="87" t="s">
        <v>23</v>
      </c>
      <c r="G6652" s="87" t="str">
        <f t="shared" si="128"/>
        <v/>
      </c>
      <c r="H6652" s="89"/>
      <c r="I6652" s="35"/>
      <c r="J6652" s="34">
        <v>0</v>
      </c>
    </row>
    <row r="6653" spans="1:10" ht="15.75" hidden="1" thickBot="1" x14ac:dyDescent="0.3">
      <c r="A6653" s="248" t="s">
        <v>1586</v>
      </c>
      <c r="B6653" s="251" t="s">
        <v>3346</v>
      </c>
      <c r="C6653" s="28"/>
      <c r="D6653" s="29" t="s">
        <v>28</v>
      </c>
      <c r="E6653" s="30"/>
      <c r="F6653" s="45" t="s">
        <v>23</v>
      </c>
      <c r="G6653" s="31" t="str">
        <f t="shared" si="128"/>
        <v/>
      </c>
      <c r="H6653" s="32"/>
      <c r="I6653" s="33"/>
      <c r="J6653" s="34">
        <v>0</v>
      </c>
    </row>
    <row r="6654" spans="1:10" ht="15.75" hidden="1" thickBot="1" x14ac:dyDescent="0.3">
      <c r="A6654" s="249"/>
      <c r="B6654" s="266"/>
      <c r="C6654" s="36"/>
      <c r="D6654" s="36"/>
      <c r="E6654" s="37"/>
      <c r="F6654" s="46" t="s">
        <v>23</v>
      </c>
      <c r="G6654" s="35" t="str">
        <f t="shared" si="128"/>
        <v/>
      </c>
      <c r="H6654" s="39"/>
      <c r="I6654" s="35"/>
      <c r="J6654" s="34">
        <v>0</v>
      </c>
    </row>
    <row r="6655" spans="1:10" ht="26.25" hidden="1" thickBot="1" x14ac:dyDescent="0.3">
      <c r="A6655" s="249"/>
      <c r="B6655" s="266"/>
      <c r="C6655" s="40" t="s">
        <v>4378</v>
      </c>
      <c r="D6655" s="40" t="s">
        <v>291</v>
      </c>
      <c r="E6655" s="75">
        <v>1</v>
      </c>
      <c r="F6655" s="35">
        <v>16.9955</v>
      </c>
      <c r="G6655" s="35">
        <f t="shared" si="128"/>
        <v>16.9955</v>
      </c>
      <c r="H6655" s="43">
        <f>SUM(G6655:G6655)</f>
        <v>16.9955</v>
      </c>
      <c r="I6655" s="44"/>
      <c r="J6655" s="34">
        <v>0</v>
      </c>
    </row>
    <row r="6656" spans="1:10" ht="15.75" hidden="1" thickBot="1" x14ac:dyDescent="0.3">
      <c r="A6656" s="250"/>
      <c r="B6656" s="253"/>
      <c r="C6656" s="60"/>
      <c r="D6656" s="60"/>
      <c r="E6656" s="79"/>
      <c r="F6656" s="87" t="s">
        <v>23</v>
      </c>
      <c r="G6656" s="87" t="str">
        <f t="shared" si="128"/>
        <v/>
      </c>
      <c r="H6656" s="89"/>
      <c r="I6656" s="35"/>
      <c r="J6656" s="34">
        <v>0</v>
      </c>
    </row>
    <row r="6657" spans="1:10" ht="15.75" hidden="1" thickBot="1" x14ac:dyDescent="0.3">
      <c r="A6657" s="248" t="s">
        <v>1587</v>
      </c>
      <c r="B6657" s="251" t="s">
        <v>3347</v>
      </c>
      <c r="C6657" s="28"/>
      <c r="D6657" s="29" t="s">
        <v>28</v>
      </c>
      <c r="E6657" s="30"/>
      <c r="F6657" s="45" t="s">
        <v>23</v>
      </c>
      <c r="G6657" s="31" t="str">
        <f t="shared" si="128"/>
        <v/>
      </c>
      <c r="H6657" s="32"/>
      <c r="I6657" s="33"/>
      <c r="J6657" s="34">
        <v>0</v>
      </c>
    </row>
    <row r="6658" spans="1:10" ht="15.75" hidden="1" thickBot="1" x14ac:dyDescent="0.3">
      <c r="A6658" s="249"/>
      <c r="B6658" s="266"/>
      <c r="C6658" s="36"/>
      <c r="D6658" s="36"/>
      <c r="E6658" s="37"/>
      <c r="F6658" s="46" t="s">
        <v>23</v>
      </c>
      <c r="G6658" s="35" t="str">
        <f t="shared" si="128"/>
        <v/>
      </c>
      <c r="H6658" s="39"/>
      <c r="I6658" s="35"/>
      <c r="J6658" s="34">
        <v>0</v>
      </c>
    </row>
    <row r="6659" spans="1:10" ht="39" hidden="1" thickBot="1" x14ac:dyDescent="0.3">
      <c r="A6659" s="249"/>
      <c r="B6659" s="266"/>
      <c r="C6659" s="40" t="s">
        <v>4379</v>
      </c>
      <c r="D6659" s="40" t="s">
        <v>291</v>
      </c>
      <c r="E6659" s="75">
        <v>1</v>
      </c>
      <c r="F6659" s="35">
        <v>416.28049999999996</v>
      </c>
      <c r="G6659" s="35">
        <f t="shared" si="128"/>
        <v>416.28049999999996</v>
      </c>
      <c r="H6659" s="43">
        <f>SUM(G6659:G6659)</f>
        <v>416.28049999999996</v>
      </c>
      <c r="I6659" s="44"/>
      <c r="J6659" s="34">
        <v>0</v>
      </c>
    </row>
    <row r="6660" spans="1:10" ht="15.75" hidden="1" thickBot="1" x14ac:dyDescent="0.3">
      <c r="A6660" s="250"/>
      <c r="B6660" s="253"/>
      <c r="C6660" s="60"/>
      <c r="D6660" s="60"/>
      <c r="E6660" s="79"/>
      <c r="F6660" s="87" t="s">
        <v>23</v>
      </c>
      <c r="G6660" s="87" t="str">
        <f t="shared" si="128"/>
        <v/>
      </c>
      <c r="H6660" s="89"/>
      <c r="I6660" s="35"/>
      <c r="J6660" s="34">
        <v>0</v>
      </c>
    </row>
    <row r="6661" spans="1:10" ht="15.75" hidden="1" thickBot="1" x14ac:dyDescent="0.3">
      <c r="A6661" s="248" t="s">
        <v>1588</v>
      </c>
      <c r="B6661" s="251" t="s">
        <v>3348</v>
      </c>
      <c r="C6661" s="28"/>
      <c r="D6661" s="29" t="s">
        <v>28</v>
      </c>
      <c r="E6661" s="30"/>
      <c r="F6661" s="45" t="s">
        <v>23</v>
      </c>
      <c r="G6661" s="31" t="str">
        <f t="shared" si="128"/>
        <v/>
      </c>
      <c r="H6661" s="32"/>
      <c r="I6661" s="33"/>
      <c r="J6661" s="34">
        <v>0</v>
      </c>
    </row>
    <row r="6662" spans="1:10" ht="15.75" hidden="1" thickBot="1" x14ac:dyDescent="0.3">
      <c r="A6662" s="249"/>
      <c r="B6662" s="266"/>
      <c r="C6662" s="36"/>
      <c r="D6662" s="36"/>
      <c r="E6662" s="37"/>
      <c r="F6662" s="46" t="s">
        <v>23</v>
      </c>
      <c r="G6662" s="35" t="str">
        <f t="shared" si="128"/>
        <v/>
      </c>
      <c r="H6662" s="39"/>
      <c r="I6662" s="35"/>
      <c r="J6662" s="34">
        <v>0</v>
      </c>
    </row>
    <row r="6663" spans="1:10" ht="39" hidden="1" thickBot="1" x14ac:dyDescent="0.3">
      <c r="A6663" s="249"/>
      <c r="B6663" s="266"/>
      <c r="C6663" s="40" t="s">
        <v>4380</v>
      </c>
      <c r="D6663" s="40" t="s">
        <v>291</v>
      </c>
      <c r="E6663" s="75">
        <v>1</v>
      </c>
      <c r="F6663" s="35">
        <v>341.54399999999998</v>
      </c>
      <c r="G6663" s="35">
        <f t="shared" si="128"/>
        <v>341.54399999999998</v>
      </c>
      <c r="H6663" s="43">
        <f>SUM(G6663:G6663)</f>
        <v>341.54399999999998</v>
      </c>
      <c r="I6663" s="44"/>
      <c r="J6663" s="34">
        <v>0</v>
      </c>
    </row>
    <row r="6664" spans="1:10" ht="15.75" hidden="1" thickBot="1" x14ac:dyDescent="0.3">
      <c r="A6664" s="250"/>
      <c r="B6664" s="253"/>
      <c r="C6664" s="60"/>
      <c r="D6664" s="60"/>
      <c r="E6664" s="79"/>
      <c r="F6664" s="87" t="s">
        <v>23</v>
      </c>
      <c r="G6664" s="87" t="str">
        <f t="shared" si="128"/>
        <v/>
      </c>
      <c r="H6664" s="89"/>
      <c r="I6664" s="35"/>
      <c r="J6664" s="34">
        <v>0</v>
      </c>
    </row>
    <row r="6665" spans="1:10" ht="15.75" hidden="1" thickBot="1" x14ac:dyDescent="0.3">
      <c r="A6665" s="248" t="s">
        <v>1589</v>
      </c>
      <c r="B6665" s="251" t="s">
        <v>3349</v>
      </c>
      <c r="C6665" s="28"/>
      <c r="D6665" s="29" t="s">
        <v>28</v>
      </c>
      <c r="E6665" s="30"/>
      <c r="F6665" s="45" t="s">
        <v>23</v>
      </c>
      <c r="G6665" s="31" t="str">
        <f t="shared" si="128"/>
        <v/>
      </c>
      <c r="H6665" s="32"/>
      <c r="I6665" s="33"/>
      <c r="J6665" s="34">
        <v>0</v>
      </c>
    </row>
    <row r="6666" spans="1:10" ht="15.75" hidden="1" thickBot="1" x14ac:dyDescent="0.3">
      <c r="A6666" s="249"/>
      <c r="B6666" s="266"/>
      <c r="C6666" s="36"/>
      <c r="D6666" s="36"/>
      <c r="E6666" s="37"/>
      <c r="F6666" s="46" t="s">
        <v>23</v>
      </c>
      <c r="G6666" s="35" t="str">
        <f t="shared" si="128"/>
        <v/>
      </c>
      <c r="H6666" s="39"/>
      <c r="I6666" s="35"/>
      <c r="J6666" s="34">
        <v>0</v>
      </c>
    </row>
    <row r="6667" spans="1:10" ht="26.25" hidden="1" thickBot="1" x14ac:dyDescent="0.3">
      <c r="A6667" s="249"/>
      <c r="B6667" s="266"/>
      <c r="C6667" s="40" t="s">
        <v>4381</v>
      </c>
      <c r="D6667" s="40" t="s">
        <v>291</v>
      </c>
      <c r="E6667" s="75">
        <v>1</v>
      </c>
      <c r="F6667" s="35">
        <v>200.53549999999998</v>
      </c>
      <c r="G6667" s="35">
        <f t="shared" si="128"/>
        <v>200.53549999999998</v>
      </c>
      <c r="H6667" s="43">
        <f>SUM(G6667:G6667)</f>
        <v>200.53549999999998</v>
      </c>
      <c r="I6667" s="44"/>
      <c r="J6667" s="34">
        <v>0</v>
      </c>
    </row>
    <row r="6668" spans="1:10" ht="15.75" hidden="1" thickBot="1" x14ac:dyDescent="0.3">
      <c r="A6668" s="250"/>
      <c r="B6668" s="253"/>
      <c r="C6668" s="60"/>
      <c r="D6668" s="60"/>
      <c r="E6668" s="79"/>
      <c r="F6668" s="87" t="s">
        <v>23</v>
      </c>
      <c r="G6668" s="87" t="str">
        <f t="shared" si="128"/>
        <v/>
      </c>
      <c r="H6668" s="89"/>
      <c r="I6668" s="35"/>
      <c r="J6668" s="34">
        <v>0</v>
      </c>
    </row>
    <row r="6669" spans="1:10" ht="15.75" hidden="1" thickBot="1" x14ac:dyDescent="0.3">
      <c r="A6669" s="248" t="s">
        <v>1590</v>
      </c>
      <c r="B6669" s="251" t="s">
        <v>3350</v>
      </c>
      <c r="C6669" s="28"/>
      <c r="D6669" s="29" t="s">
        <v>28</v>
      </c>
      <c r="E6669" s="30"/>
      <c r="F6669" s="45" t="s">
        <v>23</v>
      </c>
      <c r="G6669" s="31" t="str">
        <f t="shared" si="128"/>
        <v/>
      </c>
      <c r="H6669" s="32"/>
      <c r="I6669" s="33"/>
      <c r="J6669" s="34">
        <v>0</v>
      </c>
    </row>
    <row r="6670" spans="1:10" ht="15.75" hidden="1" thickBot="1" x14ac:dyDescent="0.3">
      <c r="A6670" s="249"/>
      <c r="B6670" s="266"/>
      <c r="C6670" s="36"/>
      <c r="D6670" s="36"/>
      <c r="E6670" s="37"/>
      <c r="F6670" s="46" t="s">
        <v>23</v>
      </c>
      <c r="G6670" s="35" t="str">
        <f t="shared" si="128"/>
        <v/>
      </c>
      <c r="H6670" s="39"/>
      <c r="I6670" s="35"/>
      <c r="J6670" s="34">
        <v>0</v>
      </c>
    </row>
    <row r="6671" spans="1:10" ht="26.25" hidden="1" thickBot="1" x14ac:dyDescent="0.3">
      <c r="A6671" s="249"/>
      <c r="B6671" s="266"/>
      <c r="C6671" s="40" t="s">
        <v>4382</v>
      </c>
      <c r="D6671" s="40" t="s">
        <v>291</v>
      </c>
      <c r="E6671" s="75">
        <v>1</v>
      </c>
      <c r="F6671" s="35">
        <v>534.11850000000004</v>
      </c>
      <c r="G6671" s="35">
        <f t="shared" si="128"/>
        <v>534.11850000000004</v>
      </c>
      <c r="H6671" s="43">
        <f>SUM(G6671:G6671)</f>
        <v>534.11850000000004</v>
      </c>
      <c r="I6671" s="44"/>
      <c r="J6671" s="34">
        <v>0</v>
      </c>
    </row>
    <row r="6672" spans="1:10" ht="15.75" hidden="1" thickBot="1" x14ac:dyDescent="0.3">
      <c r="A6672" s="250"/>
      <c r="B6672" s="253"/>
      <c r="C6672" s="60"/>
      <c r="D6672" s="60"/>
      <c r="E6672" s="79"/>
      <c r="F6672" s="87" t="s">
        <v>23</v>
      </c>
      <c r="G6672" s="87" t="str">
        <f t="shared" si="128"/>
        <v/>
      </c>
      <c r="H6672" s="89"/>
      <c r="I6672" s="35"/>
      <c r="J6672" s="34">
        <v>0</v>
      </c>
    </row>
    <row r="6673" spans="1:10" ht="15.75" hidden="1" thickBot="1" x14ac:dyDescent="0.3">
      <c r="A6673" s="248" t="s">
        <v>1591</v>
      </c>
      <c r="B6673" s="251" t="s">
        <v>3351</v>
      </c>
      <c r="C6673" s="28"/>
      <c r="D6673" s="29" t="s">
        <v>28</v>
      </c>
      <c r="E6673" s="30"/>
      <c r="F6673" s="45" t="s">
        <v>23</v>
      </c>
      <c r="G6673" s="31" t="str">
        <f t="shared" si="128"/>
        <v/>
      </c>
      <c r="H6673" s="32"/>
      <c r="I6673" s="33"/>
      <c r="J6673" s="34">
        <v>0</v>
      </c>
    </row>
    <row r="6674" spans="1:10" ht="15.75" hidden="1" thickBot="1" x14ac:dyDescent="0.3">
      <c r="A6674" s="249"/>
      <c r="B6674" s="266"/>
      <c r="C6674" s="36"/>
      <c r="D6674" s="36"/>
      <c r="E6674" s="37"/>
      <c r="F6674" s="46" t="s">
        <v>23</v>
      </c>
      <c r="G6674" s="35" t="str">
        <f t="shared" si="128"/>
        <v/>
      </c>
      <c r="H6674" s="39"/>
      <c r="I6674" s="35"/>
      <c r="J6674" s="34">
        <v>0</v>
      </c>
    </row>
    <row r="6675" spans="1:10" ht="26.25" hidden="1" thickBot="1" x14ac:dyDescent="0.3">
      <c r="A6675" s="249"/>
      <c r="B6675" s="266"/>
      <c r="C6675" s="40" t="s">
        <v>4383</v>
      </c>
      <c r="D6675" s="40" t="s">
        <v>291</v>
      </c>
      <c r="E6675" s="75">
        <v>1</v>
      </c>
      <c r="F6675" s="35">
        <v>89.138499999999993</v>
      </c>
      <c r="G6675" s="35">
        <f t="shared" si="128"/>
        <v>89.138499999999993</v>
      </c>
      <c r="H6675" s="43">
        <f>SUM(G6675:G6675)</f>
        <v>89.138499999999993</v>
      </c>
      <c r="I6675" s="44"/>
      <c r="J6675" s="34">
        <v>0</v>
      </c>
    </row>
    <row r="6676" spans="1:10" ht="15.75" hidden="1" thickBot="1" x14ac:dyDescent="0.3">
      <c r="A6676" s="250"/>
      <c r="B6676" s="253"/>
      <c r="C6676" s="60"/>
      <c r="D6676" s="60"/>
      <c r="E6676" s="79"/>
      <c r="F6676" s="87" t="s">
        <v>23</v>
      </c>
      <c r="G6676" s="87" t="str">
        <f t="shared" si="128"/>
        <v/>
      </c>
      <c r="H6676" s="89"/>
      <c r="I6676" s="35"/>
      <c r="J6676" s="34">
        <v>0</v>
      </c>
    </row>
    <row r="6677" spans="1:10" ht="15.75" hidden="1" thickBot="1" x14ac:dyDescent="0.3">
      <c r="A6677" s="248" t="s">
        <v>1592</v>
      </c>
      <c r="B6677" s="251" t="s">
        <v>3352</v>
      </c>
      <c r="C6677" s="28"/>
      <c r="D6677" s="29" t="s">
        <v>121</v>
      </c>
      <c r="E6677" s="30"/>
      <c r="F6677" s="45" t="s">
        <v>23</v>
      </c>
      <c r="G6677" s="31" t="str">
        <f t="shared" si="128"/>
        <v/>
      </c>
      <c r="H6677" s="32"/>
      <c r="I6677" s="33"/>
      <c r="J6677" s="34">
        <v>0</v>
      </c>
    </row>
    <row r="6678" spans="1:10" ht="15.75" hidden="1" thickBot="1" x14ac:dyDescent="0.3">
      <c r="A6678" s="249"/>
      <c r="B6678" s="266"/>
      <c r="C6678" s="36"/>
      <c r="D6678" s="36"/>
      <c r="E6678" s="37"/>
      <c r="F6678" s="46" t="s">
        <v>23</v>
      </c>
      <c r="G6678" s="35" t="str">
        <f t="shared" si="128"/>
        <v/>
      </c>
      <c r="H6678" s="39"/>
      <c r="I6678" s="35"/>
      <c r="J6678" s="34">
        <v>0</v>
      </c>
    </row>
    <row r="6679" spans="1:10" ht="26.25" hidden="1" thickBot="1" x14ac:dyDescent="0.3">
      <c r="A6679" s="249"/>
      <c r="B6679" s="266"/>
      <c r="C6679" s="40" t="s">
        <v>4023</v>
      </c>
      <c r="D6679" s="40" t="s">
        <v>1286</v>
      </c>
      <c r="E6679" s="75">
        <v>1</v>
      </c>
      <c r="F6679" s="35">
        <v>57.047499999999992</v>
      </c>
      <c r="G6679" s="35">
        <f t="shared" si="128"/>
        <v>57.047499999999992</v>
      </c>
      <c r="H6679" s="43">
        <f t="shared" ref="H6679" si="129">SUM(G6679:G6679)</f>
        <v>57.047499999999992</v>
      </c>
      <c r="I6679" s="44"/>
      <c r="J6679" s="34">
        <v>0</v>
      </c>
    </row>
    <row r="6680" spans="1:10" ht="15.75" hidden="1" thickBot="1" x14ac:dyDescent="0.3">
      <c r="A6680" s="250"/>
      <c r="B6680" s="253"/>
      <c r="C6680" s="60"/>
      <c r="D6680" s="60"/>
      <c r="E6680" s="79"/>
      <c r="F6680" s="87" t="s">
        <v>23</v>
      </c>
      <c r="G6680" s="87" t="str">
        <f t="shared" si="128"/>
        <v/>
      </c>
      <c r="H6680" s="89"/>
      <c r="I6680" s="35"/>
      <c r="J6680" s="34">
        <v>0</v>
      </c>
    </row>
    <row r="6681" spans="1:10" ht="15.75" hidden="1" thickBot="1" x14ac:dyDescent="0.3">
      <c r="A6681" s="248" t="s">
        <v>1593</v>
      </c>
      <c r="B6681" s="251" t="s">
        <v>3353</v>
      </c>
      <c r="C6681" s="28"/>
      <c r="D6681" s="29" t="s">
        <v>121</v>
      </c>
      <c r="E6681" s="30"/>
      <c r="F6681" s="45" t="s">
        <v>23</v>
      </c>
      <c r="G6681" s="31" t="str">
        <f t="shared" si="128"/>
        <v/>
      </c>
      <c r="H6681" s="32"/>
      <c r="I6681" s="33"/>
      <c r="J6681" s="34">
        <v>0</v>
      </c>
    </row>
    <row r="6682" spans="1:10" ht="15.75" hidden="1" thickBot="1" x14ac:dyDescent="0.3">
      <c r="A6682" s="249"/>
      <c r="B6682" s="266"/>
      <c r="C6682" s="36"/>
      <c r="D6682" s="36"/>
      <c r="E6682" s="37"/>
      <c r="F6682" s="46" t="s">
        <v>23</v>
      </c>
      <c r="G6682" s="35" t="str">
        <f t="shared" si="128"/>
        <v/>
      </c>
      <c r="H6682" s="39"/>
      <c r="I6682" s="35"/>
      <c r="J6682" s="34">
        <v>0</v>
      </c>
    </row>
    <row r="6683" spans="1:10" ht="26.25" hidden="1" thickBot="1" x14ac:dyDescent="0.3">
      <c r="A6683" s="249"/>
      <c r="B6683" s="266"/>
      <c r="C6683" s="40" t="s">
        <v>4024</v>
      </c>
      <c r="D6683" s="40" t="s">
        <v>1286</v>
      </c>
      <c r="E6683" s="75">
        <v>1</v>
      </c>
      <c r="F6683" s="35">
        <v>72.399499999999989</v>
      </c>
      <c r="G6683" s="35">
        <f t="shared" si="128"/>
        <v>72.399499999999989</v>
      </c>
      <c r="H6683" s="43">
        <f t="shared" ref="H6683" si="130">SUM(G6683:G6683)</f>
        <v>72.399499999999989</v>
      </c>
      <c r="I6683" s="44"/>
      <c r="J6683" s="34">
        <v>0</v>
      </c>
    </row>
    <row r="6684" spans="1:10" ht="15.75" hidden="1" thickBot="1" x14ac:dyDescent="0.3">
      <c r="A6684" s="250"/>
      <c r="B6684" s="253"/>
      <c r="C6684" s="60"/>
      <c r="D6684" s="60"/>
      <c r="E6684" s="79"/>
      <c r="F6684" s="87" t="s">
        <v>23</v>
      </c>
      <c r="G6684" s="87" t="str">
        <f t="shared" si="128"/>
        <v/>
      </c>
      <c r="H6684" s="89"/>
      <c r="I6684" s="35"/>
      <c r="J6684" s="34">
        <v>0</v>
      </c>
    </row>
    <row r="6685" spans="1:10" ht="15.75" hidden="1" thickBot="1" x14ac:dyDescent="0.3">
      <c r="A6685" s="248" t="s">
        <v>1594</v>
      </c>
      <c r="B6685" s="251" t="s">
        <v>3354</v>
      </c>
      <c r="C6685" s="28"/>
      <c r="D6685" s="29" t="s">
        <v>121</v>
      </c>
      <c r="E6685" s="30"/>
      <c r="F6685" s="45" t="s">
        <v>23</v>
      </c>
      <c r="G6685" s="31" t="str">
        <f t="shared" si="128"/>
        <v/>
      </c>
      <c r="H6685" s="32"/>
      <c r="I6685" s="33"/>
      <c r="J6685" s="34">
        <v>0</v>
      </c>
    </row>
    <row r="6686" spans="1:10" ht="15.75" hidden="1" thickBot="1" x14ac:dyDescent="0.3">
      <c r="A6686" s="249"/>
      <c r="B6686" s="266"/>
      <c r="C6686" s="36"/>
      <c r="D6686" s="36"/>
      <c r="E6686" s="37"/>
      <c r="F6686" s="46" t="s">
        <v>23</v>
      </c>
      <c r="G6686" s="35" t="str">
        <f t="shared" si="128"/>
        <v/>
      </c>
      <c r="H6686" s="39"/>
      <c r="I6686" s="35"/>
      <c r="J6686" s="34">
        <v>0</v>
      </c>
    </row>
    <row r="6687" spans="1:10" ht="26.25" hidden="1" thickBot="1" x14ac:dyDescent="0.3">
      <c r="A6687" s="249"/>
      <c r="B6687" s="266"/>
      <c r="C6687" s="40" t="s">
        <v>4025</v>
      </c>
      <c r="D6687" s="40" t="s">
        <v>1286</v>
      </c>
      <c r="E6687" s="75">
        <v>1</v>
      </c>
      <c r="F6687" s="35">
        <v>141.98699999999999</v>
      </c>
      <c r="G6687" s="35">
        <f t="shared" si="128"/>
        <v>141.98699999999999</v>
      </c>
      <c r="H6687" s="43">
        <f t="shared" ref="H6687" si="131">SUM(G6687:G6687)</f>
        <v>141.98699999999999</v>
      </c>
      <c r="I6687" s="44"/>
      <c r="J6687" s="34">
        <v>0</v>
      </c>
    </row>
    <row r="6688" spans="1:10" ht="15.75" hidden="1" thickBot="1" x14ac:dyDescent="0.3">
      <c r="A6688" s="250"/>
      <c r="B6688" s="253"/>
      <c r="C6688" s="60"/>
      <c r="D6688" s="60"/>
      <c r="E6688" s="79"/>
      <c r="F6688" s="87" t="s">
        <v>23</v>
      </c>
      <c r="G6688" s="87" t="str">
        <f t="shared" si="128"/>
        <v/>
      </c>
      <c r="H6688" s="89"/>
      <c r="I6688" s="35"/>
      <c r="J6688" s="34">
        <v>0</v>
      </c>
    </row>
    <row r="6689" spans="1:10" ht="15.75" hidden="1" thickBot="1" x14ac:dyDescent="0.3">
      <c r="A6689" s="248" t="s">
        <v>1595</v>
      </c>
      <c r="B6689" s="251" t="s">
        <v>3355</v>
      </c>
      <c r="C6689" s="28"/>
      <c r="D6689" s="29" t="s">
        <v>121</v>
      </c>
      <c r="E6689" s="30"/>
      <c r="F6689" s="45" t="s">
        <v>23</v>
      </c>
      <c r="G6689" s="31" t="str">
        <f t="shared" si="128"/>
        <v/>
      </c>
      <c r="H6689" s="32"/>
      <c r="I6689" s="33"/>
      <c r="J6689" s="34">
        <v>0</v>
      </c>
    </row>
    <row r="6690" spans="1:10" ht="15.75" hidden="1" thickBot="1" x14ac:dyDescent="0.3">
      <c r="A6690" s="249"/>
      <c r="B6690" s="266"/>
      <c r="C6690" s="36"/>
      <c r="D6690" s="36"/>
      <c r="E6690" s="37"/>
      <c r="F6690" s="46" t="s">
        <v>23</v>
      </c>
      <c r="G6690" s="35" t="str">
        <f t="shared" si="128"/>
        <v/>
      </c>
      <c r="H6690" s="39"/>
      <c r="I6690" s="35"/>
      <c r="J6690" s="34">
        <v>0</v>
      </c>
    </row>
    <row r="6691" spans="1:10" ht="26.25" hidden="1" thickBot="1" x14ac:dyDescent="0.3">
      <c r="A6691" s="249"/>
      <c r="B6691" s="266"/>
      <c r="C6691" s="40" t="s">
        <v>4384</v>
      </c>
      <c r="D6691" s="40" t="s">
        <v>1286</v>
      </c>
      <c r="E6691" s="75">
        <v>1</v>
      </c>
      <c r="F6691" s="35">
        <v>105.146</v>
      </c>
      <c r="G6691" s="35">
        <f t="shared" si="128"/>
        <v>105.146</v>
      </c>
      <c r="H6691" s="43">
        <f t="shared" ref="H6691" si="132">SUM(G6691:G6691)</f>
        <v>105.146</v>
      </c>
      <c r="I6691" s="44"/>
      <c r="J6691" s="34">
        <v>0</v>
      </c>
    </row>
    <row r="6692" spans="1:10" ht="15.75" hidden="1" thickBot="1" x14ac:dyDescent="0.3">
      <c r="A6692" s="250"/>
      <c r="B6692" s="253"/>
      <c r="C6692" s="60"/>
      <c r="D6692" s="60"/>
      <c r="E6692" s="79"/>
      <c r="F6692" s="87" t="s">
        <v>23</v>
      </c>
      <c r="G6692" s="87" t="str">
        <f t="shared" si="128"/>
        <v/>
      </c>
      <c r="H6692" s="89"/>
      <c r="I6692" s="35"/>
      <c r="J6692" s="34">
        <v>0</v>
      </c>
    </row>
    <row r="6693" spans="1:10" ht="15.75" hidden="1" thickBot="1" x14ac:dyDescent="0.3">
      <c r="A6693" s="248" t="s">
        <v>1596</v>
      </c>
      <c r="B6693" s="251" t="s">
        <v>3356</v>
      </c>
      <c r="C6693" s="28"/>
      <c r="D6693" s="29" t="s">
        <v>121</v>
      </c>
      <c r="E6693" s="30"/>
      <c r="F6693" s="45" t="s">
        <v>23</v>
      </c>
      <c r="G6693" s="31" t="str">
        <f t="shared" si="128"/>
        <v/>
      </c>
      <c r="H6693" s="32"/>
      <c r="I6693" s="33"/>
      <c r="J6693" s="34">
        <v>0</v>
      </c>
    </row>
    <row r="6694" spans="1:10" ht="15.75" hidden="1" thickBot="1" x14ac:dyDescent="0.3">
      <c r="A6694" s="249"/>
      <c r="B6694" s="266"/>
      <c r="C6694" s="36"/>
      <c r="D6694" s="36"/>
      <c r="E6694" s="37"/>
      <c r="F6694" s="46" t="s">
        <v>23</v>
      </c>
      <c r="G6694" s="35" t="str">
        <f t="shared" si="128"/>
        <v/>
      </c>
      <c r="H6694" s="39"/>
      <c r="I6694" s="35"/>
      <c r="J6694" s="34">
        <v>0</v>
      </c>
    </row>
    <row r="6695" spans="1:10" ht="26.25" hidden="1" thickBot="1" x14ac:dyDescent="0.3">
      <c r="A6695" s="249"/>
      <c r="B6695" s="266"/>
      <c r="C6695" s="40" t="s">
        <v>4385</v>
      </c>
      <c r="D6695" s="40" t="s">
        <v>1286</v>
      </c>
      <c r="E6695" s="75">
        <v>1</v>
      </c>
      <c r="F6695" s="35">
        <v>205.91249999999999</v>
      </c>
      <c r="G6695" s="35">
        <f t="shared" si="128"/>
        <v>205.91249999999999</v>
      </c>
      <c r="H6695" s="43">
        <f t="shared" ref="H6695" si="133">SUM(G6695:G6695)</f>
        <v>205.91249999999999</v>
      </c>
      <c r="I6695" s="44"/>
      <c r="J6695" s="34">
        <v>0</v>
      </c>
    </row>
    <row r="6696" spans="1:10" ht="15.75" hidden="1" thickBot="1" x14ac:dyDescent="0.3">
      <c r="A6696" s="250"/>
      <c r="B6696" s="253"/>
      <c r="C6696" s="60"/>
      <c r="D6696" s="60"/>
      <c r="E6696" s="79"/>
      <c r="F6696" s="87" t="s">
        <v>23</v>
      </c>
      <c r="G6696" s="87" t="str">
        <f t="shared" si="128"/>
        <v/>
      </c>
      <c r="H6696" s="89"/>
      <c r="I6696" s="35"/>
      <c r="J6696" s="34">
        <v>0</v>
      </c>
    </row>
    <row r="6697" spans="1:10" ht="15.75" hidden="1" thickBot="1" x14ac:dyDescent="0.3">
      <c r="A6697" s="248" t="s">
        <v>1597</v>
      </c>
      <c r="B6697" s="251" t="s">
        <v>3357</v>
      </c>
      <c r="C6697" s="28"/>
      <c r="D6697" s="29" t="s">
        <v>121</v>
      </c>
      <c r="E6697" s="30"/>
      <c r="F6697" s="45" t="s">
        <v>23</v>
      </c>
      <c r="G6697" s="31" t="str">
        <f t="shared" si="128"/>
        <v/>
      </c>
      <c r="H6697" s="32"/>
      <c r="I6697" s="33"/>
      <c r="J6697" s="34">
        <v>0</v>
      </c>
    </row>
    <row r="6698" spans="1:10" ht="15.75" hidden="1" thickBot="1" x14ac:dyDescent="0.3">
      <c r="A6698" s="249"/>
      <c r="B6698" s="266"/>
      <c r="C6698" s="36"/>
      <c r="D6698" s="36"/>
      <c r="E6698" s="37"/>
      <c r="F6698" s="46" t="s">
        <v>23</v>
      </c>
      <c r="G6698" s="35" t="str">
        <f t="shared" si="128"/>
        <v/>
      </c>
      <c r="H6698" s="39"/>
      <c r="I6698" s="35"/>
      <c r="J6698" s="34">
        <v>0</v>
      </c>
    </row>
    <row r="6699" spans="1:10" ht="26.25" hidden="1" thickBot="1" x14ac:dyDescent="0.3">
      <c r="A6699" s="249"/>
      <c r="B6699" s="266"/>
      <c r="C6699" s="40" t="s">
        <v>4386</v>
      </c>
      <c r="D6699" s="40" t="s">
        <v>1286</v>
      </c>
      <c r="E6699" s="75">
        <v>1</v>
      </c>
      <c r="F6699" s="35">
        <v>290.09199999999998</v>
      </c>
      <c r="G6699" s="35">
        <f t="shared" si="128"/>
        <v>290.09199999999998</v>
      </c>
      <c r="H6699" s="43">
        <f t="shared" ref="H6699" si="134">SUM(G6699:G6699)</f>
        <v>290.09199999999998</v>
      </c>
      <c r="I6699" s="44"/>
      <c r="J6699" s="34">
        <v>0</v>
      </c>
    </row>
    <row r="6700" spans="1:10" ht="15.75" hidden="1" thickBot="1" x14ac:dyDescent="0.3">
      <c r="A6700" s="250"/>
      <c r="B6700" s="253"/>
      <c r="C6700" s="60"/>
      <c r="D6700" s="60"/>
      <c r="E6700" s="79"/>
      <c r="F6700" s="87" t="s">
        <v>23</v>
      </c>
      <c r="G6700" s="87" t="str">
        <f t="shared" si="128"/>
        <v/>
      </c>
      <c r="H6700" s="89"/>
      <c r="I6700" s="35"/>
      <c r="J6700" s="34">
        <v>0</v>
      </c>
    </row>
    <row r="6701" spans="1:10" ht="15.75" hidden="1" thickBot="1" x14ac:dyDescent="0.3">
      <c r="A6701" s="248" t="s">
        <v>1598</v>
      </c>
      <c r="B6701" s="251" t="s">
        <v>3358</v>
      </c>
      <c r="C6701" s="28"/>
      <c r="D6701" s="29" t="s">
        <v>121</v>
      </c>
      <c r="E6701" s="30"/>
      <c r="F6701" s="45" t="s">
        <v>23</v>
      </c>
      <c r="G6701" s="31" t="str">
        <f t="shared" ref="G6701:G6764" si="135">IF(ISNUMBER(F6701),E6701*F6701,"")</f>
        <v/>
      </c>
      <c r="H6701" s="32"/>
      <c r="I6701" s="33"/>
      <c r="J6701" s="34">
        <v>0</v>
      </c>
    </row>
    <row r="6702" spans="1:10" ht="15.75" hidden="1" thickBot="1" x14ac:dyDescent="0.3">
      <c r="A6702" s="249"/>
      <c r="B6702" s="266"/>
      <c r="C6702" s="36"/>
      <c r="D6702" s="36"/>
      <c r="E6702" s="37"/>
      <c r="F6702" s="46" t="s">
        <v>23</v>
      </c>
      <c r="G6702" s="35" t="str">
        <f t="shared" si="135"/>
        <v/>
      </c>
      <c r="H6702" s="39"/>
      <c r="I6702" s="35"/>
      <c r="J6702" s="34">
        <v>0</v>
      </c>
    </row>
    <row r="6703" spans="1:10" ht="26.25" hidden="1" thickBot="1" x14ac:dyDescent="0.3">
      <c r="A6703" s="249"/>
      <c r="B6703" s="266"/>
      <c r="C6703" s="40" t="s">
        <v>4387</v>
      </c>
      <c r="D6703" s="40" t="s">
        <v>1286</v>
      </c>
      <c r="E6703" s="75">
        <v>1</v>
      </c>
      <c r="F6703" s="35">
        <v>424.07049999999998</v>
      </c>
      <c r="G6703" s="35">
        <f t="shared" si="135"/>
        <v>424.07049999999998</v>
      </c>
      <c r="H6703" s="43">
        <f t="shared" ref="H6703" si="136">SUM(G6703:G6703)</f>
        <v>424.07049999999998</v>
      </c>
      <c r="I6703" s="44"/>
      <c r="J6703" s="34">
        <v>0</v>
      </c>
    </row>
    <row r="6704" spans="1:10" ht="15.75" hidden="1" thickBot="1" x14ac:dyDescent="0.3">
      <c r="A6704" s="250"/>
      <c r="B6704" s="253"/>
      <c r="C6704" s="60"/>
      <c r="D6704" s="60"/>
      <c r="E6704" s="79"/>
      <c r="F6704" s="87" t="s">
        <v>23</v>
      </c>
      <c r="G6704" s="87" t="str">
        <f t="shared" si="135"/>
        <v/>
      </c>
      <c r="H6704" s="89"/>
      <c r="I6704" s="35"/>
      <c r="J6704" s="34">
        <v>0</v>
      </c>
    </row>
    <row r="6705" spans="1:10" ht="15.75" hidden="1" thickBot="1" x14ac:dyDescent="0.3">
      <c r="A6705" s="248" t="s">
        <v>1599</v>
      </c>
      <c r="B6705" s="251" t="s">
        <v>3359</v>
      </c>
      <c r="C6705" s="28"/>
      <c r="D6705" s="29" t="s">
        <v>121</v>
      </c>
      <c r="E6705" s="30"/>
      <c r="F6705" s="45" t="s">
        <v>23</v>
      </c>
      <c r="G6705" s="31" t="str">
        <f t="shared" si="135"/>
        <v/>
      </c>
      <c r="H6705" s="32"/>
      <c r="I6705" s="33"/>
      <c r="J6705" s="34">
        <v>0</v>
      </c>
    </row>
    <row r="6706" spans="1:10" ht="15.75" hidden="1" thickBot="1" x14ac:dyDescent="0.3">
      <c r="A6706" s="249"/>
      <c r="B6706" s="266"/>
      <c r="C6706" s="36"/>
      <c r="D6706" s="36"/>
      <c r="E6706" s="37"/>
      <c r="F6706" s="46" t="s">
        <v>23</v>
      </c>
      <c r="G6706" s="35" t="str">
        <f t="shared" si="135"/>
        <v/>
      </c>
      <c r="H6706" s="39"/>
      <c r="I6706" s="35"/>
      <c r="J6706" s="34">
        <v>0</v>
      </c>
    </row>
    <row r="6707" spans="1:10" ht="26.25" hidden="1" thickBot="1" x14ac:dyDescent="0.3">
      <c r="A6707" s="249"/>
      <c r="B6707" s="266"/>
      <c r="C6707" s="40" t="s">
        <v>4388</v>
      </c>
      <c r="D6707" s="40" t="s">
        <v>1286</v>
      </c>
      <c r="E6707" s="75">
        <v>1</v>
      </c>
      <c r="F6707" s="35">
        <v>625.31849999999997</v>
      </c>
      <c r="G6707" s="35">
        <f t="shared" si="135"/>
        <v>625.31849999999997</v>
      </c>
      <c r="H6707" s="43">
        <f t="shared" ref="H6707" si="137">SUM(G6707:G6707)</f>
        <v>625.31849999999997</v>
      </c>
      <c r="I6707" s="44"/>
      <c r="J6707" s="34">
        <v>0</v>
      </c>
    </row>
    <row r="6708" spans="1:10" ht="15.75" hidden="1" thickBot="1" x14ac:dyDescent="0.3">
      <c r="A6708" s="250"/>
      <c r="B6708" s="253"/>
      <c r="C6708" s="60"/>
      <c r="D6708" s="60"/>
      <c r="E6708" s="79"/>
      <c r="F6708" s="87" t="s">
        <v>23</v>
      </c>
      <c r="G6708" s="87" t="str">
        <f t="shared" si="135"/>
        <v/>
      </c>
      <c r="H6708" s="89"/>
      <c r="I6708" s="35"/>
      <c r="J6708" s="34">
        <v>0</v>
      </c>
    </row>
    <row r="6709" spans="1:10" ht="15.75" hidden="1" thickBot="1" x14ac:dyDescent="0.3">
      <c r="A6709" s="248" t="s">
        <v>1600</v>
      </c>
      <c r="B6709" s="251" t="s">
        <v>3044</v>
      </c>
      <c r="C6709" s="28"/>
      <c r="D6709" s="29" t="s">
        <v>121</v>
      </c>
      <c r="E6709" s="30"/>
      <c r="F6709" s="45" t="s">
        <v>23</v>
      </c>
      <c r="G6709" s="31" t="str">
        <f t="shared" si="135"/>
        <v/>
      </c>
      <c r="H6709" s="32"/>
      <c r="I6709" s="33"/>
      <c r="J6709" s="34">
        <v>0</v>
      </c>
    </row>
    <row r="6710" spans="1:10" ht="15.75" hidden="1" thickBot="1" x14ac:dyDescent="0.3">
      <c r="A6710" s="249"/>
      <c r="B6710" s="266"/>
      <c r="C6710" s="36"/>
      <c r="D6710" s="36"/>
      <c r="E6710" s="37"/>
      <c r="F6710" s="46" t="s">
        <v>23</v>
      </c>
      <c r="G6710" s="35" t="str">
        <f t="shared" si="135"/>
        <v/>
      </c>
      <c r="H6710" s="39"/>
      <c r="I6710" s="35"/>
      <c r="J6710" s="34">
        <v>0</v>
      </c>
    </row>
    <row r="6711" spans="1:10" ht="15.75" hidden="1" thickBot="1" x14ac:dyDescent="0.3">
      <c r="A6711" s="249"/>
      <c r="B6711" s="266"/>
      <c r="C6711" s="40" t="s">
        <v>4193</v>
      </c>
      <c r="D6711" s="40" t="s">
        <v>1286</v>
      </c>
      <c r="E6711" s="75">
        <v>1</v>
      </c>
      <c r="F6711" s="35">
        <v>14.183499999999999</v>
      </c>
      <c r="G6711" s="35">
        <f t="shared" si="135"/>
        <v>14.183499999999999</v>
      </c>
      <c r="H6711" s="43">
        <f t="shared" ref="H6711" si="138">SUM(G6711:G6711)</f>
        <v>14.183499999999999</v>
      </c>
      <c r="I6711" s="44"/>
      <c r="J6711" s="34">
        <v>0</v>
      </c>
    </row>
    <row r="6712" spans="1:10" ht="15.75" hidden="1" thickBot="1" x14ac:dyDescent="0.3">
      <c r="A6712" s="250"/>
      <c r="B6712" s="253"/>
      <c r="C6712" s="60"/>
      <c r="D6712" s="60"/>
      <c r="E6712" s="79"/>
      <c r="F6712" s="87" t="s">
        <v>23</v>
      </c>
      <c r="G6712" s="87" t="str">
        <f t="shared" si="135"/>
        <v/>
      </c>
      <c r="H6712" s="89"/>
      <c r="I6712" s="35"/>
      <c r="J6712" s="34">
        <v>0</v>
      </c>
    </row>
    <row r="6713" spans="1:10" ht="15.75" hidden="1" thickBot="1" x14ac:dyDescent="0.3">
      <c r="A6713" s="248" t="s">
        <v>1601</v>
      </c>
      <c r="B6713" s="251" t="s">
        <v>3360</v>
      </c>
      <c r="C6713" s="28"/>
      <c r="D6713" s="29" t="s">
        <v>121</v>
      </c>
      <c r="E6713" s="30"/>
      <c r="F6713" s="45" t="s">
        <v>23</v>
      </c>
      <c r="G6713" s="31" t="str">
        <f t="shared" si="135"/>
        <v/>
      </c>
      <c r="H6713" s="32"/>
      <c r="I6713" s="33"/>
      <c r="J6713" s="34">
        <v>0</v>
      </c>
    </row>
    <row r="6714" spans="1:10" ht="15.75" hidden="1" thickBot="1" x14ac:dyDescent="0.3">
      <c r="A6714" s="249"/>
      <c r="B6714" s="266"/>
      <c r="C6714" s="36"/>
      <c r="D6714" s="36"/>
      <c r="E6714" s="37"/>
      <c r="F6714" s="46" t="s">
        <v>23</v>
      </c>
      <c r="G6714" s="35" t="str">
        <f t="shared" si="135"/>
        <v/>
      </c>
      <c r="H6714" s="39"/>
      <c r="I6714" s="35"/>
      <c r="J6714" s="34">
        <v>0</v>
      </c>
    </row>
    <row r="6715" spans="1:10" ht="15.75" hidden="1" thickBot="1" x14ac:dyDescent="0.3">
      <c r="A6715" s="249"/>
      <c r="B6715" s="266"/>
      <c r="C6715" s="40" t="s">
        <v>4194</v>
      </c>
      <c r="D6715" s="40" t="s">
        <v>1286</v>
      </c>
      <c r="E6715" s="75">
        <v>1</v>
      </c>
      <c r="F6715" s="35">
        <v>24.433999999999997</v>
      </c>
      <c r="G6715" s="35">
        <f t="shared" si="135"/>
        <v>24.433999999999997</v>
      </c>
      <c r="H6715" s="43">
        <f t="shared" ref="H6715" si="139">SUM(G6715:G6715)</f>
        <v>24.433999999999997</v>
      </c>
      <c r="I6715" s="44"/>
      <c r="J6715" s="34">
        <v>0</v>
      </c>
    </row>
    <row r="6716" spans="1:10" ht="15.75" hidden="1" thickBot="1" x14ac:dyDescent="0.3">
      <c r="A6716" s="250"/>
      <c r="B6716" s="253"/>
      <c r="C6716" s="60"/>
      <c r="D6716" s="60"/>
      <c r="E6716" s="79"/>
      <c r="F6716" s="87" t="s">
        <v>23</v>
      </c>
      <c r="G6716" s="87" t="str">
        <f t="shared" si="135"/>
        <v/>
      </c>
      <c r="H6716" s="89"/>
      <c r="I6716" s="35"/>
      <c r="J6716" s="34">
        <v>0</v>
      </c>
    </row>
    <row r="6717" spans="1:10" ht="15.75" hidden="1" thickBot="1" x14ac:dyDescent="0.3">
      <c r="A6717" s="248" t="s">
        <v>1602</v>
      </c>
      <c r="B6717" s="251" t="s">
        <v>3361</v>
      </c>
      <c r="C6717" s="28"/>
      <c r="D6717" s="29" t="s">
        <v>121</v>
      </c>
      <c r="E6717" s="30"/>
      <c r="F6717" s="45" t="s">
        <v>23</v>
      </c>
      <c r="G6717" s="31" t="str">
        <f t="shared" si="135"/>
        <v/>
      </c>
      <c r="H6717" s="32"/>
      <c r="I6717" s="33"/>
      <c r="J6717" s="34">
        <v>0</v>
      </c>
    </row>
    <row r="6718" spans="1:10" ht="15.75" hidden="1" thickBot="1" x14ac:dyDescent="0.3">
      <c r="A6718" s="249"/>
      <c r="B6718" s="266"/>
      <c r="C6718" s="36"/>
      <c r="D6718" s="36"/>
      <c r="E6718" s="37"/>
      <c r="F6718" s="46" t="s">
        <v>23</v>
      </c>
      <c r="G6718" s="35" t="str">
        <f t="shared" si="135"/>
        <v/>
      </c>
      <c r="H6718" s="39"/>
      <c r="I6718" s="35"/>
      <c r="J6718" s="34">
        <v>0</v>
      </c>
    </row>
    <row r="6719" spans="1:10" ht="26.25" hidden="1" thickBot="1" x14ac:dyDescent="0.3">
      <c r="A6719" s="249"/>
      <c r="B6719" s="266"/>
      <c r="C6719" s="40" t="s">
        <v>4389</v>
      </c>
      <c r="D6719" s="40" t="s">
        <v>1286</v>
      </c>
      <c r="E6719" s="75">
        <v>1</v>
      </c>
      <c r="F6719" s="35">
        <v>54.700999999999993</v>
      </c>
      <c r="G6719" s="35">
        <f t="shared" si="135"/>
        <v>54.700999999999993</v>
      </c>
      <c r="H6719" s="43">
        <f t="shared" ref="H6719" si="140">SUM(G6719:G6719)</f>
        <v>54.700999999999993</v>
      </c>
      <c r="I6719" s="44"/>
      <c r="J6719" s="34">
        <v>0</v>
      </c>
    </row>
    <row r="6720" spans="1:10" ht="15.75" hidden="1" thickBot="1" x14ac:dyDescent="0.3">
      <c r="A6720" s="250"/>
      <c r="B6720" s="253"/>
      <c r="C6720" s="60"/>
      <c r="D6720" s="60"/>
      <c r="E6720" s="79"/>
      <c r="F6720" s="87" t="s">
        <v>23</v>
      </c>
      <c r="G6720" s="87" t="str">
        <f t="shared" si="135"/>
        <v/>
      </c>
      <c r="H6720" s="89"/>
      <c r="I6720" s="35"/>
      <c r="J6720" s="34">
        <v>0</v>
      </c>
    </row>
    <row r="6721" spans="1:10" ht="15.75" hidden="1" thickBot="1" x14ac:dyDescent="0.3">
      <c r="A6721" s="248" t="s">
        <v>1603</v>
      </c>
      <c r="B6721" s="251" t="s">
        <v>3362</v>
      </c>
      <c r="C6721" s="28"/>
      <c r="D6721" s="29" t="s">
        <v>121</v>
      </c>
      <c r="E6721" s="30"/>
      <c r="F6721" s="45" t="s">
        <v>23</v>
      </c>
      <c r="G6721" s="31" t="str">
        <f t="shared" si="135"/>
        <v/>
      </c>
      <c r="H6721" s="32"/>
      <c r="I6721" s="33"/>
      <c r="J6721" s="34">
        <v>0</v>
      </c>
    </row>
    <row r="6722" spans="1:10" ht="15.75" hidden="1" thickBot="1" x14ac:dyDescent="0.3">
      <c r="A6722" s="249"/>
      <c r="B6722" s="266"/>
      <c r="C6722" s="36"/>
      <c r="D6722" s="36"/>
      <c r="E6722" s="37"/>
      <c r="F6722" s="46" t="s">
        <v>23</v>
      </c>
      <c r="G6722" s="35" t="str">
        <f t="shared" si="135"/>
        <v/>
      </c>
      <c r="H6722" s="39"/>
      <c r="I6722" s="35"/>
      <c r="J6722" s="34">
        <v>0</v>
      </c>
    </row>
    <row r="6723" spans="1:10" ht="26.25" hidden="1" thickBot="1" x14ac:dyDescent="0.3">
      <c r="A6723" s="249"/>
      <c r="B6723" s="266"/>
      <c r="C6723" s="40" t="s">
        <v>4390</v>
      </c>
      <c r="D6723" s="40" t="s">
        <v>1286</v>
      </c>
      <c r="E6723" s="75">
        <v>1</v>
      </c>
      <c r="F6723" s="35">
        <v>21.47</v>
      </c>
      <c r="G6723" s="35">
        <f t="shared" si="135"/>
        <v>21.47</v>
      </c>
      <c r="H6723" s="43">
        <f t="shared" ref="H6723" si="141">SUM(G6723:G6723)</f>
        <v>21.47</v>
      </c>
      <c r="I6723" s="44"/>
      <c r="J6723" s="34">
        <v>0</v>
      </c>
    </row>
    <row r="6724" spans="1:10" ht="15.75" hidden="1" thickBot="1" x14ac:dyDescent="0.3">
      <c r="A6724" s="250"/>
      <c r="B6724" s="253"/>
      <c r="C6724" s="60"/>
      <c r="D6724" s="60"/>
      <c r="E6724" s="79"/>
      <c r="F6724" s="87" t="s">
        <v>23</v>
      </c>
      <c r="G6724" s="87" t="str">
        <f t="shared" si="135"/>
        <v/>
      </c>
      <c r="H6724" s="89"/>
      <c r="I6724" s="35"/>
      <c r="J6724" s="34">
        <v>0</v>
      </c>
    </row>
    <row r="6725" spans="1:10" ht="15.75" hidden="1" thickBot="1" x14ac:dyDescent="0.3">
      <c r="A6725" s="248" t="s">
        <v>1604</v>
      </c>
      <c r="B6725" s="251" t="s">
        <v>3363</v>
      </c>
      <c r="C6725" s="28"/>
      <c r="D6725" s="29" t="s">
        <v>121</v>
      </c>
      <c r="E6725" s="30"/>
      <c r="F6725" s="45" t="s">
        <v>23</v>
      </c>
      <c r="G6725" s="31" t="str">
        <f t="shared" si="135"/>
        <v/>
      </c>
      <c r="H6725" s="32"/>
      <c r="I6725" s="33"/>
      <c r="J6725" s="34">
        <v>0</v>
      </c>
    </row>
    <row r="6726" spans="1:10" ht="15.75" hidden="1" thickBot="1" x14ac:dyDescent="0.3">
      <c r="A6726" s="249"/>
      <c r="B6726" s="266"/>
      <c r="C6726" s="36"/>
      <c r="D6726" s="36"/>
      <c r="E6726" s="37"/>
      <c r="F6726" s="46" t="s">
        <v>23</v>
      </c>
      <c r="G6726" s="35" t="str">
        <f t="shared" si="135"/>
        <v/>
      </c>
      <c r="H6726" s="39"/>
      <c r="I6726" s="35"/>
      <c r="J6726" s="34">
        <v>0</v>
      </c>
    </row>
    <row r="6727" spans="1:10" ht="26.25" hidden="1" thickBot="1" x14ac:dyDescent="0.3">
      <c r="A6727" s="249"/>
      <c r="B6727" s="266"/>
      <c r="C6727" s="40" t="s">
        <v>4391</v>
      </c>
      <c r="D6727" s="40" t="s">
        <v>1286</v>
      </c>
      <c r="E6727" s="75">
        <v>1</v>
      </c>
      <c r="F6727" s="35">
        <v>27.958499999999997</v>
      </c>
      <c r="G6727" s="35">
        <f t="shared" si="135"/>
        <v>27.958499999999997</v>
      </c>
      <c r="H6727" s="43">
        <f t="shared" ref="H6727" si="142">SUM(G6727:G6727)</f>
        <v>27.958499999999997</v>
      </c>
      <c r="I6727" s="44"/>
      <c r="J6727" s="34">
        <v>0</v>
      </c>
    </row>
    <row r="6728" spans="1:10" ht="15.75" hidden="1" thickBot="1" x14ac:dyDescent="0.3">
      <c r="A6728" s="250"/>
      <c r="B6728" s="253"/>
      <c r="C6728" s="60"/>
      <c r="D6728" s="60"/>
      <c r="E6728" s="79"/>
      <c r="F6728" s="87" t="s">
        <v>23</v>
      </c>
      <c r="G6728" s="87" t="str">
        <f t="shared" si="135"/>
        <v/>
      </c>
      <c r="H6728" s="89"/>
      <c r="I6728" s="35"/>
      <c r="J6728" s="34">
        <v>0</v>
      </c>
    </row>
    <row r="6729" spans="1:10" ht="15.75" hidden="1" thickBot="1" x14ac:dyDescent="0.3">
      <c r="A6729" s="248" t="s">
        <v>1605</v>
      </c>
      <c r="B6729" s="251" t="s">
        <v>3364</v>
      </c>
      <c r="C6729" s="28"/>
      <c r="D6729" s="29" t="s">
        <v>121</v>
      </c>
      <c r="E6729" s="30"/>
      <c r="F6729" s="45" t="s">
        <v>23</v>
      </c>
      <c r="G6729" s="31" t="str">
        <f t="shared" si="135"/>
        <v/>
      </c>
      <c r="H6729" s="32"/>
      <c r="I6729" s="33"/>
      <c r="J6729" s="34">
        <v>0</v>
      </c>
    </row>
    <row r="6730" spans="1:10" ht="15.75" hidden="1" thickBot="1" x14ac:dyDescent="0.3">
      <c r="A6730" s="249"/>
      <c r="B6730" s="266"/>
      <c r="C6730" s="36"/>
      <c r="D6730" s="36"/>
      <c r="E6730" s="37"/>
      <c r="F6730" s="46" t="s">
        <v>23</v>
      </c>
      <c r="G6730" s="35" t="str">
        <f t="shared" si="135"/>
        <v/>
      </c>
      <c r="H6730" s="39"/>
      <c r="I6730" s="35"/>
      <c r="J6730" s="34">
        <v>0</v>
      </c>
    </row>
    <row r="6731" spans="1:10" ht="26.25" hidden="1" thickBot="1" x14ac:dyDescent="0.3">
      <c r="A6731" s="249"/>
      <c r="B6731" s="266"/>
      <c r="C6731" s="40" t="s">
        <v>4392</v>
      </c>
      <c r="D6731" s="40" t="s">
        <v>1286</v>
      </c>
      <c r="E6731" s="75">
        <v>1</v>
      </c>
      <c r="F6731" s="35">
        <v>37.534499999999994</v>
      </c>
      <c r="G6731" s="35">
        <f t="shared" si="135"/>
        <v>37.534499999999994</v>
      </c>
      <c r="H6731" s="43">
        <f t="shared" ref="H6731" si="143">SUM(G6731:G6731)</f>
        <v>37.534499999999994</v>
      </c>
      <c r="I6731" s="44"/>
      <c r="J6731" s="34">
        <v>0</v>
      </c>
    </row>
    <row r="6732" spans="1:10" ht="15.75" hidden="1" thickBot="1" x14ac:dyDescent="0.3">
      <c r="A6732" s="250"/>
      <c r="B6732" s="253"/>
      <c r="C6732" s="60"/>
      <c r="D6732" s="60"/>
      <c r="E6732" s="79"/>
      <c r="F6732" s="87" t="s">
        <v>23</v>
      </c>
      <c r="G6732" s="87" t="str">
        <f t="shared" si="135"/>
        <v/>
      </c>
      <c r="H6732" s="89"/>
      <c r="I6732" s="35"/>
      <c r="J6732" s="34">
        <v>0</v>
      </c>
    </row>
    <row r="6733" spans="1:10" ht="15.75" hidden="1" thickBot="1" x14ac:dyDescent="0.3">
      <c r="A6733" s="248" t="s">
        <v>1606</v>
      </c>
      <c r="B6733" s="251" t="s">
        <v>3365</v>
      </c>
      <c r="C6733" s="28"/>
      <c r="D6733" s="29" t="s">
        <v>121</v>
      </c>
      <c r="E6733" s="30"/>
      <c r="F6733" s="45" t="s">
        <v>23</v>
      </c>
      <c r="G6733" s="31" t="str">
        <f t="shared" si="135"/>
        <v/>
      </c>
      <c r="H6733" s="32"/>
      <c r="I6733" s="33"/>
      <c r="J6733" s="34">
        <v>0</v>
      </c>
    </row>
    <row r="6734" spans="1:10" ht="15.75" hidden="1" thickBot="1" x14ac:dyDescent="0.3">
      <c r="A6734" s="249"/>
      <c r="B6734" s="266"/>
      <c r="C6734" s="36"/>
      <c r="D6734" s="36"/>
      <c r="E6734" s="37"/>
      <c r="F6734" s="46" t="s">
        <v>23</v>
      </c>
      <c r="G6734" s="35" t="str">
        <f t="shared" si="135"/>
        <v/>
      </c>
      <c r="H6734" s="39"/>
      <c r="I6734" s="35"/>
      <c r="J6734" s="34">
        <v>0</v>
      </c>
    </row>
    <row r="6735" spans="1:10" ht="26.25" hidden="1" thickBot="1" x14ac:dyDescent="0.3">
      <c r="A6735" s="249"/>
      <c r="B6735" s="266"/>
      <c r="C6735" s="40" t="s">
        <v>4393</v>
      </c>
      <c r="D6735" s="40" t="s">
        <v>1286</v>
      </c>
      <c r="E6735" s="75">
        <v>1</v>
      </c>
      <c r="F6735" s="35">
        <v>78.888000000000005</v>
      </c>
      <c r="G6735" s="35">
        <f t="shared" si="135"/>
        <v>78.888000000000005</v>
      </c>
      <c r="H6735" s="43">
        <f t="shared" ref="H6735" si="144">SUM(G6735:G6735)</f>
        <v>78.888000000000005</v>
      </c>
      <c r="I6735" s="44"/>
      <c r="J6735" s="34">
        <v>0</v>
      </c>
    </row>
    <row r="6736" spans="1:10" ht="15.75" hidden="1" thickBot="1" x14ac:dyDescent="0.3">
      <c r="A6736" s="250"/>
      <c r="B6736" s="253"/>
      <c r="C6736" s="60"/>
      <c r="D6736" s="60"/>
      <c r="E6736" s="79"/>
      <c r="F6736" s="87" t="s">
        <v>23</v>
      </c>
      <c r="G6736" s="87" t="str">
        <f t="shared" si="135"/>
        <v/>
      </c>
      <c r="H6736" s="89"/>
      <c r="I6736" s="35"/>
      <c r="J6736" s="34">
        <v>0</v>
      </c>
    </row>
    <row r="6737" spans="1:10" ht="15.75" hidden="1" thickBot="1" x14ac:dyDescent="0.3">
      <c r="A6737" s="248" t="s">
        <v>1607</v>
      </c>
      <c r="B6737" s="251" t="s">
        <v>3366</v>
      </c>
      <c r="C6737" s="28"/>
      <c r="D6737" s="29" t="s">
        <v>121</v>
      </c>
      <c r="E6737" s="30"/>
      <c r="F6737" s="45" t="s">
        <v>23</v>
      </c>
      <c r="G6737" s="31" t="str">
        <f t="shared" si="135"/>
        <v/>
      </c>
      <c r="H6737" s="32"/>
      <c r="I6737" s="33"/>
      <c r="J6737" s="34">
        <v>0</v>
      </c>
    </row>
    <row r="6738" spans="1:10" ht="15.75" hidden="1" thickBot="1" x14ac:dyDescent="0.3">
      <c r="A6738" s="249"/>
      <c r="B6738" s="266"/>
      <c r="C6738" s="36"/>
      <c r="D6738" s="36"/>
      <c r="E6738" s="37"/>
      <c r="F6738" s="46" t="s">
        <v>23</v>
      </c>
      <c r="G6738" s="35" t="str">
        <f t="shared" si="135"/>
        <v/>
      </c>
      <c r="H6738" s="39"/>
      <c r="I6738" s="35"/>
      <c r="J6738" s="34">
        <v>0</v>
      </c>
    </row>
    <row r="6739" spans="1:10" ht="26.25" hidden="1" thickBot="1" x14ac:dyDescent="0.3">
      <c r="A6739" s="249"/>
      <c r="B6739" s="266"/>
      <c r="C6739" s="40" t="s">
        <v>4394</v>
      </c>
      <c r="D6739" s="40" t="s">
        <v>1286</v>
      </c>
      <c r="E6739" s="75">
        <v>1</v>
      </c>
      <c r="F6739" s="35">
        <v>110.3805</v>
      </c>
      <c r="G6739" s="35">
        <f t="shared" si="135"/>
        <v>110.3805</v>
      </c>
      <c r="H6739" s="43">
        <f t="shared" ref="H6739" si="145">SUM(G6739:G6739)</f>
        <v>110.3805</v>
      </c>
      <c r="I6739" s="44"/>
      <c r="J6739" s="34">
        <v>0</v>
      </c>
    </row>
    <row r="6740" spans="1:10" ht="15.75" hidden="1" thickBot="1" x14ac:dyDescent="0.3">
      <c r="A6740" s="250"/>
      <c r="B6740" s="253"/>
      <c r="C6740" s="60"/>
      <c r="D6740" s="60"/>
      <c r="E6740" s="79"/>
      <c r="F6740" s="87" t="s">
        <v>23</v>
      </c>
      <c r="G6740" s="87" t="str">
        <f t="shared" si="135"/>
        <v/>
      </c>
      <c r="H6740" s="89"/>
      <c r="I6740" s="35"/>
      <c r="J6740" s="34">
        <v>0</v>
      </c>
    </row>
    <row r="6741" spans="1:10" ht="15.75" hidden="1" thickBot="1" x14ac:dyDescent="0.3">
      <c r="A6741" s="248" t="s">
        <v>1608</v>
      </c>
      <c r="B6741" s="251" t="s">
        <v>3367</v>
      </c>
      <c r="C6741" s="28"/>
      <c r="D6741" s="29" t="s">
        <v>121</v>
      </c>
      <c r="E6741" s="30"/>
      <c r="F6741" s="45" t="s">
        <v>23</v>
      </c>
      <c r="G6741" s="31" t="str">
        <f t="shared" si="135"/>
        <v/>
      </c>
      <c r="H6741" s="32"/>
      <c r="I6741" s="33"/>
      <c r="J6741" s="34">
        <v>0</v>
      </c>
    </row>
    <row r="6742" spans="1:10" ht="15.75" hidden="1" thickBot="1" x14ac:dyDescent="0.3">
      <c r="A6742" s="249"/>
      <c r="B6742" s="266"/>
      <c r="C6742" s="36"/>
      <c r="D6742" s="36"/>
      <c r="E6742" s="37"/>
      <c r="F6742" s="46" t="s">
        <v>23</v>
      </c>
      <c r="G6742" s="35" t="str">
        <f t="shared" si="135"/>
        <v/>
      </c>
      <c r="H6742" s="39"/>
      <c r="I6742" s="35"/>
      <c r="J6742" s="34">
        <v>0</v>
      </c>
    </row>
    <row r="6743" spans="1:10" ht="26.25" hidden="1" thickBot="1" x14ac:dyDescent="0.3">
      <c r="A6743" s="249"/>
      <c r="B6743" s="266"/>
      <c r="C6743" s="40" t="s">
        <v>4395</v>
      </c>
      <c r="D6743" s="40" t="s">
        <v>1286</v>
      </c>
      <c r="E6743" s="75">
        <v>1</v>
      </c>
      <c r="F6743" s="35">
        <v>126.8155</v>
      </c>
      <c r="G6743" s="35">
        <f t="shared" si="135"/>
        <v>126.8155</v>
      </c>
      <c r="H6743" s="43">
        <f t="shared" ref="H6743" si="146">SUM(G6743:G6743)</f>
        <v>126.8155</v>
      </c>
      <c r="I6743" s="44"/>
      <c r="J6743" s="34">
        <v>0</v>
      </c>
    </row>
    <row r="6744" spans="1:10" ht="15.75" hidden="1" thickBot="1" x14ac:dyDescent="0.3">
      <c r="A6744" s="250"/>
      <c r="B6744" s="253"/>
      <c r="C6744" s="60"/>
      <c r="D6744" s="60"/>
      <c r="E6744" s="79"/>
      <c r="F6744" s="87" t="s">
        <v>23</v>
      </c>
      <c r="G6744" s="87" t="str">
        <f t="shared" si="135"/>
        <v/>
      </c>
      <c r="H6744" s="89"/>
      <c r="I6744" s="35"/>
      <c r="J6744" s="34">
        <v>0</v>
      </c>
    </row>
    <row r="6745" spans="1:10" ht="15.75" hidden="1" thickBot="1" x14ac:dyDescent="0.3">
      <c r="A6745" s="248" t="s">
        <v>1609</v>
      </c>
      <c r="B6745" s="251" t="s">
        <v>3368</v>
      </c>
      <c r="C6745" s="28"/>
      <c r="D6745" s="29" t="s">
        <v>28</v>
      </c>
      <c r="E6745" s="30"/>
      <c r="F6745" s="45" t="s">
        <v>23</v>
      </c>
      <c r="G6745" s="31" t="str">
        <f t="shared" si="135"/>
        <v/>
      </c>
      <c r="H6745" s="32"/>
      <c r="I6745" s="33"/>
      <c r="J6745" s="34">
        <v>0</v>
      </c>
    </row>
    <row r="6746" spans="1:10" ht="15.75" hidden="1" thickBot="1" x14ac:dyDescent="0.3">
      <c r="A6746" s="249"/>
      <c r="B6746" s="266"/>
      <c r="C6746" s="36"/>
      <c r="D6746" s="36"/>
      <c r="E6746" s="37"/>
      <c r="F6746" s="46" t="s">
        <v>23</v>
      </c>
      <c r="G6746" s="35" t="str">
        <f t="shared" si="135"/>
        <v/>
      </c>
      <c r="H6746" s="39"/>
      <c r="I6746" s="35"/>
      <c r="J6746" s="34">
        <v>0</v>
      </c>
    </row>
    <row r="6747" spans="1:10" ht="15.75" hidden="1" thickBot="1" x14ac:dyDescent="0.3">
      <c r="A6747" s="249"/>
      <c r="B6747" s="266"/>
      <c r="C6747" s="40" t="s">
        <v>4396</v>
      </c>
      <c r="D6747" s="40" t="s">
        <v>291</v>
      </c>
      <c r="E6747" s="75">
        <v>1</v>
      </c>
      <c r="F6747" s="35">
        <v>34.713000000000001</v>
      </c>
      <c r="G6747" s="35">
        <f t="shared" si="135"/>
        <v>34.713000000000001</v>
      </c>
      <c r="H6747" s="43">
        <f t="shared" ref="H6747" si="147">SUM(G6747:G6747)</f>
        <v>34.713000000000001</v>
      </c>
      <c r="I6747" s="44"/>
      <c r="J6747" s="34">
        <v>0</v>
      </c>
    </row>
    <row r="6748" spans="1:10" ht="15.75" hidden="1" thickBot="1" x14ac:dyDescent="0.3">
      <c r="A6748" s="250"/>
      <c r="B6748" s="253"/>
      <c r="C6748" s="60"/>
      <c r="D6748" s="60"/>
      <c r="E6748" s="79"/>
      <c r="F6748" s="87" t="s">
        <v>23</v>
      </c>
      <c r="G6748" s="87" t="str">
        <f t="shared" si="135"/>
        <v/>
      </c>
      <c r="H6748" s="89"/>
      <c r="I6748" s="35"/>
      <c r="J6748" s="34">
        <v>0</v>
      </c>
    </row>
    <row r="6749" spans="1:10" ht="15.75" hidden="1" thickBot="1" x14ac:dyDescent="0.3">
      <c r="A6749" s="248" t="s">
        <v>1610</v>
      </c>
      <c r="B6749" s="251" t="s">
        <v>3369</v>
      </c>
      <c r="C6749" s="28"/>
      <c r="D6749" s="29" t="s">
        <v>28</v>
      </c>
      <c r="E6749" s="30"/>
      <c r="F6749" s="45" t="s">
        <v>23</v>
      </c>
      <c r="G6749" s="31" t="str">
        <f t="shared" si="135"/>
        <v/>
      </c>
      <c r="H6749" s="32"/>
      <c r="I6749" s="33"/>
      <c r="J6749" s="34">
        <v>0</v>
      </c>
    </row>
    <row r="6750" spans="1:10" ht="15.75" hidden="1" thickBot="1" x14ac:dyDescent="0.3">
      <c r="A6750" s="249"/>
      <c r="B6750" s="266"/>
      <c r="C6750" s="36"/>
      <c r="D6750" s="36"/>
      <c r="E6750" s="37"/>
      <c r="F6750" s="46" t="s">
        <v>23</v>
      </c>
      <c r="G6750" s="35" t="str">
        <f t="shared" si="135"/>
        <v/>
      </c>
      <c r="H6750" s="39"/>
      <c r="I6750" s="35"/>
      <c r="J6750" s="34">
        <v>0</v>
      </c>
    </row>
    <row r="6751" spans="1:10" ht="15.75" hidden="1" thickBot="1" x14ac:dyDescent="0.3">
      <c r="A6751" s="249"/>
      <c r="B6751" s="266"/>
      <c r="C6751" s="40" t="s">
        <v>4397</v>
      </c>
      <c r="D6751" s="40" t="s">
        <v>291</v>
      </c>
      <c r="E6751" s="75">
        <v>1</v>
      </c>
      <c r="F6751" s="35">
        <v>53.124000000000002</v>
      </c>
      <c r="G6751" s="35">
        <f t="shared" si="135"/>
        <v>53.124000000000002</v>
      </c>
      <c r="H6751" s="43">
        <f t="shared" ref="H6751" si="148">SUM(G6751:G6751)</f>
        <v>53.124000000000002</v>
      </c>
      <c r="I6751" s="44"/>
      <c r="J6751" s="34">
        <v>0</v>
      </c>
    </row>
    <row r="6752" spans="1:10" ht="15.75" hidden="1" thickBot="1" x14ac:dyDescent="0.3">
      <c r="A6752" s="250"/>
      <c r="B6752" s="253"/>
      <c r="C6752" s="60"/>
      <c r="D6752" s="60"/>
      <c r="E6752" s="79"/>
      <c r="F6752" s="87" t="s">
        <v>23</v>
      </c>
      <c r="G6752" s="87" t="str">
        <f t="shared" si="135"/>
        <v/>
      </c>
      <c r="H6752" s="89"/>
      <c r="I6752" s="35"/>
      <c r="J6752" s="34">
        <v>0</v>
      </c>
    </row>
    <row r="6753" spans="1:10" ht="15.75" hidden="1" thickBot="1" x14ac:dyDescent="0.3">
      <c r="A6753" s="248" t="s">
        <v>1611</v>
      </c>
      <c r="B6753" s="251" t="s">
        <v>3370</v>
      </c>
      <c r="C6753" s="28"/>
      <c r="D6753" s="29" t="s">
        <v>28</v>
      </c>
      <c r="E6753" s="30"/>
      <c r="F6753" s="45" t="s">
        <v>23</v>
      </c>
      <c r="G6753" s="31" t="str">
        <f t="shared" si="135"/>
        <v/>
      </c>
      <c r="H6753" s="32"/>
      <c r="I6753" s="33"/>
      <c r="J6753" s="34">
        <v>0</v>
      </c>
    </row>
    <row r="6754" spans="1:10" ht="15.75" hidden="1" thickBot="1" x14ac:dyDescent="0.3">
      <c r="A6754" s="249"/>
      <c r="B6754" s="266"/>
      <c r="C6754" s="36"/>
      <c r="D6754" s="36"/>
      <c r="E6754" s="37"/>
      <c r="F6754" s="46" t="s">
        <v>23</v>
      </c>
      <c r="G6754" s="35" t="str">
        <f t="shared" si="135"/>
        <v/>
      </c>
      <c r="H6754" s="39"/>
      <c r="I6754" s="35"/>
      <c r="J6754" s="34">
        <v>0</v>
      </c>
    </row>
    <row r="6755" spans="1:10" ht="15.75" hidden="1" thickBot="1" x14ac:dyDescent="0.3">
      <c r="A6755" s="249"/>
      <c r="B6755" s="266"/>
      <c r="C6755" s="40" t="s">
        <v>4398</v>
      </c>
      <c r="D6755" s="40" t="s">
        <v>291</v>
      </c>
      <c r="E6755" s="75">
        <v>1</v>
      </c>
      <c r="F6755" s="35">
        <v>86.411999999999992</v>
      </c>
      <c r="G6755" s="35">
        <f t="shared" si="135"/>
        <v>86.411999999999992</v>
      </c>
      <c r="H6755" s="43">
        <f t="shared" ref="H6755" si="149">SUM(G6755:G6755)</f>
        <v>86.411999999999992</v>
      </c>
      <c r="I6755" s="44"/>
      <c r="J6755" s="34">
        <v>0</v>
      </c>
    </row>
    <row r="6756" spans="1:10" ht="15.75" hidden="1" thickBot="1" x14ac:dyDescent="0.3">
      <c r="A6756" s="250"/>
      <c r="B6756" s="253"/>
      <c r="C6756" s="60"/>
      <c r="D6756" s="60"/>
      <c r="E6756" s="79"/>
      <c r="F6756" s="87" t="s">
        <v>23</v>
      </c>
      <c r="G6756" s="87" t="str">
        <f t="shared" si="135"/>
        <v/>
      </c>
      <c r="H6756" s="89"/>
      <c r="I6756" s="35"/>
      <c r="J6756" s="34">
        <v>0</v>
      </c>
    </row>
    <row r="6757" spans="1:10" ht="15.75" hidden="1" thickBot="1" x14ac:dyDescent="0.3">
      <c r="A6757" s="248" t="s">
        <v>1612</v>
      </c>
      <c r="B6757" s="251" t="s">
        <v>3371</v>
      </c>
      <c r="C6757" s="28"/>
      <c r="D6757" s="29" t="s">
        <v>121</v>
      </c>
      <c r="E6757" s="30"/>
      <c r="F6757" s="45" t="s">
        <v>23</v>
      </c>
      <c r="G6757" s="31" t="str">
        <f t="shared" si="135"/>
        <v/>
      </c>
      <c r="H6757" s="32"/>
      <c r="I6757" s="33"/>
      <c r="J6757" s="34">
        <v>0</v>
      </c>
    </row>
    <row r="6758" spans="1:10" ht="15.75" hidden="1" thickBot="1" x14ac:dyDescent="0.3">
      <c r="A6758" s="249"/>
      <c r="B6758" s="266"/>
      <c r="C6758" s="36"/>
      <c r="D6758" s="36"/>
      <c r="E6758" s="37"/>
      <c r="F6758" s="46" t="s">
        <v>23</v>
      </c>
      <c r="G6758" s="35" t="str">
        <f t="shared" si="135"/>
        <v/>
      </c>
      <c r="H6758" s="39"/>
      <c r="I6758" s="35"/>
      <c r="J6758" s="34">
        <v>0</v>
      </c>
    </row>
    <row r="6759" spans="1:10" ht="15.75" hidden="1" thickBot="1" x14ac:dyDescent="0.3">
      <c r="A6759" s="249"/>
      <c r="B6759" s="266"/>
      <c r="C6759" s="40" t="s">
        <v>4399</v>
      </c>
      <c r="D6759" s="40" t="s">
        <v>1286</v>
      </c>
      <c r="E6759" s="75">
        <v>1</v>
      </c>
      <c r="F6759" s="35">
        <v>312.25549999999998</v>
      </c>
      <c r="G6759" s="35">
        <f t="shared" si="135"/>
        <v>312.25549999999998</v>
      </c>
      <c r="H6759" s="43">
        <f t="shared" ref="H6759" si="150">SUM(G6759:G6759)</f>
        <v>312.25549999999998</v>
      </c>
      <c r="I6759" s="44"/>
      <c r="J6759" s="34">
        <v>0</v>
      </c>
    </row>
    <row r="6760" spans="1:10" ht="15.75" hidden="1" thickBot="1" x14ac:dyDescent="0.3">
      <c r="A6760" s="250"/>
      <c r="B6760" s="253"/>
      <c r="C6760" s="60"/>
      <c r="D6760" s="60"/>
      <c r="E6760" s="79"/>
      <c r="F6760" s="87" t="s">
        <v>23</v>
      </c>
      <c r="G6760" s="87" t="str">
        <f t="shared" si="135"/>
        <v/>
      </c>
      <c r="H6760" s="89"/>
      <c r="I6760" s="35"/>
      <c r="J6760" s="34">
        <v>0</v>
      </c>
    </row>
    <row r="6761" spans="1:10" ht="15.75" hidden="1" thickBot="1" x14ac:dyDescent="0.3">
      <c r="A6761" s="248" t="s">
        <v>1613</v>
      </c>
      <c r="B6761" s="251" t="s">
        <v>3372</v>
      </c>
      <c r="C6761" s="28"/>
      <c r="D6761" s="29" t="s">
        <v>121</v>
      </c>
      <c r="E6761" s="30"/>
      <c r="F6761" s="45" t="s">
        <v>23</v>
      </c>
      <c r="G6761" s="31" t="str">
        <f t="shared" si="135"/>
        <v/>
      </c>
      <c r="H6761" s="32"/>
      <c r="I6761" s="33"/>
      <c r="J6761" s="34">
        <v>0</v>
      </c>
    </row>
    <row r="6762" spans="1:10" ht="15.75" hidden="1" thickBot="1" x14ac:dyDescent="0.3">
      <c r="A6762" s="249"/>
      <c r="B6762" s="266"/>
      <c r="C6762" s="36"/>
      <c r="D6762" s="36"/>
      <c r="E6762" s="37"/>
      <c r="F6762" s="46" t="s">
        <v>23</v>
      </c>
      <c r="G6762" s="35" t="str">
        <f t="shared" si="135"/>
        <v/>
      </c>
      <c r="H6762" s="39"/>
      <c r="I6762" s="35"/>
      <c r="J6762" s="34">
        <v>0</v>
      </c>
    </row>
    <row r="6763" spans="1:10" ht="26.25" hidden="1" thickBot="1" x14ac:dyDescent="0.3">
      <c r="A6763" s="249"/>
      <c r="B6763" s="266"/>
      <c r="C6763" s="40" t="s">
        <v>4400</v>
      </c>
      <c r="D6763" s="40" t="s">
        <v>1286</v>
      </c>
      <c r="E6763" s="75">
        <v>1</v>
      </c>
      <c r="F6763" s="35">
        <v>14.44</v>
      </c>
      <c r="G6763" s="35">
        <f t="shared" si="135"/>
        <v>14.44</v>
      </c>
      <c r="H6763" s="43">
        <f t="shared" ref="H6763" si="151">SUM(G6763:G6763)</f>
        <v>14.44</v>
      </c>
      <c r="I6763" s="44"/>
      <c r="J6763" s="34">
        <v>0</v>
      </c>
    </row>
    <row r="6764" spans="1:10" ht="15.75" hidden="1" thickBot="1" x14ac:dyDescent="0.3">
      <c r="A6764" s="250"/>
      <c r="B6764" s="253"/>
      <c r="C6764" s="60"/>
      <c r="D6764" s="60"/>
      <c r="E6764" s="79"/>
      <c r="F6764" s="87" t="s">
        <v>23</v>
      </c>
      <c r="G6764" s="87" t="str">
        <f t="shared" si="135"/>
        <v/>
      </c>
      <c r="H6764" s="89"/>
      <c r="I6764" s="35"/>
      <c r="J6764" s="34">
        <v>0</v>
      </c>
    </row>
    <row r="6765" spans="1:10" ht="15.75" hidden="1" thickBot="1" x14ac:dyDescent="0.3">
      <c r="A6765" s="248" t="s">
        <v>1614</v>
      </c>
      <c r="B6765" s="251" t="s">
        <v>3288</v>
      </c>
      <c r="C6765" s="28"/>
      <c r="D6765" s="29" t="s">
        <v>121</v>
      </c>
      <c r="E6765" s="30"/>
      <c r="F6765" s="45" t="s">
        <v>23</v>
      </c>
      <c r="G6765" s="31" t="str">
        <f t="shared" ref="G6765:G6828" si="152">IF(ISNUMBER(F6765),E6765*F6765,"")</f>
        <v/>
      </c>
      <c r="H6765" s="32"/>
      <c r="I6765" s="33"/>
      <c r="J6765" s="34">
        <v>0</v>
      </c>
    </row>
    <row r="6766" spans="1:10" ht="15.75" hidden="1" thickBot="1" x14ac:dyDescent="0.3">
      <c r="A6766" s="249"/>
      <c r="B6766" s="266"/>
      <c r="C6766" s="36"/>
      <c r="D6766" s="36"/>
      <c r="E6766" s="37"/>
      <c r="F6766" s="46" t="s">
        <v>23</v>
      </c>
      <c r="G6766" s="35" t="str">
        <f t="shared" si="152"/>
        <v/>
      </c>
      <c r="H6766" s="39"/>
      <c r="I6766" s="35"/>
      <c r="J6766" s="34">
        <v>0</v>
      </c>
    </row>
    <row r="6767" spans="1:10" ht="26.25" hidden="1" thickBot="1" x14ac:dyDescent="0.3">
      <c r="A6767" s="249"/>
      <c r="B6767" s="266"/>
      <c r="C6767" s="40" t="s">
        <v>4401</v>
      </c>
      <c r="D6767" s="40" t="s">
        <v>1286</v>
      </c>
      <c r="E6767" s="75">
        <v>1</v>
      </c>
      <c r="F6767" s="35">
        <v>37.743499999999997</v>
      </c>
      <c r="G6767" s="35">
        <f t="shared" si="152"/>
        <v>37.743499999999997</v>
      </c>
      <c r="H6767" s="43">
        <f t="shared" ref="H6767" si="153">SUM(G6767:G6767)</f>
        <v>37.743499999999997</v>
      </c>
      <c r="I6767" s="44"/>
      <c r="J6767" s="34">
        <v>0</v>
      </c>
    </row>
    <row r="6768" spans="1:10" ht="15.75" hidden="1" thickBot="1" x14ac:dyDescent="0.3">
      <c r="A6768" s="250"/>
      <c r="B6768" s="253"/>
      <c r="C6768" s="60"/>
      <c r="D6768" s="60"/>
      <c r="E6768" s="79"/>
      <c r="F6768" s="87" t="s">
        <v>23</v>
      </c>
      <c r="G6768" s="87" t="str">
        <f t="shared" si="152"/>
        <v/>
      </c>
      <c r="H6768" s="89"/>
      <c r="I6768" s="35"/>
      <c r="J6768" s="34">
        <v>0</v>
      </c>
    </row>
    <row r="6769" spans="1:10" ht="15.75" hidden="1" thickBot="1" x14ac:dyDescent="0.3">
      <c r="A6769" s="248" t="s">
        <v>1615</v>
      </c>
      <c r="B6769" s="251" t="s">
        <v>3373</v>
      </c>
      <c r="C6769" s="28"/>
      <c r="D6769" s="29" t="s">
        <v>121</v>
      </c>
      <c r="E6769" s="30"/>
      <c r="F6769" s="45" t="s">
        <v>23</v>
      </c>
      <c r="G6769" s="31" t="str">
        <f t="shared" si="152"/>
        <v/>
      </c>
      <c r="H6769" s="32"/>
      <c r="I6769" s="33"/>
      <c r="J6769" s="34">
        <v>0</v>
      </c>
    </row>
    <row r="6770" spans="1:10" ht="15.75" hidden="1" thickBot="1" x14ac:dyDescent="0.3">
      <c r="A6770" s="249"/>
      <c r="B6770" s="266"/>
      <c r="C6770" s="36"/>
      <c r="D6770" s="36"/>
      <c r="E6770" s="37"/>
      <c r="F6770" s="46" t="s">
        <v>23</v>
      </c>
      <c r="G6770" s="35" t="str">
        <f t="shared" si="152"/>
        <v/>
      </c>
      <c r="H6770" s="39"/>
      <c r="I6770" s="35"/>
      <c r="J6770" s="34">
        <v>0</v>
      </c>
    </row>
    <row r="6771" spans="1:10" ht="26.25" hidden="1" thickBot="1" x14ac:dyDescent="0.3">
      <c r="A6771" s="249"/>
      <c r="B6771" s="266"/>
      <c r="C6771" s="40" t="s">
        <v>4402</v>
      </c>
      <c r="D6771" s="40" t="s">
        <v>1286</v>
      </c>
      <c r="E6771" s="75">
        <v>1</v>
      </c>
      <c r="F6771" s="35">
        <v>6.3079999999999998</v>
      </c>
      <c r="G6771" s="35">
        <f t="shared" si="152"/>
        <v>6.3079999999999998</v>
      </c>
      <c r="H6771" s="43">
        <f t="shared" ref="H6771" si="154">SUM(G6771:G6771)</f>
        <v>6.3079999999999998</v>
      </c>
      <c r="I6771" s="44"/>
      <c r="J6771" s="34">
        <v>0</v>
      </c>
    </row>
    <row r="6772" spans="1:10" ht="15.75" hidden="1" thickBot="1" x14ac:dyDescent="0.3">
      <c r="A6772" s="250"/>
      <c r="B6772" s="253"/>
      <c r="C6772" s="60"/>
      <c r="D6772" s="60"/>
      <c r="E6772" s="79"/>
      <c r="F6772" s="87" t="s">
        <v>23</v>
      </c>
      <c r="G6772" s="87" t="str">
        <f t="shared" si="152"/>
        <v/>
      </c>
      <c r="H6772" s="89"/>
      <c r="I6772" s="35"/>
      <c r="J6772" s="34">
        <v>0</v>
      </c>
    </row>
    <row r="6773" spans="1:10" ht="15.75" hidden="1" thickBot="1" x14ac:dyDescent="0.3">
      <c r="A6773" s="248" t="s">
        <v>1616</v>
      </c>
      <c r="B6773" s="251" t="s">
        <v>3374</v>
      </c>
      <c r="C6773" s="28"/>
      <c r="D6773" s="29" t="s">
        <v>121</v>
      </c>
      <c r="E6773" s="30"/>
      <c r="F6773" s="45" t="s">
        <v>23</v>
      </c>
      <c r="G6773" s="31" t="str">
        <f t="shared" si="152"/>
        <v/>
      </c>
      <c r="H6773" s="32"/>
      <c r="I6773" s="33"/>
      <c r="J6773" s="34">
        <v>0</v>
      </c>
    </row>
    <row r="6774" spans="1:10" ht="15.75" hidden="1" thickBot="1" x14ac:dyDescent="0.3">
      <c r="A6774" s="249"/>
      <c r="B6774" s="266"/>
      <c r="C6774" s="36"/>
      <c r="D6774" s="36"/>
      <c r="E6774" s="37"/>
      <c r="F6774" s="46" t="s">
        <v>23</v>
      </c>
      <c r="G6774" s="35" t="str">
        <f t="shared" si="152"/>
        <v/>
      </c>
      <c r="H6774" s="39"/>
      <c r="I6774" s="35"/>
      <c r="J6774" s="34">
        <v>0</v>
      </c>
    </row>
    <row r="6775" spans="1:10" ht="26.25" hidden="1" thickBot="1" x14ac:dyDescent="0.3">
      <c r="A6775" s="249"/>
      <c r="B6775" s="266"/>
      <c r="C6775" s="40" t="s">
        <v>4403</v>
      </c>
      <c r="D6775" s="40" t="s">
        <v>1286</v>
      </c>
      <c r="E6775" s="75">
        <v>1</v>
      </c>
      <c r="F6775" s="35">
        <v>10.4215</v>
      </c>
      <c r="G6775" s="35">
        <f t="shared" si="152"/>
        <v>10.4215</v>
      </c>
      <c r="H6775" s="43">
        <f t="shared" ref="H6775" si="155">SUM(G6775:G6775)</f>
        <v>10.4215</v>
      </c>
      <c r="I6775" s="44"/>
      <c r="J6775" s="34">
        <v>0</v>
      </c>
    </row>
    <row r="6776" spans="1:10" ht="15.75" hidden="1" thickBot="1" x14ac:dyDescent="0.3">
      <c r="A6776" s="250"/>
      <c r="B6776" s="253"/>
      <c r="C6776" s="60"/>
      <c r="D6776" s="60"/>
      <c r="E6776" s="79"/>
      <c r="F6776" s="87" t="s">
        <v>23</v>
      </c>
      <c r="G6776" s="87" t="str">
        <f t="shared" si="152"/>
        <v/>
      </c>
      <c r="H6776" s="89"/>
      <c r="I6776" s="35"/>
      <c r="J6776" s="34">
        <v>0</v>
      </c>
    </row>
    <row r="6777" spans="1:10" ht="15.75" hidden="1" thickBot="1" x14ac:dyDescent="0.3">
      <c r="A6777" s="248" t="s">
        <v>1617</v>
      </c>
      <c r="B6777" s="251" t="s">
        <v>3375</v>
      </c>
      <c r="C6777" s="28"/>
      <c r="D6777" s="29" t="s">
        <v>121</v>
      </c>
      <c r="E6777" s="30"/>
      <c r="F6777" s="45" t="s">
        <v>23</v>
      </c>
      <c r="G6777" s="31" t="str">
        <f t="shared" si="152"/>
        <v/>
      </c>
      <c r="H6777" s="32"/>
      <c r="I6777" s="33"/>
      <c r="J6777" s="34">
        <v>0</v>
      </c>
    </row>
    <row r="6778" spans="1:10" ht="15.75" hidden="1" thickBot="1" x14ac:dyDescent="0.3">
      <c r="A6778" s="249"/>
      <c r="B6778" s="266"/>
      <c r="C6778" s="36"/>
      <c r="D6778" s="36"/>
      <c r="E6778" s="37"/>
      <c r="F6778" s="46" t="s">
        <v>23</v>
      </c>
      <c r="G6778" s="35" t="str">
        <f t="shared" si="152"/>
        <v/>
      </c>
      <c r="H6778" s="39"/>
      <c r="I6778" s="35"/>
      <c r="J6778" s="34">
        <v>0</v>
      </c>
    </row>
    <row r="6779" spans="1:10" ht="26.25" hidden="1" thickBot="1" x14ac:dyDescent="0.3">
      <c r="A6779" s="249"/>
      <c r="B6779" s="266"/>
      <c r="C6779" s="40" t="s">
        <v>4404</v>
      </c>
      <c r="D6779" s="40" t="s">
        <v>1286</v>
      </c>
      <c r="E6779" s="75">
        <v>1</v>
      </c>
      <c r="F6779" s="35">
        <v>13.670500000000001</v>
      </c>
      <c r="G6779" s="35">
        <f t="shared" si="152"/>
        <v>13.670500000000001</v>
      </c>
      <c r="H6779" s="43">
        <f t="shared" ref="H6779" si="156">SUM(G6779:G6779)</f>
        <v>13.670500000000001</v>
      </c>
      <c r="I6779" s="44"/>
      <c r="J6779" s="34">
        <v>0</v>
      </c>
    </row>
    <row r="6780" spans="1:10" ht="15.75" hidden="1" thickBot="1" x14ac:dyDescent="0.3">
      <c r="A6780" s="250"/>
      <c r="B6780" s="253"/>
      <c r="C6780" s="60"/>
      <c r="D6780" s="60"/>
      <c r="E6780" s="79"/>
      <c r="F6780" s="87" t="s">
        <v>23</v>
      </c>
      <c r="G6780" s="87" t="str">
        <f t="shared" si="152"/>
        <v/>
      </c>
      <c r="H6780" s="89"/>
      <c r="I6780" s="35"/>
      <c r="J6780" s="34">
        <v>0</v>
      </c>
    </row>
    <row r="6781" spans="1:10" ht="15.75" hidden="1" thickBot="1" x14ac:dyDescent="0.3">
      <c r="A6781" s="248" t="s">
        <v>1618</v>
      </c>
      <c r="B6781" s="251" t="s">
        <v>3376</v>
      </c>
      <c r="C6781" s="28"/>
      <c r="D6781" s="29" t="s">
        <v>121</v>
      </c>
      <c r="E6781" s="30"/>
      <c r="F6781" s="45" t="s">
        <v>23</v>
      </c>
      <c r="G6781" s="31" t="str">
        <f t="shared" si="152"/>
        <v/>
      </c>
      <c r="H6781" s="32"/>
      <c r="I6781" s="33"/>
      <c r="J6781" s="34">
        <v>0</v>
      </c>
    </row>
    <row r="6782" spans="1:10" ht="15.75" hidden="1" thickBot="1" x14ac:dyDescent="0.3">
      <c r="A6782" s="249"/>
      <c r="B6782" s="266"/>
      <c r="C6782" s="36"/>
      <c r="D6782" s="36"/>
      <c r="E6782" s="37"/>
      <c r="F6782" s="46" t="s">
        <v>23</v>
      </c>
      <c r="G6782" s="35" t="str">
        <f t="shared" si="152"/>
        <v/>
      </c>
      <c r="H6782" s="39"/>
      <c r="I6782" s="35"/>
      <c r="J6782" s="34">
        <v>0</v>
      </c>
    </row>
    <row r="6783" spans="1:10" ht="15.75" hidden="1" thickBot="1" x14ac:dyDescent="0.3">
      <c r="A6783" s="249"/>
      <c r="B6783" s="266"/>
      <c r="C6783" s="40" t="s">
        <v>4405</v>
      </c>
      <c r="D6783" s="40" t="s">
        <v>1286</v>
      </c>
      <c r="E6783" s="75">
        <v>1</v>
      </c>
      <c r="F6783" s="35">
        <v>31.321499999999997</v>
      </c>
      <c r="G6783" s="35">
        <f t="shared" si="152"/>
        <v>31.321499999999997</v>
      </c>
      <c r="H6783" s="43">
        <f t="shared" ref="H6783" si="157">SUM(G6783:G6783)</f>
        <v>31.321499999999997</v>
      </c>
      <c r="I6783" s="44"/>
      <c r="J6783" s="34">
        <v>0</v>
      </c>
    </row>
    <row r="6784" spans="1:10" ht="15.75" hidden="1" thickBot="1" x14ac:dyDescent="0.3">
      <c r="A6784" s="250"/>
      <c r="B6784" s="253"/>
      <c r="C6784" s="60"/>
      <c r="D6784" s="60"/>
      <c r="E6784" s="79"/>
      <c r="F6784" s="87" t="s">
        <v>23</v>
      </c>
      <c r="G6784" s="87" t="str">
        <f t="shared" si="152"/>
        <v/>
      </c>
      <c r="H6784" s="89"/>
      <c r="I6784" s="35"/>
      <c r="J6784" s="34">
        <v>0</v>
      </c>
    </row>
    <row r="6785" spans="1:10" ht="15.75" hidden="1" thickBot="1" x14ac:dyDescent="0.3">
      <c r="A6785" s="248" t="s">
        <v>1619</v>
      </c>
      <c r="B6785" s="251" t="s">
        <v>3377</v>
      </c>
      <c r="C6785" s="28"/>
      <c r="D6785" s="29" t="s">
        <v>121</v>
      </c>
      <c r="E6785" s="30"/>
      <c r="F6785" s="45" t="s">
        <v>23</v>
      </c>
      <c r="G6785" s="31" t="str">
        <f t="shared" si="152"/>
        <v/>
      </c>
      <c r="H6785" s="32"/>
      <c r="I6785" s="33"/>
      <c r="J6785" s="34">
        <v>0</v>
      </c>
    </row>
    <row r="6786" spans="1:10" ht="15.75" hidden="1" thickBot="1" x14ac:dyDescent="0.3">
      <c r="A6786" s="249"/>
      <c r="B6786" s="266"/>
      <c r="C6786" s="36"/>
      <c r="D6786" s="36"/>
      <c r="E6786" s="37"/>
      <c r="F6786" s="46" t="s">
        <v>23</v>
      </c>
      <c r="G6786" s="35" t="str">
        <f t="shared" si="152"/>
        <v/>
      </c>
      <c r="H6786" s="39"/>
      <c r="I6786" s="35"/>
      <c r="J6786" s="34">
        <v>0</v>
      </c>
    </row>
    <row r="6787" spans="1:10" ht="15.75" hidden="1" thickBot="1" x14ac:dyDescent="0.3">
      <c r="A6787" s="249"/>
      <c r="B6787" s="266"/>
      <c r="C6787" s="40" t="s">
        <v>4406</v>
      </c>
      <c r="D6787" s="40" t="s">
        <v>1286</v>
      </c>
      <c r="E6787" s="75">
        <v>1</v>
      </c>
      <c r="F6787" s="35">
        <v>21.232500000000002</v>
      </c>
      <c r="G6787" s="35">
        <f t="shared" si="152"/>
        <v>21.232500000000002</v>
      </c>
      <c r="H6787" s="43">
        <f t="shared" ref="H6787" si="158">SUM(G6787:G6787)</f>
        <v>21.232500000000002</v>
      </c>
      <c r="I6787" s="44"/>
      <c r="J6787" s="34">
        <v>0</v>
      </c>
    </row>
    <row r="6788" spans="1:10" ht="15.75" hidden="1" thickBot="1" x14ac:dyDescent="0.3">
      <c r="A6788" s="250"/>
      <c r="B6788" s="253"/>
      <c r="C6788" s="60"/>
      <c r="D6788" s="60"/>
      <c r="E6788" s="79"/>
      <c r="F6788" s="87" t="s">
        <v>23</v>
      </c>
      <c r="G6788" s="87" t="str">
        <f t="shared" si="152"/>
        <v/>
      </c>
      <c r="H6788" s="89"/>
      <c r="I6788" s="35"/>
      <c r="J6788" s="34">
        <v>0</v>
      </c>
    </row>
    <row r="6789" spans="1:10" ht="15.75" hidden="1" thickBot="1" x14ac:dyDescent="0.3">
      <c r="A6789" s="248" t="s">
        <v>1620</v>
      </c>
      <c r="B6789" s="251" t="s">
        <v>3378</v>
      </c>
      <c r="C6789" s="28"/>
      <c r="D6789" s="29" t="s">
        <v>121</v>
      </c>
      <c r="E6789" s="30"/>
      <c r="F6789" s="45" t="s">
        <v>23</v>
      </c>
      <c r="G6789" s="31" t="str">
        <f t="shared" si="152"/>
        <v/>
      </c>
      <c r="H6789" s="32"/>
      <c r="I6789" s="33"/>
      <c r="J6789" s="34">
        <v>0</v>
      </c>
    </row>
    <row r="6790" spans="1:10" ht="15.75" hidden="1" thickBot="1" x14ac:dyDescent="0.3">
      <c r="A6790" s="249"/>
      <c r="B6790" s="266"/>
      <c r="C6790" s="36"/>
      <c r="D6790" s="36"/>
      <c r="E6790" s="37"/>
      <c r="F6790" s="46" t="s">
        <v>23</v>
      </c>
      <c r="G6790" s="35" t="str">
        <f t="shared" si="152"/>
        <v/>
      </c>
      <c r="H6790" s="39"/>
      <c r="I6790" s="35"/>
      <c r="J6790" s="34">
        <v>0</v>
      </c>
    </row>
    <row r="6791" spans="1:10" ht="15.75" hidden="1" thickBot="1" x14ac:dyDescent="0.3">
      <c r="A6791" s="249"/>
      <c r="B6791" s="266"/>
      <c r="C6791" s="40" t="s">
        <v>4407</v>
      </c>
      <c r="D6791" s="40" t="s">
        <v>1286</v>
      </c>
      <c r="E6791" s="75">
        <v>1</v>
      </c>
      <c r="F6791" s="35">
        <v>61.407999999999994</v>
      </c>
      <c r="G6791" s="35">
        <f t="shared" si="152"/>
        <v>61.407999999999994</v>
      </c>
      <c r="H6791" s="43">
        <f t="shared" ref="H6791" si="159">SUM(G6791:G6791)</f>
        <v>61.407999999999994</v>
      </c>
      <c r="I6791" s="44"/>
      <c r="J6791" s="34">
        <v>0</v>
      </c>
    </row>
    <row r="6792" spans="1:10" ht="15.75" hidden="1" thickBot="1" x14ac:dyDescent="0.3">
      <c r="A6792" s="250"/>
      <c r="B6792" s="253"/>
      <c r="C6792" s="60"/>
      <c r="D6792" s="60"/>
      <c r="E6792" s="79"/>
      <c r="F6792" s="87" t="s">
        <v>23</v>
      </c>
      <c r="G6792" s="87" t="str">
        <f t="shared" si="152"/>
        <v/>
      </c>
      <c r="H6792" s="89"/>
      <c r="I6792" s="35"/>
      <c r="J6792" s="34">
        <v>0</v>
      </c>
    </row>
    <row r="6793" spans="1:10" ht="15.75" hidden="1" thickBot="1" x14ac:dyDescent="0.3">
      <c r="A6793" s="248" t="s">
        <v>1621</v>
      </c>
      <c r="B6793" s="251" t="s">
        <v>3379</v>
      </c>
      <c r="C6793" s="28"/>
      <c r="D6793" s="29" t="s">
        <v>121</v>
      </c>
      <c r="E6793" s="30"/>
      <c r="F6793" s="45" t="s">
        <v>23</v>
      </c>
      <c r="G6793" s="31" t="str">
        <f t="shared" si="152"/>
        <v/>
      </c>
      <c r="H6793" s="32"/>
      <c r="I6793" s="33"/>
      <c r="J6793" s="34">
        <v>0</v>
      </c>
    </row>
    <row r="6794" spans="1:10" ht="15.75" hidden="1" thickBot="1" x14ac:dyDescent="0.3">
      <c r="A6794" s="249"/>
      <c r="B6794" s="266"/>
      <c r="C6794" s="36"/>
      <c r="D6794" s="36"/>
      <c r="E6794" s="37"/>
      <c r="F6794" s="46" t="s">
        <v>23</v>
      </c>
      <c r="G6794" s="35" t="str">
        <f t="shared" si="152"/>
        <v/>
      </c>
      <c r="H6794" s="39"/>
      <c r="I6794" s="35"/>
      <c r="J6794" s="34">
        <v>0</v>
      </c>
    </row>
    <row r="6795" spans="1:10" ht="15.75" hidden="1" thickBot="1" x14ac:dyDescent="0.3">
      <c r="A6795" s="249"/>
      <c r="B6795" s="266"/>
      <c r="C6795" s="40" t="s">
        <v>4408</v>
      </c>
      <c r="D6795" s="40" t="s">
        <v>1286</v>
      </c>
      <c r="E6795" s="75">
        <v>1</v>
      </c>
      <c r="F6795" s="35">
        <v>44.820999999999998</v>
      </c>
      <c r="G6795" s="35">
        <f t="shared" si="152"/>
        <v>44.820999999999998</v>
      </c>
      <c r="H6795" s="43">
        <f t="shared" ref="H6795" si="160">SUM(G6795:G6795)</f>
        <v>44.820999999999998</v>
      </c>
      <c r="I6795" s="44"/>
      <c r="J6795" s="34">
        <v>0</v>
      </c>
    </row>
    <row r="6796" spans="1:10" ht="15.75" hidden="1" thickBot="1" x14ac:dyDescent="0.3">
      <c r="A6796" s="250"/>
      <c r="B6796" s="253"/>
      <c r="C6796" s="60"/>
      <c r="D6796" s="60"/>
      <c r="E6796" s="79"/>
      <c r="F6796" s="87" t="s">
        <v>23</v>
      </c>
      <c r="G6796" s="87" t="str">
        <f t="shared" si="152"/>
        <v/>
      </c>
      <c r="H6796" s="89"/>
      <c r="I6796" s="35"/>
      <c r="J6796" s="34">
        <v>0</v>
      </c>
    </row>
    <row r="6797" spans="1:10" ht="15.75" hidden="1" thickBot="1" x14ac:dyDescent="0.3">
      <c r="A6797" s="248" t="s">
        <v>1622</v>
      </c>
      <c r="B6797" s="251" t="s">
        <v>3380</v>
      </c>
      <c r="C6797" s="28"/>
      <c r="D6797" s="29" t="s">
        <v>121</v>
      </c>
      <c r="E6797" s="30"/>
      <c r="F6797" s="45" t="s">
        <v>23</v>
      </c>
      <c r="G6797" s="31" t="str">
        <f t="shared" si="152"/>
        <v/>
      </c>
      <c r="H6797" s="32"/>
      <c r="I6797" s="33"/>
      <c r="J6797" s="34">
        <v>0</v>
      </c>
    </row>
    <row r="6798" spans="1:10" ht="15.75" hidden="1" thickBot="1" x14ac:dyDescent="0.3">
      <c r="A6798" s="249"/>
      <c r="B6798" s="266"/>
      <c r="C6798" s="36"/>
      <c r="D6798" s="36"/>
      <c r="E6798" s="37"/>
      <c r="F6798" s="46" t="s">
        <v>23</v>
      </c>
      <c r="G6798" s="35" t="str">
        <f t="shared" si="152"/>
        <v/>
      </c>
      <c r="H6798" s="39"/>
      <c r="I6798" s="35"/>
      <c r="J6798" s="34">
        <v>0</v>
      </c>
    </row>
    <row r="6799" spans="1:10" ht="15.75" hidden="1" thickBot="1" x14ac:dyDescent="0.3">
      <c r="A6799" s="249"/>
      <c r="B6799" s="266"/>
      <c r="C6799" s="101" t="s">
        <v>1623</v>
      </c>
      <c r="D6799" s="53" t="s">
        <v>121</v>
      </c>
      <c r="E6799" s="75">
        <v>1</v>
      </c>
      <c r="F6799" s="35">
        <v>0</v>
      </c>
      <c r="G6799" s="35">
        <f t="shared" si="152"/>
        <v>0</v>
      </c>
      <c r="H6799" s="43">
        <f t="shared" ref="H6799" si="161">SUM(G6799:G6799)</f>
        <v>0</v>
      </c>
      <c r="I6799" s="44"/>
      <c r="J6799" s="34">
        <v>0</v>
      </c>
    </row>
    <row r="6800" spans="1:10" ht="15.75" hidden="1" thickBot="1" x14ac:dyDescent="0.3">
      <c r="A6800" s="250"/>
      <c r="B6800" s="253"/>
      <c r="C6800" s="60"/>
      <c r="D6800" s="60"/>
      <c r="E6800" s="79"/>
      <c r="F6800" s="87" t="s">
        <v>23</v>
      </c>
      <c r="G6800" s="87" t="str">
        <f t="shared" si="152"/>
        <v/>
      </c>
      <c r="H6800" s="89"/>
      <c r="I6800" s="35"/>
      <c r="J6800" s="34">
        <v>0</v>
      </c>
    </row>
    <row r="6801" spans="1:10" ht="15.75" hidden="1" thickBot="1" x14ac:dyDescent="0.3">
      <c r="A6801" s="248" t="s">
        <v>1624</v>
      </c>
      <c r="B6801" s="251" t="s">
        <v>3381</v>
      </c>
      <c r="C6801" s="28"/>
      <c r="D6801" s="29" t="s">
        <v>121</v>
      </c>
      <c r="E6801" s="30"/>
      <c r="F6801" s="45" t="s">
        <v>23</v>
      </c>
      <c r="G6801" s="31" t="str">
        <f t="shared" si="152"/>
        <v/>
      </c>
      <c r="H6801" s="32"/>
      <c r="I6801" s="33"/>
      <c r="J6801" s="34">
        <v>0</v>
      </c>
    </row>
    <row r="6802" spans="1:10" ht="15.75" hidden="1" thickBot="1" x14ac:dyDescent="0.3">
      <c r="A6802" s="249"/>
      <c r="B6802" s="266"/>
      <c r="C6802" s="36"/>
      <c r="D6802" s="36"/>
      <c r="E6802" s="37"/>
      <c r="F6802" s="46" t="s">
        <v>23</v>
      </c>
      <c r="G6802" s="35" t="str">
        <f t="shared" si="152"/>
        <v/>
      </c>
      <c r="H6802" s="39"/>
      <c r="I6802" s="35"/>
      <c r="J6802" s="34">
        <v>0</v>
      </c>
    </row>
    <row r="6803" spans="1:10" ht="15.75" hidden="1" thickBot="1" x14ac:dyDescent="0.3">
      <c r="A6803" s="249"/>
      <c r="B6803" s="266"/>
      <c r="C6803" s="40" t="s">
        <v>4409</v>
      </c>
      <c r="D6803" s="40" t="s">
        <v>1286</v>
      </c>
      <c r="E6803" s="75">
        <v>1</v>
      </c>
      <c r="F6803" s="35">
        <v>10.164999999999999</v>
      </c>
      <c r="G6803" s="35">
        <f t="shared" si="152"/>
        <v>10.164999999999999</v>
      </c>
      <c r="H6803" s="43">
        <f t="shared" ref="H6803" si="162">SUM(G6803:G6803)</f>
        <v>10.164999999999999</v>
      </c>
      <c r="I6803" s="44"/>
      <c r="J6803" s="34">
        <v>0</v>
      </c>
    </row>
    <row r="6804" spans="1:10" ht="15.75" hidden="1" thickBot="1" x14ac:dyDescent="0.3">
      <c r="A6804" s="250"/>
      <c r="B6804" s="253"/>
      <c r="C6804" s="60"/>
      <c r="D6804" s="60"/>
      <c r="E6804" s="79"/>
      <c r="F6804" s="87" t="s">
        <v>23</v>
      </c>
      <c r="G6804" s="87" t="str">
        <f t="shared" si="152"/>
        <v/>
      </c>
      <c r="H6804" s="89"/>
      <c r="I6804" s="35"/>
      <c r="J6804" s="34">
        <v>0</v>
      </c>
    </row>
    <row r="6805" spans="1:10" ht="15.75" hidden="1" thickBot="1" x14ac:dyDescent="0.3">
      <c r="A6805" s="248" t="s">
        <v>1625</v>
      </c>
      <c r="B6805" s="251" t="s">
        <v>3382</v>
      </c>
      <c r="C6805" s="28"/>
      <c r="D6805" s="29" t="s">
        <v>121</v>
      </c>
      <c r="E6805" s="30"/>
      <c r="F6805" s="45" t="s">
        <v>23</v>
      </c>
      <c r="G6805" s="31" t="str">
        <f t="shared" si="152"/>
        <v/>
      </c>
      <c r="H6805" s="32"/>
      <c r="I6805" s="33"/>
      <c r="J6805" s="34">
        <v>0</v>
      </c>
    </row>
    <row r="6806" spans="1:10" ht="15.75" hidden="1" thickBot="1" x14ac:dyDescent="0.3">
      <c r="A6806" s="249"/>
      <c r="B6806" s="266"/>
      <c r="C6806" s="36"/>
      <c r="D6806" s="36"/>
      <c r="E6806" s="37"/>
      <c r="F6806" s="46" t="s">
        <v>23</v>
      </c>
      <c r="G6806" s="35" t="str">
        <f t="shared" si="152"/>
        <v/>
      </c>
      <c r="H6806" s="39"/>
      <c r="I6806" s="35"/>
      <c r="J6806" s="34">
        <v>0</v>
      </c>
    </row>
    <row r="6807" spans="1:10" ht="15.75" hidden="1" thickBot="1" x14ac:dyDescent="0.3">
      <c r="A6807" s="249"/>
      <c r="B6807" s="266"/>
      <c r="C6807" s="101" t="s">
        <v>1626</v>
      </c>
      <c r="D6807" s="53" t="s">
        <v>121</v>
      </c>
      <c r="E6807" s="75">
        <v>1</v>
      </c>
      <c r="F6807" s="35">
        <v>0</v>
      </c>
      <c r="G6807" s="35">
        <f t="shared" si="152"/>
        <v>0</v>
      </c>
      <c r="H6807" s="43">
        <f t="shared" ref="H6807" si="163">SUM(G6807:G6807)</f>
        <v>0</v>
      </c>
      <c r="I6807" s="44"/>
      <c r="J6807" s="34">
        <v>0</v>
      </c>
    </row>
    <row r="6808" spans="1:10" ht="15.75" hidden="1" thickBot="1" x14ac:dyDescent="0.3">
      <c r="A6808" s="250"/>
      <c r="B6808" s="253"/>
      <c r="C6808" s="60"/>
      <c r="D6808" s="60"/>
      <c r="E6808" s="79"/>
      <c r="F6808" s="87" t="s">
        <v>23</v>
      </c>
      <c r="G6808" s="87" t="str">
        <f t="shared" si="152"/>
        <v/>
      </c>
      <c r="H6808" s="89"/>
      <c r="I6808" s="35"/>
      <c r="J6808" s="34">
        <v>0</v>
      </c>
    </row>
    <row r="6809" spans="1:10" ht="15.75" hidden="1" thickBot="1" x14ac:dyDescent="0.3">
      <c r="A6809" s="248" t="s">
        <v>1627</v>
      </c>
      <c r="B6809" s="251" t="s">
        <v>3383</v>
      </c>
      <c r="C6809" s="28"/>
      <c r="D6809" s="29" t="s">
        <v>121</v>
      </c>
      <c r="E6809" s="30"/>
      <c r="F6809" s="45" t="s">
        <v>23</v>
      </c>
      <c r="G6809" s="31" t="str">
        <f t="shared" si="152"/>
        <v/>
      </c>
      <c r="H6809" s="32"/>
      <c r="I6809" s="33"/>
      <c r="J6809" s="34">
        <v>0</v>
      </c>
    </row>
    <row r="6810" spans="1:10" ht="15.75" hidden="1" thickBot="1" x14ac:dyDescent="0.3">
      <c r="A6810" s="249"/>
      <c r="B6810" s="266"/>
      <c r="C6810" s="36"/>
      <c r="D6810" s="36"/>
      <c r="E6810" s="37"/>
      <c r="F6810" s="46" t="s">
        <v>23</v>
      </c>
      <c r="G6810" s="35" t="str">
        <f t="shared" si="152"/>
        <v/>
      </c>
      <c r="H6810" s="39"/>
      <c r="I6810" s="35"/>
      <c r="J6810" s="34">
        <v>0</v>
      </c>
    </row>
    <row r="6811" spans="1:10" ht="15.75" hidden="1" thickBot="1" x14ac:dyDescent="0.3">
      <c r="A6811" s="249"/>
      <c r="B6811" s="266"/>
      <c r="C6811" s="40" t="s">
        <v>4410</v>
      </c>
      <c r="D6811" s="40" t="s">
        <v>1286</v>
      </c>
      <c r="E6811" s="75">
        <v>1</v>
      </c>
      <c r="F6811" s="35">
        <v>3.6764999999999999</v>
      </c>
      <c r="G6811" s="35">
        <f t="shared" si="152"/>
        <v>3.6764999999999999</v>
      </c>
      <c r="H6811" s="43">
        <f t="shared" ref="H6811" si="164">SUM(G6811:G6811)</f>
        <v>3.6764999999999999</v>
      </c>
      <c r="I6811" s="44"/>
      <c r="J6811" s="34">
        <v>0</v>
      </c>
    </row>
    <row r="6812" spans="1:10" ht="15.75" hidden="1" thickBot="1" x14ac:dyDescent="0.3">
      <c r="A6812" s="250"/>
      <c r="B6812" s="253"/>
      <c r="C6812" s="60"/>
      <c r="D6812" s="60"/>
      <c r="E6812" s="79"/>
      <c r="F6812" s="87" t="s">
        <v>23</v>
      </c>
      <c r="G6812" s="87" t="str">
        <f t="shared" si="152"/>
        <v/>
      </c>
      <c r="H6812" s="89"/>
      <c r="I6812" s="35"/>
      <c r="J6812" s="34">
        <v>0</v>
      </c>
    </row>
    <row r="6813" spans="1:10" ht="15.75" hidden="1" thickBot="1" x14ac:dyDescent="0.3">
      <c r="A6813" s="248" t="s">
        <v>1628</v>
      </c>
      <c r="B6813" s="251" t="s">
        <v>2209</v>
      </c>
      <c r="C6813" s="28"/>
      <c r="D6813" s="29" t="s">
        <v>121</v>
      </c>
      <c r="E6813" s="30"/>
      <c r="F6813" s="45" t="s">
        <v>23</v>
      </c>
      <c r="G6813" s="31" t="str">
        <f t="shared" si="152"/>
        <v/>
      </c>
      <c r="H6813" s="32"/>
      <c r="I6813" s="33"/>
      <c r="J6813" s="34">
        <v>0</v>
      </c>
    </row>
    <row r="6814" spans="1:10" ht="15.75" hidden="1" thickBot="1" x14ac:dyDescent="0.3">
      <c r="A6814" s="249"/>
      <c r="B6814" s="266"/>
      <c r="C6814" s="36"/>
      <c r="D6814" s="36"/>
      <c r="E6814" s="37"/>
      <c r="F6814" s="46" t="s">
        <v>23</v>
      </c>
      <c r="G6814" s="35" t="str">
        <f t="shared" si="152"/>
        <v/>
      </c>
      <c r="H6814" s="39"/>
      <c r="I6814" s="35"/>
      <c r="J6814" s="34">
        <v>0</v>
      </c>
    </row>
    <row r="6815" spans="1:10" ht="15.75" hidden="1" thickBot="1" x14ac:dyDescent="0.3">
      <c r="A6815" s="249"/>
      <c r="B6815" s="266"/>
      <c r="C6815" s="40" t="s">
        <v>3863</v>
      </c>
      <c r="D6815" s="40" t="s">
        <v>1286</v>
      </c>
      <c r="E6815" s="75">
        <v>1</v>
      </c>
      <c r="F6815" s="35">
        <v>4.1514999999999995</v>
      </c>
      <c r="G6815" s="35">
        <f t="shared" si="152"/>
        <v>4.1514999999999995</v>
      </c>
      <c r="H6815" s="43">
        <f t="shared" ref="H6815" si="165">SUM(G6815:G6815)</f>
        <v>4.1514999999999995</v>
      </c>
      <c r="I6815" s="44"/>
      <c r="J6815" s="34">
        <v>0</v>
      </c>
    </row>
    <row r="6816" spans="1:10" ht="15.75" hidden="1" thickBot="1" x14ac:dyDescent="0.3">
      <c r="A6816" s="250"/>
      <c r="B6816" s="253"/>
      <c r="C6816" s="60"/>
      <c r="D6816" s="60"/>
      <c r="E6816" s="79"/>
      <c r="F6816" s="87" t="s">
        <v>23</v>
      </c>
      <c r="G6816" s="87" t="str">
        <f t="shared" si="152"/>
        <v/>
      </c>
      <c r="H6816" s="89"/>
      <c r="I6816" s="35"/>
      <c r="J6816" s="34">
        <v>0</v>
      </c>
    </row>
    <row r="6817" spans="1:10" ht="15.75" hidden="1" thickBot="1" x14ac:dyDescent="0.3">
      <c r="A6817" s="248" t="s">
        <v>1629</v>
      </c>
      <c r="B6817" s="251" t="s">
        <v>2210</v>
      </c>
      <c r="C6817" s="28"/>
      <c r="D6817" s="29" t="s">
        <v>121</v>
      </c>
      <c r="E6817" s="30"/>
      <c r="F6817" s="45" t="s">
        <v>23</v>
      </c>
      <c r="G6817" s="31" t="str">
        <f t="shared" si="152"/>
        <v/>
      </c>
      <c r="H6817" s="32"/>
      <c r="I6817" s="33"/>
      <c r="J6817" s="34">
        <v>0</v>
      </c>
    </row>
    <row r="6818" spans="1:10" ht="15.75" hidden="1" thickBot="1" x14ac:dyDescent="0.3">
      <c r="A6818" s="249"/>
      <c r="B6818" s="266"/>
      <c r="C6818" s="36"/>
      <c r="D6818" s="36"/>
      <c r="E6818" s="37"/>
      <c r="F6818" s="46" t="s">
        <v>23</v>
      </c>
      <c r="G6818" s="35" t="str">
        <f t="shared" si="152"/>
        <v/>
      </c>
      <c r="H6818" s="39"/>
      <c r="I6818" s="35"/>
      <c r="J6818" s="34">
        <v>0</v>
      </c>
    </row>
    <row r="6819" spans="1:10" ht="15.75" hidden="1" thickBot="1" x14ac:dyDescent="0.3">
      <c r="A6819" s="249"/>
      <c r="B6819" s="266"/>
      <c r="C6819" s="40" t="s">
        <v>3864</v>
      </c>
      <c r="D6819" s="40" t="s">
        <v>1286</v>
      </c>
      <c r="E6819" s="75">
        <v>1</v>
      </c>
      <c r="F6819" s="35">
        <v>8.958499999999999</v>
      </c>
      <c r="G6819" s="35">
        <f t="shared" si="152"/>
        <v>8.958499999999999</v>
      </c>
      <c r="H6819" s="43">
        <f t="shared" ref="H6819" si="166">SUM(G6819:G6819)</f>
        <v>8.958499999999999</v>
      </c>
      <c r="I6819" s="44"/>
      <c r="J6819" s="34">
        <v>0</v>
      </c>
    </row>
    <row r="6820" spans="1:10" ht="15.75" hidden="1" thickBot="1" x14ac:dyDescent="0.3">
      <c r="A6820" s="250"/>
      <c r="B6820" s="253"/>
      <c r="C6820" s="60"/>
      <c r="D6820" s="60"/>
      <c r="E6820" s="79"/>
      <c r="F6820" s="87" t="s">
        <v>23</v>
      </c>
      <c r="G6820" s="87" t="str">
        <f t="shared" si="152"/>
        <v/>
      </c>
      <c r="H6820" s="89"/>
      <c r="I6820" s="35"/>
      <c r="J6820" s="34">
        <v>0</v>
      </c>
    </row>
    <row r="6821" spans="1:10" ht="15.75" hidden="1" thickBot="1" x14ac:dyDescent="0.3">
      <c r="A6821" s="248" t="s">
        <v>1630</v>
      </c>
      <c r="B6821" s="251" t="s">
        <v>2211</v>
      </c>
      <c r="C6821" s="28"/>
      <c r="D6821" s="29" t="s">
        <v>121</v>
      </c>
      <c r="E6821" s="30"/>
      <c r="F6821" s="45" t="s">
        <v>23</v>
      </c>
      <c r="G6821" s="31" t="str">
        <f t="shared" si="152"/>
        <v/>
      </c>
      <c r="H6821" s="32"/>
      <c r="I6821" s="33"/>
      <c r="J6821" s="34">
        <v>0</v>
      </c>
    </row>
    <row r="6822" spans="1:10" ht="15.75" hidden="1" thickBot="1" x14ac:dyDescent="0.3">
      <c r="A6822" s="249"/>
      <c r="B6822" s="266"/>
      <c r="C6822" s="36"/>
      <c r="D6822" s="36"/>
      <c r="E6822" s="37"/>
      <c r="F6822" s="46" t="s">
        <v>23</v>
      </c>
      <c r="G6822" s="35" t="str">
        <f t="shared" si="152"/>
        <v/>
      </c>
      <c r="H6822" s="39"/>
      <c r="I6822" s="35"/>
      <c r="J6822" s="34">
        <v>0</v>
      </c>
    </row>
    <row r="6823" spans="1:10" ht="15.75" hidden="1" thickBot="1" x14ac:dyDescent="0.3">
      <c r="A6823" s="249"/>
      <c r="B6823" s="266"/>
      <c r="C6823" s="40" t="s">
        <v>3865</v>
      </c>
      <c r="D6823" s="40" t="s">
        <v>1286</v>
      </c>
      <c r="E6823" s="75">
        <v>1</v>
      </c>
      <c r="F6823" s="35">
        <v>14.0695</v>
      </c>
      <c r="G6823" s="35">
        <f t="shared" si="152"/>
        <v>14.0695</v>
      </c>
      <c r="H6823" s="43">
        <f t="shared" ref="H6823" si="167">SUM(G6823:G6823)</f>
        <v>14.0695</v>
      </c>
      <c r="I6823" s="44"/>
      <c r="J6823" s="34">
        <v>0</v>
      </c>
    </row>
    <row r="6824" spans="1:10" ht="15.75" hidden="1" thickBot="1" x14ac:dyDescent="0.3">
      <c r="A6824" s="250"/>
      <c r="B6824" s="253"/>
      <c r="C6824" s="60"/>
      <c r="D6824" s="60"/>
      <c r="E6824" s="79"/>
      <c r="F6824" s="87" t="s">
        <v>23</v>
      </c>
      <c r="G6824" s="87" t="str">
        <f t="shared" si="152"/>
        <v/>
      </c>
      <c r="H6824" s="89"/>
      <c r="I6824" s="35"/>
      <c r="J6824" s="34">
        <v>0</v>
      </c>
    </row>
    <row r="6825" spans="1:10" ht="15.75" hidden="1" thickBot="1" x14ac:dyDescent="0.3">
      <c r="A6825" s="248" t="s">
        <v>1631</v>
      </c>
      <c r="B6825" s="251" t="s">
        <v>2212</v>
      </c>
      <c r="C6825" s="28"/>
      <c r="D6825" s="29" t="s">
        <v>121</v>
      </c>
      <c r="E6825" s="30"/>
      <c r="F6825" s="45" t="s">
        <v>23</v>
      </c>
      <c r="G6825" s="31" t="str">
        <f t="shared" si="152"/>
        <v/>
      </c>
      <c r="H6825" s="32"/>
      <c r="I6825" s="33"/>
      <c r="J6825" s="34">
        <v>0</v>
      </c>
    </row>
    <row r="6826" spans="1:10" ht="15.75" hidden="1" thickBot="1" x14ac:dyDescent="0.3">
      <c r="A6826" s="249"/>
      <c r="B6826" s="266"/>
      <c r="C6826" s="36"/>
      <c r="D6826" s="36"/>
      <c r="E6826" s="37"/>
      <c r="F6826" s="46" t="s">
        <v>23</v>
      </c>
      <c r="G6826" s="35" t="str">
        <f t="shared" si="152"/>
        <v/>
      </c>
      <c r="H6826" s="39"/>
      <c r="I6826" s="35"/>
      <c r="J6826" s="34">
        <v>0</v>
      </c>
    </row>
    <row r="6827" spans="1:10" ht="15.75" hidden="1" thickBot="1" x14ac:dyDescent="0.3">
      <c r="A6827" s="249"/>
      <c r="B6827" s="266"/>
      <c r="C6827" s="40" t="s">
        <v>3866</v>
      </c>
      <c r="D6827" s="40" t="s">
        <v>1286</v>
      </c>
      <c r="E6827" s="75">
        <v>1</v>
      </c>
      <c r="F6827" s="35">
        <v>15.427999999999997</v>
      </c>
      <c r="G6827" s="35">
        <f t="shared" si="152"/>
        <v>15.427999999999997</v>
      </c>
      <c r="H6827" s="43">
        <f t="shared" ref="H6827" si="168">SUM(G6827:G6827)</f>
        <v>15.427999999999997</v>
      </c>
      <c r="I6827" s="44"/>
      <c r="J6827" s="34">
        <v>0</v>
      </c>
    </row>
    <row r="6828" spans="1:10" ht="15.75" hidden="1" thickBot="1" x14ac:dyDescent="0.3">
      <c r="A6828" s="250"/>
      <c r="B6828" s="253"/>
      <c r="C6828" s="60"/>
      <c r="D6828" s="60"/>
      <c r="E6828" s="79"/>
      <c r="F6828" s="87" t="s">
        <v>23</v>
      </c>
      <c r="G6828" s="87" t="str">
        <f t="shared" si="152"/>
        <v/>
      </c>
      <c r="H6828" s="89"/>
      <c r="I6828" s="35"/>
      <c r="J6828" s="34">
        <v>0</v>
      </c>
    </row>
    <row r="6829" spans="1:10" ht="15.75" hidden="1" thickBot="1" x14ac:dyDescent="0.3">
      <c r="A6829" s="248" t="s">
        <v>1632</v>
      </c>
      <c r="B6829" s="251" t="s">
        <v>3384</v>
      </c>
      <c r="C6829" s="28"/>
      <c r="D6829" s="29" t="s">
        <v>121</v>
      </c>
      <c r="E6829" s="30"/>
      <c r="F6829" s="45" t="s">
        <v>23</v>
      </c>
      <c r="G6829" s="31" t="str">
        <f t="shared" ref="G6829:G6892" si="169">IF(ISNUMBER(F6829),E6829*F6829,"")</f>
        <v/>
      </c>
      <c r="H6829" s="32"/>
      <c r="I6829" s="33"/>
      <c r="J6829" s="34">
        <v>0</v>
      </c>
    </row>
    <row r="6830" spans="1:10" ht="15.75" hidden="1" thickBot="1" x14ac:dyDescent="0.3">
      <c r="A6830" s="249"/>
      <c r="B6830" s="266"/>
      <c r="C6830" s="36"/>
      <c r="D6830" s="36"/>
      <c r="E6830" s="37"/>
      <c r="F6830" s="46" t="s">
        <v>23</v>
      </c>
      <c r="G6830" s="35" t="str">
        <f t="shared" si="169"/>
        <v/>
      </c>
      <c r="H6830" s="39"/>
      <c r="I6830" s="35"/>
      <c r="J6830" s="34">
        <v>0</v>
      </c>
    </row>
    <row r="6831" spans="1:10" ht="15.75" hidden="1" thickBot="1" x14ac:dyDescent="0.3">
      <c r="A6831" s="249"/>
      <c r="B6831" s="266"/>
      <c r="C6831" s="40" t="s">
        <v>4411</v>
      </c>
      <c r="D6831" s="40" t="s">
        <v>1286</v>
      </c>
      <c r="E6831" s="75">
        <v>1</v>
      </c>
      <c r="F6831" s="35">
        <v>25.383999999999997</v>
      </c>
      <c r="G6831" s="35">
        <f t="shared" si="169"/>
        <v>25.383999999999997</v>
      </c>
      <c r="H6831" s="43">
        <f t="shared" ref="H6831" si="170">SUM(G6831:G6831)</f>
        <v>25.383999999999997</v>
      </c>
      <c r="I6831" s="44"/>
      <c r="J6831" s="34">
        <v>0</v>
      </c>
    </row>
    <row r="6832" spans="1:10" ht="15.75" hidden="1" thickBot="1" x14ac:dyDescent="0.3">
      <c r="A6832" s="250"/>
      <c r="B6832" s="253"/>
      <c r="C6832" s="60"/>
      <c r="D6832" s="60"/>
      <c r="E6832" s="79"/>
      <c r="F6832" s="87" t="s">
        <v>23</v>
      </c>
      <c r="G6832" s="87" t="str">
        <f t="shared" si="169"/>
        <v/>
      </c>
      <c r="H6832" s="89"/>
      <c r="I6832" s="35"/>
      <c r="J6832" s="34">
        <v>0</v>
      </c>
    </row>
    <row r="6833" spans="1:10" ht="15.75" hidden="1" thickBot="1" x14ac:dyDescent="0.3">
      <c r="A6833" s="248" t="s">
        <v>1633</v>
      </c>
      <c r="B6833" s="251" t="s">
        <v>3385</v>
      </c>
      <c r="C6833" s="28"/>
      <c r="D6833" s="29" t="s">
        <v>121</v>
      </c>
      <c r="E6833" s="30"/>
      <c r="F6833" s="45" t="s">
        <v>23</v>
      </c>
      <c r="G6833" s="31" t="str">
        <f t="shared" si="169"/>
        <v/>
      </c>
      <c r="H6833" s="32"/>
      <c r="I6833" s="33"/>
      <c r="J6833" s="34">
        <v>0</v>
      </c>
    </row>
    <row r="6834" spans="1:10" ht="15.75" hidden="1" thickBot="1" x14ac:dyDescent="0.3">
      <c r="A6834" s="249"/>
      <c r="B6834" s="266"/>
      <c r="C6834" s="36"/>
      <c r="D6834" s="36"/>
      <c r="E6834" s="37"/>
      <c r="F6834" s="46" t="s">
        <v>23</v>
      </c>
      <c r="G6834" s="35" t="str">
        <f t="shared" si="169"/>
        <v/>
      </c>
      <c r="H6834" s="39"/>
      <c r="I6834" s="35"/>
      <c r="J6834" s="34">
        <v>0</v>
      </c>
    </row>
    <row r="6835" spans="1:10" ht="15.75" hidden="1" thickBot="1" x14ac:dyDescent="0.3">
      <c r="A6835" s="249"/>
      <c r="B6835" s="266"/>
      <c r="C6835" s="40" t="s">
        <v>4412</v>
      </c>
      <c r="D6835" s="40" t="s">
        <v>1286</v>
      </c>
      <c r="E6835" s="75">
        <v>1</v>
      </c>
      <c r="F6835" s="35">
        <v>42.066000000000003</v>
      </c>
      <c r="G6835" s="35">
        <f t="shared" si="169"/>
        <v>42.066000000000003</v>
      </c>
      <c r="H6835" s="43">
        <f t="shared" ref="H6835" si="171">SUM(G6835:G6835)</f>
        <v>42.066000000000003</v>
      </c>
      <c r="I6835" s="44"/>
      <c r="J6835" s="34">
        <v>0</v>
      </c>
    </row>
    <row r="6836" spans="1:10" ht="15.75" hidden="1" thickBot="1" x14ac:dyDescent="0.3">
      <c r="A6836" s="250"/>
      <c r="B6836" s="253"/>
      <c r="C6836" s="60"/>
      <c r="D6836" s="60"/>
      <c r="E6836" s="79"/>
      <c r="F6836" s="87" t="s">
        <v>23</v>
      </c>
      <c r="G6836" s="87" t="str">
        <f t="shared" si="169"/>
        <v/>
      </c>
      <c r="H6836" s="89"/>
      <c r="I6836" s="35"/>
      <c r="J6836" s="34">
        <v>0</v>
      </c>
    </row>
    <row r="6837" spans="1:10" ht="15.75" hidden="1" thickBot="1" x14ac:dyDescent="0.3">
      <c r="A6837" s="248" t="s">
        <v>1634</v>
      </c>
      <c r="B6837" s="251" t="s">
        <v>3386</v>
      </c>
      <c r="C6837" s="28"/>
      <c r="D6837" s="29" t="s">
        <v>121</v>
      </c>
      <c r="E6837" s="30"/>
      <c r="F6837" s="45" t="s">
        <v>23</v>
      </c>
      <c r="G6837" s="31" t="str">
        <f t="shared" si="169"/>
        <v/>
      </c>
      <c r="H6837" s="32"/>
      <c r="I6837" s="33"/>
      <c r="J6837" s="34">
        <v>0</v>
      </c>
    </row>
    <row r="6838" spans="1:10" ht="15.75" hidden="1" thickBot="1" x14ac:dyDescent="0.3">
      <c r="A6838" s="249"/>
      <c r="B6838" s="266"/>
      <c r="C6838" s="36"/>
      <c r="D6838" s="36"/>
      <c r="E6838" s="37"/>
      <c r="F6838" s="46" t="s">
        <v>23</v>
      </c>
      <c r="G6838" s="35" t="str">
        <f t="shared" si="169"/>
        <v/>
      </c>
      <c r="H6838" s="39"/>
      <c r="I6838" s="35"/>
      <c r="J6838" s="34">
        <v>0</v>
      </c>
    </row>
    <row r="6839" spans="1:10" ht="15.75" hidden="1" thickBot="1" x14ac:dyDescent="0.3">
      <c r="A6839" s="249"/>
      <c r="B6839" s="266"/>
      <c r="C6839" s="40" t="s">
        <v>4413</v>
      </c>
      <c r="D6839" s="40" t="s">
        <v>1286</v>
      </c>
      <c r="E6839" s="75">
        <v>1</v>
      </c>
      <c r="F6839" s="35">
        <v>58.519999999999996</v>
      </c>
      <c r="G6839" s="35">
        <f t="shared" si="169"/>
        <v>58.519999999999996</v>
      </c>
      <c r="H6839" s="43">
        <f t="shared" ref="H6839" si="172">SUM(G6839:G6839)</f>
        <v>58.519999999999996</v>
      </c>
      <c r="I6839" s="44"/>
      <c r="J6839" s="34">
        <v>0</v>
      </c>
    </row>
    <row r="6840" spans="1:10" ht="15.75" hidden="1" thickBot="1" x14ac:dyDescent="0.3">
      <c r="A6840" s="250"/>
      <c r="B6840" s="253"/>
      <c r="C6840" s="60"/>
      <c r="D6840" s="60"/>
      <c r="E6840" s="79"/>
      <c r="F6840" s="87" t="s">
        <v>23</v>
      </c>
      <c r="G6840" s="87" t="str">
        <f t="shared" si="169"/>
        <v/>
      </c>
      <c r="H6840" s="89"/>
      <c r="I6840" s="35"/>
      <c r="J6840" s="34">
        <v>0</v>
      </c>
    </row>
    <row r="6841" spans="1:10" ht="15.75" hidden="1" thickBot="1" x14ac:dyDescent="0.3">
      <c r="A6841" s="248" t="s">
        <v>1635</v>
      </c>
      <c r="B6841" s="251" t="s">
        <v>3387</v>
      </c>
      <c r="C6841" s="28"/>
      <c r="D6841" s="29" t="s">
        <v>121</v>
      </c>
      <c r="E6841" s="30"/>
      <c r="F6841" s="45" t="s">
        <v>23</v>
      </c>
      <c r="G6841" s="31" t="str">
        <f t="shared" si="169"/>
        <v/>
      </c>
      <c r="H6841" s="32"/>
      <c r="I6841" s="33"/>
      <c r="J6841" s="34">
        <v>0</v>
      </c>
    </row>
    <row r="6842" spans="1:10" ht="15.75" hidden="1" thickBot="1" x14ac:dyDescent="0.3">
      <c r="A6842" s="249"/>
      <c r="B6842" s="266"/>
      <c r="C6842" s="36"/>
      <c r="D6842" s="36"/>
      <c r="E6842" s="37"/>
      <c r="F6842" s="46" t="s">
        <v>23</v>
      </c>
      <c r="G6842" s="35" t="str">
        <f t="shared" si="169"/>
        <v/>
      </c>
      <c r="H6842" s="39"/>
      <c r="I6842" s="35"/>
      <c r="J6842" s="34">
        <v>0</v>
      </c>
    </row>
    <row r="6843" spans="1:10" ht="15.75" hidden="1" thickBot="1" x14ac:dyDescent="0.3">
      <c r="A6843" s="249"/>
      <c r="B6843" s="266"/>
      <c r="C6843" s="40" t="s">
        <v>4414</v>
      </c>
      <c r="D6843" s="40" t="s">
        <v>1286</v>
      </c>
      <c r="E6843" s="75">
        <v>1</v>
      </c>
      <c r="F6843" s="35">
        <v>91.58</v>
      </c>
      <c r="G6843" s="35">
        <f t="shared" si="169"/>
        <v>91.58</v>
      </c>
      <c r="H6843" s="43">
        <f t="shared" ref="H6843" si="173">SUM(G6843:G6843)</f>
        <v>91.58</v>
      </c>
      <c r="I6843" s="44"/>
      <c r="J6843" s="34">
        <v>0</v>
      </c>
    </row>
    <row r="6844" spans="1:10" ht="15.75" hidden="1" thickBot="1" x14ac:dyDescent="0.3">
      <c r="A6844" s="250"/>
      <c r="B6844" s="253"/>
      <c r="C6844" s="60"/>
      <c r="D6844" s="60"/>
      <c r="E6844" s="79"/>
      <c r="F6844" s="87" t="s">
        <v>23</v>
      </c>
      <c r="G6844" s="87" t="str">
        <f t="shared" si="169"/>
        <v/>
      </c>
      <c r="H6844" s="89"/>
      <c r="I6844" s="35"/>
      <c r="J6844" s="34">
        <v>0</v>
      </c>
    </row>
    <row r="6845" spans="1:10" ht="15.75" hidden="1" thickBot="1" x14ac:dyDescent="0.3">
      <c r="A6845" s="248" t="s">
        <v>1636</v>
      </c>
      <c r="B6845" s="251" t="s">
        <v>3388</v>
      </c>
      <c r="C6845" s="28"/>
      <c r="D6845" s="29" t="s">
        <v>28</v>
      </c>
      <c r="E6845" s="30"/>
      <c r="F6845" s="45" t="s">
        <v>23</v>
      </c>
      <c r="G6845" s="31" t="str">
        <f t="shared" si="169"/>
        <v/>
      </c>
      <c r="H6845" s="32"/>
      <c r="I6845" s="33"/>
      <c r="J6845" s="34">
        <v>0</v>
      </c>
    </row>
    <row r="6846" spans="1:10" ht="15.75" hidden="1" thickBot="1" x14ac:dyDescent="0.3">
      <c r="A6846" s="249"/>
      <c r="B6846" s="266"/>
      <c r="C6846" s="36"/>
      <c r="D6846" s="36"/>
      <c r="E6846" s="37"/>
      <c r="F6846" s="46" t="s">
        <v>23</v>
      </c>
      <c r="G6846" s="35" t="str">
        <f t="shared" si="169"/>
        <v/>
      </c>
      <c r="H6846" s="39"/>
      <c r="I6846" s="35"/>
      <c r="J6846" s="34">
        <v>0</v>
      </c>
    </row>
    <row r="6847" spans="1:10" ht="15.75" hidden="1" thickBot="1" x14ac:dyDescent="0.3">
      <c r="A6847" s="249"/>
      <c r="B6847" s="266"/>
      <c r="C6847" s="40" t="s">
        <v>3884</v>
      </c>
      <c r="D6847" s="40" t="s">
        <v>291</v>
      </c>
      <c r="E6847" s="75">
        <v>1</v>
      </c>
      <c r="F6847" s="35">
        <v>34.798500000000004</v>
      </c>
      <c r="G6847" s="35">
        <f t="shared" si="169"/>
        <v>34.798500000000004</v>
      </c>
      <c r="H6847" s="43">
        <f t="shared" ref="H6847" si="174">SUM(G6847:G6847)</f>
        <v>34.798500000000004</v>
      </c>
      <c r="I6847" s="44"/>
      <c r="J6847" s="34">
        <v>0</v>
      </c>
    </row>
    <row r="6848" spans="1:10" ht="15.75" hidden="1" thickBot="1" x14ac:dyDescent="0.3">
      <c r="A6848" s="250"/>
      <c r="B6848" s="253"/>
      <c r="C6848" s="60"/>
      <c r="D6848" s="60"/>
      <c r="E6848" s="79"/>
      <c r="F6848" s="87" t="s">
        <v>23</v>
      </c>
      <c r="G6848" s="87" t="str">
        <f t="shared" si="169"/>
        <v/>
      </c>
      <c r="H6848" s="89"/>
      <c r="I6848" s="35"/>
      <c r="J6848" s="34">
        <v>0</v>
      </c>
    </row>
    <row r="6849" spans="1:10" ht="15.75" hidden="1" thickBot="1" x14ac:dyDescent="0.3">
      <c r="A6849" s="248" t="s">
        <v>1637</v>
      </c>
      <c r="B6849" s="251" t="s">
        <v>3389</v>
      </c>
      <c r="C6849" s="28"/>
      <c r="D6849" s="29" t="s">
        <v>28</v>
      </c>
      <c r="E6849" s="30"/>
      <c r="F6849" s="45" t="s">
        <v>23</v>
      </c>
      <c r="G6849" s="31" t="str">
        <f t="shared" si="169"/>
        <v/>
      </c>
      <c r="H6849" s="32"/>
      <c r="I6849" s="33"/>
      <c r="J6849" s="34">
        <v>0</v>
      </c>
    </row>
    <row r="6850" spans="1:10" ht="15.75" hidden="1" thickBot="1" x14ac:dyDescent="0.3">
      <c r="A6850" s="249"/>
      <c r="B6850" s="266"/>
      <c r="C6850" s="36"/>
      <c r="D6850" s="36"/>
      <c r="E6850" s="37"/>
      <c r="F6850" s="46" t="s">
        <v>23</v>
      </c>
      <c r="G6850" s="35" t="str">
        <f t="shared" si="169"/>
        <v/>
      </c>
      <c r="H6850" s="39"/>
      <c r="I6850" s="35"/>
      <c r="J6850" s="34">
        <v>0</v>
      </c>
    </row>
    <row r="6851" spans="1:10" ht="15.75" hidden="1" thickBot="1" x14ac:dyDescent="0.3">
      <c r="A6851" s="249"/>
      <c r="B6851" s="266"/>
      <c r="C6851" s="40" t="s">
        <v>4415</v>
      </c>
      <c r="D6851" s="40" t="s">
        <v>291</v>
      </c>
      <c r="E6851" s="75">
        <v>1</v>
      </c>
      <c r="F6851" s="35">
        <v>47.537999999999997</v>
      </c>
      <c r="G6851" s="35">
        <f t="shared" si="169"/>
        <v>47.537999999999997</v>
      </c>
      <c r="H6851" s="43">
        <f t="shared" ref="H6851" si="175">SUM(G6851:G6851)</f>
        <v>47.537999999999997</v>
      </c>
      <c r="I6851" s="44"/>
      <c r="J6851" s="34">
        <v>0</v>
      </c>
    </row>
    <row r="6852" spans="1:10" ht="15.75" hidden="1" thickBot="1" x14ac:dyDescent="0.3">
      <c r="A6852" s="250"/>
      <c r="B6852" s="253"/>
      <c r="C6852" s="60"/>
      <c r="D6852" s="60"/>
      <c r="E6852" s="79"/>
      <c r="F6852" s="87" t="s">
        <v>23</v>
      </c>
      <c r="G6852" s="87" t="str">
        <f t="shared" si="169"/>
        <v/>
      </c>
      <c r="H6852" s="89"/>
      <c r="I6852" s="35"/>
      <c r="J6852" s="34">
        <v>0</v>
      </c>
    </row>
    <row r="6853" spans="1:10" ht="15.75" hidden="1" thickBot="1" x14ac:dyDescent="0.3">
      <c r="A6853" s="248" t="s">
        <v>1638</v>
      </c>
      <c r="B6853" s="251" t="s">
        <v>3390</v>
      </c>
      <c r="C6853" s="28"/>
      <c r="D6853" s="29" t="s">
        <v>28</v>
      </c>
      <c r="E6853" s="30"/>
      <c r="F6853" s="45" t="s">
        <v>23</v>
      </c>
      <c r="G6853" s="31" t="str">
        <f t="shared" si="169"/>
        <v/>
      </c>
      <c r="H6853" s="32"/>
      <c r="I6853" s="33"/>
      <c r="J6853" s="34">
        <v>0</v>
      </c>
    </row>
    <row r="6854" spans="1:10" ht="15.75" hidden="1" thickBot="1" x14ac:dyDescent="0.3">
      <c r="A6854" s="249"/>
      <c r="B6854" s="266"/>
      <c r="C6854" s="36"/>
      <c r="D6854" s="36"/>
      <c r="E6854" s="37"/>
      <c r="F6854" s="46" t="s">
        <v>23</v>
      </c>
      <c r="G6854" s="35" t="str">
        <f t="shared" si="169"/>
        <v/>
      </c>
      <c r="H6854" s="39"/>
      <c r="I6854" s="35"/>
      <c r="J6854" s="34">
        <v>0</v>
      </c>
    </row>
    <row r="6855" spans="1:10" ht="26.25" hidden="1" thickBot="1" x14ac:dyDescent="0.3">
      <c r="A6855" s="249"/>
      <c r="B6855" s="266"/>
      <c r="C6855" s="40" t="s">
        <v>4416</v>
      </c>
      <c r="D6855" s="40" t="s">
        <v>291</v>
      </c>
      <c r="E6855" s="75">
        <v>1</v>
      </c>
      <c r="F6855" s="35">
        <v>74.213999999999999</v>
      </c>
      <c r="G6855" s="35">
        <f t="shared" si="169"/>
        <v>74.213999999999999</v>
      </c>
      <c r="H6855" s="43">
        <f t="shared" ref="H6855" si="176">SUM(G6855:G6855)</f>
        <v>74.213999999999999</v>
      </c>
      <c r="I6855" s="44"/>
      <c r="J6855" s="34">
        <v>0</v>
      </c>
    </row>
    <row r="6856" spans="1:10" ht="15.75" hidden="1" thickBot="1" x14ac:dyDescent="0.3">
      <c r="A6856" s="250"/>
      <c r="B6856" s="253"/>
      <c r="C6856" s="60"/>
      <c r="D6856" s="60"/>
      <c r="E6856" s="79"/>
      <c r="F6856" s="87" t="s">
        <v>23</v>
      </c>
      <c r="G6856" s="87" t="str">
        <f t="shared" si="169"/>
        <v/>
      </c>
      <c r="H6856" s="89"/>
      <c r="I6856" s="35"/>
      <c r="J6856" s="34">
        <v>0</v>
      </c>
    </row>
    <row r="6857" spans="1:10" ht="15.75" hidden="1" thickBot="1" x14ac:dyDescent="0.3">
      <c r="A6857" s="248" t="s">
        <v>1639</v>
      </c>
      <c r="B6857" s="251" t="s">
        <v>3391</v>
      </c>
      <c r="C6857" s="28"/>
      <c r="D6857" s="29" t="s">
        <v>28</v>
      </c>
      <c r="E6857" s="30"/>
      <c r="F6857" s="45" t="s">
        <v>23</v>
      </c>
      <c r="G6857" s="31" t="str">
        <f t="shared" si="169"/>
        <v/>
      </c>
      <c r="H6857" s="32"/>
      <c r="I6857" s="33"/>
      <c r="J6857" s="34">
        <v>0</v>
      </c>
    </row>
    <row r="6858" spans="1:10" ht="15.75" hidden="1" thickBot="1" x14ac:dyDescent="0.3">
      <c r="A6858" s="249"/>
      <c r="B6858" s="266"/>
      <c r="C6858" s="36"/>
      <c r="D6858" s="36"/>
      <c r="E6858" s="37"/>
      <c r="F6858" s="46" t="s">
        <v>23</v>
      </c>
      <c r="G6858" s="35" t="str">
        <f t="shared" si="169"/>
        <v/>
      </c>
      <c r="H6858" s="39"/>
      <c r="I6858" s="35"/>
      <c r="J6858" s="34">
        <v>0</v>
      </c>
    </row>
    <row r="6859" spans="1:10" ht="26.25" hidden="1" thickBot="1" x14ac:dyDescent="0.3">
      <c r="A6859" s="249"/>
      <c r="B6859" s="266"/>
      <c r="C6859" s="40" t="s">
        <v>4417</v>
      </c>
      <c r="D6859" s="40" t="s">
        <v>291</v>
      </c>
      <c r="E6859" s="75">
        <v>1</v>
      </c>
      <c r="F6859" s="35">
        <v>190.43700000000001</v>
      </c>
      <c r="G6859" s="35">
        <f t="shared" si="169"/>
        <v>190.43700000000001</v>
      </c>
      <c r="H6859" s="43">
        <f t="shared" ref="H6859" si="177">SUM(G6859:G6859)</f>
        <v>190.43700000000001</v>
      </c>
      <c r="I6859" s="44"/>
      <c r="J6859" s="34">
        <v>0</v>
      </c>
    </row>
    <row r="6860" spans="1:10" ht="15.75" hidden="1" thickBot="1" x14ac:dyDescent="0.3">
      <c r="A6860" s="250"/>
      <c r="B6860" s="253"/>
      <c r="C6860" s="60"/>
      <c r="D6860" s="60"/>
      <c r="E6860" s="79"/>
      <c r="F6860" s="87" t="s">
        <v>23</v>
      </c>
      <c r="G6860" s="87" t="str">
        <f t="shared" si="169"/>
        <v/>
      </c>
      <c r="H6860" s="89"/>
      <c r="I6860" s="35"/>
      <c r="J6860" s="34">
        <v>0</v>
      </c>
    </row>
    <row r="6861" spans="1:10" ht="15.75" hidden="1" thickBot="1" x14ac:dyDescent="0.3">
      <c r="A6861" s="248" t="s">
        <v>1640</v>
      </c>
      <c r="B6861" s="251" t="s">
        <v>3392</v>
      </c>
      <c r="C6861" s="28"/>
      <c r="D6861" s="29" t="s">
        <v>28</v>
      </c>
      <c r="E6861" s="30"/>
      <c r="F6861" s="45" t="s">
        <v>23</v>
      </c>
      <c r="G6861" s="31" t="str">
        <f t="shared" si="169"/>
        <v/>
      </c>
      <c r="H6861" s="32"/>
      <c r="I6861" s="33"/>
      <c r="J6861" s="34">
        <v>0</v>
      </c>
    </row>
    <row r="6862" spans="1:10" ht="15.75" hidden="1" thickBot="1" x14ac:dyDescent="0.3">
      <c r="A6862" s="249"/>
      <c r="B6862" s="266"/>
      <c r="C6862" s="36"/>
      <c r="D6862" s="36"/>
      <c r="E6862" s="37"/>
      <c r="F6862" s="46" t="s">
        <v>23</v>
      </c>
      <c r="G6862" s="35" t="str">
        <f t="shared" si="169"/>
        <v/>
      </c>
      <c r="H6862" s="39"/>
      <c r="I6862" s="35"/>
      <c r="J6862" s="34">
        <v>0</v>
      </c>
    </row>
    <row r="6863" spans="1:10" ht="26.25" hidden="1" thickBot="1" x14ac:dyDescent="0.3">
      <c r="A6863" s="249"/>
      <c r="B6863" s="266"/>
      <c r="C6863" s="40" t="s">
        <v>4418</v>
      </c>
      <c r="D6863" s="40" t="s">
        <v>291</v>
      </c>
      <c r="E6863" s="75">
        <v>1</v>
      </c>
      <c r="F6863" s="35">
        <v>107.274</v>
      </c>
      <c r="G6863" s="35">
        <f t="shared" si="169"/>
        <v>107.274</v>
      </c>
      <c r="H6863" s="43">
        <f>SUM(G6863:G6863)</f>
        <v>107.274</v>
      </c>
      <c r="I6863" s="44"/>
      <c r="J6863" s="34">
        <v>0</v>
      </c>
    </row>
    <row r="6864" spans="1:10" ht="15.75" hidden="1" thickBot="1" x14ac:dyDescent="0.3">
      <c r="A6864" s="250"/>
      <c r="B6864" s="253"/>
      <c r="C6864" s="60"/>
      <c r="D6864" s="60"/>
      <c r="E6864" s="79"/>
      <c r="F6864" s="87" t="s">
        <v>23</v>
      </c>
      <c r="G6864" s="87" t="str">
        <f t="shared" si="169"/>
        <v/>
      </c>
      <c r="H6864" s="89"/>
      <c r="I6864" s="35"/>
      <c r="J6864" s="34">
        <v>0</v>
      </c>
    </row>
    <row r="6865" spans="1:10" ht="15.75" hidden="1" thickBot="1" x14ac:dyDescent="0.3">
      <c r="A6865" s="248" t="s">
        <v>1641</v>
      </c>
      <c r="B6865" s="251" t="s">
        <v>3393</v>
      </c>
      <c r="C6865" s="28"/>
      <c r="D6865" s="29" t="s">
        <v>28</v>
      </c>
      <c r="E6865" s="30"/>
      <c r="F6865" s="45" t="s">
        <v>23</v>
      </c>
      <c r="G6865" s="31" t="str">
        <f t="shared" si="169"/>
        <v/>
      </c>
      <c r="H6865" s="32"/>
      <c r="I6865" s="33"/>
      <c r="J6865" s="34">
        <v>0</v>
      </c>
    </row>
    <row r="6866" spans="1:10" ht="15.75" hidden="1" thickBot="1" x14ac:dyDescent="0.3">
      <c r="A6866" s="249"/>
      <c r="B6866" s="266"/>
      <c r="C6866" s="36"/>
      <c r="D6866" s="36"/>
      <c r="E6866" s="37"/>
      <c r="F6866" s="46" t="s">
        <v>23</v>
      </c>
      <c r="G6866" s="35" t="str">
        <f t="shared" si="169"/>
        <v/>
      </c>
      <c r="H6866" s="39"/>
      <c r="I6866" s="35"/>
      <c r="J6866" s="34">
        <v>0</v>
      </c>
    </row>
    <row r="6867" spans="1:10" ht="26.25" hidden="1" thickBot="1" x14ac:dyDescent="0.3">
      <c r="A6867" s="249"/>
      <c r="B6867" s="266"/>
      <c r="C6867" s="40" t="s">
        <v>4419</v>
      </c>
      <c r="D6867" s="40" t="s">
        <v>291</v>
      </c>
      <c r="E6867" s="75">
        <v>1</v>
      </c>
      <c r="F6867" s="35">
        <v>341.75299999999999</v>
      </c>
      <c r="G6867" s="35">
        <f t="shared" si="169"/>
        <v>341.75299999999999</v>
      </c>
      <c r="H6867" s="43">
        <f>SUM(G6867:G6867)</f>
        <v>341.75299999999999</v>
      </c>
      <c r="I6867" s="44"/>
      <c r="J6867" s="34">
        <v>0</v>
      </c>
    </row>
    <row r="6868" spans="1:10" ht="15.75" hidden="1" thickBot="1" x14ac:dyDescent="0.3">
      <c r="A6868" s="250"/>
      <c r="B6868" s="253"/>
      <c r="C6868" s="60"/>
      <c r="D6868" s="60"/>
      <c r="E6868" s="79"/>
      <c r="F6868" s="87" t="s">
        <v>23</v>
      </c>
      <c r="G6868" s="87" t="str">
        <f t="shared" si="169"/>
        <v/>
      </c>
      <c r="H6868" s="89"/>
      <c r="I6868" s="35"/>
      <c r="J6868" s="34">
        <v>0</v>
      </c>
    </row>
    <row r="6869" spans="1:10" ht="15.75" hidden="1" thickBot="1" x14ac:dyDescent="0.3">
      <c r="A6869" s="248" t="s">
        <v>1642</v>
      </c>
      <c r="B6869" s="251" t="s">
        <v>3394</v>
      </c>
      <c r="C6869" s="28"/>
      <c r="D6869" s="29" t="s">
        <v>28</v>
      </c>
      <c r="E6869" s="30"/>
      <c r="F6869" s="45" t="s">
        <v>23</v>
      </c>
      <c r="G6869" s="31" t="str">
        <f t="shared" si="169"/>
        <v/>
      </c>
      <c r="H6869" s="32"/>
      <c r="I6869" s="33"/>
      <c r="J6869" s="34">
        <v>0</v>
      </c>
    </row>
    <row r="6870" spans="1:10" ht="15.75" hidden="1" thickBot="1" x14ac:dyDescent="0.3">
      <c r="A6870" s="249"/>
      <c r="B6870" s="266"/>
      <c r="C6870" s="36"/>
      <c r="D6870" s="36"/>
      <c r="E6870" s="37"/>
      <c r="F6870" s="46" t="s">
        <v>23</v>
      </c>
      <c r="G6870" s="35" t="str">
        <f t="shared" si="169"/>
        <v/>
      </c>
      <c r="H6870" s="39"/>
      <c r="I6870" s="35"/>
      <c r="J6870" s="34">
        <v>0</v>
      </c>
    </row>
    <row r="6871" spans="1:10" ht="26.25" hidden="1" thickBot="1" x14ac:dyDescent="0.3">
      <c r="A6871" s="249"/>
      <c r="B6871" s="266"/>
      <c r="C6871" s="40" t="s">
        <v>4420</v>
      </c>
      <c r="D6871" s="40" t="s">
        <v>291</v>
      </c>
      <c r="E6871" s="75">
        <v>1</v>
      </c>
      <c r="F6871" s="35">
        <v>414.04799999999994</v>
      </c>
      <c r="G6871" s="35">
        <f t="shared" si="169"/>
        <v>414.04799999999994</v>
      </c>
      <c r="H6871" s="43">
        <f>SUM(G6871:G6871)</f>
        <v>414.04799999999994</v>
      </c>
      <c r="I6871" s="44"/>
      <c r="J6871" s="34">
        <v>0</v>
      </c>
    </row>
    <row r="6872" spans="1:10" ht="15.75" hidden="1" thickBot="1" x14ac:dyDescent="0.3">
      <c r="A6872" s="250"/>
      <c r="B6872" s="253"/>
      <c r="C6872" s="60"/>
      <c r="D6872" s="60"/>
      <c r="E6872" s="79"/>
      <c r="F6872" s="87" t="s">
        <v>23</v>
      </c>
      <c r="G6872" s="87" t="str">
        <f t="shared" si="169"/>
        <v/>
      </c>
      <c r="H6872" s="89"/>
      <c r="I6872" s="35"/>
      <c r="J6872" s="34">
        <v>0</v>
      </c>
    </row>
    <row r="6873" spans="1:10" ht="15.75" hidden="1" thickBot="1" x14ac:dyDescent="0.3">
      <c r="A6873" s="248" t="s">
        <v>1643</v>
      </c>
      <c r="B6873" s="251" t="s">
        <v>3395</v>
      </c>
      <c r="C6873" s="28"/>
      <c r="D6873" s="29" t="s">
        <v>28</v>
      </c>
      <c r="E6873" s="30"/>
      <c r="F6873" s="45" t="s">
        <v>23</v>
      </c>
      <c r="G6873" s="31" t="str">
        <f t="shared" si="169"/>
        <v/>
      </c>
      <c r="H6873" s="32"/>
      <c r="I6873" s="33"/>
      <c r="J6873" s="34">
        <v>0</v>
      </c>
    </row>
    <row r="6874" spans="1:10" ht="15.75" hidden="1" thickBot="1" x14ac:dyDescent="0.3">
      <c r="A6874" s="249"/>
      <c r="B6874" s="266"/>
      <c r="C6874" s="36"/>
      <c r="D6874" s="36"/>
      <c r="E6874" s="37"/>
      <c r="F6874" s="46" t="s">
        <v>23</v>
      </c>
      <c r="G6874" s="35" t="str">
        <f t="shared" si="169"/>
        <v/>
      </c>
      <c r="H6874" s="39"/>
      <c r="I6874" s="35"/>
      <c r="J6874" s="34">
        <v>0</v>
      </c>
    </row>
    <row r="6875" spans="1:10" ht="26.25" hidden="1" thickBot="1" x14ac:dyDescent="0.3">
      <c r="A6875" s="249"/>
      <c r="B6875" s="266"/>
      <c r="C6875" s="40" t="s">
        <v>4421</v>
      </c>
      <c r="D6875" s="40" t="s">
        <v>291</v>
      </c>
      <c r="E6875" s="75">
        <v>1</v>
      </c>
      <c r="F6875" s="35">
        <v>718.59899999999993</v>
      </c>
      <c r="G6875" s="35">
        <f t="shared" si="169"/>
        <v>718.59899999999993</v>
      </c>
      <c r="H6875" s="43">
        <f>SUM(G6875:G6875)</f>
        <v>718.59899999999993</v>
      </c>
      <c r="I6875" s="44"/>
      <c r="J6875" s="34">
        <v>0</v>
      </c>
    </row>
    <row r="6876" spans="1:10" ht="15.75" hidden="1" thickBot="1" x14ac:dyDescent="0.3">
      <c r="A6876" s="250"/>
      <c r="B6876" s="253"/>
      <c r="C6876" s="60"/>
      <c r="D6876" s="60"/>
      <c r="E6876" s="79"/>
      <c r="F6876" s="87" t="s">
        <v>23</v>
      </c>
      <c r="G6876" s="87" t="str">
        <f t="shared" si="169"/>
        <v/>
      </c>
      <c r="H6876" s="89"/>
      <c r="I6876" s="35"/>
      <c r="J6876" s="34">
        <v>0</v>
      </c>
    </row>
    <row r="6877" spans="1:10" ht="15.75" hidden="1" thickBot="1" x14ac:dyDescent="0.3">
      <c r="A6877" s="248" t="s">
        <v>1644</v>
      </c>
      <c r="B6877" s="251" t="s">
        <v>3396</v>
      </c>
      <c r="C6877" s="28"/>
      <c r="D6877" s="29" t="s">
        <v>28</v>
      </c>
      <c r="E6877" s="30"/>
      <c r="F6877" s="45" t="s">
        <v>23</v>
      </c>
      <c r="G6877" s="31" t="str">
        <f t="shared" si="169"/>
        <v/>
      </c>
      <c r="H6877" s="32"/>
      <c r="I6877" s="33"/>
      <c r="J6877" s="34">
        <v>0</v>
      </c>
    </row>
    <row r="6878" spans="1:10" ht="15.75" hidden="1" thickBot="1" x14ac:dyDescent="0.3">
      <c r="A6878" s="249"/>
      <c r="B6878" s="266"/>
      <c r="C6878" s="36"/>
      <c r="D6878" s="36"/>
      <c r="E6878" s="37"/>
      <c r="F6878" s="46" t="s">
        <v>23</v>
      </c>
      <c r="G6878" s="35" t="str">
        <f t="shared" si="169"/>
        <v/>
      </c>
      <c r="H6878" s="39"/>
      <c r="I6878" s="35"/>
      <c r="J6878" s="34">
        <v>0</v>
      </c>
    </row>
    <row r="6879" spans="1:10" ht="26.25" hidden="1" thickBot="1" x14ac:dyDescent="0.3">
      <c r="A6879" s="249"/>
      <c r="B6879" s="266"/>
      <c r="C6879" s="40" t="s">
        <v>4422</v>
      </c>
      <c r="D6879" s="40" t="s">
        <v>291</v>
      </c>
      <c r="E6879" s="75">
        <v>1</v>
      </c>
      <c r="F6879" s="35">
        <v>189.21149999999997</v>
      </c>
      <c r="G6879" s="35">
        <f t="shared" si="169"/>
        <v>189.21149999999997</v>
      </c>
      <c r="H6879" s="43">
        <f>SUM(G6879:G6879)</f>
        <v>189.21149999999997</v>
      </c>
      <c r="I6879" s="44"/>
      <c r="J6879" s="34">
        <v>0</v>
      </c>
    </row>
    <row r="6880" spans="1:10" ht="15.75" hidden="1" thickBot="1" x14ac:dyDescent="0.3">
      <c r="A6880" s="250"/>
      <c r="B6880" s="253"/>
      <c r="C6880" s="60"/>
      <c r="D6880" s="60"/>
      <c r="E6880" s="79"/>
      <c r="F6880" s="87" t="s">
        <v>23</v>
      </c>
      <c r="G6880" s="87" t="str">
        <f t="shared" si="169"/>
        <v/>
      </c>
      <c r="H6880" s="89"/>
      <c r="I6880" s="35"/>
      <c r="J6880" s="34">
        <v>0</v>
      </c>
    </row>
    <row r="6881" spans="1:10" ht="15.75" hidden="1" thickBot="1" x14ac:dyDescent="0.3">
      <c r="A6881" s="248" t="s">
        <v>1645</v>
      </c>
      <c r="B6881" s="251" t="s">
        <v>3397</v>
      </c>
      <c r="C6881" s="28"/>
      <c r="D6881" s="29" t="s">
        <v>28</v>
      </c>
      <c r="E6881" s="30"/>
      <c r="F6881" s="45" t="s">
        <v>23</v>
      </c>
      <c r="G6881" s="31" t="str">
        <f t="shared" si="169"/>
        <v/>
      </c>
      <c r="H6881" s="32"/>
      <c r="I6881" s="33"/>
      <c r="J6881" s="34">
        <v>0</v>
      </c>
    </row>
    <row r="6882" spans="1:10" ht="15.75" hidden="1" thickBot="1" x14ac:dyDescent="0.3">
      <c r="A6882" s="249"/>
      <c r="B6882" s="266"/>
      <c r="C6882" s="36"/>
      <c r="D6882" s="36"/>
      <c r="E6882" s="37"/>
      <c r="F6882" s="46" t="s">
        <v>23</v>
      </c>
      <c r="G6882" s="35" t="str">
        <f t="shared" si="169"/>
        <v/>
      </c>
      <c r="H6882" s="39"/>
      <c r="I6882" s="35"/>
      <c r="J6882" s="34">
        <v>0</v>
      </c>
    </row>
    <row r="6883" spans="1:10" ht="26.25" hidden="1" thickBot="1" x14ac:dyDescent="0.3">
      <c r="A6883" s="249"/>
      <c r="B6883" s="266"/>
      <c r="C6883" s="40" t="s">
        <v>4423</v>
      </c>
      <c r="D6883" s="40" t="s">
        <v>291</v>
      </c>
      <c r="E6883" s="75">
        <v>1</v>
      </c>
      <c r="F6883" s="35">
        <v>303.202</v>
      </c>
      <c r="G6883" s="35">
        <f t="shared" si="169"/>
        <v>303.202</v>
      </c>
      <c r="H6883" s="43">
        <f>SUM(G6883:G6883)</f>
        <v>303.202</v>
      </c>
      <c r="I6883" s="44"/>
      <c r="J6883" s="34">
        <v>0</v>
      </c>
    </row>
    <row r="6884" spans="1:10" ht="15.75" hidden="1" thickBot="1" x14ac:dyDescent="0.3">
      <c r="A6884" s="250"/>
      <c r="B6884" s="253"/>
      <c r="C6884" s="60"/>
      <c r="D6884" s="60"/>
      <c r="E6884" s="79"/>
      <c r="F6884" s="87" t="s">
        <v>23</v>
      </c>
      <c r="G6884" s="87" t="str">
        <f t="shared" si="169"/>
        <v/>
      </c>
      <c r="H6884" s="89"/>
      <c r="I6884" s="35"/>
      <c r="J6884" s="34">
        <v>0</v>
      </c>
    </row>
    <row r="6885" spans="1:10" ht="15.75" hidden="1" thickBot="1" x14ac:dyDescent="0.3">
      <c r="A6885" s="248" t="s">
        <v>1646</v>
      </c>
      <c r="B6885" s="251" t="s">
        <v>2252</v>
      </c>
      <c r="C6885" s="28"/>
      <c r="D6885" s="29" t="s">
        <v>28</v>
      </c>
      <c r="E6885" s="30"/>
      <c r="F6885" s="45" t="s">
        <v>23</v>
      </c>
      <c r="G6885" s="31" t="str">
        <f t="shared" si="169"/>
        <v/>
      </c>
      <c r="H6885" s="32"/>
      <c r="I6885" s="33"/>
      <c r="J6885" s="34">
        <v>0</v>
      </c>
    </row>
    <row r="6886" spans="1:10" ht="15.75" hidden="1" thickBot="1" x14ac:dyDescent="0.3">
      <c r="A6886" s="249"/>
      <c r="B6886" s="266"/>
      <c r="C6886" s="36"/>
      <c r="D6886" s="36"/>
      <c r="E6886" s="37"/>
      <c r="F6886" s="46" t="s">
        <v>23</v>
      </c>
      <c r="G6886" s="35" t="str">
        <f t="shared" si="169"/>
        <v/>
      </c>
      <c r="H6886" s="39"/>
      <c r="I6886" s="35"/>
      <c r="J6886" s="34">
        <v>0</v>
      </c>
    </row>
    <row r="6887" spans="1:10" ht="26.25" hidden="1" thickBot="1" x14ac:dyDescent="0.3">
      <c r="A6887" s="249"/>
      <c r="B6887" s="266"/>
      <c r="C6887" s="40" t="s">
        <v>3885</v>
      </c>
      <c r="D6887" s="40" t="s">
        <v>291</v>
      </c>
      <c r="E6887" s="75">
        <v>1</v>
      </c>
      <c r="F6887" s="35">
        <v>43.785499999999999</v>
      </c>
      <c r="G6887" s="35">
        <f t="shared" si="169"/>
        <v>43.785499999999999</v>
      </c>
      <c r="H6887" s="43">
        <f>SUM(G6887:G6887)</f>
        <v>43.785499999999999</v>
      </c>
      <c r="I6887" s="44"/>
      <c r="J6887" s="34">
        <v>0</v>
      </c>
    </row>
    <row r="6888" spans="1:10" ht="15.75" hidden="1" thickBot="1" x14ac:dyDescent="0.3">
      <c r="A6888" s="250"/>
      <c r="B6888" s="253"/>
      <c r="C6888" s="60"/>
      <c r="D6888" s="60"/>
      <c r="E6888" s="79"/>
      <c r="F6888" s="87" t="s">
        <v>23</v>
      </c>
      <c r="G6888" s="87" t="str">
        <f t="shared" si="169"/>
        <v/>
      </c>
      <c r="H6888" s="89"/>
      <c r="I6888" s="35"/>
      <c r="J6888" s="34">
        <v>0</v>
      </c>
    </row>
    <row r="6889" spans="1:10" ht="15.75" hidden="1" thickBot="1" x14ac:dyDescent="0.3">
      <c r="A6889" s="248" t="s">
        <v>1647</v>
      </c>
      <c r="B6889" s="251" t="s">
        <v>2238</v>
      </c>
      <c r="C6889" s="28"/>
      <c r="D6889" s="29" t="s">
        <v>28</v>
      </c>
      <c r="E6889" s="30"/>
      <c r="F6889" s="45" t="s">
        <v>23</v>
      </c>
      <c r="G6889" s="31" t="str">
        <f t="shared" si="169"/>
        <v/>
      </c>
      <c r="H6889" s="32"/>
      <c r="I6889" s="33"/>
      <c r="J6889" s="34">
        <v>0</v>
      </c>
    </row>
    <row r="6890" spans="1:10" ht="15.75" hidden="1" thickBot="1" x14ac:dyDescent="0.3">
      <c r="A6890" s="249"/>
      <c r="B6890" s="266"/>
      <c r="C6890" s="36"/>
      <c r="D6890" s="36"/>
      <c r="E6890" s="37"/>
      <c r="F6890" s="46" t="s">
        <v>23</v>
      </c>
      <c r="G6890" s="35" t="str">
        <f t="shared" si="169"/>
        <v/>
      </c>
      <c r="H6890" s="39"/>
      <c r="I6890" s="35"/>
      <c r="J6890" s="34">
        <v>0</v>
      </c>
    </row>
    <row r="6891" spans="1:10" ht="15.75" hidden="1" thickBot="1" x14ac:dyDescent="0.3">
      <c r="A6891" s="249"/>
      <c r="B6891" s="266"/>
      <c r="C6891" s="40" t="s">
        <v>3881</v>
      </c>
      <c r="D6891" s="40" t="s">
        <v>291</v>
      </c>
      <c r="E6891" s="75">
        <v>1</v>
      </c>
      <c r="F6891" s="35">
        <v>147.41149999999999</v>
      </c>
      <c r="G6891" s="35">
        <f t="shared" si="169"/>
        <v>147.41149999999999</v>
      </c>
      <c r="H6891" s="43">
        <f>SUM(G6891:G6891)</f>
        <v>147.41149999999999</v>
      </c>
      <c r="I6891" s="44"/>
      <c r="J6891" s="34">
        <v>0</v>
      </c>
    </row>
    <row r="6892" spans="1:10" ht="15.75" hidden="1" thickBot="1" x14ac:dyDescent="0.3">
      <c r="A6892" s="250"/>
      <c r="B6892" s="253"/>
      <c r="C6892" s="60"/>
      <c r="D6892" s="60"/>
      <c r="E6892" s="79"/>
      <c r="F6892" s="87" t="s">
        <v>23</v>
      </c>
      <c r="G6892" s="87" t="str">
        <f t="shared" si="169"/>
        <v/>
      </c>
      <c r="H6892" s="89"/>
      <c r="I6892" s="35"/>
      <c r="J6892" s="34">
        <v>0</v>
      </c>
    </row>
    <row r="6893" spans="1:10" ht="15.75" hidden="1" thickBot="1" x14ac:dyDescent="0.3">
      <c r="A6893" s="248" t="s">
        <v>1648</v>
      </c>
      <c r="B6893" s="251" t="s">
        <v>2824</v>
      </c>
      <c r="C6893" s="28"/>
      <c r="D6893" s="29" t="s">
        <v>28</v>
      </c>
      <c r="E6893" s="30"/>
      <c r="F6893" s="45" t="s">
        <v>23</v>
      </c>
      <c r="G6893" s="31" t="str">
        <f t="shared" ref="G6893:G6956" si="178">IF(ISNUMBER(F6893),E6893*F6893,"")</f>
        <v/>
      </c>
      <c r="H6893" s="32"/>
      <c r="I6893" s="33"/>
      <c r="J6893" s="34">
        <v>0</v>
      </c>
    </row>
    <row r="6894" spans="1:10" ht="15.75" hidden="1" thickBot="1" x14ac:dyDescent="0.3">
      <c r="A6894" s="249"/>
      <c r="B6894" s="266"/>
      <c r="C6894" s="36"/>
      <c r="D6894" s="36"/>
      <c r="E6894" s="37"/>
      <c r="F6894" s="46" t="s">
        <v>23</v>
      </c>
      <c r="G6894" s="35" t="str">
        <f t="shared" si="178"/>
        <v/>
      </c>
      <c r="H6894" s="39"/>
      <c r="I6894" s="35"/>
      <c r="J6894" s="34">
        <v>0</v>
      </c>
    </row>
    <row r="6895" spans="1:10" ht="26.25" hidden="1" thickBot="1" x14ac:dyDescent="0.3">
      <c r="A6895" s="249"/>
      <c r="B6895" s="266"/>
      <c r="C6895" s="40" t="s">
        <v>4081</v>
      </c>
      <c r="D6895" s="40" t="s">
        <v>291</v>
      </c>
      <c r="E6895" s="75">
        <v>1</v>
      </c>
      <c r="F6895" s="35">
        <v>94.268500000000003</v>
      </c>
      <c r="G6895" s="35">
        <f t="shared" si="178"/>
        <v>94.268500000000003</v>
      </c>
      <c r="H6895" s="43">
        <f>SUM(G6895:G6895)</f>
        <v>94.268500000000003</v>
      </c>
      <c r="I6895" s="44"/>
      <c r="J6895" s="34">
        <v>0</v>
      </c>
    </row>
    <row r="6896" spans="1:10" ht="15.75" hidden="1" thickBot="1" x14ac:dyDescent="0.3">
      <c r="A6896" s="250"/>
      <c r="B6896" s="253"/>
      <c r="C6896" s="60"/>
      <c r="D6896" s="60"/>
      <c r="E6896" s="79"/>
      <c r="F6896" s="87" t="s">
        <v>23</v>
      </c>
      <c r="G6896" s="87" t="str">
        <f t="shared" si="178"/>
        <v/>
      </c>
      <c r="H6896" s="89"/>
      <c r="I6896" s="35"/>
      <c r="J6896" s="34">
        <v>0</v>
      </c>
    </row>
    <row r="6897" spans="1:10" ht="15.75" hidden="1" thickBot="1" x14ac:dyDescent="0.3">
      <c r="A6897" s="248" t="s">
        <v>1649</v>
      </c>
      <c r="B6897" s="251" t="s">
        <v>3398</v>
      </c>
      <c r="C6897" s="28"/>
      <c r="D6897" s="29" t="s">
        <v>28</v>
      </c>
      <c r="E6897" s="30"/>
      <c r="F6897" s="45" t="s">
        <v>23</v>
      </c>
      <c r="G6897" s="31" t="str">
        <f t="shared" si="178"/>
        <v/>
      </c>
      <c r="H6897" s="32"/>
      <c r="I6897" s="33"/>
      <c r="J6897" s="34">
        <v>0</v>
      </c>
    </row>
    <row r="6898" spans="1:10" ht="15.75" hidden="1" thickBot="1" x14ac:dyDescent="0.3">
      <c r="A6898" s="249"/>
      <c r="B6898" s="266"/>
      <c r="C6898" s="36"/>
      <c r="D6898" s="36"/>
      <c r="E6898" s="37"/>
      <c r="F6898" s="46" t="s">
        <v>23</v>
      </c>
      <c r="G6898" s="35" t="str">
        <f t="shared" si="178"/>
        <v/>
      </c>
      <c r="H6898" s="39"/>
      <c r="I6898" s="35"/>
      <c r="J6898" s="34">
        <v>0</v>
      </c>
    </row>
    <row r="6899" spans="1:10" ht="26.25" hidden="1" thickBot="1" x14ac:dyDescent="0.3">
      <c r="A6899" s="249"/>
      <c r="B6899" s="266"/>
      <c r="C6899" s="40" t="s">
        <v>4424</v>
      </c>
      <c r="D6899" s="40" t="s">
        <v>291</v>
      </c>
      <c r="E6899" s="75">
        <v>1</v>
      </c>
      <c r="F6899" s="35">
        <v>305.21599999999995</v>
      </c>
      <c r="G6899" s="35">
        <f t="shared" si="178"/>
        <v>305.21599999999995</v>
      </c>
      <c r="H6899" s="43">
        <f>SUM(G6899:G6899)</f>
        <v>305.21599999999995</v>
      </c>
      <c r="I6899" s="44"/>
      <c r="J6899" s="34">
        <v>0</v>
      </c>
    </row>
    <row r="6900" spans="1:10" ht="15.75" hidden="1" thickBot="1" x14ac:dyDescent="0.3">
      <c r="A6900" s="250"/>
      <c r="B6900" s="253"/>
      <c r="C6900" s="60"/>
      <c r="D6900" s="60"/>
      <c r="E6900" s="79"/>
      <c r="F6900" s="87" t="s">
        <v>23</v>
      </c>
      <c r="G6900" s="87" t="str">
        <f t="shared" si="178"/>
        <v/>
      </c>
      <c r="H6900" s="89"/>
      <c r="I6900" s="35"/>
      <c r="J6900" s="34">
        <v>0</v>
      </c>
    </row>
    <row r="6901" spans="1:10" ht="15.75" hidden="1" thickBot="1" x14ac:dyDescent="0.3">
      <c r="A6901" s="248" t="s">
        <v>1650</v>
      </c>
      <c r="B6901" s="251" t="s">
        <v>3399</v>
      </c>
      <c r="C6901" s="28"/>
      <c r="D6901" s="29" t="s">
        <v>28</v>
      </c>
      <c r="E6901" s="30"/>
      <c r="F6901" s="45" t="s">
        <v>23</v>
      </c>
      <c r="G6901" s="31" t="str">
        <f t="shared" si="178"/>
        <v/>
      </c>
      <c r="H6901" s="32"/>
      <c r="I6901" s="33"/>
      <c r="J6901" s="34">
        <v>0</v>
      </c>
    </row>
    <row r="6902" spans="1:10" ht="15.75" hidden="1" thickBot="1" x14ac:dyDescent="0.3">
      <c r="A6902" s="249"/>
      <c r="B6902" s="266"/>
      <c r="C6902" s="36"/>
      <c r="D6902" s="36"/>
      <c r="E6902" s="37"/>
      <c r="F6902" s="46" t="s">
        <v>23</v>
      </c>
      <c r="G6902" s="35" t="str">
        <f t="shared" si="178"/>
        <v/>
      </c>
      <c r="H6902" s="39"/>
      <c r="I6902" s="35"/>
      <c r="J6902" s="34">
        <v>0</v>
      </c>
    </row>
    <row r="6903" spans="1:10" ht="26.25" hidden="1" thickBot="1" x14ac:dyDescent="0.3">
      <c r="A6903" s="249"/>
      <c r="B6903" s="266"/>
      <c r="C6903" s="40" t="s">
        <v>4425</v>
      </c>
      <c r="D6903" s="40" t="s">
        <v>291</v>
      </c>
      <c r="E6903" s="75">
        <v>1</v>
      </c>
      <c r="F6903" s="35">
        <v>11.1625</v>
      </c>
      <c r="G6903" s="35">
        <f t="shared" si="178"/>
        <v>11.1625</v>
      </c>
      <c r="H6903" s="43">
        <f>SUM(G6903:G6903)</f>
        <v>11.1625</v>
      </c>
      <c r="I6903" s="44"/>
      <c r="J6903" s="34">
        <v>0</v>
      </c>
    </row>
    <row r="6904" spans="1:10" ht="15.75" hidden="1" thickBot="1" x14ac:dyDescent="0.3">
      <c r="A6904" s="250"/>
      <c r="B6904" s="253"/>
      <c r="C6904" s="60"/>
      <c r="D6904" s="60"/>
      <c r="E6904" s="79"/>
      <c r="F6904" s="87" t="s">
        <v>23</v>
      </c>
      <c r="G6904" s="87" t="str">
        <f t="shared" si="178"/>
        <v/>
      </c>
      <c r="H6904" s="89"/>
      <c r="I6904" s="35"/>
      <c r="J6904" s="34">
        <v>0</v>
      </c>
    </row>
    <row r="6905" spans="1:10" ht="15.75" hidden="1" thickBot="1" x14ac:dyDescent="0.3">
      <c r="A6905" s="248" t="s">
        <v>1651</v>
      </c>
      <c r="B6905" s="251" t="s">
        <v>3400</v>
      </c>
      <c r="C6905" s="28"/>
      <c r="D6905" s="29" t="s">
        <v>28</v>
      </c>
      <c r="E6905" s="30"/>
      <c r="F6905" s="45" t="s">
        <v>23</v>
      </c>
      <c r="G6905" s="31" t="str">
        <f t="shared" si="178"/>
        <v/>
      </c>
      <c r="H6905" s="32"/>
      <c r="I6905" s="33"/>
      <c r="J6905" s="34">
        <v>0</v>
      </c>
    </row>
    <row r="6906" spans="1:10" ht="15.75" hidden="1" thickBot="1" x14ac:dyDescent="0.3">
      <c r="A6906" s="249"/>
      <c r="B6906" s="266"/>
      <c r="C6906" s="36"/>
      <c r="D6906" s="36"/>
      <c r="E6906" s="37"/>
      <c r="F6906" s="46" t="s">
        <v>23</v>
      </c>
      <c r="G6906" s="35" t="str">
        <f t="shared" si="178"/>
        <v/>
      </c>
      <c r="H6906" s="39"/>
      <c r="I6906" s="35"/>
      <c r="J6906" s="34">
        <v>0</v>
      </c>
    </row>
    <row r="6907" spans="1:10" ht="39" hidden="1" thickBot="1" x14ac:dyDescent="0.3">
      <c r="A6907" s="249"/>
      <c r="B6907" s="266"/>
      <c r="C6907" s="40" t="s">
        <v>4426</v>
      </c>
      <c r="D6907" s="40" t="s">
        <v>291</v>
      </c>
      <c r="E6907" s="75">
        <v>1</v>
      </c>
      <c r="F6907" s="35">
        <v>281.97899999999998</v>
      </c>
      <c r="G6907" s="35">
        <f t="shared" si="178"/>
        <v>281.97899999999998</v>
      </c>
      <c r="H6907" s="43">
        <f>SUM(G6907:G6907)</f>
        <v>281.97899999999998</v>
      </c>
      <c r="I6907" s="44"/>
      <c r="J6907" s="34">
        <v>0</v>
      </c>
    </row>
    <row r="6908" spans="1:10" ht="15.75" hidden="1" thickBot="1" x14ac:dyDescent="0.3">
      <c r="A6908" s="250"/>
      <c r="B6908" s="253"/>
      <c r="C6908" s="60"/>
      <c r="D6908" s="60"/>
      <c r="E6908" s="79"/>
      <c r="F6908" s="87" t="s">
        <v>23</v>
      </c>
      <c r="G6908" s="87" t="str">
        <f t="shared" si="178"/>
        <v/>
      </c>
      <c r="H6908" s="89"/>
      <c r="I6908" s="35"/>
      <c r="J6908" s="34">
        <v>0</v>
      </c>
    </row>
    <row r="6909" spans="1:10" ht="15.75" hidden="1" thickBot="1" x14ac:dyDescent="0.3">
      <c r="A6909" s="248" t="s">
        <v>1652</v>
      </c>
      <c r="B6909" s="251" t="s">
        <v>3401</v>
      </c>
      <c r="C6909" s="28"/>
      <c r="D6909" s="29" t="s">
        <v>28</v>
      </c>
      <c r="E6909" s="30"/>
      <c r="F6909" s="45" t="s">
        <v>23</v>
      </c>
      <c r="G6909" s="31" t="str">
        <f t="shared" si="178"/>
        <v/>
      </c>
      <c r="H6909" s="32"/>
      <c r="I6909" s="33"/>
      <c r="J6909" s="34">
        <v>0</v>
      </c>
    </row>
    <row r="6910" spans="1:10" ht="15.75" hidden="1" thickBot="1" x14ac:dyDescent="0.3">
      <c r="A6910" s="249"/>
      <c r="B6910" s="266"/>
      <c r="C6910" s="36"/>
      <c r="D6910" s="36"/>
      <c r="E6910" s="37"/>
      <c r="F6910" s="46" t="s">
        <v>23</v>
      </c>
      <c r="G6910" s="35" t="str">
        <f t="shared" si="178"/>
        <v/>
      </c>
      <c r="H6910" s="39"/>
      <c r="I6910" s="35"/>
      <c r="J6910" s="34">
        <v>0</v>
      </c>
    </row>
    <row r="6911" spans="1:10" ht="39" hidden="1" thickBot="1" x14ac:dyDescent="0.3">
      <c r="A6911" s="249"/>
      <c r="B6911" s="266"/>
      <c r="C6911" s="40" t="s">
        <v>4427</v>
      </c>
      <c r="D6911" s="40" t="s">
        <v>291</v>
      </c>
      <c r="E6911" s="75">
        <v>1</v>
      </c>
      <c r="F6911" s="35">
        <v>4887.1324999999997</v>
      </c>
      <c r="G6911" s="35">
        <f t="shared" si="178"/>
        <v>4887.1324999999997</v>
      </c>
      <c r="H6911" s="43">
        <f>SUM(G6911:G6911)</f>
        <v>4887.1324999999997</v>
      </c>
      <c r="I6911" s="44"/>
      <c r="J6911" s="34">
        <v>0</v>
      </c>
    </row>
    <row r="6912" spans="1:10" ht="15.75" hidden="1" thickBot="1" x14ac:dyDescent="0.3">
      <c r="A6912" s="250"/>
      <c r="B6912" s="253"/>
      <c r="C6912" s="60"/>
      <c r="D6912" s="60"/>
      <c r="E6912" s="79"/>
      <c r="F6912" s="87" t="s">
        <v>23</v>
      </c>
      <c r="G6912" s="87" t="str">
        <f t="shared" si="178"/>
        <v/>
      </c>
      <c r="H6912" s="89"/>
      <c r="I6912" s="35"/>
      <c r="J6912" s="34">
        <v>0</v>
      </c>
    </row>
    <row r="6913" spans="1:10" ht="15.75" hidden="1" thickBot="1" x14ac:dyDescent="0.3">
      <c r="A6913" s="248" t="s">
        <v>1653</v>
      </c>
      <c r="B6913" s="251" t="s">
        <v>3402</v>
      </c>
      <c r="C6913" s="28"/>
      <c r="D6913" s="29" t="s">
        <v>28</v>
      </c>
      <c r="E6913" s="30"/>
      <c r="F6913" s="45" t="s">
        <v>23</v>
      </c>
      <c r="G6913" s="31" t="str">
        <f t="shared" si="178"/>
        <v/>
      </c>
      <c r="H6913" s="32"/>
      <c r="I6913" s="33"/>
      <c r="J6913" s="34">
        <v>0</v>
      </c>
    </row>
    <row r="6914" spans="1:10" ht="15.75" hidden="1" thickBot="1" x14ac:dyDescent="0.3">
      <c r="A6914" s="249"/>
      <c r="B6914" s="266"/>
      <c r="C6914" s="36"/>
      <c r="D6914" s="36"/>
      <c r="E6914" s="37"/>
      <c r="F6914" s="46" t="s">
        <v>23</v>
      </c>
      <c r="G6914" s="35" t="str">
        <f t="shared" si="178"/>
        <v/>
      </c>
      <c r="H6914" s="39"/>
      <c r="I6914" s="35"/>
      <c r="J6914" s="34">
        <v>0</v>
      </c>
    </row>
    <row r="6915" spans="1:10" ht="26.25" hidden="1" thickBot="1" x14ac:dyDescent="0.3">
      <c r="A6915" s="249"/>
      <c r="B6915" s="266"/>
      <c r="C6915" s="40" t="s">
        <v>4428</v>
      </c>
      <c r="D6915" s="40" t="s">
        <v>291</v>
      </c>
      <c r="E6915" s="75">
        <v>1</v>
      </c>
      <c r="F6915" s="35">
        <v>3.0590000000000002</v>
      </c>
      <c r="G6915" s="35">
        <f t="shared" si="178"/>
        <v>3.0590000000000002</v>
      </c>
      <c r="H6915" s="43">
        <f>SUM(G6915:G6915)</f>
        <v>3.0590000000000002</v>
      </c>
      <c r="I6915" s="44"/>
      <c r="J6915" s="34">
        <v>0</v>
      </c>
    </row>
    <row r="6916" spans="1:10" ht="15.75" hidden="1" thickBot="1" x14ac:dyDescent="0.3">
      <c r="A6916" s="250"/>
      <c r="B6916" s="253"/>
      <c r="C6916" s="60"/>
      <c r="D6916" s="60"/>
      <c r="E6916" s="79"/>
      <c r="F6916" s="87" t="s">
        <v>23</v>
      </c>
      <c r="G6916" s="87" t="str">
        <f t="shared" si="178"/>
        <v/>
      </c>
      <c r="H6916" s="89"/>
      <c r="I6916" s="35"/>
      <c r="J6916" s="34">
        <v>0</v>
      </c>
    </row>
    <row r="6917" spans="1:10" ht="15.75" hidden="1" thickBot="1" x14ac:dyDescent="0.3">
      <c r="A6917" s="248" t="s">
        <v>1654</v>
      </c>
      <c r="B6917" s="251" t="s">
        <v>3403</v>
      </c>
      <c r="C6917" s="28"/>
      <c r="D6917" s="29" t="s">
        <v>28</v>
      </c>
      <c r="E6917" s="30"/>
      <c r="F6917" s="45" t="s">
        <v>23</v>
      </c>
      <c r="G6917" s="31" t="str">
        <f t="shared" si="178"/>
        <v/>
      </c>
      <c r="H6917" s="32"/>
      <c r="I6917" s="33"/>
      <c r="J6917" s="34">
        <v>0</v>
      </c>
    </row>
    <row r="6918" spans="1:10" ht="15.75" hidden="1" thickBot="1" x14ac:dyDescent="0.3">
      <c r="A6918" s="249"/>
      <c r="B6918" s="266"/>
      <c r="C6918" s="36"/>
      <c r="D6918" s="36"/>
      <c r="E6918" s="37"/>
      <c r="F6918" s="46" t="s">
        <v>23</v>
      </c>
      <c r="G6918" s="35" t="str">
        <f t="shared" si="178"/>
        <v/>
      </c>
      <c r="H6918" s="39"/>
      <c r="I6918" s="35"/>
      <c r="J6918" s="34">
        <v>0</v>
      </c>
    </row>
    <row r="6919" spans="1:10" ht="15.75" hidden="1" thickBot="1" x14ac:dyDescent="0.3">
      <c r="A6919" s="249"/>
      <c r="B6919" s="266"/>
      <c r="C6919" s="40" t="s">
        <v>4429</v>
      </c>
      <c r="D6919" s="40" t="s">
        <v>291</v>
      </c>
      <c r="E6919" s="75">
        <v>1</v>
      </c>
      <c r="F6919" s="35">
        <v>107.13149999999999</v>
      </c>
      <c r="G6919" s="35">
        <f t="shared" si="178"/>
        <v>107.13149999999999</v>
      </c>
      <c r="H6919" s="43">
        <f>SUM(G6919:G6919)</f>
        <v>107.13149999999999</v>
      </c>
      <c r="I6919" s="44"/>
      <c r="J6919" s="34">
        <v>0</v>
      </c>
    </row>
    <row r="6920" spans="1:10" ht="15.75" hidden="1" thickBot="1" x14ac:dyDescent="0.3">
      <c r="A6920" s="250"/>
      <c r="B6920" s="253"/>
      <c r="C6920" s="60"/>
      <c r="D6920" s="60"/>
      <c r="E6920" s="79"/>
      <c r="F6920" s="87" t="s">
        <v>23</v>
      </c>
      <c r="G6920" s="87" t="str">
        <f t="shared" si="178"/>
        <v/>
      </c>
      <c r="H6920" s="89"/>
      <c r="I6920" s="35"/>
      <c r="J6920" s="34">
        <v>0</v>
      </c>
    </row>
    <row r="6921" spans="1:10" ht="15.75" hidden="1" thickBot="1" x14ac:dyDescent="0.3">
      <c r="A6921" s="248" t="s">
        <v>1655</v>
      </c>
      <c r="B6921" s="251" t="s">
        <v>3404</v>
      </c>
      <c r="C6921" s="28"/>
      <c r="D6921" s="29" t="s">
        <v>28</v>
      </c>
      <c r="E6921" s="30"/>
      <c r="F6921" s="45" t="s">
        <v>23</v>
      </c>
      <c r="G6921" s="31" t="str">
        <f t="shared" si="178"/>
        <v/>
      </c>
      <c r="H6921" s="32"/>
      <c r="I6921" s="33"/>
      <c r="J6921" s="34">
        <v>0</v>
      </c>
    </row>
    <row r="6922" spans="1:10" ht="15.75" hidden="1" thickBot="1" x14ac:dyDescent="0.3">
      <c r="A6922" s="249"/>
      <c r="B6922" s="266"/>
      <c r="C6922" s="36"/>
      <c r="D6922" s="36"/>
      <c r="E6922" s="37"/>
      <c r="F6922" s="46" t="s">
        <v>23</v>
      </c>
      <c r="G6922" s="35" t="str">
        <f t="shared" si="178"/>
        <v/>
      </c>
      <c r="H6922" s="39"/>
      <c r="I6922" s="35"/>
      <c r="J6922" s="34">
        <v>0</v>
      </c>
    </row>
    <row r="6923" spans="1:10" ht="26.25" hidden="1" thickBot="1" x14ac:dyDescent="0.3">
      <c r="A6923" s="249"/>
      <c r="B6923" s="266"/>
      <c r="C6923" s="40" t="s">
        <v>4430</v>
      </c>
      <c r="D6923" s="40" t="s">
        <v>291</v>
      </c>
      <c r="E6923" s="75">
        <v>1</v>
      </c>
      <c r="F6923" s="35">
        <v>455.90499999999997</v>
      </c>
      <c r="G6923" s="35">
        <f t="shared" si="178"/>
        <v>455.90499999999997</v>
      </c>
      <c r="H6923" s="43">
        <f>SUM(G6923:G6923)</f>
        <v>455.90499999999997</v>
      </c>
      <c r="I6923" s="44"/>
      <c r="J6923" s="34">
        <v>0</v>
      </c>
    </row>
    <row r="6924" spans="1:10" ht="15.75" hidden="1" thickBot="1" x14ac:dyDescent="0.3">
      <c r="A6924" s="250"/>
      <c r="B6924" s="253"/>
      <c r="C6924" s="60"/>
      <c r="D6924" s="60"/>
      <c r="E6924" s="79"/>
      <c r="F6924" s="87" t="s">
        <v>23</v>
      </c>
      <c r="G6924" s="87" t="str">
        <f t="shared" si="178"/>
        <v/>
      </c>
      <c r="H6924" s="89"/>
      <c r="I6924" s="35"/>
      <c r="J6924" s="34">
        <v>0</v>
      </c>
    </row>
    <row r="6925" spans="1:10" ht="15.75" hidden="1" thickBot="1" x14ac:dyDescent="0.3">
      <c r="A6925" s="248" t="s">
        <v>1656</v>
      </c>
      <c r="B6925" s="251" t="s">
        <v>3405</v>
      </c>
      <c r="C6925" s="28"/>
      <c r="D6925" s="29" t="s">
        <v>28</v>
      </c>
      <c r="E6925" s="30"/>
      <c r="F6925" s="45" t="s">
        <v>23</v>
      </c>
      <c r="G6925" s="31" t="str">
        <f t="shared" si="178"/>
        <v/>
      </c>
      <c r="H6925" s="32"/>
      <c r="I6925" s="33"/>
      <c r="J6925" s="34">
        <v>0</v>
      </c>
    </row>
    <row r="6926" spans="1:10" ht="15.75" hidden="1" thickBot="1" x14ac:dyDescent="0.3">
      <c r="A6926" s="249"/>
      <c r="B6926" s="266"/>
      <c r="C6926" s="36"/>
      <c r="D6926" s="36"/>
      <c r="E6926" s="37"/>
      <c r="F6926" s="46" t="s">
        <v>23</v>
      </c>
      <c r="G6926" s="35" t="str">
        <f t="shared" si="178"/>
        <v/>
      </c>
      <c r="H6926" s="39"/>
      <c r="I6926" s="35"/>
      <c r="J6926" s="34">
        <v>0</v>
      </c>
    </row>
    <row r="6927" spans="1:10" ht="26.25" hidden="1" thickBot="1" x14ac:dyDescent="0.3">
      <c r="A6927" s="249"/>
      <c r="B6927" s="266"/>
      <c r="C6927" s="40" t="s">
        <v>4431</v>
      </c>
      <c r="D6927" s="40" t="s">
        <v>291</v>
      </c>
      <c r="E6927" s="75">
        <v>1</v>
      </c>
      <c r="F6927" s="35">
        <v>5.4339999999999993</v>
      </c>
      <c r="G6927" s="35">
        <f t="shared" si="178"/>
        <v>5.4339999999999993</v>
      </c>
      <c r="H6927" s="43">
        <f>SUM(G6927:G6927)</f>
        <v>5.4339999999999993</v>
      </c>
      <c r="I6927" s="44"/>
      <c r="J6927" s="34">
        <v>0</v>
      </c>
    </row>
    <row r="6928" spans="1:10" ht="15.75" hidden="1" thickBot="1" x14ac:dyDescent="0.3">
      <c r="A6928" s="250"/>
      <c r="B6928" s="253"/>
      <c r="C6928" s="60"/>
      <c r="D6928" s="60"/>
      <c r="E6928" s="79"/>
      <c r="F6928" s="87" t="s">
        <v>23</v>
      </c>
      <c r="G6928" s="87" t="str">
        <f t="shared" si="178"/>
        <v/>
      </c>
      <c r="H6928" s="89"/>
      <c r="I6928" s="35"/>
      <c r="J6928" s="34">
        <v>0</v>
      </c>
    </row>
    <row r="6929" spans="1:10" ht="15.75" hidden="1" thickBot="1" x14ac:dyDescent="0.3">
      <c r="A6929" s="248" t="s">
        <v>1657</v>
      </c>
      <c r="B6929" s="251" t="s">
        <v>3406</v>
      </c>
      <c r="C6929" s="28"/>
      <c r="D6929" s="29" t="s">
        <v>28</v>
      </c>
      <c r="E6929" s="30"/>
      <c r="F6929" s="45" t="s">
        <v>23</v>
      </c>
      <c r="G6929" s="31" t="str">
        <f t="shared" si="178"/>
        <v/>
      </c>
      <c r="H6929" s="32"/>
      <c r="I6929" s="33"/>
      <c r="J6929" s="34">
        <v>0</v>
      </c>
    </row>
    <row r="6930" spans="1:10" ht="15.75" hidden="1" thickBot="1" x14ac:dyDescent="0.3">
      <c r="A6930" s="249"/>
      <c r="B6930" s="266"/>
      <c r="C6930" s="36"/>
      <c r="D6930" s="36"/>
      <c r="E6930" s="37"/>
      <c r="F6930" s="46" t="s">
        <v>23</v>
      </c>
      <c r="G6930" s="35" t="str">
        <f t="shared" si="178"/>
        <v/>
      </c>
      <c r="H6930" s="39"/>
      <c r="I6930" s="35"/>
      <c r="J6930" s="34">
        <v>0</v>
      </c>
    </row>
    <row r="6931" spans="1:10" ht="39" hidden="1" thickBot="1" x14ac:dyDescent="0.3">
      <c r="A6931" s="249"/>
      <c r="B6931" s="266"/>
      <c r="C6931" s="40" t="s">
        <v>4432</v>
      </c>
      <c r="D6931" s="40" t="s">
        <v>291</v>
      </c>
      <c r="E6931" s="75">
        <v>1</v>
      </c>
      <c r="F6931" s="35">
        <v>33.981500000000004</v>
      </c>
      <c r="G6931" s="35">
        <f t="shared" si="178"/>
        <v>33.981500000000004</v>
      </c>
      <c r="H6931" s="43">
        <f>SUM(G6931:G6931)</f>
        <v>33.981500000000004</v>
      </c>
      <c r="I6931" s="44"/>
      <c r="J6931" s="34">
        <v>0</v>
      </c>
    </row>
    <row r="6932" spans="1:10" ht="15.75" hidden="1" thickBot="1" x14ac:dyDescent="0.3">
      <c r="A6932" s="250"/>
      <c r="B6932" s="253"/>
      <c r="C6932" s="60"/>
      <c r="D6932" s="60"/>
      <c r="E6932" s="79"/>
      <c r="F6932" s="87" t="s">
        <v>23</v>
      </c>
      <c r="G6932" s="87" t="str">
        <f t="shared" si="178"/>
        <v/>
      </c>
      <c r="H6932" s="89"/>
      <c r="I6932" s="35"/>
      <c r="J6932" s="34">
        <v>0</v>
      </c>
    </row>
    <row r="6933" spans="1:10" ht="15.75" hidden="1" thickBot="1" x14ac:dyDescent="0.3">
      <c r="A6933" s="248" t="s">
        <v>1658</v>
      </c>
      <c r="B6933" s="251" t="s">
        <v>3407</v>
      </c>
      <c r="C6933" s="28"/>
      <c r="D6933" s="29" t="s">
        <v>28</v>
      </c>
      <c r="E6933" s="30"/>
      <c r="F6933" s="45" t="s">
        <v>23</v>
      </c>
      <c r="G6933" s="31" t="str">
        <f t="shared" si="178"/>
        <v/>
      </c>
      <c r="H6933" s="32"/>
      <c r="I6933" s="33"/>
      <c r="J6933" s="34">
        <v>0</v>
      </c>
    </row>
    <row r="6934" spans="1:10" ht="15.75" hidden="1" thickBot="1" x14ac:dyDescent="0.3">
      <c r="A6934" s="249"/>
      <c r="B6934" s="266"/>
      <c r="C6934" s="36"/>
      <c r="D6934" s="36"/>
      <c r="E6934" s="37"/>
      <c r="F6934" s="46" t="s">
        <v>23</v>
      </c>
      <c r="G6934" s="35" t="str">
        <f t="shared" si="178"/>
        <v/>
      </c>
      <c r="H6934" s="39"/>
      <c r="I6934" s="35"/>
      <c r="J6934" s="34">
        <v>0</v>
      </c>
    </row>
    <row r="6935" spans="1:10" ht="15.75" hidden="1" thickBot="1" x14ac:dyDescent="0.3">
      <c r="A6935" s="249"/>
      <c r="B6935" s="266"/>
      <c r="C6935" s="40" t="s">
        <v>4433</v>
      </c>
      <c r="D6935" s="40" t="s">
        <v>291</v>
      </c>
      <c r="E6935" s="75">
        <v>1</v>
      </c>
      <c r="F6935" s="35">
        <v>11.932</v>
      </c>
      <c r="G6935" s="35">
        <f t="shared" si="178"/>
        <v>11.932</v>
      </c>
      <c r="H6935" s="43">
        <f>SUM(G6935:G6935)</f>
        <v>11.932</v>
      </c>
      <c r="I6935" s="44"/>
      <c r="J6935" s="34">
        <v>0</v>
      </c>
    </row>
    <row r="6936" spans="1:10" ht="15.75" hidden="1" thickBot="1" x14ac:dyDescent="0.3">
      <c r="A6936" s="250"/>
      <c r="B6936" s="253"/>
      <c r="C6936" s="60"/>
      <c r="D6936" s="60"/>
      <c r="E6936" s="79"/>
      <c r="F6936" s="87" t="s">
        <v>23</v>
      </c>
      <c r="G6936" s="87" t="str">
        <f t="shared" si="178"/>
        <v/>
      </c>
      <c r="H6936" s="89"/>
      <c r="I6936" s="35"/>
      <c r="J6936" s="34">
        <v>0</v>
      </c>
    </row>
    <row r="6937" spans="1:10" ht="15.75" hidden="1" thickBot="1" x14ac:dyDescent="0.3">
      <c r="A6937" s="248" t="s">
        <v>1659</v>
      </c>
      <c r="B6937" s="251" t="s">
        <v>3408</v>
      </c>
      <c r="C6937" s="28"/>
      <c r="D6937" s="29" t="s">
        <v>28</v>
      </c>
      <c r="E6937" s="30"/>
      <c r="F6937" s="45" t="s">
        <v>23</v>
      </c>
      <c r="G6937" s="31" t="str">
        <f t="shared" si="178"/>
        <v/>
      </c>
      <c r="H6937" s="32"/>
      <c r="I6937" s="33"/>
      <c r="J6937" s="34">
        <v>0</v>
      </c>
    </row>
    <row r="6938" spans="1:10" ht="15.75" hidden="1" thickBot="1" x14ac:dyDescent="0.3">
      <c r="A6938" s="249"/>
      <c r="B6938" s="266"/>
      <c r="C6938" s="36"/>
      <c r="D6938" s="36"/>
      <c r="E6938" s="37"/>
      <c r="F6938" s="46" t="s">
        <v>23</v>
      </c>
      <c r="G6938" s="35" t="str">
        <f t="shared" si="178"/>
        <v/>
      </c>
      <c r="H6938" s="39"/>
      <c r="I6938" s="35"/>
      <c r="J6938" s="34">
        <v>0</v>
      </c>
    </row>
    <row r="6939" spans="1:10" ht="26.25" hidden="1" thickBot="1" x14ac:dyDescent="0.3">
      <c r="A6939" s="249"/>
      <c r="B6939" s="266"/>
      <c r="C6939" s="40" t="s">
        <v>4434</v>
      </c>
      <c r="D6939" s="40" t="s">
        <v>291</v>
      </c>
      <c r="E6939" s="75">
        <v>1</v>
      </c>
      <c r="F6939" s="35">
        <v>16.140499999999999</v>
      </c>
      <c r="G6939" s="35">
        <f t="shared" si="178"/>
        <v>16.140499999999999</v>
      </c>
      <c r="H6939" s="43">
        <f>SUM(G6939:G6939)</f>
        <v>16.140499999999999</v>
      </c>
      <c r="I6939" s="44"/>
      <c r="J6939" s="34">
        <v>0</v>
      </c>
    </row>
    <row r="6940" spans="1:10" ht="15.75" hidden="1" thickBot="1" x14ac:dyDescent="0.3">
      <c r="A6940" s="250"/>
      <c r="B6940" s="253"/>
      <c r="C6940" s="60"/>
      <c r="D6940" s="60"/>
      <c r="E6940" s="79"/>
      <c r="F6940" s="87" t="s">
        <v>23</v>
      </c>
      <c r="G6940" s="87" t="str">
        <f t="shared" si="178"/>
        <v/>
      </c>
      <c r="H6940" s="89"/>
      <c r="I6940" s="35"/>
      <c r="J6940" s="34">
        <v>0</v>
      </c>
    </row>
    <row r="6941" spans="1:10" ht="15.75" hidden="1" thickBot="1" x14ac:dyDescent="0.3">
      <c r="A6941" s="248" t="s">
        <v>1660</v>
      </c>
      <c r="B6941" s="251" t="s">
        <v>3409</v>
      </c>
      <c r="C6941" s="28"/>
      <c r="D6941" s="29" t="s">
        <v>28</v>
      </c>
      <c r="E6941" s="30"/>
      <c r="F6941" s="45" t="s">
        <v>23</v>
      </c>
      <c r="G6941" s="31" t="str">
        <f t="shared" si="178"/>
        <v/>
      </c>
      <c r="H6941" s="32"/>
      <c r="I6941" s="33"/>
      <c r="J6941" s="34">
        <v>0</v>
      </c>
    </row>
    <row r="6942" spans="1:10" ht="15.75" hidden="1" thickBot="1" x14ac:dyDescent="0.3">
      <c r="A6942" s="249"/>
      <c r="B6942" s="266"/>
      <c r="C6942" s="36"/>
      <c r="D6942" s="36"/>
      <c r="E6942" s="37"/>
      <c r="F6942" s="46" t="s">
        <v>23</v>
      </c>
      <c r="G6942" s="35" t="str">
        <f t="shared" si="178"/>
        <v/>
      </c>
      <c r="H6942" s="39"/>
      <c r="I6942" s="35"/>
      <c r="J6942" s="34">
        <v>0</v>
      </c>
    </row>
    <row r="6943" spans="1:10" ht="26.25" hidden="1" thickBot="1" x14ac:dyDescent="0.3">
      <c r="A6943" s="249"/>
      <c r="B6943" s="266"/>
      <c r="C6943" s="40" t="s">
        <v>4435</v>
      </c>
      <c r="D6943" s="40" t="s">
        <v>291</v>
      </c>
      <c r="E6943" s="75">
        <v>1</v>
      </c>
      <c r="F6943" s="35">
        <v>18.847999999999999</v>
      </c>
      <c r="G6943" s="35">
        <f t="shared" si="178"/>
        <v>18.847999999999999</v>
      </c>
      <c r="H6943" s="43">
        <f>SUM(G6943:G6943)</f>
        <v>18.847999999999999</v>
      </c>
      <c r="I6943" s="44"/>
      <c r="J6943" s="34">
        <v>0</v>
      </c>
    </row>
    <row r="6944" spans="1:10" ht="15.75" hidden="1" thickBot="1" x14ac:dyDescent="0.3">
      <c r="A6944" s="250"/>
      <c r="B6944" s="253"/>
      <c r="C6944" s="60"/>
      <c r="D6944" s="60"/>
      <c r="E6944" s="79"/>
      <c r="F6944" s="87" t="s">
        <v>23</v>
      </c>
      <c r="G6944" s="87" t="str">
        <f t="shared" si="178"/>
        <v/>
      </c>
      <c r="H6944" s="89"/>
      <c r="I6944" s="35"/>
      <c r="J6944" s="34">
        <v>0</v>
      </c>
    </row>
    <row r="6945" spans="1:10" ht="15.75" hidden="1" thickBot="1" x14ac:dyDescent="0.3">
      <c r="A6945" s="248" t="s">
        <v>1661</v>
      </c>
      <c r="B6945" s="251" t="s">
        <v>3410</v>
      </c>
      <c r="C6945" s="28"/>
      <c r="D6945" s="29" t="s">
        <v>28</v>
      </c>
      <c r="E6945" s="30"/>
      <c r="F6945" s="45" t="s">
        <v>23</v>
      </c>
      <c r="G6945" s="31" t="str">
        <f t="shared" si="178"/>
        <v/>
      </c>
      <c r="H6945" s="32"/>
      <c r="I6945" s="33"/>
      <c r="J6945" s="34">
        <v>0</v>
      </c>
    </row>
    <row r="6946" spans="1:10" ht="15.75" hidden="1" thickBot="1" x14ac:dyDescent="0.3">
      <c r="A6946" s="249"/>
      <c r="B6946" s="266"/>
      <c r="C6946" s="36"/>
      <c r="D6946" s="36"/>
      <c r="E6946" s="37"/>
      <c r="F6946" s="46" t="s">
        <v>23</v>
      </c>
      <c r="G6946" s="35" t="str">
        <f t="shared" si="178"/>
        <v/>
      </c>
      <c r="H6946" s="39"/>
      <c r="I6946" s="35"/>
      <c r="J6946" s="34">
        <v>0</v>
      </c>
    </row>
    <row r="6947" spans="1:10" ht="26.25" hidden="1" thickBot="1" x14ac:dyDescent="0.3">
      <c r="A6947" s="249"/>
      <c r="B6947" s="266"/>
      <c r="C6947" s="40" t="s">
        <v>4436</v>
      </c>
      <c r="D6947" s="40" t="s">
        <v>291</v>
      </c>
      <c r="E6947" s="75">
        <v>1</v>
      </c>
      <c r="F6947" s="35">
        <v>130.50149999999999</v>
      </c>
      <c r="G6947" s="35">
        <f t="shared" si="178"/>
        <v>130.50149999999999</v>
      </c>
      <c r="H6947" s="43">
        <f>SUM(G6947:G6947)</f>
        <v>130.50149999999999</v>
      </c>
      <c r="I6947" s="44"/>
      <c r="J6947" s="34">
        <v>0</v>
      </c>
    </row>
    <row r="6948" spans="1:10" ht="15.75" hidden="1" thickBot="1" x14ac:dyDescent="0.3">
      <c r="A6948" s="250"/>
      <c r="B6948" s="253"/>
      <c r="C6948" s="60"/>
      <c r="D6948" s="60"/>
      <c r="E6948" s="79"/>
      <c r="F6948" s="87" t="s">
        <v>23</v>
      </c>
      <c r="G6948" s="87" t="str">
        <f t="shared" si="178"/>
        <v/>
      </c>
      <c r="H6948" s="89"/>
      <c r="I6948" s="35"/>
      <c r="J6948" s="34">
        <v>0</v>
      </c>
    </row>
    <row r="6949" spans="1:10" ht="15.75" hidden="1" thickBot="1" x14ac:dyDescent="0.3">
      <c r="A6949" s="248" t="s">
        <v>1662</v>
      </c>
      <c r="B6949" s="251" t="s">
        <v>3411</v>
      </c>
      <c r="C6949" s="28"/>
      <c r="D6949" s="29" t="s">
        <v>28</v>
      </c>
      <c r="E6949" s="30"/>
      <c r="F6949" s="45" t="s">
        <v>23</v>
      </c>
      <c r="G6949" s="31" t="str">
        <f t="shared" si="178"/>
        <v/>
      </c>
      <c r="H6949" s="32"/>
      <c r="I6949" s="33"/>
      <c r="J6949" s="34">
        <v>0</v>
      </c>
    </row>
    <row r="6950" spans="1:10" ht="15.75" hidden="1" thickBot="1" x14ac:dyDescent="0.3">
      <c r="A6950" s="249"/>
      <c r="B6950" s="266"/>
      <c r="C6950" s="36"/>
      <c r="D6950" s="36"/>
      <c r="E6950" s="37"/>
      <c r="F6950" s="46" t="s">
        <v>23</v>
      </c>
      <c r="G6950" s="35" t="str">
        <f t="shared" si="178"/>
        <v/>
      </c>
      <c r="H6950" s="39"/>
      <c r="I6950" s="35"/>
      <c r="J6950" s="34">
        <v>0</v>
      </c>
    </row>
    <row r="6951" spans="1:10" ht="15.75" hidden="1" thickBot="1" x14ac:dyDescent="0.3">
      <c r="A6951" s="249"/>
      <c r="B6951" s="266"/>
      <c r="C6951" s="101" t="s">
        <v>1663</v>
      </c>
      <c r="D6951" s="53" t="s">
        <v>28</v>
      </c>
      <c r="E6951" s="75">
        <v>1</v>
      </c>
      <c r="F6951" s="35">
        <v>0</v>
      </c>
      <c r="G6951" s="35">
        <f t="shared" si="178"/>
        <v>0</v>
      </c>
      <c r="H6951" s="43">
        <f>SUM(G6951:G6951)</f>
        <v>0</v>
      </c>
      <c r="I6951" s="44"/>
      <c r="J6951" s="34">
        <v>0</v>
      </c>
    </row>
    <row r="6952" spans="1:10" ht="15.75" hidden="1" thickBot="1" x14ac:dyDescent="0.3">
      <c r="A6952" s="250"/>
      <c r="B6952" s="253"/>
      <c r="C6952" s="60"/>
      <c r="D6952" s="60"/>
      <c r="E6952" s="79"/>
      <c r="F6952" s="87" t="s">
        <v>23</v>
      </c>
      <c r="G6952" s="87" t="str">
        <f t="shared" si="178"/>
        <v/>
      </c>
      <c r="H6952" s="89"/>
      <c r="I6952" s="35"/>
      <c r="J6952" s="34">
        <v>0</v>
      </c>
    </row>
    <row r="6953" spans="1:10" ht="15.75" hidden="1" thickBot="1" x14ac:dyDescent="0.3">
      <c r="A6953" s="248" t="s">
        <v>1664</v>
      </c>
      <c r="B6953" s="251" t="s">
        <v>3412</v>
      </c>
      <c r="C6953" s="28"/>
      <c r="D6953" s="29" t="s">
        <v>28</v>
      </c>
      <c r="E6953" s="30"/>
      <c r="F6953" s="45" t="s">
        <v>23</v>
      </c>
      <c r="G6953" s="31" t="str">
        <f t="shared" si="178"/>
        <v/>
      </c>
      <c r="H6953" s="32"/>
      <c r="I6953" s="33"/>
      <c r="J6953" s="34">
        <v>0</v>
      </c>
    </row>
    <row r="6954" spans="1:10" ht="15.75" hidden="1" thickBot="1" x14ac:dyDescent="0.3">
      <c r="A6954" s="249"/>
      <c r="B6954" s="266"/>
      <c r="C6954" s="36"/>
      <c r="D6954" s="36"/>
      <c r="E6954" s="37"/>
      <c r="F6954" s="46" t="s">
        <v>23</v>
      </c>
      <c r="G6954" s="35" t="str">
        <f t="shared" si="178"/>
        <v/>
      </c>
      <c r="H6954" s="39"/>
      <c r="I6954" s="35"/>
      <c r="J6954" s="34">
        <v>0</v>
      </c>
    </row>
    <row r="6955" spans="1:10" ht="26.25" hidden="1" thickBot="1" x14ac:dyDescent="0.3">
      <c r="A6955" s="249"/>
      <c r="B6955" s="266"/>
      <c r="C6955" s="40" t="s">
        <v>4437</v>
      </c>
      <c r="D6955" s="40" t="s">
        <v>291</v>
      </c>
      <c r="E6955" s="75">
        <v>1</v>
      </c>
      <c r="F6955" s="35">
        <v>305.70049999999998</v>
      </c>
      <c r="G6955" s="35">
        <f t="shared" si="178"/>
        <v>305.70049999999998</v>
      </c>
      <c r="H6955" s="43">
        <f t="shared" ref="H6955" si="179">SUM(G6955:G6955)</f>
        <v>305.70049999999998</v>
      </c>
      <c r="I6955" s="44"/>
      <c r="J6955" s="34">
        <v>0</v>
      </c>
    </row>
    <row r="6956" spans="1:10" ht="15.75" hidden="1" thickBot="1" x14ac:dyDescent="0.3">
      <c r="A6956" s="250"/>
      <c r="B6956" s="253"/>
      <c r="C6956" s="60"/>
      <c r="D6956" s="60"/>
      <c r="E6956" s="79"/>
      <c r="F6956" s="87" t="s">
        <v>23</v>
      </c>
      <c r="G6956" s="87" t="str">
        <f t="shared" si="178"/>
        <v/>
      </c>
      <c r="H6956" s="89"/>
      <c r="I6956" s="35"/>
      <c r="J6956" s="34">
        <v>0</v>
      </c>
    </row>
    <row r="6957" spans="1:10" ht="15.75" hidden="1" thickBot="1" x14ac:dyDescent="0.3">
      <c r="A6957" s="248" t="s">
        <v>1665</v>
      </c>
      <c r="B6957" s="251" t="s">
        <v>3413</v>
      </c>
      <c r="C6957" s="28"/>
      <c r="D6957" s="29" t="s">
        <v>28</v>
      </c>
      <c r="E6957" s="30"/>
      <c r="F6957" s="45" t="s">
        <v>23</v>
      </c>
      <c r="G6957" s="31" t="str">
        <f t="shared" ref="G6957:G7020" si="180">IF(ISNUMBER(F6957),E6957*F6957,"")</f>
        <v/>
      </c>
      <c r="H6957" s="32"/>
      <c r="I6957" s="33"/>
      <c r="J6957" s="34">
        <v>0</v>
      </c>
    </row>
    <row r="6958" spans="1:10" ht="15.75" hidden="1" thickBot="1" x14ac:dyDescent="0.3">
      <c r="A6958" s="249"/>
      <c r="B6958" s="266"/>
      <c r="C6958" s="36"/>
      <c r="D6958" s="36"/>
      <c r="E6958" s="37"/>
      <c r="F6958" s="46" t="s">
        <v>23</v>
      </c>
      <c r="G6958" s="35" t="str">
        <f t="shared" si="180"/>
        <v/>
      </c>
      <c r="H6958" s="39"/>
      <c r="I6958" s="35"/>
      <c r="J6958" s="34">
        <v>0</v>
      </c>
    </row>
    <row r="6959" spans="1:10" ht="26.25" hidden="1" thickBot="1" x14ac:dyDescent="0.3">
      <c r="A6959" s="249"/>
      <c r="B6959" s="266"/>
      <c r="C6959" s="40" t="s">
        <v>4438</v>
      </c>
      <c r="D6959" s="40" t="s">
        <v>291</v>
      </c>
      <c r="E6959" s="75">
        <v>1</v>
      </c>
      <c r="F6959" s="35">
        <v>34.361499999999999</v>
      </c>
      <c r="G6959" s="35">
        <f t="shared" si="180"/>
        <v>34.361499999999999</v>
      </c>
      <c r="H6959" s="43">
        <f t="shared" ref="H6959" si="181">SUM(G6959:G6959)</f>
        <v>34.361499999999999</v>
      </c>
      <c r="I6959" s="44"/>
      <c r="J6959" s="34">
        <v>0</v>
      </c>
    </row>
    <row r="6960" spans="1:10" ht="15.75" hidden="1" thickBot="1" x14ac:dyDescent="0.3">
      <c r="A6960" s="250"/>
      <c r="B6960" s="253"/>
      <c r="C6960" s="60"/>
      <c r="D6960" s="60"/>
      <c r="E6960" s="79"/>
      <c r="F6960" s="87" t="s">
        <v>23</v>
      </c>
      <c r="G6960" s="87" t="str">
        <f t="shared" si="180"/>
        <v/>
      </c>
      <c r="H6960" s="89"/>
      <c r="I6960" s="35"/>
      <c r="J6960" s="34">
        <v>0</v>
      </c>
    </row>
    <row r="6961" spans="1:10" ht="15.75" hidden="1" thickBot="1" x14ac:dyDescent="0.3">
      <c r="A6961" s="248" t="s">
        <v>1666</v>
      </c>
      <c r="B6961" s="251" t="s">
        <v>3414</v>
      </c>
      <c r="C6961" s="28"/>
      <c r="D6961" s="29" t="s">
        <v>28</v>
      </c>
      <c r="E6961" s="30"/>
      <c r="F6961" s="45" t="s">
        <v>23</v>
      </c>
      <c r="G6961" s="31" t="str">
        <f t="shared" si="180"/>
        <v/>
      </c>
      <c r="H6961" s="32"/>
      <c r="I6961" s="33"/>
      <c r="J6961" s="34">
        <v>0</v>
      </c>
    </row>
    <row r="6962" spans="1:10" ht="15.75" hidden="1" thickBot="1" x14ac:dyDescent="0.3">
      <c r="A6962" s="249"/>
      <c r="B6962" s="266"/>
      <c r="C6962" s="36"/>
      <c r="D6962" s="36"/>
      <c r="E6962" s="37"/>
      <c r="F6962" s="46" t="s">
        <v>23</v>
      </c>
      <c r="G6962" s="35" t="str">
        <f t="shared" si="180"/>
        <v/>
      </c>
      <c r="H6962" s="39"/>
      <c r="I6962" s="35"/>
      <c r="J6962" s="34">
        <v>0</v>
      </c>
    </row>
    <row r="6963" spans="1:10" ht="26.25" hidden="1" thickBot="1" x14ac:dyDescent="0.3">
      <c r="A6963" s="249"/>
      <c r="B6963" s="266"/>
      <c r="C6963" s="40" t="s">
        <v>4439</v>
      </c>
      <c r="D6963" s="40" t="s">
        <v>291</v>
      </c>
      <c r="E6963" s="75">
        <v>1</v>
      </c>
      <c r="F6963" s="35">
        <v>40.1755</v>
      </c>
      <c r="G6963" s="35">
        <f t="shared" si="180"/>
        <v>40.1755</v>
      </c>
      <c r="H6963" s="43">
        <f t="shared" ref="H6963" si="182">SUM(G6963:G6963)</f>
        <v>40.1755</v>
      </c>
      <c r="I6963" s="44"/>
      <c r="J6963" s="34">
        <v>0</v>
      </c>
    </row>
    <row r="6964" spans="1:10" ht="15.75" hidden="1" thickBot="1" x14ac:dyDescent="0.3">
      <c r="A6964" s="250"/>
      <c r="B6964" s="253"/>
      <c r="C6964" s="60"/>
      <c r="D6964" s="60"/>
      <c r="E6964" s="79"/>
      <c r="F6964" s="87" t="s">
        <v>23</v>
      </c>
      <c r="G6964" s="87" t="str">
        <f t="shared" si="180"/>
        <v/>
      </c>
      <c r="H6964" s="89"/>
      <c r="I6964" s="35"/>
      <c r="J6964" s="34">
        <v>0</v>
      </c>
    </row>
    <row r="6965" spans="1:10" ht="15.75" hidden="1" thickBot="1" x14ac:dyDescent="0.3">
      <c r="A6965" s="248" t="s">
        <v>1667</v>
      </c>
      <c r="B6965" s="251" t="s">
        <v>3415</v>
      </c>
      <c r="C6965" s="28"/>
      <c r="D6965" s="29" t="s">
        <v>28</v>
      </c>
      <c r="E6965" s="30"/>
      <c r="F6965" s="45" t="s">
        <v>23</v>
      </c>
      <c r="G6965" s="31" t="str">
        <f t="shared" si="180"/>
        <v/>
      </c>
      <c r="H6965" s="32"/>
      <c r="I6965" s="33"/>
      <c r="J6965" s="34">
        <v>0</v>
      </c>
    </row>
    <row r="6966" spans="1:10" ht="15.75" hidden="1" thickBot="1" x14ac:dyDescent="0.3">
      <c r="A6966" s="249"/>
      <c r="B6966" s="266"/>
      <c r="C6966" s="36"/>
      <c r="D6966" s="36"/>
      <c r="E6966" s="37"/>
      <c r="F6966" s="46" t="s">
        <v>23</v>
      </c>
      <c r="G6966" s="35" t="str">
        <f t="shared" si="180"/>
        <v/>
      </c>
      <c r="H6966" s="39"/>
      <c r="I6966" s="35"/>
      <c r="J6966" s="34">
        <v>0</v>
      </c>
    </row>
    <row r="6967" spans="1:10" ht="26.25" hidden="1" thickBot="1" x14ac:dyDescent="0.3">
      <c r="A6967" s="249"/>
      <c r="B6967" s="266"/>
      <c r="C6967" s="40" t="s">
        <v>4440</v>
      </c>
      <c r="D6967" s="40" t="s">
        <v>291</v>
      </c>
      <c r="E6967" s="75">
        <v>1</v>
      </c>
      <c r="F6967" s="35">
        <v>45.799500000000002</v>
      </c>
      <c r="G6967" s="35">
        <f t="shared" si="180"/>
        <v>45.799500000000002</v>
      </c>
      <c r="H6967" s="43">
        <f t="shared" ref="H6967" si="183">SUM(G6967:G6967)</f>
        <v>45.799500000000002</v>
      </c>
      <c r="I6967" s="44"/>
      <c r="J6967" s="34">
        <v>0</v>
      </c>
    </row>
    <row r="6968" spans="1:10" ht="15.75" hidden="1" thickBot="1" x14ac:dyDescent="0.3">
      <c r="A6968" s="250"/>
      <c r="B6968" s="253"/>
      <c r="C6968" s="60"/>
      <c r="D6968" s="60"/>
      <c r="E6968" s="79"/>
      <c r="F6968" s="87" t="s">
        <v>23</v>
      </c>
      <c r="G6968" s="87" t="str">
        <f t="shared" si="180"/>
        <v/>
      </c>
      <c r="H6968" s="89"/>
      <c r="I6968" s="35"/>
      <c r="J6968" s="34">
        <v>0</v>
      </c>
    </row>
    <row r="6969" spans="1:10" ht="15.75" hidden="1" thickBot="1" x14ac:dyDescent="0.3">
      <c r="A6969" s="248" t="s">
        <v>1668</v>
      </c>
      <c r="B6969" s="251" t="s">
        <v>3416</v>
      </c>
      <c r="C6969" s="28"/>
      <c r="D6969" s="29" t="s">
        <v>28</v>
      </c>
      <c r="E6969" s="30"/>
      <c r="F6969" s="45" t="s">
        <v>23</v>
      </c>
      <c r="G6969" s="31" t="str">
        <f t="shared" si="180"/>
        <v/>
      </c>
      <c r="H6969" s="32"/>
      <c r="I6969" s="33"/>
      <c r="J6969" s="34">
        <v>0</v>
      </c>
    </row>
    <row r="6970" spans="1:10" ht="15.75" hidden="1" thickBot="1" x14ac:dyDescent="0.3">
      <c r="A6970" s="249"/>
      <c r="B6970" s="266"/>
      <c r="C6970" s="36"/>
      <c r="D6970" s="36"/>
      <c r="E6970" s="37"/>
      <c r="F6970" s="46" t="s">
        <v>23</v>
      </c>
      <c r="G6970" s="35" t="str">
        <f t="shared" si="180"/>
        <v/>
      </c>
      <c r="H6970" s="39"/>
      <c r="I6970" s="35"/>
      <c r="J6970" s="34">
        <v>0</v>
      </c>
    </row>
    <row r="6971" spans="1:10" ht="26.25" hidden="1" thickBot="1" x14ac:dyDescent="0.3">
      <c r="A6971" s="249"/>
      <c r="B6971" s="266"/>
      <c r="C6971" s="40" t="s">
        <v>4441</v>
      </c>
      <c r="D6971" s="40" t="s">
        <v>291</v>
      </c>
      <c r="E6971" s="75">
        <v>1</v>
      </c>
      <c r="F6971" s="35">
        <v>12.311999999999999</v>
      </c>
      <c r="G6971" s="35">
        <f t="shared" si="180"/>
        <v>12.311999999999999</v>
      </c>
      <c r="H6971" s="43">
        <f t="shared" ref="H6971" si="184">SUM(G6971:G6971)</f>
        <v>12.311999999999999</v>
      </c>
      <c r="I6971" s="44"/>
      <c r="J6971" s="34">
        <v>0</v>
      </c>
    </row>
    <row r="6972" spans="1:10" ht="15.75" hidden="1" thickBot="1" x14ac:dyDescent="0.3">
      <c r="A6972" s="250"/>
      <c r="B6972" s="253"/>
      <c r="C6972" s="60"/>
      <c r="D6972" s="60"/>
      <c r="E6972" s="79"/>
      <c r="F6972" s="87" t="s">
        <v>23</v>
      </c>
      <c r="G6972" s="87" t="str">
        <f t="shared" si="180"/>
        <v/>
      </c>
      <c r="H6972" s="89"/>
      <c r="I6972" s="35"/>
      <c r="J6972" s="34">
        <v>0</v>
      </c>
    </row>
    <row r="6973" spans="1:10" ht="15.75" hidden="1" thickBot="1" x14ac:dyDescent="0.3">
      <c r="A6973" s="248" t="s">
        <v>1669</v>
      </c>
      <c r="B6973" s="251" t="s">
        <v>3417</v>
      </c>
      <c r="C6973" s="28"/>
      <c r="D6973" s="29" t="s">
        <v>28</v>
      </c>
      <c r="E6973" s="30"/>
      <c r="F6973" s="45" t="s">
        <v>23</v>
      </c>
      <c r="G6973" s="31" t="str">
        <f t="shared" si="180"/>
        <v/>
      </c>
      <c r="H6973" s="32"/>
      <c r="I6973" s="33"/>
      <c r="J6973" s="34">
        <v>0</v>
      </c>
    </row>
    <row r="6974" spans="1:10" ht="15.75" hidden="1" thickBot="1" x14ac:dyDescent="0.3">
      <c r="A6974" s="249"/>
      <c r="B6974" s="266"/>
      <c r="C6974" s="36"/>
      <c r="D6974" s="36"/>
      <c r="E6974" s="37"/>
      <c r="F6974" s="46" t="s">
        <v>23</v>
      </c>
      <c r="G6974" s="35" t="str">
        <f t="shared" si="180"/>
        <v/>
      </c>
      <c r="H6974" s="39"/>
      <c r="I6974" s="35"/>
      <c r="J6974" s="34">
        <v>0</v>
      </c>
    </row>
    <row r="6975" spans="1:10" ht="15.75" hidden="1" thickBot="1" x14ac:dyDescent="0.3">
      <c r="A6975" s="249"/>
      <c r="B6975" s="266"/>
      <c r="C6975" s="40" t="s">
        <v>4442</v>
      </c>
      <c r="D6975" s="40" t="s">
        <v>291</v>
      </c>
      <c r="E6975" s="75">
        <v>1</v>
      </c>
      <c r="F6975" s="35">
        <v>6.4124999999999996</v>
      </c>
      <c r="G6975" s="35">
        <f t="shared" si="180"/>
        <v>6.4124999999999996</v>
      </c>
      <c r="H6975" s="43">
        <f t="shared" ref="H6975" si="185">SUM(G6975:G6975)</f>
        <v>6.4124999999999996</v>
      </c>
      <c r="I6975" s="44"/>
      <c r="J6975" s="34">
        <v>0</v>
      </c>
    </row>
    <row r="6976" spans="1:10" ht="15.75" hidden="1" thickBot="1" x14ac:dyDescent="0.3">
      <c r="A6976" s="250"/>
      <c r="B6976" s="253"/>
      <c r="C6976" s="60"/>
      <c r="D6976" s="60"/>
      <c r="E6976" s="79"/>
      <c r="F6976" s="87" t="s">
        <v>23</v>
      </c>
      <c r="G6976" s="87" t="str">
        <f t="shared" si="180"/>
        <v/>
      </c>
      <c r="H6976" s="89"/>
      <c r="I6976" s="35"/>
      <c r="J6976" s="34">
        <v>0</v>
      </c>
    </row>
    <row r="6977" spans="1:10" ht="15.75" hidden="1" thickBot="1" x14ac:dyDescent="0.3">
      <c r="A6977" s="248" t="s">
        <v>1670</v>
      </c>
      <c r="B6977" s="251" t="s">
        <v>3418</v>
      </c>
      <c r="C6977" s="28"/>
      <c r="D6977" s="29" t="s">
        <v>28</v>
      </c>
      <c r="E6977" s="30"/>
      <c r="F6977" s="45" t="s">
        <v>23</v>
      </c>
      <c r="G6977" s="31" t="str">
        <f t="shared" si="180"/>
        <v/>
      </c>
      <c r="H6977" s="32"/>
      <c r="I6977" s="33"/>
      <c r="J6977" s="34">
        <v>0</v>
      </c>
    </row>
    <row r="6978" spans="1:10" ht="15.75" hidden="1" thickBot="1" x14ac:dyDescent="0.3">
      <c r="A6978" s="249"/>
      <c r="B6978" s="266"/>
      <c r="C6978" s="36"/>
      <c r="D6978" s="36"/>
      <c r="E6978" s="37"/>
      <c r="F6978" s="46" t="s">
        <v>23</v>
      </c>
      <c r="G6978" s="35" t="str">
        <f t="shared" si="180"/>
        <v/>
      </c>
      <c r="H6978" s="39"/>
      <c r="I6978" s="35"/>
      <c r="J6978" s="34">
        <v>0</v>
      </c>
    </row>
    <row r="6979" spans="1:10" ht="26.25" hidden="1" thickBot="1" x14ac:dyDescent="0.3">
      <c r="A6979" s="249"/>
      <c r="B6979" s="266"/>
      <c r="C6979" s="40" t="s">
        <v>4443</v>
      </c>
      <c r="D6979" s="40" t="s">
        <v>291</v>
      </c>
      <c r="E6979" s="75">
        <v>1</v>
      </c>
      <c r="F6979" s="35">
        <v>27.189</v>
      </c>
      <c r="G6979" s="35">
        <f t="shared" si="180"/>
        <v>27.189</v>
      </c>
      <c r="H6979" s="43">
        <f t="shared" ref="H6979" si="186">SUM(G6979:G6979)</f>
        <v>27.189</v>
      </c>
      <c r="I6979" s="44"/>
      <c r="J6979" s="34">
        <v>0</v>
      </c>
    </row>
    <row r="6980" spans="1:10" ht="15.75" hidden="1" thickBot="1" x14ac:dyDescent="0.3">
      <c r="A6980" s="250"/>
      <c r="B6980" s="253"/>
      <c r="C6980" s="60"/>
      <c r="D6980" s="60"/>
      <c r="E6980" s="79"/>
      <c r="F6980" s="87" t="s">
        <v>23</v>
      </c>
      <c r="G6980" s="87" t="str">
        <f t="shared" si="180"/>
        <v/>
      </c>
      <c r="H6980" s="89"/>
      <c r="I6980" s="35"/>
      <c r="J6980" s="34">
        <v>0</v>
      </c>
    </row>
    <row r="6981" spans="1:10" ht="15.75" hidden="1" thickBot="1" x14ac:dyDescent="0.3">
      <c r="A6981" s="248" t="s">
        <v>1671</v>
      </c>
      <c r="B6981" s="251" t="s">
        <v>3419</v>
      </c>
      <c r="C6981" s="28"/>
      <c r="D6981" s="29" t="s">
        <v>28</v>
      </c>
      <c r="E6981" s="30"/>
      <c r="F6981" s="45" t="s">
        <v>23</v>
      </c>
      <c r="G6981" s="31" t="str">
        <f t="shared" si="180"/>
        <v/>
      </c>
      <c r="H6981" s="32"/>
      <c r="I6981" s="33"/>
      <c r="J6981" s="34">
        <v>0</v>
      </c>
    </row>
    <row r="6982" spans="1:10" ht="15.75" hidden="1" thickBot="1" x14ac:dyDescent="0.3">
      <c r="A6982" s="249"/>
      <c r="B6982" s="266"/>
      <c r="C6982" s="36"/>
      <c r="D6982" s="36"/>
      <c r="E6982" s="37"/>
      <c r="F6982" s="46" t="s">
        <v>23</v>
      </c>
      <c r="G6982" s="35" t="str">
        <f t="shared" si="180"/>
        <v/>
      </c>
      <c r="H6982" s="39"/>
      <c r="I6982" s="35"/>
      <c r="J6982" s="34">
        <v>0</v>
      </c>
    </row>
    <row r="6983" spans="1:10" ht="15.75" hidden="1" thickBot="1" x14ac:dyDescent="0.3">
      <c r="A6983" s="249"/>
      <c r="B6983" s="266"/>
      <c r="C6983" s="40" t="s">
        <v>4444</v>
      </c>
      <c r="D6983" s="40" t="s">
        <v>291</v>
      </c>
      <c r="E6983" s="75">
        <v>1</v>
      </c>
      <c r="F6983" s="35">
        <v>4.4459999999999997</v>
      </c>
      <c r="G6983" s="35">
        <f t="shared" si="180"/>
        <v>4.4459999999999997</v>
      </c>
      <c r="H6983" s="43">
        <f t="shared" ref="H6983" si="187">SUM(G6983:G6983)</f>
        <v>4.4459999999999997</v>
      </c>
      <c r="I6983" s="44"/>
      <c r="J6983" s="34">
        <v>0</v>
      </c>
    </row>
    <row r="6984" spans="1:10" ht="15.75" hidden="1" thickBot="1" x14ac:dyDescent="0.3">
      <c r="A6984" s="250"/>
      <c r="B6984" s="253"/>
      <c r="C6984" s="60"/>
      <c r="D6984" s="60"/>
      <c r="E6984" s="79"/>
      <c r="F6984" s="87" t="s">
        <v>23</v>
      </c>
      <c r="G6984" s="87" t="str">
        <f t="shared" si="180"/>
        <v/>
      </c>
      <c r="H6984" s="89"/>
      <c r="I6984" s="35"/>
      <c r="J6984" s="34">
        <v>0</v>
      </c>
    </row>
    <row r="6985" spans="1:10" ht="15.75" hidden="1" thickBot="1" x14ac:dyDescent="0.3">
      <c r="A6985" s="248" t="s">
        <v>1672</v>
      </c>
      <c r="B6985" s="251" t="s">
        <v>3420</v>
      </c>
      <c r="C6985" s="28"/>
      <c r="D6985" s="29" t="s">
        <v>28</v>
      </c>
      <c r="E6985" s="30"/>
      <c r="F6985" s="45" t="s">
        <v>23</v>
      </c>
      <c r="G6985" s="31" t="str">
        <f t="shared" si="180"/>
        <v/>
      </c>
      <c r="H6985" s="32"/>
      <c r="I6985" s="33"/>
      <c r="J6985" s="34">
        <v>0</v>
      </c>
    </row>
    <row r="6986" spans="1:10" ht="15.75" hidden="1" thickBot="1" x14ac:dyDescent="0.3">
      <c r="A6986" s="249"/>
      <c r="B6986" s="266"/>
      <c r="C6986" s="36"/>
      <c r="D6986" s="36"/>
      <c r="E6986" s="37"/>
      <c r="F6986" s="46" t="s">
        <v>23</v>
      </c>
      <c r="G6986" s="35" t="str">
        <f t="shared" si="180"/>
        <v/>
      </c>
      <c r="H6986" s="39"/>
      <c r="I6986" s="35"/>
      <c r="J6986" s="34">
        <v>0</v>
      </c>
    </row>
    <row r="6987" spans="1:10" ht="26.25" hidden="1" thickBot="1" x14ac:dyDescent="0.3">
      <c r="A6987" s="249"/>
      <c r="B6987" s="266"/>
      <c r="C6987" s="40" t="s">
        <v>4445</v>
      </c>
      <c r="D6987" s="40" t="s">
        <v>291</v>
      </c>
      <c r="E6987" s="75">
        <v>1</v>
      </c>
      <c r="F6987" s="35">
        <v>3.6669999999999998</v>
      </c>
      <c r="G6987" s="35">
        <f t="shared" si="180"/>
        <v>3.6669999999999998</v>
      </c>
      <c r="H6987" s="43">
        <f t="shared" ref="H6987" si="188">SUM(G6987:G6987)</f>
        <v>3.6669999999999998</v>
      </c>
      <c r="I6987" s="44"/>
      <c r="J6987" s="34">
        <v>0</v>
      </c>
    </row>
    <row r="6988" spans="1:10" ht="15.75" hidden="1" thickBot="1" x14ac:dyDescent="0.3">
      <c r="A6988" s="250"/>
      <c r="B6988" s="253"/>
      <c r="C6988" s="60"/>
      <c r="D6988" s="60"/>
      <c r="E6988" s="79"/>
      <c r="F6988" s="87" t="s">
        <v>23</v>
      </c>
      <c r="G6988" s="87" t="str">
        <f t="shared" si="180"/>
        <v/>
      </c>
      <c r="H6988" s="89"/>
      <c r="I6988" s="35"/>
      <c r="J6988" s="34">
        <v>0</v>
      </c>
    </row>
    <row r="6989" spans="1:10" ht="15.75" hidden="1" thickBot="1" x14ac:dyDescent="0.3">
      <c r="A6989" s="248" t="s">
        <v>1673</v>
      </c>
      <c r="B6989" s="251" t="s">
        <v>3421</v>
      </c>
      <c r="C6989" s="28"/>
      <c r="D6989" s="29" t="s">
        <v>28</v>
      </c>
      <c r="E6989" s="30"/>
      <c r="F6989" s="45" t="s">
        <v>23</v>
      </c>
      <c r="G6989" s="31" t="str">
        <f t="shared" si="180"/>
        <v/>
      </c>
      <c r="H6989" s="32"/>
      <c r="I6989" s="33"/>
      <c r="J6989" s="34">
        <v>0</v>
      </c>
    </row>
    <row r="6990" spans="1:10" ht="15.75" hidden="1" thickBot="1" x14ac:dyDescent="0.3">
      <c r="A6990" s="249"/>
      <c r="B6990" s="266"/>
      <c r="C6990" s="36"/>
      <c r="D6990" s="36"/>
      <c r="E6990" s="37"/>
      <c r="F6990" s="46" t="s">
        <v>23</v>
      </c>
      <c r="G6990" s="35" t="str">
        <f t="shared" si="180"/>
        <v/>
      </c>
      <c r="H6990" s="39"/>
      <c r="I6990" s="35"/>
      <c r="J6990" s="34">
        <v>0</v>
      </c>
    </row>
    <row r="6991" spans="1:10" ht="15.75" hidden="1" thickBot="1" x14ac:dyDescent="0.3">
      <c r="A6991" s="249"/>
      <c r="B6991" s="266"/>
      <c r="C6991" s="40" t="s">
        <v>4446</v>
      </c>
      <c r="D6991" s="40" t="s">
        <v>291</v>
      </c>
      <c r="E6991" s="75">
        <v>1</v>
      </c>
      <c r="F6991" s="35">
        <v>3.2489999999999997</v>
      </c>
      <c r="G6991" s="35">
        <f t="shared" si="180"/>
        <v>3.2489999999999997</v>
      </c>
      <c r="H6991" s="43">
        <f t="shared" ref="H6991" si="189">SUM(G6991:G6991)</f>
        <v>3.2489999999999997</v>
      </c>
      <c r="I6991" s="44"/>
      <c r="J6991" s="34">
        <v>0</v>
      </c>
    </row>
    <row r="6992" spans="1:10" ht="15.75" hidden="1" thickBot="1" x14ac:dyDescent="0.3">
      <c r="A6992" s="250"/>
      <c r="B6992" s="253"/>
      <c r="C6992" s="60"/>
      <c r="D6992" s="60"/>
      <c r="E6992" s="79"/>
      <c r="F6992" s="87" t="s">
        <v>23</v>
      </c>
      <c r="G6992" s="87" t="str">
        <f t="shared" si="180"/>
        <v/>
      </c>
      <c r="H6992" s="89"/>
      <c r="I6992" s="35"/>
      <c r="J6992" s="34">
        <v>0</v>
      </c>
    </row>
    <row r="6993" spans="1:10" ht="15.75" hidden="1" thickBot="1" x14ac:dyDescent="0.3">
      <c r="A6993" s="248" t="s">
        <v>1674</v>
      </c>
      <c r="B6993" s="251" t="s">
        <v>3422</v>
      </c>
      <c r="C6993" s="28"/>
      <c r="D6993" s="29" t="s">
        <v>28</v>
      </c>
      <c r="E6993" s="30"/>
      <c r="F6993" s="45" t="s">
        <v>23</v>
      </c>
      <c r="G6993" s="31" t="str">
        <f t="shared" si="180"/>
        <v/>
      </c>
      <c r="H6993" s="32"/>
      <c r="I6993" s="33"/>
      <c r="J6993" s="34">
        <v>0</v>
      </c>
    </row>
    <row r="6994" spans="1:10" ht="15.75" hidden="1" thickBot="1" x14ac:dyDescent="0.3">
      <c r="A6994" s="249"/>
      <c r="B6994" s="266"/>
      <c r="C6994" s="36"/>
      <c r="D6994" s="36"/>
      <c r="E6994" s="37"/>
      <c r="F6994" s="46" t="s">
        <v>23</v>
      </c>
      <c r="G6994" s="35" t="str">
        <f t="shared" si="180"/>
        <v/>
      </c>
      <c r="H6994" s="39"/>
      <c r="I6994" s="35"/>
      <c r="J6994" s="34">
        <v>0</v>
      </c>
    </row>
    <row r="6995" spans="1:10" ht="15.75" hidden="1" thickBot="1" x14ac:dyDescent="0.3">
      <c r="A6995" s="249"/>
      <c r="B6995" s="266"/>
      <c r="C6995" s="40" t="s">
        <v>4447</v>
      </c>
      <c r="D6995" s="40" t="s">
        <v>291</v>
      </c>
      <c r="E6995" s="75">
        <v>1</v>
      </c>
      <c r="F6995" s="35">
        <v>6.9064999999999994</v>
      </c>
      <c r="G6995" s="35">
        <f t="shared" si="180"/>
        <v>6.9064999999999994</v>
      </c>
      <c r="H6995" s="43">
        <f t="shared" ref="H6995" si="190">SUM(G6995:G6995)</f>
        <v>6.9064999999999994</v>
      </c>
      <c r="I6995" s="44"/>
      <c r="J6995" s="34">
        <v>0</v>
      </c>
    </row>
    <row r="6996" spans="1:10" ht="15.75" hidden="1" thickBot="1" x14ac:dyDescent="0.3">
      <c r="A6996" s="250"/>
      <c r="B6996" s="253"/>
      <c r="C6996" s="60"/>
      <c r="D6996" s="60"/>
      <c r="E6996" s="79"/>
      <c r="F6996" s="87" t="s">
        <v>23</v>
      </c>
      <c r="G6996" s="87" t="str">
        <f t="shared" si="180"/>
        <v/>
      </c>
      <c r="H6996" s="89"/>
      <c r="I6996" s="35"/>
      <c r="J6996" s="34">
        <v>0</v>
      </c>
    </row>
    <row r="6997" spans="1:10" ht="15.75" hidden="1" thickBot="1" x14ac:dyDescent="0.3">
      <c r="A6997" s="248" t="s">
        <v>1675</v>
      </c>
      <c r="B6997" s="251" t="s">
        <v>3423</v>
      </c>
      <c r="C6997" s="28"/>
      <c r="D6997" s="29" t="s">
        <v>28</v>
      </c>
      <c r="E6997" s="30"/>
      <c r="F6997" s="45" t="s">
        <v>23</v>
      </c>
      <c r="G6997" s="31" t="str">
        <f t="shared" si="180"/>
        <v/>
      </c>
      <c r="H6997" s="32"/>
      <c r="I6997" s="33"/>
      <c r="J6997" s="34">
        <v>0</v>
      </c>
    </row>
    <row r="6998" spans="1:10" ht="15.75" hidden="1" thickBot="1" x14ac:dyDescent="0.3">
      <c r="A6998" s="249"/>
      <c r="B6998" s="266"/>
      <c r="C6998" s="36"/>
      <c r="D6998" s="36"/>
      <c r="E6998" s="37"/>
      <c r="F6998" s="46" t="s">
        <v>23</v>
      </c>
      <c r="G6998" s="35" t="str">
        <f t="shared" si="180"/>
        <v/>
      </c>
      <c r="H6998" s="39"/>
      <c r="I6998" s="35"/>
      <c r="J6998" s="34">
        <v>0</v>
      </c>
    </row>
    <row r="6999" spans="1:10" ht="26.25" hidden="1" thickBot="1" x14ac:dyDescent="0.3">
      <c r="A6999" s="249"/>
      <c r="B6999" s="266"/>
      <c r="C6999" s="40" t="s">
        <v>4448</v>
      </c>
      <c r="D6999" s="40" t="s">
        <v>291</v>
      </c>
      <c r="E6999" s="75">
        <v>1</v>
      </c>
      <c r="F6999" s="35">
        <v>28.937000000000001</v>
      </c>
      <c r="G6999" s="35">
        <f t="shared" si="180"/>
        <v>28.937000000000001</v>
      </c>
      <c r="H6999" s="43">
        <f t="shared" ref="H6999" si="191">SUM(G6999:G6999)</f>
        <v>28.937000000000001</v>
      </c>
      <c r="I6999" s="44"/>
      <c r="J6999" s="34">
        <v>0</v>
      </c>
    </row>
    <row r="7000" spans="1:10" ht="15.75" hidden="1" thickBot="1" x14ac:dyDescent="0.3">
      <c r="A7000" s="250"/>
      <c r="B7000" s="253"/>
      <c r="C7000" s="60"/>
      <c r="D7000" s="60"/>
      <c r="E7000" s="79"/>
      <c r="F7000" s="87" t="s">
        <v>23</v>
      </c>
      <c r="G7000" s="87" t="str">
        <f t="shared" si="180"/>
        <v/>
      </c>
      <c r="H7000" s="89"/>
      <c r="I7000" s="35"/>
      <c r="J7000" s="34">
        <v>0</v>
      </c>
    </row>
    <row r="7001" spans="1:10" ht="15.75" hidden="1" thickBot="1" x14ac:dyDescent="0.3">
      <c r="A7001" s="248" t="s">
        <v>1676</v>
      </c>
      <c r="B7001" s="251" t="s">
        <v>3424</v>
      </c>
      <c r="C7001" s="28"/>
      <c r="D7001" s="29" t="s">
        <v>28</v>
      </c>
      <c r="E7001" s="30"/>
      <c r="F7001" s="45" t="s">
        <v>23</v>
      </c>
      <c r="G7001" s="31" t="str">
        <f t="shared" si="180"/>
        <v/>
      </c>
      <c r="H7001" s="32"/>
      <c r="I7001" s="33"/>
      <c r="J7001" s="34">
        <v>0</v>
      </c>
    </row>
    <row r="7002" spans="1:10" ht="15.75" hidden="1" thickBot="1" x14ac:dyDescent="0.3">
      <c r="A7002" s="249"/>
      <c r="B7002" s="266"/>
      <c r="C7002" s="36"/>
      <c r="D7002" s="36"/>
      <c r="E7002" s="37"/>
      <c r="F7002" s="46" t="s">
        <v>23</v>
      </c>
      <c r="G7002" s="35" t="str">
        <f t="shared" si="180"/>
        <v/>
      </c>
      <c r="H7002" s="39"/>
      <c r="I7002" s="35"/>
      <c r="J7002" s="34">
        <v>0</v>
      </c>
    </row>
    <row r="7003" spans="1:10" ht="26.25" hidden="1" thickBot="1" x14ac:dyDescent="0.3">
      <c r="A7003" s="249"/>
      <c r="B7003" s="266"/>
      <c r="C7003" s="40" t="s">
        <v>4449</v>
      </c>
      <c r="D7003" s="40" t="s">
        <v>291</v>
      </c>
      <c r="E7003" s="75">
        <v>1</v>
      </c>
      <c r="F7003" s="35">
        <v>30.941499999999998</v>
      </c>
      <c r="G7003" s="35">
        <f t="shared" si="180"/>
        <v>30.941499999999998</v>
      </c>
      <c r="H7003" s="43">
        <f t="shared" ref="H7003" si="192">SUM(G7003:G7003)</f>
        <v>30.941499999999998</v>
      </c>
      <c r="I7003" s="44"/>
      <c r="J7003" s="34">
        <v>0</v>
      </c>
    </row>
    <row r="7004" spans="1:10" ht="15.75" hidden="1" thickBot="1" x14ac:dyDescent="0.3">
      <c r="A7004" s="250"/>
      <c r="B7004" s="253"/>
      <c r="C7004" s="60"/>
      <c r="D7004" s="60"/>
      <c r="E7004" s="79"/>
      <c r="F7004" s="87" t="s">
        <v>23</v>
      </c>
      <c r="G7004" s="87" t="str">
        <f t="shared" si="180"/>
        <v/>
      </c>
      <c r="H7004" s="89"/>
      <c r="I7004" s="35"/>
      <c r="J7004" s="34">
        <v>0</v>
      </c>
    </row>
    <row r="7005" spans="1:10" ht="15.75" hidden="1" thickBot="1" x14ac:dyDescent="0.3">
      <c r="A7005" s="248" t="s">
        <v>1677</v>
      </c>
      <c r="B7005" s="251" t="s">
        <v>3425</v>
      </c>
      <c r="C7005" s="28"/>
      <c r="D7005" s="29" t="s">
        <v>121</v>
      </c>
      <c r="E7005" s="30"/>
      <c r="F7005" s="45" t="s">
        <v>23</v>
      </c>
      <c r="G7005" s="31" t="str">
        <f t="shared" si="180"/>
        <v/>
      </c>
      <c r="H7005" s="32"/>
      <c r="I7005" s="33"/>
      <c r="J7005" s="34">
        <v>0</v>
      </c>
    </row>
    <row r="7006" spans="1:10" ht="15.75" hidden="1" thickBot="1" x14ac:dyDescent="0.3">
      <c r="A7006" s="249"/>
      <c r="B7006" s="266"/>
      <c r="C7006" s="36"/>
      <c r="D7006" s="36"/>
      <c r="E7006" s="37"/>
      <c r="F7006" s="46" t="s">
        <v>23</v>
      </c>
      <c r="G7006" s="35" t="str">
        <f t="shared" si="180"/>
        <v/>
      </c>
      <c r="H7006" s="39"/>
      <c r="I7006" s="35"/>
      <c r="J7006" s="34">
        <v>0</v>
      </c>
    </row>
    <row r="7007" spans="1:10" ht="39" hidden="1" thickBot="1" x14ac:dyDescent="0.3">
      <c r="A7007" s="249"/>
      <c r="B7007" s="266"/>
      <c r="C7007" s="40" t="s">
        <v>4053</v>
      </c>
      <c r="D7007" s="40" t="s">
        <v>1286</v>
      </c>
      <c r="E7007" s="75">
        <v>1</v>
      </c>
      <c r="F7007" s="35">
        <v>11.333499999999999</v>
      </c>
      <c r="G7007" s="35">
        <f t="shared" si="180"/>
        <v>11.333499999999999</v>
      </c>
      <c r="H7007" s="43">
        <f t="shared" ref="H7007" si="193">SUM(G7007:G7007)</f>
        <v>11.333499999999999</v>
      </c>
      <c r="I7007" s="44"/>
      <c r="J7007" s="34">
        <v>0</v>
      </c>
    </row>
    <row r="7008" spans="1:10" ht="15.75" hidden="1" thickBot="1" x14ac:dyDescent="0.3">
      <c r="A7008" s="250"/>
      <c r="B7008" s="253"/>
      <c r="C7008" s="60"/>
      <c r="D7008" s="60"/>
      <c r="E7008" s="79"/>
      <c r="F7008" s="87" t="s">
        <v>23</v>
      </c>
      <c r="G7008" s="87" t="str">
        <f t="shared" si="180"/>
        <v/>
      </c>
      <c r="H7008" s="89"/>
      <c r="I7008" s="35"/>
      <c r="J7008" s="34">
        <v>0</v>
      </c>
    </row>
    <row r="7009" spans="1:10" ht="15.75" hidden="1" thickBot="1" x14ac:dyDescent="0.3">
      <c r="A7009" s="248" t="s">
        <v>1678</v>
      </c>
      <c r="B7009" s="251" t="s">
        <v>3426</v>
      </c>
      <c r="C7009" s="28"/>
      <c r="D7009" s="29" t="s">
        <v>121</v>
      </c>
      <c r="E7009" s="30"/>
      <c r="F7009" s="45" t="s">
        <v>23</v>
      </c>
      <c r="G7009" s="31" t="str">
        <f t="shared" si="180"/>
        <v/>
      </c>
      <c r="H7009" s="32"/>
      <c r="I7009" s="33"/>
      <c r="J7009" s="34">
        <v>0</v>
      </c>
    </row>
    <row r="7010" spans="1:10" ht="15.75" hidden="1" thickBot="1" x14ac:dyDescent="0.3">
      <c r="A7010" s="249"/>
      <c r="B7010" s="266"/>
      <c r="C7010" s="36"/>
      <c r="D7010" s="36"/>
      <c r="E7010" s="37"/>
      <c r="F7010" s="46" t="s">
        <v>23</v>
      </c>
      <c r="G7010" s="35" t="str">
        <f t="shared" si="180"/>
        <v/>
      </c>
      <c r="H7010" s="39"/>
      <c r="I7010" s="35"/>
      <c r="J7010" s="34">
        <v>0</v>
      </c>
    </row>
    <row r="7011" spans="1:10" ht="26.25" hidden="1" thickBot="1" x14ac:dyDescent="0.3">
      <c r="A7011" s="249"/>
      <c r="B7011" s="266"/>
      <c r="C7011" s="40" t="s">
        <v>4450</v>
      </c>
      <c r="D7011" s="40" t="s">
        <v>1286</v>
      </c>
      <c r="E7011" s="75">
        <v>1</v>
      </c>
      <c r="F7011" s="35">
        <v>42.654999999999994</v>
      </c>
      <c r="G7011" s="35">
        <f t="shared" si="180"/>
        <v>42.654999999999994</v>
      </c>
      <c r="H7011" s="43">
        <f t="shared" ref="H7011" si="194">SUM(G7011:G7011)</f>
        <v>42.654999999999994</v>
      </c>
      <c r="I7011" s="44"/>
      <c r="J7011" s="34">
        <v>0</v>
      </c>
    </row>
    <row r="7012" spans="1:10" ht="15.75" hidden="1" thickBot="1" x14ac:dyDescent="0.3">
      <c r="A7012" s="250"/>
      <c r="B7012" s="253"/>
      <c r="C7012" s="60"/>
      <c r="D7012" s="60"/>
      <c r="E7012" s="79"/>
      <c r="F7012" s="87" t="s">
        <v>23</v>
      </c>
      <c r="G7012" s="87" t="str">
        <f t="shared" si="180"/>
        <v/>
      </c>
      <c r="H7012" s="89"/>
      <c r="I7012" s="35"/>
      <c r="J7012" s="34">
        <v>0</v>
      </c>
    </row>
    <row r="7013" spans="1:10" ht="15.75" hidden="1" thickBot="1" x14ac:dyDescent="0.3">
      <c r="A7013" s="248" t="s">
        <v>1679</v>
      </c>
      <c r="B7013" s="251" t="s">
        <v>3427</v>
      </c>
      <c r="C7013" s="28"/>
      <c r="D7013" s="29" t="s">
        <v>28</v>
      </c>
      <c r="E7013" s="30"/>
      <c r="F7013" s="45" t="s">
        <v>23</v>
      </c>
      <c r="G7013" s="31" t="str">
        <f t="shared" si="180"/>
        <v/>
      </c>
      <c r="H7013" s="32"/>
      <c r="I7013" s="33"/>
      <c r="J7013" s="34">
        <v>0</v>
      </c>
    </row>
    <row r="7014" spans="1:10" ht="15.75" hidden="1" thickBot="1" x14ac:dyDescent="0.3">
      <c r="A7014" s="249"/>
      <c r="B7014" s="266"/>
      <c r="C7014" s="36"/>
      <c r="D7014" s="36"/>
      <c r="E7014" s="37"/>
      <c r="F7014" s="46" t="s">
        <v>23</v>
      </c>
      <c r="G7014" s="35" t="str">
        <f t="shared" si="180"/>
        <v/>
      </c>
      <c r="H7014" s="39"/>
      <c r="I7014" s="35"/>
      <c r="J7014" s="34">
        <v>0</v>
      </c>
    </row>
    <row r="7015" spans="1:10" ht="15.75" hidden="1" thickBot="1" x14ac:dyDescent="0.3">
      <c r="A7015" s="249"/>
      <c r="B7015" s="266"/>
      <c r="C7015" s="40" t="s">
        <v>4451</v>
      </c>
      <c r="D7015" s="40" t="s">
        <v>291</v>
      </c>
      <c r="E7015" s="75">
        <v>1</v>
      </c>
      <c r="F7015" s="35">
        <v>23.740499999999997</v>
      </c>
      <c r="G7015" s="35">
        <f t="shared" si="180"/>
        <v>23.740499999999997</v>
      </c>
      <c r="H7015" s="43">
        <f t="shared" ref="H7015" si="195">SUM(G7015:G7015)</f>
        <v>23.740499999999997</v>
      </c>
      <c r="I7015" s="44"/>
      <c r="J7015" s="34">
        <v>0</v>
      </c>
    </row>
    <row r="7016" spans="1:10" ht="15.75" hidden="1" thickBot="1" x14ac:dyDescent="0.3">
      <c r="A7016" s="250"/>
      <c r="B7016" s="253"/>
      <c r="C7016" s="60"/>
      <c r="D7016" s="60"/>
      <c r="E7016" s="79"/>
      <c r="F7016" s="87" t="s">
        <v>23</v>
      </c>
      <c r="G7016" s="87" t="str">
        <f t="shared" si="180"/>
        <v/>
      </c>
      <c r="H7016" s="89"/>
      <c r="I7016" s="35"/>
      <c r="J7016" s="34">
        <v>0</v>
      </c>
    </row>
    <row r="7017" spans="1:10" ht="15.75" hidden="1" thickBot="1" x14ac:dyDescent="0.3">
      <c r="A7017" s="248" t="s">
        <v>1680</v>
      </c>
      <c r="B7017" s="251" t="s">
        <v>3428</v>
      </c>
      <c r="C7017" s="28"/>
      <c r="D7017" s="29" t="s">
        <v>28</v>
      </c>
      <c r="E7017" s="30"/>
      <c r="F7017" s="45" t="s">
        <v>23</v>
      </c>
      <c r="G7017" s="31" t="str">
        <f t="shared" si="180"/>
        <v/>
      </c>
      <c r="H7017" s="32"/>
      <c r="I7017" s="33"/>
      <c r="J7017" s="34">
        <v>0</v>
      </c>
    </row>
    <row r="7018" spans="1:10" ht="15.75" hidden="1" thickBot="1" x14ac:dyDescent="0.3">
      <c r="A7018" s="249"/>
      <c r="B7018" s="266"/>
      <c r="C7018" s="36"/>
      <c r="D7018" s="36"/>
      <c r="E7018" s="37"/>
      <c r="F7018" s="46" t="s">
        <v>23</v>
      </c>
      <c r="G7018" s="35" t="str">
        <f t="shared" si="180"/>
        <v/>
      </c>
      <c r="H7018" s="39"/>
      <c r="I7018" s="35"/>
      <c r="J7018" s="34">
        <v>0</v>
      </c>
    </row>
    <row r="7019" spans="1:10" ht="15.75" hidden="1" thickBot="1" x14ac:dyDescent="0.3">
      <c r="A7019" s="249"/>
      <c r="B7019" s="266"/>
      <c r="C7019" s="40" t="s">
        <v>4452</v>
      </c>
      <c r="D7019" s="40" t="s">
        <v>291</v>
      </c>
      <c r="E7019" s="75">
        <v>1</v>
      </c>
      <c r="F7019" s="35">
        <v>8.426499999999999</v>
      </c>
      <c r="G7019" s="35">
        <f t="shared" si="180"/>
        <v>8.426499999999999</v>
      </c>
      <c r="H7019" s="43">
        <f t="shared" ref="H7019" si="196">SUM(G7019:G7019)</f>
        <v>8.426499999999999</v>
      </c>
      <c r="I7019" s="44"/>
      <c r="J7019" s="34">
        <v>0</v>
      </c>
    </row>
    <row r="7020" spans="1:10" ht="15.75" hidden="1" thickBot="1" x14ac:dyDescent="0.3">
      <c r="A7020" s="250"/>
      <c r="B7020" s="253"/>
      <c r="C7020" s="60"/>
      <c r="D7020" s="60"/>
      <c r="E7020" s="79"/>
      <c r="F7020" s="87" t="s">
        <v>23</v>
      </c>
      <c r="G7020" s="87" t="str">
        <f t="shared" si="180"/>
        <v/>
      </c>
      <c r="H7020" s="89"/>
      <c r="I7020" s="35"/>
      <c r="J7020" s="34">
        <v>0</v>
      </c>
    </row>
    <row r="7021" spans="1:10" ht="15.75" hidden="1" thickBot="1" x14ac:dyDescent="0.3">
      <c r="A7021" s="248" t="s">
        <v>1681</v>
      </c>
      <c r="B7021" s="251" t="s">
        <v>3429</v>
      </c>
      <c r="C7021" s="28"/>
      <c r="D7021" s="29" t="s">
        <v>28</v>
      </c>
      <c r="E7021" s="30"/>
      <c r="F7021" s="45" t="s">
        <v>23</v>
      </c>
      <c r="G7021" s="31" t="str">
        <f t="shared" ref="G7021:G7084" si="197">IF(ISNUMBER(F7021),E7021*F7021,"")</f>
        <v/>
      </c>
      <c r="H7021" s="32"/>
      <c r="I7021" s="33"/>
      <c r="J7021" s="34">
        <v>0</v>
      </c>
    </row>
    <row r="7022" spans="1:10" ht="15.75" hidden="1" thickBot="1" x14ac:dyDescent="0.3">
      <c r="A7022" s="249"/>
      <c r="B7022" s="266"/>
      <c r="C7022" s="36"/>
      <c r="D7022" s="36"/>
      <c r="E7022" s="37"/>
      <c r="F7022" s="46" t="s">
        <v>23</v>
      </c>
      <c r="G7022" s="35" t="str">
        <f t="shared" si="197"/>
        <v/>
      </c>
      <c r="H7022" s="39"/>
      <c r="I7022" s="35"/>
      <c r="J7022" s="34">
        <v>0</v>
      </c>
    </row>
    <row r="7023" spans="1:10" ht="26.25" hidden="1" thickBot="1" x14ac:dyDescent="0.3">
      <c r="A7023" s="249"/>
      <c r="B7023" s="266"/>
      <c r="C7023" s="40" t="s">
        <v>4270</v>
      </c>
      <c r="D7023" s="40" t="s">
        <v>291</v>
      </c>
      <c r="E7023" s="75">
        <v>1</v>
      </c>
      <c r="F7023" s="35">
        <v>10.620999999999999</v>
      </c>
      <c r="G7023" s="35">
        <f t="shared" si="197"/>
        <v>10.620999999999999</v>
      </c>
      <c r="H7023" s="43">
        <f t="shared" ref="H7023" si="198">SUM(G7023:G7023)</f>
        <v>10.620999999999999</v>
      </c>
      <c r="I7023" s="44"/>
      <c r="J7023" s="34">
        <v>0</v>
      </c>
    </row>
    <row r="7024" spans="1:10" ht="15.75" hidden="1" thickBot="1" x14ac:dyDescent="0.3">
      <c r="A7024" s="250"/>
      <c r="B7024" s="253"/>
      <c r="C7024" s="60"/>
      <c r="D7024" s="60"/>
      <c r="E7024" s="79"/>
      <c r="F7024" s="87" t="s">
        <v>23</v>
      </c>
      <c r="G7024" s="87" t="str">
        <f t="shared" si="197"/>
        <v/>
      </c>
      <c r="H7024" s="89"/>
      <c r="I7024" s="35"/>
      <c r="J7024" s="34">
        <v>0</v>
      </c>
    </row>
    <row r="7025" spans="1:10" ht="15.75" hidden="1" thickBot="1" x14ac:dyDescent="0.3">
      <c r="A7025" s="248" t="s">
        <v>1682</v>
      </c>
      <c r="B7025" s="251" t="s">
        <v>3430</v>
      </c>
      <c r="C7025" s="28"/>
      <c r="D7025" s="29" t="s">
        <v>28</v>
      </c>
      <c r="E7025" s="30"/>
      <c r="F7025" s="45" t="s">
        <v>23</v>
      </c>
      <c r="G7025" s="31" t="str">
        <f t="shared" si="197"/>
        <v/>
      </c>
      <c r="H7025" s="32"/>
      <c r="I7025" s="33"/>
      <c r="J7025" s="34">
        <v>0</v>
      </c>
    </row>
    <row r="7026" spans="1:10" ht="15.75" hidden="1" thickBot="1" x14ac:dyDescent="0.3">
      <c r="A7026" s="249"/>
      <c r="B7026" s="266"/>
      <c r="C7026" s="36"/>
      <c r="D7026" s="36"/>
      <c r="E7026" s="37"/>
      <c r="F7026" s="46" t="s">
        <v>23</v>
      </c>
      <c r="G7026" s="35" t="str">
        <f t="shared" si="197"/>
        <v/>
      </c>
      <c r="H7026" s="39"/>
      <c r="I7026" s="35"/>
      <c r="J7026" s="34">
        <v>0</v>
      </c>
    </row>
    <row r="7027" spans="1:10" ht="26.25" hidden="1" thickBot="1" x14ac:dyDescent="0.3">
      <c r="A7027" s="249"/>
      <c r="B7027" s="266"/>
      <c r="C7027" s="40" t="s">
        <v>4267</v>
      </c>
      <c r="D7027" s="40" t="s">
        <v>291</v>
      </c>
      <c r="E7027" s="75">
        <v>1</v>
      </c>
      <c r="F7027" s="35">
        <v>7.2770000000000001</v>
      </c>
      <c r="G7027" s="35">
        <f t="shared" si="197"/>
        <v>7.2770000000000001</v>
      </c>
      <c r="H7027" s="43">
        <f t="shared" ref="H7027" si="199">SUM(G7027:G7027)</f>
        <v>7.2770000000000001</v>
      </c>
      <c r="I7027" s="44"/>
      <c r="J7027" s="34">
        <v>0</v>
      </c>
    </row>
    <row r="7028" spans="1:10" ht="15.75" hidden="1" thickBot="1" x14ac:dyDescent="0.3">
      <c r="A7028" s="250"/>
      <c r="B7028" s="253"/>
      <c r="C7028" s="60"/>
      <c r="D7028" s="60"/>
      <c r="E7028" s="79"/>
      <c r="F7028" s="87" t="s">
        <v>23</v>
      </c>
      <c r="G7028" s="87" t="str">
        <f t="shared" si="197"/>
        <v/>
      </c>
      <c r="H7028" s="89"/>
      <c r="I7028" s="35"/>
      <c r="J7028" s="34">
        <v>0</v>
      </c>
    </row>
    <row r="7029" spans="1:10" ht="15.75" hidden="1" thickBot="1" x14ac:dyDescent="0.3">
      <c r="A7029" s="248" t="s">
        <v>1683</v>
      </c>
      <c r="B7029" s="251" t="s">
        <v>3431</v>
      </c>
      <c r="C7029" s="28"/>
      <c r="D7029" s="29" t="s">
        <v>28</v>
      </c>
      <c r="E7029" s="30"/>
      <c r="F7029" s="45" t="s">
        <v>23</v>
      </c>
      <c r="G7029" s="31" t="str">
        <f t="shared" si="197"/>
        <v/>
      </c>
      <c r="H7029" s="32"/>
      <c r="I7029" s="33"/>
      <c r="J7029" s="34">
        <v>0</v>
      </c>
    </row>
    <row r="7030" spans="1:10" ht="15.75" hidden="1" thickBot="1" x14ac:dyDescent="0.3">
      <c r="A7030" s="249"/>
      <c r="B7030" s="266"/>
      <c r="C7030" s="36"/>
      <c r="D7030" s="36"/>
      <c r="E7030" s="37"/>
      <c r="F7030" s="46" t="s">
        <v>23</v>
      </c>
      <c r="G7030" s="35" t="str">
        <f t="shared" si="197"/>
        <v/>
      </c>
      <c r="H7030" s="39"/>
      <c r="I7030" s="35"/>
      <c r="J7030" s="34">
        <v>0</v>
      </c>
    </row>
    <row r="7031" spans="1:10" ht="26.25" hidden="1" thickBot="1" x14ac:dyDescent="0.3">
      <c r="A7031" s="249"/>
      <c r="B7031" s="266"/>
      <c r="C7031" s="40" t="s">
        <v>4274</v>
      </c>
      <c r="D7031" s="40" t="s">
        <v>291</v>
      </c>
      <c r="E7031" s="75">
        <v>1</v>
      </c>
      <c r="F7031" s="35">
        <v>16.1785</v>
      </c>
      <c r="G7031" s="35">
        <f t="shared" si="197"/>
        <v>16.1785</v>
      </c>
      <c r="H7031" s="43">
        <f t="shared" ref="H7031" si="200">SUM(G7031:G7031)</f>
        <v>16.1785</v>
      </c>
      <c r="I7031" s="44"/>
      <c r="J7031" s="34">
        <v>0</v>
      </c>
    </row>
    <row r="7032" spans="1:10" ht="15.75" hidden="1" thickBot="1" x14ac:dyDescent="0.3">
      <c r="A7032" s="250"/>
      <c r="B7032" s="253"/>
      <c r="C7032" s="60"/>
      <c r="D7032" s="60"/>
      <c r="E7032" s="79"/>
      <c r="F7032" s="87" t="s">
        <v>23</v>
      </c>
      <c r="G7032" s="87" t="str">
        <f t="shared" si="197"/>
        <v/>
      </c>
      <c r="H7032" s="89"/>
      <c r="I7032" s="35"/>
      <c r="J7032" s="34">
        <v>0</v>
      </c>
    </row>
    <row r="7033" spans="1:10" ht="15.75" hidden="1" thickBot="1" x14ac:dyDescent="0.3">
      <c r="A7033" s="248" t="s">
        <v>1684</v>
      </c>
      <c r="B7033" s="251" t="s">
        <v>3432</v>
      </c>
      <c r="C7033" s="28"/>
      <c r="D7033" s="29" t="s">
        <v>28</v>
      </c>
      <c r="E7033" s="30"/>
      <c r="F7033" s="45" t="s">
        <v>23</v>
      </c>
      <c r="G7033" s="31" t="str">
        <f t="shared" si="197"/>
        <v/>
      </c>
      <c r="H7033" s="32"/>
      <c r="I7033" s="33"/>
      <c r="J7033" s="34">
        <v>0</v>
      </c>
    </row>
    <row r="7034" spans="1:10" ht="15.75" hidden="1" thickBot="1" x14ac:dyDescent="0.3">
      <c r="A7034" s="249"/>
      <c r="B7034" s="266"/>
      <c r="C7034" s="36"/>
      <c r="D7034" s="36"/>
      <c r="E7034" s="37"/>
      <c r="F7034" s="46" t="s">
        <v>23</v>
      </c>
      <c r="G7034" s="35" t="str">
        <f t="shared" si="197"/>
        <v/>
      </c>
      <c r="H7034" s="39"/>
      <c r="I7034" s="35"/>
      <c r="J7034" s="34">
        <v>0</v>
      </c>
    </row>
    <row r="7035" spans="1:10" ht="15.75" hidden="1" thickBot="1" x14ac:dyDescent="0.3">
      <c r="A7035" s="249"/>
      <c r="B7035" s="266"/>
      <c r="C7035" s="40" t="s">
        <v>4453</v>
      </c>
      <c r="D7035" s="40" t="s">
        <v>291</v>
      </c>
      <c r="E7035" s="75">
        <v>1</v>
      </c>
      <c r="F7035" s="35">
        <v>254.83749999999998</v>
      </c>
      <c r="G7035" s="35">
        <f t="shared" si="197"/>
        <v>254.83749999999998</v>
      </c>
      <c r="H7035" s="43">
        <f t="shared" ref="H7035" si="201">SUM(G7035:G7035)</f>
        <v>254.83749999999998</v>
      </c>
      <c r="I7035" s="44"/>
      <c r="J7035" s="34">
        <v>0</v>
      </c>
    </row>
    <row r="7036" spans="1:10" ht="15.75" hidden="1" thickBot="1" x14ac:dyDescent="0.3">
      <c r="A7036" s="250"/>
      <c r="B7036" s="253"/>
      <c r="C7036" s="60"/>
      <c r="D7036" s="60"/>
      <c r="E7036" s="79"/>
      <c r="F7036" s="87" t="s">
        <v>23</v>
      </c>
      <c r="G7036" s="87" t="str">
        <f t="shared" si="197"/>
        <v/>
      </c>
      <c r="H7036" s="89"/>
      <c r="I7036" s="35"/>
      <c r="J7036" s="34">
        <v>0</v>
      </c>
    </row>
    <row r="7037" spans="1:10" ht="15.75" hidden="1" thickBot="1" x14ac:dyDescent="0.3">
      <c r="A7037" s="248" t="s">
        <v>1685</v>
      </c>
      <c r="B7037" s="251" t="s">
        <v>3433</v>
      </c>
      <c r="C7037" s="28"/>
      <c r="D7037" s="29" t="s">
        <v>28</v>
      </c>
      <c r="E7037" s="30"/>
      <c r="F7037" s="45" t="s">
        <v>23</v>
      </c>
      <c r="G7037" s="31" t="str">
        <f t="shared" si="197"/>
        <v/>
      </c>
      <c r="H7037" s="32"/>
      <c r="I7037" s="33"/>
      <c r="J7037" s="34">
        <v>0</v>
      </c>
    </row>
    <row r="7038" spans="1:10" ht="15.75" hidden="1" thickBot="1" x14ac:dyDescent="0.3">
      <c r="A7038" s="249"/>
      <c r="B7038" s="266"/>
      <c r="C7038" s="36"/>
      <c r="D7038" s="36"/>
      <c r="E7038" s="37"/>
      <c r="F7038" s="46" t="s">
        <v>23</v>
      </c>
      <c r="G7038" s="35" t="str">
        <f t="shared" si="197"/>
        <v/>
      </c>
      <c r="H7038" s="39"/>
      <c r="I7038" s="35"/>
      <c r="J7038" s="34">
        <v>0</v>
      </c>
    </row>
    <row r="7039" spans="1:10" ht="15.75" hidden="1" thickBot="1" x14ac:dyDescent="0.3">
      <c r="A7039" s="249"/>
      <c r="B7039" s="266"/>
      <c r="C7039" s="40" t="s">
        <v>4454</v>
      </c>
      <c r="D7039" s="40" t="s">
        <v>291</v>
      </c>
      <c r="E7039" s="75">
        <v>1</v>
      </c>
      <c r="F7039" s="35">
        <v>136.78099999999998</v>
      </c>
      <c r="G7039" s="35">
        <f t="shared" si="197"/>
        <v>136.78099999999998</v>
      </c>
      <c r="H7039" s="43">
        <f t="shared" ref="H7039" si="202">SUM(G7039:G7039)</f>
        <v>136.78099999999998</v>
      </c>
      <c r="I7039" s="44"/>
      <c r="J7039" s="34">
        <v>0</v>
      </c>
    </row>
    <row r="7040" spans="1:10" ht="15.75" hidden="1" thickBot="1" x14ac:dyDescent="0.3">
      <c r="A7040" s="250"/>
      <c r="B7040" s="253"/>
      <c r="C7040" s="60"/>
      <c r="D7040" s="60"/>
      <c r="E7040" s="79"/>
      <c r="F7040" s="87" t="s">
        <v>23</v>
      </c>
      <c r="G7040" s="87" t="str">
        <f t="shared" si="197"/>
        <v/>
      </c>
      <c r="H7040" s="89"/>
      <c r="I7040" s="35"/>
      <c r="J7040" s="34">
        <v>0</v>
      </c>
    </row>
    <row r="7041" spans="1:10" ht="15.75" hidden="1" thickBot="1" x14ac:dyDescent="0.3">
      <c r="A7041" s="248" t="s">
        <v>1686</v>
      </c>
      <c r="B7041" s="251" t="s">
        <v>3434</v>
      </c>
      <c r="C7041" s="28"/>
      <c r="D7041" s="29" t="s">
        <v>28</v>
      </c>
      <c r="E7041" s="30"/>
      <c r="F7041" s="45" t="s">
        <v>23</v>
      </c>
      <c r="G7041" s="31" t="str">
        <f t="shared" si="197"/>
        <v/>
      </c>
      <c r="H7041" s="32"/>
      <c r="I7041" s="33"/>
      <c r="J7041" s="34">
        <v>0</v>
      </c>
    </row>
    <row r="7042" spans="1:10" ht="15.75" hidden="1" thickBot="1" x14ac:dyDescent="0.3">
      <c r="A7042" s="249"/>
      <c r="B7042" s="266"/>
      <c r="C7042" s="36"/>
      <c r="D7042" s="36"/>
      <c r="E7042" s="37"/>
      <c r="F7042" s="46" t="s">
        <v>23</v>
      </c>
      <c r="G7042" s="35" t="str">
        <f t="shared" si="197"/>
        <v/>
      </c>
      <c r="H7042" s="39"/>
      <c r="I7042" s="35"/>
      <c r="J7042" s="34">
        <v>0</v>
      </c>
    </row>
    <row r="7043" spans="1:10" ht="15.75" hidden="1" thickBot="1" x14ac:dyDescent="0.3">
      <c r="A7043" s="249"/>
      <c r="B7043" s="266"/>
      <c r="C7043" s="40" t="s">
        <v>4455</v>
      </c>
      <c r="D7043" s="40" t="s">
        <v>291</v>
      </c>
      <c r="E7043" s="75">
        <v>1</v>
      </c>
      <c r="F7043" s="35">
        <v>402.81899999999996</v>
      </c>
      <c r="G7043" s="35">
        <f t="shared" si="197"/>
        <v>402.81899999999996</v>
      </c>
      <c r="H7043" s="43">
        <f t="shared" ref="H7043" si="203">SUM(G7043:G7043)</f>
        <v>402.81899999999996</v>
      </c>
      <c r="I7043" s="44"/>
      <c r="J7043" s="34">
        <v>0</v>
      </c>
    </row>
    <row r="7044" spans="1:10" ht="15.75" hidden="1" thickBot="1" x14ac:dyDescent="0.3">
      <c r="A7044" s="250"/>
      <c r="B7044" s="253"/>
      <c r="C7044" s="60"/>
      <c r="D7044" s="60"/>
      <c r="E7044" s="79"/>
      <c r="F7044" s="87" t="s">
        <v>23</v>
      </c>
      <c r="G7044" s="87" t="str">
        <f t="shared" si="197"/>
        <v/>
      </c>
      <c r="H7044" s="89"/>
      <c r="I7044" s="35"/>
      <c r="J7044" s="34">
        <v>0</v>
      </c>
    </row>
    <row r="7045" spans="1:10" ht="15.75" hidden="1" thickBot="1" x14ac:dyDescent="0.3">
      <c r="A7045" s="248" t="s">
        <v>1687</v>
      </c>
      <c r="B7045" s="251" t="s">
        <v>3435</v>
      </c>
      <c r="C7045" s="28"/>
      <c r="D7045" s="29" t="s">
        <v>28</v>
      </c>
      <c r="E7045" s="30"/>
      <c r="F7045" s="45" t="s">
        <v>23</v>
      </c>
      <c r="G7045" s="31" t="str">
        <f t="shared" si="197"/>
        <v/>
      </c>
      <c r="H7045" s="32"/>
      <c r="I7045" s="33"/>
      <c r="J7045" s="34">
        <v>0</v>
      </c>
    </row>
    <row r="7046" spans="1:10" ht="15.75" hidden="1" thickBot="1" x14ac:dyDescent="0.3">
      <c r="A7046" s="249"/>
      <c r="B7046" s="266"/>
      <c r="C7046" s="36"/>
      <c r="D7046" s="36"/>
      <c r="E7046" s="37"/>
      <c r="F7046" s="46" t="s">
        <v>23</v>
      </c>
      <c r="G7046" s="35" t="str">
        <f t="shared" si="197"/>
        <v/>
      </c>
      <c r="H7046" s="39"/>
      <c r="I7046" s="35"/>
      <c r="J7046" s="34">
        <v>0</v>
      </c>
    </row>
    <row r="7047" spans="1:10" ht="26.25" hidden="1" thickBot="1" x14ac:dyDescent="0.3">
      <c r="A7047" s="249"/>
      <c r="B7047" s="266"/>
      <c r="C7047" s="40" t="s">
        <v>4456</v>
      </c>
      <c r="D7047" s="40" t="s">
        <v>291</v>
      </c>
      <c r="E7047" s="75">
        <v>1</v>
      </c>
      <c r="F7047" s="35">
        <v>35.786499999999997</v>
      </c>
      <c r="G7047" s="35">
        <f t="shared" si="197"/>
        <v>35.786499999999997</v>
      </c>
      <c r="H7047" s="43">
        <f t="shared" ref="H7047" si="204">SUM(G7047:G7047)</f>
        <v>35.786499999999997</v>
      </c>
      <c r="I7047" s="44"/>
      <c r="J7047" s="34">
        <v>0</v>
      </c>
    </row>
    <row r="7048" spans="1:10" ht="15.75" hidden="1" thickBot="1" x14ac:dyDescent="0.3">
      <c r="A7048" s="250"/>
      <c r="B7048" s="253"/>
      <c r="C7048" s="60"/>
      <c r="D7048" s="60"/>
      <c r="E7048" s="79"/>
      <c r="F7048" s="87" t="s">
        <v>23</v>
      </c>
      <c r="G7048" s="87" t="str">
        <f t="shared" si="197"/>
        <v/>
      </c>
      <c r="H7048" s="89"/>
      <c r="I7048" s="35"/>
      <c r="J7048" s="34">
        <v>0</v>
      </c>
    </row>
    <row r="7049" spans="1:10" ht="15.75" hidden="1" thickBot="1" x14ac:dyDescent="0.3">
      <c r="A7049" s="248" t="s">
        <v>1688</v>
      </c>
      <c r="B7049" s="251" t="s">
        <v>3436</v>
      </c>
      <c r="C7049" s="28"/>
      <c r="D7049" s="29" t="s">
        <v>28</v>
      </c>
      <c r="E7049" s="30"/>
      <c r="F7049" s="45" t="s">
        <v>23</v>
      </c>
      <c r="G7049" s="31" t="str">
        <f t="shared" si="197"/>
        <v/>
      </c>
      <c r="H7049" s="32"/>
      <c r="I7049" s="33"/>
      <c r="J7049" s="34">
        <v>0</v>
      </c>
    </row>
    <row r="7050" spans="1:10" ht="15.75" hidden="1" thickBot="1" x14ac:dyDescent="0.3">
      <c r="A7050" s="249"/>
      <c r="B7050" s="266"/>
      <c r="C7050" s="36"/>
      <c r="D7050" s="36"/>
      <c r="E7050" s="37"/>
      <c r="F7050" s="46" t="s">
        <v>23</v>
      </c>
      <c r="G7050" s="35" t="str">
        <f t="shared" si="197"/>
        <v/>
      </c>
      <c r="H7050" s="39"/>
      <c r="I7050" s="35"/>
      <c r="J7050" s="34">
        <v>0</v>
      </c>
    </row>
    <row r="7051" spans="1:10" ht="15.75" hidden="1" thickBot="1" x14ac:dyDescent="0.3">
      <c r="A7051" s="249"/>
      <c r="B7051" s="266"/>
      <c r="C7051" s="40" t="s">
        <v>4457</v>
      </c>
      <c r="D7051" s="40" t="s">
        <v>291</v>
      </c>
      <c r="E7051" s="75">
        <v>1</v>
      </c>
      <c r="F7051" s="35">
        <v>12.2645</v>
      </c>
      <c r="G7051" s="35">
        <f t="shared" si="197"/>
        <v>12.2645</v>
      </c>
      <c r="H7051" s="43">
        <f t="shared" ref="H7051:H7111" si="205">SUM(G7051:G7051)</f>
        <v>12.2645</v>
      </c>
      <c r="I7051" s="44"/>
      <c r="J7051" s="34">
        <v>0</v>
      </c>
    </row>
    <row r="7052" spans="1:10" ht="15.75" hidden="1" thickBot="1" x14ac:dyDescent="0.3">
      <c r="A7052" s="250"/>
      <c r="B7052" s="253"/>
      <c r="C7052" s="60"/>
      <c r="D7052" s="60"/>
      <c r="E7052" s="79"/>
      <c r="F7052" s="87" t="s">
        <v>23</v>
      </c>
      <c r="G7052" s="87" t="str">
        <f t="shared" si="197"/>
        <v/>
      </c>
      <c r="H7052" s="89"/>
      <c r="I7052" s="35"/>
      <c r="J7052" s="34">
        <v>0</v>
      </c>
    </row>
    <row r="7053" spans="1:10" ht="15.75" hidden="1" thickBot="1" x14ac:dyDescent="0.3">
      <c r="A7053" s="248" t="s">
        <v>1689</v>
      </c>
      <c r="B7053" s="251" t="s">
        <v>3437</v>
      </c>
      <c r="C7053" s="28"/>
      <c r="D7053" s="29" t="s">
        <v>28</v>
      </c>
      <c r="E7053" s="30"/>
      <c r="F7053" s="45" t="s">
        <v>23</v>
      </c>
      <c r="G7053" s="31" t="str">
        <f t="shared" si="197"/>
        <v/>
      </c>
      <c r="H7053" s="32"/>
      <c r="I7053" s="33"/>
      <c r="J7053" s="34">
        <v>0</v>
      </c>
    </row>
    <row r="7054" spans="1:10" ht="15.75" hidden="1" thickBot="1" x14ac:dyDescent="0.3">
      <c r="A7054" s="249"/>
      <c r="B7054" s="266"/>
      <c r="C7054" s="36"/>
      <c r="D7054" s="36"/>
      <c r="E7054" s="37"/>
      <c r="F7054" s="46" t="s">
        <v>23</v>
      </c>
      <c r="G7054" s="35" t="str">
        <f t="shared" si="197"/>
        <v/>
      </c>
      <c r="H7054" s="39"/>
      <c r="I7054" s="35"/>
      <c r="J7054" s="34">
        <v>0</v>
      </c>
    </row>
    <row r="7055" spans="1:10" ht="15.75" hidden="1" thickBot="1" x14ac:dyDescent="0.3">
      <c r="A7055" s="249"/>
      <c r="B7055" s="266"/>
      <c r="C7055" s="40" t="s">
        <v>4458</v>
      </c>
      <c r="D7055" s="40" t="s">
        <v>291</v>
      </c>
      <c r="E7055" s="75">
        <v>1</v>
      </c>
      <c r="F7055" s="35">
        <v>16.330500000000001</v>
      </c>
      <c r="G7055" s="35">
        <f t="shared" si="197"/>
        <v>16.330500000000001</v>
      </c>
      <c r="H7055" s="43">
        <f t="shared" si="205"/>
        <v>16.330500000000001</v>
      </c>
      <c r="I7055" s="44"/>
      <c r="J7055" s="34">
        <v>0</v>
      </c>
    </row>
    <row r="7056" spans="1:10" ht="15.75" hidden="1" thickBot="1" x14ac:dyDescent="0.3">
      <c r="A7056" s="250"/>
      <c r="B7056" s="253"/>
      <c r="C7056" s="60"/>
      <c r="D7056" s="60"/>
      <c r="E7056" s="79"/>
      <c r="F7056" s="87" t="s">
        <v>23</v>
      </c>
      <c r="G7056" s="87" t="str">
        <f t="shared" si="197"/>
        <v/>
      </c>
      <c r="H7056" s="89"/>
      <c r="I7056" s="35"/>
      <c r="J7056" s="34">
        <v>0</v>
      </c>
    </row>
    <row r="7057" spans="1:10" ht="15.75" hidden="1" thickBot="1" x14ac:dyDescent="0.3">
      <c r="A7057" s="248" t="s">
        <v>1690</v>
      </c>
      <c r="B7057" s="251" t="s">
        <v>3438</v>
      </c>
      <c r="C7057" s="28"/>
      <c r="D7057" s="29" t="s">
        <v>28</v>
      </c>
      <c r="E7057" s="30"/>
      <c r="F7057" s="45" t="s">
        <v>23</v>
      </c>
      <c r="G7057" s="31" t="str">
        <f t="shared" si="197"/>
        <v/>
      </c>
      <c r="H7057" s="32"/>
      <c r="I7057" s="33"/>
      <c r="J7057" s="34">
        <v>0</v>
      </c>
    </row>
    <row r="7058" spans="1:10" ht="15.75" hidden="1" thickBot="1" x14ac:dyDescent="0.3">
      <c r="A7058" s="249"/>
      <c r="B7058" s="266"/>
      <c r="C7058" s="36"/>
      <c r="D7058" s="36"/>
      <c r="E7058" s="37"/>
      <c r="F7058" s="46" t="s">
        <v>23</v>
      </c>
      <c r="G7058" s="35" t="str">
        <f t="shared" si="197"/>
        <v/>
      </c>
      <c r="H7058" s="39"/>
      <c r="I7058" s="35"/>
      <c r="J7058" s="34">
        <v>0</v>
      </c>
    </row>
    <row r="7059" spans="1:10" ht="26.25" hidden="1" thickBot="1" x14ac:dyDescent="0.3">
      <c r="A7059" s="249"/>
      <c r="B7059" s="266"/>
      <c r="C7059" s="40" t="s">
        <v>4459</v>
      </c>
      <c r="D7059" s="40" t="s">
        <v>291</v>
      </c>
      <c r="E7059" s="75">
        <v>1</v>
      </c>
      <c r="F7059" s="35">
        <v>68.390499999999989</v>
      </c>
      <c r="G7059" s="35">
        <f t="shared" si="197"/>
        <v>68.390499999999989</v>
      </c>
      <c r="H7059" s="43">
        <f t="shared" si="205"/>
        <v>68.390499999999989</v>
      </c>
      <c r="I7059" s="44"/>
      <c r="J7059" s="34">
        <v>0</v>
      </c>
    </row>
    <row r="7060" spans="1:10" ht="15.75" hidden="1" thickBot="1" x14ac:dyDescent="0.3">
      <c r="A7060" s="250"/>
      <c r="B7060" s="253"/>
      <c r="C7060" s="60"/>
      <c r="D7060" s="60"/>
      <c r="E7060" s="79"/>
      <c r="F7060" s="87" t="s">
        <v>23</v>
      </c>
      <c r="G7060" s="87" t="str">
        <f t="shared" si="197"/>
        <v/>
      </c>
      <c r="H7060" s="89"/>
      <c r="I7060" s="35"/>
      <c r="J7060" s="34">
        <v>0</v>
      </c>
    </row>
    <row r="7061" spans="1:10" ht="15.75" hidden="1" thickBot="1" x14ac:dyDescent="0.3">
      <c r="A7061" s="248" t="s">
        <v>1691</v>
      </c>
      <c r="B7061" s="251" t="s">
        <v>3439</v>
      </c>
      <c r="C7061" s="28"/>
      <c r="D7061" s="29" t="s">
        <v>28</v>
      </c>
      <c r="E7061" s="30"/>
      <c r="F7061" s="45" t="s">
        <v>23</v>
      </c>
      <c r="G7061" s="31" t="str">
        <f t="shared" si="197"/>
        <v/>
      </c>
      <c r="H7061" s="32"/>
      <c r="I7061" s="33"/>
      <c r="J7061" s="34">
        <v>0</v>
      </c>
    </row>
    <row r="7062" spans="1:10" ht="15.75" hidden="1" thickBot="1" x14ac:dyDescent="0.3">
      <c r="A7062" s="249"/>
      <c r="B7062" s="266"/>
      <c r="C7062" s="36"/>
      <c r="D7062" s="36"/>
      <c r="E7062" s="37"/>
      <c r="F7062" s="46" t="s">
        <v>23</v>
      </c>
      <c r="G7062" s="35" t="str">
        <f t="shared" si="197"/>
        <v/>
      </c>
      <c r="H7062" s="39"/>
      <c r="I7062" s="35"/>
      <c r="J7062" s="34">
        <v>0</v>
      </c>
    </row>
    <row r="7063" spans="1:10" ht="26.25" hidden="1" thickBot="1" x14ac:dyDescent="0.3">
      <c r="A7063" s="249"/>
      <c r="B7063" s="266"/>
      <c r="C7063" s="40" t="s">
        <v>4460</v>
      </c>
      <c r="D7063" s="40" t="s">
        <v>291</v>
      </c>
      <c r="E7063" s="75">
        <v>1</v>
      </c>
      <c r="F7063" s="35">
        <v>91.693999999999988</v>
      </c>
      <c r="G7063" s="35">
        <f t="shared" si="197"/>
        <v>91.693999999999988</v>
      </c>
      <c r="H7063" s="43">
        <f t="shared" si="205"/>
        <v>91.693999999999988</v>
      </c>
      <c r="I7063" s="44"/>
      <c r="J7063" s="34">
        <v>0</v>
      </c>
    </row>
    <row r="7064" spans="1:10" ht="15.75" hidden="1" thickBot="1" x14ac:dyDescent="0.3">
      <c r="A7064" s="250"/>
      <c r="B7064" s="253"/>
      <c r="C7064" s="60"/>
      <c r="D7064" s="60"/>
      <c r="E7064" s="79"/>
      <c r="F7064" s="87" t="s">
        <v>23</v>
      </c>
      <c r="G7064" s="87" t="str">
        <f t="shared" si="197"/>
        <v/>
      </c>
      <c r="H7064" s="89"/>
      <c r="I7064" s="35"/>
      <c r="J7064" s="34">
        <v>0</v>
      </c>
    </row>
    <row r="7065" spans="1:10" ht="15.75" hidden="1" thickBot="1" x14ac:dyDescent="0.3">
      <c r="A7065" s="248" t="s">
        <v>1692</v>
      </c>
      <c r="B7065" s="251" t="s">
        <v>3440</v>
      </c>
      <c r="C7065" s="28"/>
      <c r="D7065" s="29" t="s">
        <v>28</v>
      </c>
      <c r="E7065" s="30"/>
      <c r="F7065" s="45" t="s">
        <v>23</v>
      </c>
      <c r="G7065" s="31" t="str">
        <f t="shared" si="197"/>
        <v/>
      </c>
      <c r="H7065" s="32"/>
      <c r="I7065" s="33"/>
      <c r="J7065" s="34">
        <v>0</v>
      </c>
    </row>
    <row r="7066" spans="1:10" ht="15.75" hidden="1" thickBot="1" x14ac:dyDescent="0.3">
      <c r="A7066" s="249"/>
      <c r="B7066" s="266"/>
      <c r="C7066" s="36"/>
      <c r="D7066" s="36"/>
      <c r="E7066" s="37"/>
      <c r="F7066" s="46" t="s">
        <v>23</v>
      </c>
      <c r="G7066" s="35" t="str">
        <f t="shared" si="197"/>
        <v/>
      </c>
      <c r="H7066" s="39"/>
      <c r="I7066" s="35"/>
      <c r="J7066" s="34">
        <v>0</v>
      </c>
    </row>
    <row r="7067" spans="1:10" ht="26.25" hidden="1" thickBot="1" x14ac:dyDescent="0.3">
      <c r="A7067" s="249"/>
      <c r="B7067" s="266"/>
      <c r="C7067" s="40" t="s">
        <v>4461</v>
      </c>
      <c r="D7067" s="40" t="s">
        <v>291</v>
      </c>
      <c r="E7067" s="75">
        <v>1</v>
      </c>
      <c r="F7067" s="35">
        <v>100.56699999999999</v>
      </c>
      <c r="G7067" s="35">
        <f t="shared" si="197"/>
        <v>100.56699999999999</v>
      </c>
      <c r="H7067" s="43">
        <f t="shared" si="205"/>
        <v>100.56699999999999</v>
      </c>
      <c r="I7067" s="44"/>
      <c r="J7067" s="34">
        <v>0</v>
      </c>
    </row>
    <row r="7068" spans="1:10" ht="15.75" hidden="1" thickBot="1" x14ac:dyDescent="0.3">
      <c r="A7068" s="250"/>
      <c r="B7068" s="253"/>
      <c r="C7068" s="60"/>
      <c r="D7068" s="60"/>
      <c r="E7068" s="79"/>
      <c r="F7068" s="87" t="s">
        <v>23</v>
      </c>
      <c r="G7068" s="87" t="str">
        <f t="shared" si="197"/>
        <v/>
      </c>
      <c r="H7068" s="89"/>
      <c r="I7068" s="35"/>
      <c r="J7068" s="34">
        <v>0</v>
      </c>
    </row>
    <row r="7069" spans="1:10" ht="15.75" hidden="1" thickBot="1" x14ac:dyDescent="0.3">
      <c r="A7069" s="248" t="s">
        <v>1693</v>
      </c>
      <c r="B7069" s="251" t="s">
        <v>3441</v>
      </c>
      <c r="C7069" s="28"/>
      <c r="D7069" s="29" t="s">
        <v>28</v>
      </c>
      <c r="E7069" s="30"/>
      <c r="F7069" s="45" t="s">
        <v>23</v>
      </c>
      <c r="G7069" s="31" t="str">
        <f t="shared" si="197"/>
        <v/>
      </c>
      <c r="H7069" s="32"/>
      <c r="I7069" s="33"/>
      <c r="J7069" s="34">
        <v>0</v>
      </c>
    </row>
    <row r="7070" spans="1:10" ht="15.75" hidden="1" thickBot="1" x14ac:dyDescent="0.3">
      <c r="A7070" s="249"/>
      <c r="B7070" s="266"/>
      <c r="C7070" s="36"/>
      <c r="D7070" s="36"/>
      <c r="E7070" s="37"/>
      <c r="F7070" s="46" t="s">
        <v>23</v>
      </c>
      <c r="G7070" s="35" t="str">
        <f t="shared" si="197"/>
        <v/>
      </c>
      <c r="H7070" s="39"/>
      <c r="I7070" s="35"/>
      <c r="J7070" s="34">
        <v>0</v>
      </c>
    </row>
    <row r="7071" spans="1:10" ht="26.25" hidden="1" thickBot="1" x14ac:dyDescent="0.3">
      <c r="A7071" s="249"/>
      <c r="B7071" s="266"/>
      <c r="C7071" s="40" t="s">
        <v>4462</v>
      </c>
      <c r="D7071" s="40" t="s">
        <v>291</v>
      </c>
      <c r="E7071" s="75">
        <v>1</v>
      </c>
      <c r="F7071" s="35">
        <v>257.79199999999997</v>
      </c>
      <c r="G7071" s="35">
        <f t="shared" si="197"/>
        <v>257.79199999999997</v>
      </c>
      <c r="H7071" s="43">
        <f t="shared" si="205"/>
        <v>257.79199999999997</v>
      </c>
      <c r="I7071" s="44"/>
      <c r="J7071" s="34">
        <v>0</v>
      </c>
    </row>
    <row r="7072" spans="1:10" ht="15.75" hidden="1" thickBot="1" x14ac:dyDescent="0.3">
      <c r="A7072" s="250"/>
      <c r="B7072" s="253"/>
      <c r="C7072" s="60"/>
      <c r="D7072" s="60"/>
      <c r="E7072" s="79"/>
      <c r="F7072" s="87" t="s">
        <v>23</v>
      </c>
      <c r="G7072" s="87" t="str">
        <f t="shared" si="197"/>
        <v/>
      </c>
      <c r="H7072" s="89"/>
      <c r="I7072" s="35"/>
      <c r="J7072" s="34">
        <v>0</v>
      </c>
    </row>
    <row r="7073" spans="1:10" ht="15.75" hidden="1" thickBot="1" x14ac:dyDescent="0.3">
      <c r="A7073" s="248" t="s">
        <v>1694</v>
      </c>
      <c r="B7073" s="251" t="s">
        <v>3442</v>
      </c>
      <c r="C7073" s="28"/>
      <c r="D7073" s="29" t="s">
        <v>28</v>
      </c>
      <c r="E7073" s="30"/>
      <c r="F7073" s="45" t="s">
        <v>23</v>
      </c>
      <c r="G7073" s="31" t="str">
        <f t="shared" si="197"/>
        <v/>
      </c>
      <c r="H7073" s="32"/>
      <c r="I7073" s="33"/>
      <c r="J7073" s="34">
        <v>0</v>
      </c>
    </row>
    <row r="7074" spans="1:10" ht="15.75" hidden="1" thickBot="1" x14ac:dyDescent="0.3">
      <c r="A7074" s="249"/>
      <c r="B7074" s="266"/>
      <c r="C7074" s="36"/>
      <c r="D7074" s="36"/>
      <c r="E7074" s="37"/>
      <c r="F7074" s="46" t="s">
        <v>23</v>
      </c>
      <c r="G7074" s="35" t="str">
        <f t="shared" si="197"/>
        <v/>
      </c>
      <c r="H7074" s="39"/>
      <c r="I7074" s="35"/>
      <c r="J7074" s="34">
        <v>0</v>
      </c>
    </row>
    <row r="7075" spans="1:10" ht="26.25" hidden="1" thickBot="1" x14ac:dyDescent="0.3">
      <c r="A7075" s="249"/>
      <c r="B7075" s="266"/>
      <c r="C7075" s="40" t="s">
        <v>4463</v>
      </c>
      <c r="D7075" s="40" t="s">
        <v>291</v>
      </c>
      <c r="E7075" s="75">
        <v>1</v>
      </c>
      <c r="F7075" s="35">
        <v>361.89299999999997</v>
      </c>
      <c r="G7075" s="35">
        <f t="shared" si="197"/>
        <v>361.89299999999997</v>
      </c>
      <c r="H7075" s="43">
        <f t="shared" si="205"/>
        <v>361.89299999999997</v>
      </c>
      <c r="I7075" s="44"/>
      <c r="J7075" s="34">
        <v>0</v>
      </c>
    </row>
    <row r="7076" spans="1:10" ht="15.75" hidden="1" thickBot="1" x14ac:dyDescent="0.3">
      <c r="A7076" s="250"/>
      <c r="B7076" s="253"/>
      <c r="C7076" s="60"/>
      <c r="D7076" s="60"/>
      <c r="E7076" s="79"/>
      <c r="F7076" s="87" t="s">
        <v>23</v>
      </c>
      <c r="G7076" s="87" t="str">
        <f t="shared" si="197"/>
        <v/>
      </c>
      <c r="H7076" s="89"/>
      <c r="I7076" s="35"/>
      <c r="J7076" s="34">
        <v>0</v>
      </c>
    </row>
    <row r="7077" spans="1:10" ht="15.75" hidden="1" thickBot="1" x14ac:dyDescent="0.3">
      <c r="A7077" s="248" t="s">
        <v>1695</v>
      </c>
      <c r="B7077" s="251" t="s">
        <v>3443</v>
      </c>
      <c r="C7077" s="28"/>
      <c r="D7077" s="29" t="s">
        <v>28</v>
      </c>
      <c r="E7077" s="30"/>
      <c r="F7077" s="45" t="s">
        <v>23</v>
      </c>
      <c r="G7077" s="31" t="str">
        <f t="shared" si="197"/>
        <v/>
      </c>
      <c r="H7077" s="32"/>
      <c r="I7077" s="33"/>
      <c r="J7077" s="34">
        <v>0</v>
      </c>
    </row>
    <row r="7078" spans="1:10" ht="15.75" hidden="1" thickBot="1" x14ac:dyDescent="0.3">
      <c r="A7078" s="249"/>
      <c r="B7078" s="266"/>
      <c r="C7078" s="36"/>
      <c r="D7078" s="36"/>
      <c r="E7078" s="37"/>
      <c r="F7078" s="46" t="s">
        <v>23</v>
      </c>
      <c r="G7078" s="35" t="str">
        <f t="shared" si="197"/>
        <v/>
      </c>
      <c r="H7078" s="39"/>
      <c r="I7078" s="35"/>
      <c r="J7078" s="34">
        <v>0</v>
      </c>
    </row>
    <row r="7079" spans="1:10" ht="26.25" hidden="1" thickBot="1" x14ac:dyDescent="0.3">
      <c r="A7079" s="249"/>
      <c r="B7079" s="266"/>
      <c r="C7079" s="40" t="s">
        <v>4070</v>
      </c>
      <c r="D7079" s="40" t="s">
        <v>291</v>
      </c>
      <c r="E7079" s="75">
        <v>1</v>
      </c>
      <c r="F7079" s="35">
        <v>32.841499999999996</v>
      </c>
      <c r="G7079" s="35">
        <f t="shared" si="197"/>
        <v>32.841499999999996</v>
      </c>
      <c r="H7079" s="43">
        <f t="shared" si="205"/>
        <v>32.841499999999996</v>
      </c>
      <c r="I7079" s="44"/>
      <c r="J7079" s="34">
        <v>0</v>
      </c>
    </row>
    <row r="7080" spans="1:10" ht="15.75" hidden="1" thickBot="1" x14ac:dyDescent="0.3">
      <c r="A7080" s="250"/>
      <c r="B7080" s="253"/>
      <c r="C7080" s="60"/>
      <c r="D7080" s="60"/>
      <c r="E7080" s="79"/>
      <c r="F7080" s="87" t="s">
        <v>23</v>
      </c>
      <c r="G7080" s="87" t="str">
        <f t="shared" si="197"/>
        <v/>
      </c>
      <c r="H7080" s="89"/>
      <c r="I7080" s="35"/>
      <c r="J7080" s="34">
        <v>0</v>
      </c>
    </row>
    <row r="7081" spans="1:10" ht="15.75" hidden="1" thickBot="1" x14ac:dyDescent="0.3">
      <c r="A7081" s="248" t="s">
        <v>1696</v>
      </c>
      <c r="B7081" s="251" t="s">
        <v>3444</v>
      </c>
      <c r="C7081" s="28"/>
      <c r="D7081" s="29" t="s">
        <v>28</v>
      </c>
      <c r="E7081" s="30"/>
      <c r="F7081" s="45" t="s">
        <v>23</v>
      </c>
      <c r="G7081" s="31" t="str">
        <f t="shared" si="197"/>
        <v/>
      </c>
      <c r="H7081" s="32"/>
      <c r="I7081" s="33"/>
      <c r="J7081" s="34">
        <v>0</v>
      </c>
    </row>
    <row r="7082" spans="1:10" ht="15.75" hidden="1" thickBot="1" x14ac:dyDescent="0.3">
      <c r="A7082" s="249"/>
      <c r="B7082" s="266"/>
      <c r="C7082" s="36"/>
      <c r="D7082" s="36"/>
      <c r="E7082" s="37"/>
      <c r="F7082" s="46" t="s">
        <v>23</v>
      </c>
      <c r="G7082" s="35" t="str">
        <f t="shared" si="197"/>
        <v/>
      </c>
      <c r="H7082" s="39"/>
      <c r="I7082" s="35"/>
      <c r="J7082" s="34">
        <v>0</v>
      </c>
    </row>
    <row r="7083" spans="1:10" ht="26.25" hidden="1" thickBot="1" x14ac:dyDescent="0.3">
      <c r="A7083" s="249"/>
      <c r="B7083" s="266"/>
      <c r="C7083" s="40" t="s">
        <v>4464</v>
      </c>
      <c r="D7083" s="40" t="s">
        <v>291</v>
      </c>
      <c r="E7083" s="75">
        <v>1</v>
      </c>
      <c r="F7083" s="35">
        <v>166.39249999999998</v>
      </c>
      <c r="G7083" s="35">
        <f t="shared" si="197"/>
        <v>166.39249999999998</v>
      </c>
      <c r="H7083" s="43">
        <f t="shared" si="205"/>
        <v>166.39249999999998</v>
      </c>
      <c r="I7083" s="44"/>
      <c r="J7083" s="34">
        <v>0</v>
      </c>
    </row>
    <row r="7084" spans="1:10" ht="15.75" hidden="1" thickBot="1" x14ac:dyDescent="0.3">
      <c r="A7084" s="250"/>
      <c r="B7084" s="253"/>
      <c r="C7084" s="60"/>
      <c r="D7084" s="60"/>
      <c r="E7084" s="79"/>
      <c r="F7084" s="87" t="s">
        <v>23</v>
      </c>
      <c r="G7084" s="87" t="str">
        <f t="shared" si="197"/>
        <v/>
      </c>
      <c r="H7084" s="89"/>
      <c r="I7084" s="35"/>
      <c r="J7084" s="34">
        <v>0</v>
      </c>
    </row>
    <row r="7085" spans="1:10" ht="15.75" hidden="1" thickBot="1" x14ac:dyDescent="0.3">
      <c r="A7085" s="248" t="s">
        <v>1697</v>
      </c>
      <c r="B7085" s="251" t="s">
        <v>3445</v>
      </c>
      <c r="C7085" s="28"/>
      <c r="D7085" s="29" t="s">
        <v>28</v>
      </c>
      <c r="E7085" s="30"/>
      <c r="F7085" s="45" t="s">
        <v>23</v>
      </c>
      <c r="G7085" s="31" t="str">
        <f t="shared" ref="G7085:G7148" si="206">IF(ISNUMBER(F7085),E7085*F7085,"")</f>
        <v/>
      </c>
      <c r="H7085" s="32"/>
      <c r="I7085" s="33"/>
      <c r="J7085" s="34">
        <v>0</v>
      </c>
    </row>
    <row r="7086" spans="1:10" ht="15.75" hidden="1" thickBot="1" x14ac:dyDescent="0.3">
      <c r="A7086" s="249"/>
      <c r="B7086" s="266"/>
      <c r="C7086" s="36"/>
      <c r="D7086" s="36"/>
      <c r="E7086" s="37"/>
      <c r="F7086" s="46" t="s">
        <v>23</v>
      </c>
      <c r="G7086" s="35" t="str">
        <f t="shared" si="206"/>
        <v/>
      </c>
      <c r="H7086" s="39"/>
      <c r="I7086" s="35"/>
      <c r="J7086" s="34">
        <v>0</v>
      </c>
    </row>
    <row r="7087" spans="1:10" ht="15.75" hidden="1" thickBot="1" x14ac:dyDescent="0.3">
      <c r="A7087" s="249"/>
      <c r="B7087" s="266"/>
      <c r="C7087" s="40" t="s">
        <v>4465</v>
      </c>
      <c r="D7087" s="40" t="s">
        <v>291</v>
      </c>
      <c r="E7087" s="75">
        <v>1</v>
      </c>
      <c r="F7087" s="35">
        <v>41.353499999999997</v>
      </c>
      <c r="G7087" s="35">
        <f t="shared" si="206"/>
        <v>41.353499999999997</v>
      </c>
      <c r="H7087" s="43">
        <f t="shared" si="205"/>
        <v>41.353499999999997</v>
      </c>
      <c r="I7087" s="44"/>
      <c r="J7087" s="34">
        <v>0</v>
      </c>
    </row>
    <row r="7088" spans="1:10" ht="15.75" hidden="1" thickBot="1" x14ac:dyDescent="0.3">
      <c r="A7088" s="250"/>
      <c r="B7088" s="253"/>
      <c r="C7088" s="60"/>
      <c r="D7088" s="60"/>
      <c r="E7088" s="79"/>
      <c r="F7088" s="87" t="s">
        <v>23</v>
      </c>
      <c r="G7088" s="87" t="str">
        <f t="shared" si="206"/>
        <v/>
      </c>
      <c r="H7088" s="89"/>
      <c r="I7088" s="35"/>
      <c r="J7088" s="34">
        <v>0</v>
      </c>
    </row>
    <row r="7089" spans="1:10" ht="15.75" hidden="1" thickBot="1" x14ac:dyDescent="0.3">
      <c r="A7089" s="248" t="s">
        <v>1698</v>
      </c>
      <c r="B7089" s="251" t="s">
        <v>3446</v>
      </c>
      <c r="C7089" s="28"/>
      <c r="D7089" s="29" t="s">
        <v>28</v>
      </c>
      <c r="E7089" s="30"/>
      <c r="F7089" s="45" t="s">
        <v>23</v>
      </c>
      <c r="G7089" s="31" t="str">
        <f t="shared" si="206"/>
        <v/>
      </c>
      <c r="H7089" s="32"/>
      <c r="I7089" s="33"/>
      <c r="J7089" s="34">
        <v>0</v>
      </c>
    </row>
    <row r="7090" spans="1:10" ht="15.75" hidden="1" thickBot="1" x14ac:dyDescent="0.3">
      <c r="A7090" s="249"/>
      <c r="B7090" s="266"/>
      <c r="C7090" s="36"/>
      <c r="D7090" s="36"/>
      <c r="E7090" s="37"/>
      <c r="F7090" s="46" t="s">
        <v>23</v>
      </c>
      <c r="G7090" s="35" t="str">
        <f t="shared" si="206"/>
        <v/>
      </c>
      <c r="H7090" s="39"/>
      <c r="I7090" s="35"/>
      <c r="J7090" s="34">
        <v>0</v>
      </c>
    </row>
    <row r="7091" spans="1:10" ht="15.75" hidden="1" thickBot="1" x14ac:dyDescent="0.3">
      <c r="A7091" s="249"/>
      <c r="B7091" s="266"/>
      <c r="C7091" s="40" t="s">
        <v>4466</v>
      </c>
      <c r="D7091" s="40" t="s">
        <v>291</v>
      </c>
      <c r="E7091" s="75">
        <v>1</v>
      </c>
      <c r="F7091" s="35">
        <v>9.3004999999999995</v>
      </c>
      <c r="G7091" s="35">
        <f t="shared" si="206"/>
        <v>9.3004999999999995</v>
      </c>
      <c r="H7091" s="43">
        <f t="shared" si="205"/>
        <v>9.3004999999999995</v>
      </c>
      <c r="I7091" s="44"/>
      <c r="J7091" s="34">
        <v>0</v>
      </c>
    </row>
    <row r="7092" spans="1:10" ht="15.75" hidden="1" thickBot="1" x14ac:dyDescent="0.3">
      <c r="A7092" s="250"/>
      <c r="B7092" s="253"/>
      <c r="C7092" s="60"/>
      <c r="D7092" s="60"/>
      <c r="E7092" s="79"/>
      <c r="F7092" s="87" t="s">
        <v>23</v>
      </c>
      <c r="G7092" s="87" t="str">
        <f t="shared" si="206"/>
        <v/>
      </c>
      <c r="H7092" s="89"/>
      <c r="I7092" s="35"/>
      <c r="J7092" s="34">
        <v>0</v>
      </c>
    </row>
    <row r="7093" spans="1:10" ht="15.75" hidden="1" thickBot="1" x14ac:dyDescent="0.3">
      <c r="A7093" s="248" t="s">
        <v>1699</v>
      </c>
      <c r="B7093" s="251" t="s">
        <v>3447</v>
      </c>
      <c r="C7093" s="28"/>
      <c r="D7093" s="29" t="s">
        <v>28</v>
      </c>
      <c r="E7093" s="30"/>
      <c r="F7093" s="45" t="s">
        <v>23</v>
      </c>
      <c r="G7093" s="31" t="str">
        <f t="shared" si="206"/>
        <v/>
      </c>
      <c r="H7093" s="32"/>
      <c r="I7093" s="33"/>
      <c r="J7093" s="34">
        <v>0</v>
      </c>
    </row>
    <row r="7094" spans="1:10" ht="15.75" hidden="1" thickBot="1" x14ac:dyDescent="0.3">
      <c r="A7094" s="249"/>
      <c r="B7094" s="266"/>
      <c r="C7094" s="36"/>
      <c r="D7094" s="36"/>
      <c r="E7094" s="37"/>
      <c r="F7094" s="46" t="s">
        <v>23</v>
      </c>
      <c r="G7094" s="35" t="str">
        <f t="shared" si="206"/>
        <v/>
      </c>
      <c r="H7094" s="39"/>
      <c r="I7094" s="35"/>
      <c r="J7094" s="34">
        <v>0</v>
      </c>
    </row>
    <row r="7095" spans="1:10" ht="15.75" hidden="1" thickBot="1" x14ac:dyDescent="0.3">
      <c r="A7095" s="249"/>
      <c r="B7095" s="266"/>
      <c r="C7095" s="40" t="s">
        <v>4467</v>
      </c>
      <c r="D7095" s="40" t="s">
        <v>291</v>
      </c>
      <c r="E7095" s="75">
        <v>1</v>
      </c>
      <c r="F7095" s="35">
        <v>124.37399999999998</v>
      </c>
      <c r="G7095" s="35">
        <f t="shared" si="206"/>
        <v>124.37399999999998</v>
      </c>
      <c r="H7095" s="43">
        <f t="shared" si="205"/>
        <v>124.37399999999998</v>
      </c>
      <c r="I7095" s="44"/>
      <c r="J7095" s="34">
        <v>0</v>
      </c>
    </row>
    <row r="7096" spans="1:10" ht="15.75" hidden="1" thickBot="1" x14ac:dyDescent="0.3">
      <c r="A7096" s="250"/>
      <c r="B7096" s="253"/>
      <c r="C7096" s="60"/>
      <c r="D7096" s="60"/>
      <c r="E7096" s="79"/>
      <c r="F7096" s="87" t="s">
        <v>23</v>
      </c>
      <c r="G7096" s="87" t="str">
        <f t="shared" si="206"/>
        <v/>
      </c>
      <c r="H7096" s="89"/>
      <c r="I7096" s="35"/>
      <c r="J7096" s="34">
        <v>0</v>
      </c>
    </row>
    <row r="7097" spans="1:10" ht="15.75" hidden="1" thickBot="1" x14ac:dyDescent="0.3">
      <c r="A7097" s="248" t="s">
        <v>1700</v>
      </c>
      <c r="B7097" s="251" t="s">
        <v>3448</v>
      </c>
      <c r="C7097" s="28"/>
      <c r="D7097" s="29" t="s">
        <v>28</v>
      </c>
      <c r="E7097" s="30"/>
      <c r="F7097" s="45" t="s">
        <v>23</v>
      </c>
      <c r="G7097" s="31" t="str">
        <f t="shared" si="206"/>
        <v/>
      </c>
      <c r="H7097" s="32"/>
      <c r="I7097" s="33"/>
      <c r="J7097" s="34">
        <v>0</v>
      </c>
    </row>
    <row r="7098" spans="1:10" ht="15.75" hidden="1" thickBot="1" x14ac:dyDescent="0.3">
      <c r="A7098" s="249"/>
      <c r="B7098" s="266"/>
      <c r="C7098" s="36"/>
      <c r="D7098" s="36"/>
      <c r="E7098" s="37"/>
      <c r="F7098" s="46" t="s">
        <v>23</v>
      </c>
      <c r="G7098" s="35" t="str">
        <f t="shared" si="206"/>
        <v/>
      </c>
      <c r="H7098" s="39"/>
      <c r="I7098" s="35"/>
      <c r="J7098" s="34">
        <v>0</v>
      </c>
    </row>
    <row r="7099" spans="1:10" ht="15.75" hidden="1" thickBot="1" x14ac:dyDescent="0.3">
      <c r="A7099" s="249"/>
      <c r="B7099" s="266"/>
      <c r="C7099" s="40" t="s">
        <v>4468</v>
      </c>
      <c r="D7099" s="40" t="s">
        <v>291</v>
      </c>
      <c r="E7099" s="75">
        <v>1</v>
      </c>
      <c r="F7099" s="35">
        <v>65.502499999999998</v>
      </c>
      <c r="G7099" s="35">
        <f t="shared" si="206"/>
        <v>65.502499999999998</v>
      </c>
      <c r="H7099" s="43">
        <f t="shared" si="205"/>
        <v>65.502499999999998</v>
      </c>
      <c r="I7099" s="44"/>
      <c r="J7099" s="34">
        <v>0</v>
      </c>
    </row>
    <row r="7100" spans="1:10" ht="15.75" hidden="1" thickBot="1" x14ac:dyDescent="0.3">
      <c r="A7100" s="250"/>
      <c r="B7100" s="253"/>
      <c r="C7100" s="60"/>
      <c r="D7100" s="60"/>
      <c r="E7100" s="79"/>
      <c r="F7100" s="87" t="s">
        <v>23</v>
      </c>
      <c r="G7100" s="87" t="str">
        <f t="shared" si="206"/>
        <v/>
      </c>
      <c r="H7100" s="89"/>
      <c r="I7100" s="35"/>
      <c r="J7100" s="34">
        <v>0</v>
      </c>
    </row>
    <row r="7101" spans="1:10" ht="15.75" hidden="1" thickBot="1" x14ac:dyDescent="0.3">
      <c r="A7101" s="248" t="s">
        <v>1701</v>
      </c>
      <c r="B7101" s="251" t="s">
        <v>3449</v>
      </c>
      <c r="C7101" s="28"/>
      <c r="D7101" s="29" t="s">
        <v>28</v>
      </c>
      <c r="E7101" s="30"/>
      <c r="F7101" s="45" t="s">
        <v>23</v>
      </c>
      <c r="G7101" s="31" t="str">
        <f t="shared" si="206"/>
        <v/>
      </c>
      <c r="H7101" s="32"/>
      <c r="I7101" s="33"/>
      <c r="J7101" s="34">
        <v>0</v>
      </c>
    </row>
    <row r="7102" spans="1:10" ht="15.75" hidden="1" thickBot="1" x14ac:dyDescent="0.3">
      <c r="A7102" s="249"/>
      <c r="B7102" s="266"/>
      <c r="C7102" s="36"/>
      <c r="D7102" s="36"/>
      <c r="E7102" s="37"/>
      <c r="F7102" s="46" t="s">
        <v>23</v>
      </c>
      <c r="G7102" s="35" t="str">
        <f t="shared" si="206"/>
        <v/>
      </c>
      <c r="H7102" s="39"/>
      <c r="I7102" s="35"/>
      <c r="J7102" s="34">
        <v>0</v>
      </c>
    </row>
    <row r="7103" spans="1:10" ht="26.25" hidden="1" thickBot="1" x14ac:dyDescent="0.3">
      <c r="A7103" s="249"/>
      <c r="B7103" s="266"/>
      <c r="C7103" s="40" t="s">
        <v>4469</v>
      </c>
      <c r="D7103" s="40" t="s">
        <v>291</v>
      </c>
      <c r="E7103" s="75">
        <v>1</v>
      </c>
      <c r="F7103" s="35">
        <v>72.513499999999993</v>
      </c>
      <c r="G7103" s="35">
        <f t="shared" si="206"/>
        <v>72.513499999999993</v>
      </c>
      <c r="H7103" s="43">
        <f t="shared" si="205"/>
        <v>72.513499999999993</v>
      </c>
      <c r="I7103" s="44"/>
      <c r="J7103" s="34">
        <v>0</v>
      </c>
    </row>
    <row r="7104" spans="1:10" ht="15.75" hidden="1" thickBot="1" x14ac:dyDescent="0.3">
      <c r="A7104" s="250"/>
      <c r="B7104" s="253"/>
      <c r="C7104" s="60"/>
      <c r="D7104" s="60"/>
      <c r="E7104" s="79"/>
      <c r="F7104" s="87" t="s">
        <v>23</v>
      </c>
      <c r="G7104" s="87" t="str">
        <f t="shared" si="206"/>
        <v/>
      </c>
      <c r="H7104" s="89"/>
      <c r="I7104" s="35"/>
      <c r="J7104" s="34">
        <v>0</v>
      </c>
    </row>
    <row r="7105" spans="1:10" ht="15.75" hidden="1" thickBot="1" x14ac:dyDescent="0.3">
      <c r="A7105" s="248" t="s">
        <v>1702</v>
      </c>
      <c r="B7105" s="251" t="s">
        <v>3450</v>
      </c>
      <c r="C7105" s="28"/>
      <c r="D7105" s="29" t="s">
        <v>28</v>
      </c>
      <c r="E7105" s="30"/>
      <c r="F7105" s="45" t="s">
        <v>23</v>
      </c>
      <c r="G7105" s="31" t="str">
        <f t="shared" si="206"/>
        <v/>
      </c>
      <c r="H7105" s="32"/>
      <c r="I7105" s="33"/>
      <c r="J7105" s="34">
        <v>0</v>
      </c>
    </row>
    <row r="7106" spans="1:10" ht="15.75" hidden="1" thickBot="1" x14ac:dyDescent="0.3">
      <c r="A7106" s="249"/>
      <c r="B7106" s="266"/>
      <c r="C7106" s="36"/>
      <c r="D7106" s="36"/>
      <c r="E7106" s="37"/>
      <c r="F7106" s="46" t="s">
        <v>23</v>
      </c>
      <c r="G7106" s="35" t="str">
        <f t="shared" si="206"/>
        <v/>
      </c>
      <c r="H7106" s="39"/>
      <c r="I7106" s="35"/>
      <c r="J7106" s="34">
        <v>0</v>
      </c>
    </row>
    <row r="7107" spans="1:10" ht="26.25" hidden="1" thickBot="1" x14ac:dyDescent="0.3">
      <c r="A7107" s="249"/>
      <c r="B7107" s="266"/>
      <c r="C7107" s="40" t="s">
        <v>4470</v>
      </c>
      <c r="D7107" s="40" t="s">
        <v>291</v>
      </c>
      <c r="E7107" s="75">
        <v>1</v>
      </c>
      <c r="F7107" s="35">
        <v>3.6669999999999998</v>
      </c>
      <c r="G7107" s="35">
        <f t="shared" si="206"/>
        <v>3.6669999999999998</v>
      </c>
      <c r="H7107" s="43">
        <f t="shared" si="205"/>
        <v>3.6669999999999998</v>
      </c>
      <c r="I7107" s="44"/>
      <c r="J7107" s="34">
        <v>0</v>
      </c>
    </row>
    <row r="7108" spans="1:10" ht="15.75" hidden="1" thickBot="1" x14ac:dyDescent="0.3">
      <c r="A7108" s="250"/>
      <c r="B7108" s="253"/>
      <c r="C7108" s="60"/>
      <c r="D7108" s="60"/>
      <c r="E7108" s="79"/>
      <c r="F7108" s="87" t="s">
        <v>23</v>
      </c>
      <c r="G7108" s="87" t="str">
        <f t="shared" si="206"/>
        <v/>
      </c>
      <c r="H7108" s="89"/>
      <c r="I7108" s="35"/>
      <c r="J7108" s="34">
        <v>0</v>
      </c>
    </row>
    <row r="7109" spans="1:10" ht="15.75" hidden="1" thickBot="1" x14ac:dyDescent="0.3">
      <c r="A7109" s="248" t="s">
        <v>1703</v>
      </c>
      <c r="B7109" s="251" t="s">
        <v>3451</v>
      </c>
      <c r="C7109" s="28"/>
      <c r="D7109" s="29" t="s">
        <v>28</v>
      </c>
      <c r="E7109" s="30"/>
      <c r="F7109" s="45" t="s">
        <v>23</v>
      </c>
      <c r="G7109" s="31" t="str">
        <f t="shared" si="206"/>
        <v/>
      </c>
      <c r="H7109" s="32"/>
      <c r="I7109" s="33"/>
      <c r="J7109" s="34">
        <v>0</v>
      </c>
    </row>
    <row r="7110" spans="1:10" ht="15.75" hidden="1" thickBot="1" x14ac:dyDescent="0.3">
      <c r="A7110" s="249"/>
      <c r="B7110" s="266"/>
      <c r="C7110" s="36"/>
      <c r="D7110" s="36"/>
      <c r="E7110" s="37"/>
      <c r="F7110" s="46" t="s">
        <v>23</v>
      </c>
      <c r="G7110" s="35" t="str">
        <f t="shared" si="206"/>
        <v/>
      </c>
      <c r="H7110" s="39"/>
      <c r="I7110" s="35"/>
      <c r="J7110" s="34">
        <v>0</v>
      </c>
    </row>
    <row r="7111" spans="1:10" ht="26.25" hidden="1" thickBot="1" x14ac:dyDescent="0.3">
      <c r="A7111" s="249"/>
      <c r="B7111" s="266"/>
      <c r="C7111" s="40" t="s">
        <v>4471</v>
      </c>
      <c r="D7111" s="40" t="s">
        <v>291</v>
      </c>
      <c r="E7111" s="75">
        <v>1</v>
      </c>
      <c r="F7111" s="35">
        <v>7.3434999999999997</v>
      </c>
      <c r="G7111" s="35">
        <f t="shared" si="206"/>
        <v>7.3434999999999997</v>
      </c>
      <c r="H7111" s="43">
        <f t="shared" si="205"/>
        <v>7.3434999999999997</v>
      </c>
      <c r="I7111" s="44"/>
      <c r="J7111" s="34">
        <v>0</v>
      </c>
    </row>
    <row r="7112" spans="1:10" ht="15.75" hidden="1" thickBot="1" x14ac:dyDescent="0.3">
      <c r="A7112" s="250"/>
      <c r="B7112" s="253"/>
      <c r="C7112" s="60"/>
      <c r="D7112" s="60"/>
      <c r="E7112" s="79"/>
      <c r="F7112" s="87" t="s">
        <v>23</v>
      </c>
      <c r="G7112" s="87" t="str">
        <f t="shared" si="206"/>
        <v/>
      </c>
      <c r="H7112" s="89"/>
      <c r="I7112" s="35"/>
      <c r="J7112" s="34">
        <v>0</v>
      </c>
    </row>
    <row r="7113" spans="1:10" ht="15.75" hidden="1" thickBot="1" x14ac:dyDescent="0.3">
      <c r="A7113" s="248" t="s">
        <v>1704</v>
      </c>
      <c r="B7113" s="251" t="s">
        <v>3452</v>
      </c>
      <c r="C7113" s="28"/>
      <c r="D7113" s="29" t="s">
        <v>28</v>
      </c>
      <c r="E7113" s="30"/>
      <c r="F7113" s="45" t="s">
        <v>23</v>
      </c>
      <c r="G7113" s="31" t="str">
        <f t="shared" si="206"/>
        <v/>
      </c>
      <c r="H7113" s="32"/>
      <c r="I7113" s="33"/>
      <c r="J7113" s="34">
        <v>0</v>
      </c>
    </row>
    <row r="7114" spans="1:10" ht="15.75" hidden="1" thickBot="1" x14ac:dyDescent="0.3">
      <c r="A7114" s="249"/>
      <c r="B7114" s="266"/>
      <c r="C7114" s="36"/>
      <c r="D7114" s="36"/>
      <c r="E7114" s="37"/>
      <c r="F7114" s="46" t="s">
        <v>23</v>
      </c>
      <c r="G7114" s="35" t="str">
        <f t="shared" si="206"/>
        <v/>
      </c>
      <c r="H7114" s="39"/>
      <c r="I7114" s="35"/>
      <c r="J7114" s="34">
        <v>0</v>
      </c>
    </row>
    <row r="7115" spans="1:10" ht="15.75" hidden="1" thickBot="1" x14ac:dyDescent="0.3">
      <c r="A7115" s="249"/>
      <c r="B7115" s="266"/>
      <c r="C7115" s="40" t="s">
        <v>4472</v>
      </c>
      <c r="D7115" s="40" t="s">
        <v>291</v>
      </c>
      <c r="E7115" s="75">
        <v>1</v>
      </c>
      <c r="F7115" s="35">
        <v>1.8049999999999999</v>
      </c>
      <c r="G7115" s="35">
        <f t="shared" si="206"/>
        <v>1.8049999999999999</v>
      </c>
      <c r="H7115" s="43">
        <f t="shared" ref="H7115:H7211" si="207">SUM(G7115:G7115)</f>
        <v>1.8049999999999999</v>
      </c>
      <c r="I7115" s="44"/>
      <c r="J7115" s="34">
        <v>0</v>
      </c>
    </row>
    <row r="7116" spans="1:10" ht="15.75" hidden="1" thickBot="1" x14ac:dyDescent="0.3">
      <c r="A7116" s="250"/>
      <c r="B7116" s="253"/>
      <c r="C7116" s="60"/>
      <c r="D7116" s="60"/>
      <c r="E7116" s="79"/>
      <c r="F7116" s="87" t="s">
        <v>23</v>
      </c>
      <c r="G7116" s="87" t="str">
        <f t="shared" si="206"/>
        <v/>
      </c>
      <c r="H7116" s="89"/>
      <c r="I7116" s="35"/>
      <c r="J7116" s="34">
        <v>0</v>
      </c>
    </row>
    <row r="7117" spans="1:10" ht="15.75" hidden="1" thickBot="1" x14ac:dyDescent="0.3">
      <c r="A7117" s="248" t="s">
        <v>1705</v>
      </c>
      <c r="B7117" s="251" t="s">
        <v>3453</v>
      </c>
      <c r="C7117" s="28"/>
      <c r="D7117" s="29" t="s">
        <v>28</v>
      </c>
      <c r="E7117" s="30"/>
      <c r="F7117" s="45" t="s">
        <v>23</v>
      </c>
      <c r="G7117" s="31" t="str">
        <f t="shared" si="206"/>
        <v/>
      </c>
      <c r="H7117" s="32"/>
      <c r="I7117" s="33"/>
      <c r="J7117" s="34">
        <v>0</v>
      </c>
    </row>
    <row r="7118" spans="1:10" ht="15.75" hidden="1" thickBot="1" x14ac:dyDescent="0.3">
      <c r="A7118" s="249"/>
      <c r="B7118" s="266"/>
      <c r="C7118" s="36"/>
      <c r="D7118" s="36"/>
      <c r="E7118" s="37"/>
      <c r="F7118" s="46" t="s">
        <v>23</v>
      </c>
      <c r="G7118" s="35" t="str">
        <f t="shared" si="206"/>
        <v/>
      </c>
      <c r="H7118" s="39"/>
      <c r="I7118" s="35"/>
      <c r="J7118" s="34">
        <v>0</v>
      </c>
    </row>
    <row r="7119" spans="1:10" ht="15.75" hidden="1" thickBot="1" x14ac:dyDescent="0.3">
      <c r="A7119" s="249"/>
      <c r="B7119" s="266"/>
      <c r="C7119" s="40" t="s">
        <v>4473</v>
      </c>
      <c r="D7119" s="40" t="s">
        <v>291</v>
      </c>
      <c r="E7119" s="75">
        <v>1</v>
      </c>
      <c r="F7119" s="35">
        <v>4.0089999999999995</v>
      </c>
      <c r="G7119" s="35">
        <f t="shared" si="206"/>
        <v>4.0089999999999995</v>
      </c>
      <c r="H7119" s="43">
        <f t="shared" si="207"/>
        <v>4.0089999999999995</v>
      </c>
      <c r="I7119" s="44"/>
      <c r="J7119" s="34">
        <v>0</v>
      </c>
    </row>
    <row r="7120" spans="1:10" ht="15.75" hidden="1" thickBot="1" x14ac:dyDescent="0.3">
      <c r="A7120" s="250"/>
      <c r="B7120" s="253"/>
      <c r="C7120" s="60"/>
      <c r="D7120" s="60"/>
      <c r="E7120" s="79"/>
      <c r="F7120" s="87" t="s">
        <v>23</v>
      </c>
      <c r="G7120" s="87" t="str">
        <f t="shared" si="206"/>
        <v/>
      </c>
      <c r="H7120" s="89"/>
      <c r="I7120" s="35"/>
      <c r="J7120" s="34">
        <v>0</v>
      </c>
    </row>
    <row r="7121" spans="1:10" ht="15.75" hidden="1" thickBot="1" x14ac:dyDescent="0.3">
      <c r="A7121" s="248" t="s">
        <v>1706</v>
      </c>
      <c r="B7121" s="251" t="s">
        <v>3454</v>
      </c>
      <c r="C7121" s="28"/>
      <c r="D7121" s="29" t="s">
        <v>28</v>
      </c>
      <c r="E7121" s="30"/>
      <c r="F7121" s="45" t="s">
        <v>23</v>
      </c>
      <c r="G7121" s="31" t="str">
        <f t="shared" si="206"/>
        <v/>
      </c>
      <c r="H7121" s="32"/>
      <c r="I7121" s="33"/>
      <c r="J7121" s="34">
        <v>0</v>
      </c>
    </row>
    <row r="7122" spans="1:10" ht="15.75" hidden="1" thickBot="1" x14ac:dyDescent="0.3">
      <c r="A7122" s="249"/>
      <c r="B7122" s="266"/>
      <c r="C7122" s="36"/>
      <c r="D7122" s="36"/>
      <c r="E7122" s="37"/>
      <c r="F7122" s="46" t="s">
        <v>23</v>
      </c>
      <c r="G7122" s="35" t="str">
        <f t="shared" si="206"/>
        <v/>
      </c>
      <c r="H7122" s="39"/>
      <c r="I7122" s="35"/>
      <c r="J7122" s="34">
        <v>0</v>
      </c>
    </row>
    <row r="7123" spans="1:10" ht="15.75" hidden="1" thickBot="1" x14ac:dyDescent="0.3">
      <c r="A7123" s="249"/>
      <c r="B7123" s="266"/>
      <c r="C7123" s="40" t="s">
        <v>4474</v>
      </c>
      <c r="D7123" s="40" t="s">
        <v>291</v>
      </c>
      <c r="E7123" s="75">
        <v>1</v>
      </c>
      <c r="F7123" s="35">
        <v>11.950999999999999</v>
      </c>
      <c r="G7123" s="35">
        <f t="shared" si="206"/>
        <v>11.950999999999999</v>
      </c>
      <c r="H7123" s="43">
        <f t="shared" si="207"/>
        <v>11.950999999999999</v>
      </c>
      <c r="I7123" s="44"/>
      <c r="J7123" s="34">
        <v>0</v>
      </c>
    </row>
    <row r="7124" spans="1:10" ht="15.75" hidden="1" thickBot="1" x14ac:dyDescent="0.3">
      <c r="A7124" s="250"/>
      <c r="B7124" s="253"/>
      <c r="C7124" s="60"/>
      <c r="D7124" s="60"/>
      <c r="E7124" s="79"/>
      <c r="F7124" s="87" t="s">
        <v>23</v>
      </c>
      <c r="G7124" s="87" t="str">
        <f t="shared" si="206"/>
        <v/>
      </c>
      <c r="H7124" s="89"/>
      <c r="I7124" s="35"/>
      <c r="J7124" s="34">
        <v>0</v>
      </c>
    </row>
    <row r="7125" spans="1:10" ht="15.75" hidden="1" thickBot="1" x14ac:dyDescent="0.3">
      <c r="A7125" s="248" t="s">
        <v>1707</v>
      </c>
      <c r="B7125" s="251" t="s">
        <v>3455</v>
      </c>
      <c r="C7125" s="28"/>
      <c r="D7125" s="29" t="s">
        <v>28</v>
      </c>
      <c r="E7125" s="30"/>
      <c r="F7125" s="45" t="s">
        <v>23</v>
      </c>
      <c r="G7125" s="31" t="str">
        <f t="shared" si="206"/>
        <v/>
      </c>
      <c r="H7125" s="32"/>
      <c r="I7125" s="33"/>
      <c r="J7125" s="34">
        <v>0</v>
      </c>
    </row>
    <row r="7126" spans="1:10" ht="15.75" hidden="1" thickBot="1" x14ac:dyDescent="0.3">
      <c r="A7126" s="249"/>
      <c r="B7126" s="266"/>
      <c r="C7126" s="36"/>
      <c r="D7126" s="36"/>
      <c r="E7126" s="37"/>
      <c r="F7126" s="46" t="s">
        <v>23</v>
      </c>
      <c r="G7126" s="35" t="str">
        <f t="shared" si="206"/>
        <v/>
      </c>
      <c r="H7126" s="39"/>
      <c r="I7126" s="35"/>
      <c r="J7126" s="34">
        <v>0</v>
      </c>
    </row>
    <row r="7127" spans="1:10" ht="15.75" hidden="1" thickBot="1" x14ac:dyDescent="0.3">
      <c r="A7127" s="249"/>
      <c r="B7127" s="266"/>
      <c r="C7127" s="101" t="s">
        <v>1708</v>
      </c>
      <c r="D7127" s="53" t="s">
        <v>28</v>
      </c>
      <c r="E7127" s="75">
        <v>1</v>
      </c>
      <c r="F7127" s="35">
        <v>0</v>
      </c>
      <c r="G7127" s="35">
        <f t="shared" si="206"/>
        <v>0</v>
      </c>
      <c r="H7127" s="43">
        <f t="shared" si="207"/>
        <v>0</v>
      </c>
      <c r="I7127" s="44"/>
      <c r="J7127" s="34">
        <v>0</v>
      </c>
    </row>
    <row r="7128" spans="1:10" ht="15.75" hidden="1" thickBot="1" x14ac:dyDescent="0.3">
      <c r="A7128" s="250"/>
      <c r="B7128" s="253"/>
      <c r="C7128" s="60"/>
      <c r="D7128" s="60"/>
      <c r="E7128" s="79"/>
      <c r="F7128" s="87" t="s">
        <v>23</v>
      </c>
      <c r="G7128" s="87" t="str">
        <f t="shared" si="206"/>
        <v/>
      </c>
      <c r="H7128" s="89"/>
      <c r="I7128" s="35"/>
      <c r="J7128" s="34">
        <v>0</v>
      </c>
    </row>
    <row r="7129" spans="1:10" ht="15.75" hidden="1" thickBot="1" x14ac:dyDescent="0.3">
      <c r="A7129" s="248" t="s">
        <v>1709</v>
      </c>
      <c r="B7129" s="251" t="s">
        <v>3456</v>
      </c>
      <c r="C7129" s="28"/>
      <c r="D7129" s="29" t="s">
        <v>28</v>
      </c>
      <c r="E7129" s="30"/>
      <c r="F7129" s="45" t="s">
        <v>23</v>
      </c>
      <c r="G7129" s="31" t="str">
        <f t="shared" si="206"/>
        <v/>
      </c>
      <c r="H7129" s="32"/>
      <c r="I7129" s="33"/>
      <c r="J7129" s="34">
        <v>0</v>
      </c>
    </row>
    <row r="7130" spans="1:10" ht="15.75" hidden="1" thickBot="1" x14ac:dyDescent="0.3">
      <c r="A7130" s="249"/>
      <c r="B7130" s="266"/>
      <c r="C7130" s="36"/>
      <c r="D7130" s="36"/>
      <c r="E7130" s="37"/>
      <c r="F7130" s="46" t="s">
        <v>23</v>
      </c>
      <c r="G7130" s="35" t="str">
        <f t="shared" si="206"/>
        <v/>
      </c>
      <c r="H7130" s="39"/>
      <c r="I7130" s="35"/>
      <c r="J7130" s="34">
        <v>0</v>
      </c>
    </row>
    <row r="7131" spans="1:10" ht="15.75" hidden="1" thickBot="1" x14ac:dyDescent="0.3">
      <c r="A7131" s="249"/>
      <c r="B7131" s="266"/>
      <c r="C7131" s="40" t="s">
        <v>4475</v>
      </c>
      <c r="D7131" s="40" t="s">
        <v>291</v>
      </c>
      <c r="E7131" s="75">
        <v>1</v>
      </c>
      <c r="F7131" s="35">
        <v>13.3475</v>
      </c>
      <c r="G7131" s="35">
        <f t="shared" si="206"/>
        <v>13.3475</v>
      </c>
      <c r="H7131" s="43">
        <f t="shared" si="207"/>
        <v>13.3475</v>
      </c>
      <c r="I7131" s="44"/>
      <c r="J7131" s="34">
        <v>0</v>
      </c>
    </row>
    <row r="7132" spans="1:10" ht="15.75" hidden="1" thickBot="1" x14ac:dyDescent="0.3">
      <c r="A7132" s="250"/>
      <c r="B7132" s="253"/>
      <c r="C7132" s="60"/>
      <c r="D7132" s="60"/>
      <c r="E7132" s="79"/>
      <c r="F7132" s="87" t="s">
        <v>23</v>
      </c>
      <c r="G7132" s="87" t="str">
        <f t="shared" si="206"/>
        <v/>
      </c>
      <c r="H7132" s="89"/>
      <c r="I7132" s="35"/>
      <c r="J7132" s="34">
        <v>0</v>
      </c>
    </row>
    <row r="7133" spans="1:10" ht="15.75" hidden="1" thickBot="1" x14ac:dyDescent="0.3">
      <c r="A7133" s="248" t="s">
        <v>1710</v>
      </c>
      <c r="B7133" s="251" t="s">
        <v>3457</v>
      </c>
      <c r="C7133" s="28"/>
      <c r="D7133" s="29" t="s">
        <v>28</v>
      </c>
      <c r="E7133" s="30"/>
      <c r="F7133" s="45" t="s">
        <v>23</v>
      </c>
      <c r="G7133" s="31" t="str">
        <f t="shared" si="206"/>
        <v/>
      </c>
      <c r="H7133" s="32"/>
      <c r="I7133" s="33"/>
      <c r="J7133" s="34">
        <v>0</v>
      </c>
    </row>
    <row r="7134" spans="1:10" ht="15.75" hidden="1" thickBot="1" x14ac:dyDescent="0.3">
      <c r="A7134" s="249"/>
      <c r="B7134" s="266"/>
      <c r="C7134" s="36"/>
      <c r="D7134" s="36"/>
      <c r="E7134" s="37"/>
      <c r="F7134" s="46" t="s">
        <v>23</v>
      </c>
      <c r="G7134" s="35" t="str">
        <f t="shared" si="206"/>
        <v/>
      </c>
      <c r="H7134" s="39"/>
      <c r="I7134" s="35"/>
      <c r="J7134" s="34">
        <v>0</v>
      </c>
    </row>
    <row r="7135" spans="1:10" ht="15.75" hidden="1" thickBot="1" x14ac:dyDescent="0.3">
      <c r="A7135" s="249"/>
      <c r="B7135" s="266"/>
      <c r="C7135" s="40" t="s">
        <v>4476</v>
      </c>
      <c r="D7135" s="40" t="s">
        <v>291</v>
      </c>
      <c r="E7135" s="75">
        <v>1</v>
      </c>
      <c r="F7135" s="35">
        <v>71.867500000000007</v>
      </c>
      <c r="G7135" s="35">
        <f t="shared" si="206"/>
        <v>71.867500000000007</v>
      </c>
      <c r="H7135" s="43">
        <f t="shared" si="207"/>
        <v>71.867500000000007</v>
      </c>
      <c r="I7135" s="44"/>
      <c r="J7135" s="34">
        <v>0</v>
      </c>
    </row>
    <row r="7136" spans="1:10" ht="15.75" hidden="1" thickBot="1" x14ac:dyDescent="0.3">
      <c r="A7136" s="250"/>
      <c r="B7136" s="253"/>
      <c r="C7136" s="60"/>
      <c r="D7136" s="60"/>
      <c r="E7136" s="79"/>
      <c r="F7136" s="87" t="s">
        <v>23</v>
      </c>
      <c r="G7136" s="87" t="str">
        <f t="shared" si="206"/>
        <v/>
      </c>
      <c r="H7136" s="89"/>
      <c r="I7136" s="35"/>
      <c r="J7136" s="34">
        <v>0</v>
      </c>
    </row>
    <row r="7137" spans="1:10" ht="15.75" hidden="1" thickBot="1" x14ac:dyDescent="0.3">
      <c r="A7137" s="248" t="s">
        <v>1711</v>
      </c>
      <c r="B7137" s="251" t="s">
        <v>3458</v>
      </c>
      <c r="C7137" s="28"/>
      <c r="D7137" s="29" t="s">
        <v>28</v>
      </c>
      <c r="E7137" s="30"/>
      <c r="F7137" s="45" t="s">
        <v>23</v>
      </c>
      <c r="G7137" s="31" t="str">
        <f t="shared" si="206"/>
        <v/>
      </c>
      <c r="H7137" s="32"/>
      <c r="I7137" s="33"/>
      <c r="J7137" s="34">
        <v>0</v>
      </c>
    </row>
    <row r="7138" spans="1:10" ht="15.75" hidden="1" thickBot="1" x14ac:dyDescent="0.3">
      <c r="A7138" s="249"/>
      <c r="B7138" s="266"/>
      <c r="C7138" s="36"/>
      <c r="D7138" s="36"/>
      <c r="E7138" s="37"/>
      <c r="F7138" s="46" t="s">
        <v>23</v>
      </c>
      <c r="G7138" s="35" t="str">
        <f t="shared" si="206"/>
        <v/>
      </c>
      <c r="H7138" s="39"/>
      <c r="I7138" s="35"/>
      <c r="J7138" s="34">
        <v>0</v>
      </c>
    </row>
    <row r="7139" spans="1:10" ht="15.75" hidden="1" thickBot="1" x14ac:dyDescent="0.3">
      <c r="A7139" s="249"/>
      <c r="B7139" s="266"/>
      <c r="C7139" s="40" t="s">
        <v>4477</v>
      </c>
      <c r="D7139" s="40" t="s">
        <v>291</v>
      </c>
      <c r="E7139" s="75">
        <v>1</v>
      </c>
      <c r="F7139" s="35">
        <v>172.81449999999998</v>
      </c>
      <c r="G7139" s="35">
        <f t="shared" si="206"/>
        <v>172.81449999999998</v>
      </c>
      <c r="H7139" s="43">
        <f t="shared" si="207"/>
        <v>172.81449999999998</v>
      </c>
      <c r="I7139" s="44"/>
      <c r="J7139" s="34">
        <v>0</v>
      </c>
    </row>
    <row r="7140" spans="1:10" ht="15.75" hidden="1" thickBot="1" x14ac:dyDescent="0.3">
      <c r="A7140" s="250"/>
      <c r="B7140" s="253"/>
      <c r="C7140" s="60"/>
      <c r="D7140" s="60"/>
      <c r="E7140" s="79"/>
      <c r="F7140" s="87" t="s">
        <v>23</v>
      </c>
      <c r="G7140" s="87" t="str">
        <f t="shared" si="206"/>
        <v/>
      </c>
      <c r="H7140" s="89"/>
      <c r="I7140" s="35"/>
      <c r="J7140" s="34">
        <v>0</v>
      </c>
    </row>
    <row r="7141" spans="1:10" ht="15.75" hidden="1" thickBot="1" x14ac:dyDescent="0.3">
      <c r="A7141" s="248" t="s">
        <v>1712</v>
      </c>
      <c r="B7141" s="251" t="s">
        <v>3463</v>
      </c>
      <c r="C7141" s="28"/>
      <c r="D7141" s="29" t="s">
        <v>2</v>
      </c>
      <c r="E7141" s="30"/>
      <c r="F7141" s="45" t="s">
        <v>23</v>
      </c>
      <c r="G7141" s="31" t="str">
        <f t="shared" si="206"/>
        <v/>
      </c>
      <c r="H7141" s="32"/>
      <c r="I7141" s="33"/>
      <c r="J7141" s="34">
        <v>0</v>
      </c>
    </row>
    <row r="7142" spans="1:10" ht="15.75" hidden="1" thickBot="1" x14ac:dyDescent="0.3">
      <c r="A7142" s="249"/>
      <c r="B7142" s="252"/>
      <c r="C7142" s="36"/>
      <c r="D7142" s="36"/>
      <c r="E7142" s="37"/>
      <c r="F7142" s="46" t="s">
        <v>23</v>
      </c>
      <c r="G7142" s="38" t="str">
        <f t="shared" si="206"/>
        <v/>
      </c>
      <c r="H7142" s="39"/>
      <c r="I7142" s="35"/>
      <c r="J7142" s="34">
        <v>0</v>
      </c>
    </row>
    <row r="7143" spans="1:10" ht="26.25" hidden="1" thickBot="1" x14ac:dyDescent="0.3">
      <c r="A7143" s="249"/>
      <c r="B7143" s="252"/>
      <c r="C7143" s="40" t="s">
        <v>4112</v>
      </c>
      <c r="D7143" s="40" t="s">
        <v>3752</v>
      </c>
      <c r="E7143" s="75" t="e">
        <f>IF(#REF!="Desonerado",ROUND(220/(1+82.01%),4),ROUND(220/(1+110.69%),4))</f>
        <v>#REF!</v>
      </c>
      <c r="F7143" s="35">
        <v>119.79499999999999</v>
      </c>
      <c r="G7143" s="38" t="e">
        <f t="shared" si="206"/>
        <v>#REF!</v>
      </c>
      <c r="H7143" s="43" t="e">
        <f>SUM(G7143:G7143)</f>
        <v>#REF!</v>
      </c>
      <c r="I7143" s="44"/>
      <c r="J7143" s="34">
        <v>0</v>
      </c>
    </row>
    <row r="7144" spans="1:10" ht="15.75" hidden="1" thickBot="1" x14ac:dyDescent="0.3">
      <c r="A7144" s="249"/>
      <c r="B7144" s="252"/>
      <c r="C7144" s="40"/>
      <c r="D7144" s="53"/>
      <c r="E7144" s="41"/>
      <c r="F7144" s="35" t="s">
        <v>23</v>
      </c>
      <c r="G7144" s="38" t="str">
        <f t="shared" si="206"/>
        <v/>
      </c>
      <c r="H7144" s="39"/>
      <c r="I7144" s="44"/>
      <c r="J7144" s="34">
        <v>0</v>
      </c>
    </row>
    <row r="7145" spans="1:10" ht="26.25" hidden="1" thickBot="1" x14ac:dyDescent="0.3">
      <c r="A7145" s="249"/>
      <c r="B7145" s="252"/>
      <c r="C7145" s="50" t="s">
        <v>668</v>
      </c>
      <c r="D7145" s="53"/>
      <c r="E7145" s="41"/>
      <c r="F7145" s="35" t="s">
        <v>23</v>
      </c>
      <c r="G7145" s="38" t="str">
        <f t="shared" si="206"/>
        <v/>
      </c>
      <c r="H7145" s="39"/>
      <c r="I7145" s="44"/>
      <c r="J7145" s="34">
        <v>0</v>
      </c>
    </row>
    <row r="7146" spans="1:10" ht="15.75" hidden="1" thickBot="1" x14ac:dyDescent="0.3">
      <c r="A7146" s="250"/>
      <c r="B7146" s="253"/>
      <c r="C7146" s="40"/>
      <c r="D7146" s="40"/>
      <c r="E7146" s="41"/>
      <c r="F7146" s="35" t="s">
        <v>23</v>
      </c>
      <c r="G7146" s="38" t="str">
        <f t="shared" si="206"/>
        <v/>
      </c>
      <c r="H7146" s="39"/>
      <c r="I7146" s="35"/>
      <c r="J7146" s="34">
        <v>0</v>
      </c>
    </row>
    <row r="7147" spans="1:10" ht="15.75" hidden="1" thickBot="1" x14ac:dyDescent="0.3">
      <c r="A7147" s="248" t="s">
        <v>3</v>
      </c>
      <c r="B7147" s="251" t="s">
        <v>3464</v>
      </c>
      <c r="C7147" s="28"/>
      <c r="D7147" s="29" t="s">
        <v>2</v>
      </c>
      <c r="E7147" s="30"/>
      <c r="F7147" s="45" t="s">
        <v>23</v>
      </c>
      <c r="G7147" s="31" t="str">
        <f t="shared" si="206"/>
        <v/>
      </c>
      <c r="H7147" s="32"/>
      <c r="I7147" s="33"/>
      <c r="J7147" s="34">
        <v>0</v>
      </c>
    </row>
    <row r="7148" spans="1:10" ht="15.75" hidden="1" thickBot="1" x14ac:dyDescent="0.3">
      <c r="A7148" s="249"/>
      <c r="B7148" s="252"/>
      <c r="C7148" s="36"/>
      <c r="D7148" s="36"/>
      <c r="E7148" s="37"/>
      <c r="F7148" s="46" t="s">
        <v>23</v>
      </c>
      <c r="G7148" s="38" t="str">
        <f t="shared" si="206"/>
        <v/>
      </c>
      <c r="H7148" s="39"/>
      <c r="I7148" s="35"/>
      <c r="J7148" s="34">
        <v>0</v>
      </c>
    </row>
    <row r="7149" spans="1:10" ht="26.25" hidden="1" thickBot="1" x14ac:dyDescent="0.3">
      <c r="A7149" s="249"/>
      <c r="B7149" s="252"/>
      <c r="C7149" s="40" t="s">
        <v>4112</v>
      </c>
      <c r="D7149" s="40" t="s">
        <v>3752</v>
      </c>
      <c r="E7149" s="75" t="e">
        <f>IF(#REF!="Desonerado",ROUND(220/(1+82.01%),4),ROUND(220/(1+110.69%),4))</f>
        <v>#REF!</v>
      </c>
      <c r="F7149" s="35">
        <v>119.79499999999999</v>
      </c>
      <c r="G7149" s="38" t="e">
        <f t="shared" ref="G7149:G7212" si="208">IF(ISNUMBER(F7149),E7149*F7149,"")</f>
        <v>#REF!</v>
      </c>
      <c r="H7149" s="43" t="e">
        <f>SUM(G7149:G7149)</f>
        <v>#REF!</v>
      </c>
      <c r="I7149" s="44"/>
      <c r="J7149" s="34">
        <v>0</v>
      </c>
    </row>
    <row r="7150" spans="1:10" ht="15.75" hidden="1" thickBot="1" x14ac:dyDescent="0.3">
      <c r="A7150" s="249"/>
      <c r="B7150" s="252"/>
      <c r="C7150" s="40"/>
      <c r="D7150" s="53"/>
      <c r="E7150" s="41"/>
      <c r="F7150" s="35" t="s">
        <v>23</v>
      </c>
      <c r="G7150" s="38" t="str">
        <f t="shared" si="208"/>
        <v/>
      </c>
      <c r="H7150" s="39"/>
      <c r="I7150" s="44"/>
      <c r="J7150" s="34">
        <v>0</v>
      </c>
    </row>
    <row r="7151" spans="1:10" ht="26.25" hidden="1" thickBot="1" x14ac:dyDescent="0.3">
      <c r="A7151" s="249"/>
      <c r="B7151" s="252"/>
      <c r="C7151" s="50" t="s">
        <v>668</v>
      </c>
      <c r="D7151" s="53"/>
      <c r="E7151" s="41"/>
      <c r="F7151" s="35" t="s">
        <v>23</v>
      </c>
      <c r="G7151" s="38" t="str">
        <f t="shared" si="208"/>
        <v/>
      </c>
      <c r="H7151" s="39"/>
      <c r="I7151" s="44"/>
      <c r="J7151" s="34">
        <v>0</v>
      </c>
    </row>
    <row r="7152" spans="1:10" ht="15.75" hidden="1" thickBot="1" x14ac:dyDescent="0.3">
      <c r="A7152" s="250"/>
      <c r="B7152" s="253"/>
      <c r="C7152" s="40"/>
      <c r="D7152" s="40"/>
      <c r="E7152" s="41"/>
      <c r="F7152" s="35" t="s">
        <v>23</v>
      </c>
      <c r="G7152" s="38" t="str">
        <f t="shared" si="208"/>
        <v/>
      </c>
      <c r="H7152" s="39"/>
      <c r="I7152" s="35"/>
      <c r="J7152" s="34">
        <v>0</v>
      </c>
    </row>
    <row r="7153" spans="1:10" ht="15.75" hidden="1" thickBot="1" x14ac:dyDescent="0.3">
      <c r="A7153" s="248" t="s">
        <v>1713</v>
      </c>
      <c r="B7153" s="251" t="s">
        <v>3465</v>
      </c>
      <c r="C7153" s="28"/>
      <c r="D7153" s="29" t="s">
        <v>2</v>
      </c>
      <c r="E7153" s="30"/>
      <c r="F7153" s="45" t="s">
        <v>23</v>
      </c>
      <c r="G7153" s="31" t="str">
        <f t="shared" si="208"/>
        <v/>
      </c>
      <c r="H7153" s="32"/>
      <c r="I7153" s="33"/>
      <c r="J7153" s="34">
        <v>0</v>
      </c>
    </row>
    <row r="7154" spans="1:10" ht="15.75" hidden="1" thickBot="1" x14ac:dyDescent="0.3">
      <c r="A7154" s="249"/>
      <c r="B7154" s="252"/>
      <c r="C7154" s="36"/>
      <c r="D7154" s="36"/>
      <c r="E7154" s="37"/>
      <c r="F7154" s="46" t="s">
        <v>23</v>
      </c>
      <c r="G7154" s="38" t="str">
        <f t="shared" si="208"/>
        <v/>
      </c>
      <c r="H7154" s="39"/>
      <c r="I7154" s="35"/>
      <c r="J7154" s="34">
        <v>0</v>
      </c>
    </row>
    <row r="7155" spans="1:10" ht="15.75" hidden="1" thickBot="1" x14ac:dyDescent="0.3">
      <c r="A7155" s="249"/>
      <c r="B7155" s="252"/>
      <c r="C7155" s="40" t="s">
        <v>4478</v>
      </c>
      <c r="D7155" s="40" t="s">
        <v>3752</v>
      </c>
      <c r="E7155" s="75" t="e">
        <f>IF(#REF!="Desonerado",ROUND(220/(1+82.01%),4),ROUND(220/(1+110.69%),4))</f>
        <v>#REF!</v>
      </c>
      <c r="F7155" s="35">
        <v>22.8095</v>
      </c>
      <c r="G7155" s="38" t="e">
        <f t="shared" si="208"/>
        <v>#REF!</v>
      </c>
      <c r="H7155" s="43" t="e">
        <f>SUM(G7155:G7155)</f>
        <v>#REF!</v>
      </c>
      <c r="I7155" s="44"/>
      <c r="J7155" s="34">
        <v>0</v>
      </c>
    </row>
    <row r="7156" spans="1:10" ht="15.75" hidden="1" thickBot="1" x14ac:dyDescent="0.3">
      <c r="A7156" s="249"/>
      <c r="B7156" s="252"/>
      <c r="C7156" s="40"/>
      <c r="D7156" s="53"/>
      <c r="E7156" s="41"/>
      <c r="F7156" s="35" t="s">
        <v>23</v>
      </c>
      <c r="G7156" s="38" t="str">
        <f t="shared" si="208"/>
        <v/>
      </c>
      <c r="H7156" s="39"/>
      <c r="I7156" s="44"/>
      <c r="J7156" s="34">
        <v>0</v>
      </c>
    </row>
    <row r="7157" spans="1:10" ht="26.25" hidden="1" thickBot="1" x14ac:dyDescent="0.3">
      <c r="A7157" s="249"/>
      <c r="B7157" s="252"/>
      <c r="C7157" s="50" t="s">
        <v>668</v>
      </c>
      <c r="D7157" s="53"/>
      <c r="E7157" s="41"/>
      <c r="F7157" s="35" t="s">
        <v>23</v>
      </c>
      <c r="G7157" s="38" t="str">
        <f t="shared" si="208"/>
        <v/>
      </c>
      <c r="H7157" s="39"/>
      <c r="I7157" s="44"/>
      <c r="J7157" s="34">
        <v>0</v>
      </c>
    </row>
    <row r="7158" spans="1:10" ht="15.75" hidden="1" thickBot="1" x14ac:dyDescent="0.3">
      <c r="A7158" s="250"/>
      <c r="B7158" s="253"/>
      <c r="C7158" s="40"/>
      <c r="D7158" s="40"/>
      <c r="E7158" s="41"/>
      <c r="F7158" s="35" t="s">
        <v>23</v>
      </c>
      <c r="G7158" s="38" t="str">
        <f t="shared" si="208"/>
        <v/>
      </c>
      <c r="H7158" s="39"/>
      <c r="I7158" s="35"/>
      <c r="J7158" s="34">
        <v>0</v>
      </c>
    </row>
    <row r="7159" spans="1:10" ht="15.75" hidden="1" thickBot="1" x14ac:dyDescent="0.3">
      <c r="A7159" s="248" t="s">
        <v>1714</v>
      </c>
      <c r="B7159" s="251" t="s">
        <v>3466</v>
      </c>
      <c r="C7159" s="28"/>
      <c r="D7159" s="29" t="s">
        <v>2</v>
      </c>
      <c r="E7159" s="30"/>
      <c r="F7159" s="45" t="s">
        <v>23</v>
      </c>
      <c r="G7159" s="31" t="str">
        <f t="shared" si="208"/>
        <v/>
      </c>
      <c r="H7159" s="32"/>
      <c r="I7159" s="33"/>
      <c r="J7159" s="34">
        <v>0</v>
      </c>
    </row>
    <row r="7160" spans="1:10" ht="15.75" hidden="1" thickBot="1" x14ac:dyDescent="0.3">
      <c r="A7160" s="249"/>
      <c r="B7160" s="252"/>
      <c r="C7160" s="36"/>
      <c r="D7160" s="36"/>
      <c r="E7160" s="37"/>
      <c r="F7160" s="46" t="s">
        <v>23</v>
      </c>
      <c r="G7160" s="38" t="str">
        <f t="shared" si="208"/>
        <v/>
      </c>
      <c r="H7160" s="39"/>
      <c r="I7160" s="35"/>
      <c r="J7160" s="34">
        <v>0</v>
      </c>
    </row>
    <row r="7161" spans="1:10" ht="26.25" hidden="1" thickBot="1" x14ac:dyDescent="0.3">
      <c r="A7161" s="249"/>
      <c r="B7161" s="252"/>
      <c r="C7161" s="40" t="s">
        <v>4110</v>
      </c>
      <c r="D7161" s="40" t="s">
        <v>3752</v>
      </c>
      <c r="E7161" s="75" t="e">
        <f>IF(#REF!="Desonerado",ROUND(220/(1+82.01%),4),ROUND(220/(1+110.69%),4))</f>
        <v>#REF!</v>
      </c>
      <c r="F7161" s="35">
        <v>27.341000000000001</v>
      </c>
      <c r="G7161" s="38" t="e">
        <f t="shared" si="208"/>
        <v>#REF!</v>
      </c>
      <c r="H7161" s="43" t="e">
        <f>SUM(G7161:G7161)</f>
        <v>#REF!</v>
      </c>
      <c r="I7161" s="44"/>
      <c r="J7161" s="34">
        <v>0</v>
      </c>
    </row>
    <row r="7162" spans="1:10" ht="15.75" hidden="1" thickBot="1" x14ac:dyDescent="0.3">
      <c r="A7162" s="249"/>
      <c r="B7162" s="252"/>
      <c r="C7162" s="40"/>
      <c r="D7162" s="53"/>
      <c r="E7162" s="41"/>
      <c r="F7162" s="35" t="s">
        <v>23</v>
      </c>
      <c r="G7162" s="38" t="str">
        <f t="shared" si="208"/>
        <v/>
      </c>
      <c r="H7162" s="39"/>
      <c r="I7162" s="44"/>
      <c r="J7162" s="34">
        <v>0</v>
      </c>
    </row>
    <row r="7163" spans="1:10" ht="26.25" hidden="1" thickBot="1" x14ac:dyDescent="0.3">
      <c r="A7163" s="249"/>
      <c r="B7163" s="252"/>
      <c r="C7163" s="50" t="s">
        <v>668</v>
      </c>
      <c r="D7163" s="53"/>
      <c r="E7163" s="41"/>
      <c r="F7163" s="35" t="s">
        <v>23</v>
      </c>
      <c r="G7163" s="38" t="str">
        <f t="shared" si="208"/>
        <v/>
      </c>
      <c r="H7163" s="39"/>
      <c r="I7163" s="44"/>
      <c r="J7163" s="34">
        <v>0</v>
      </c>
    </row>
    <row r="7164" spans="1:10" ht="15.75" hidden="1" thickBot="1" x14ac:dyDescent="0.3">
      <c r="A7164" s="250"/>
      <c r="B7164" s="253"/>
      <c r="C7164" s="40"/>
      <c r="D7164" s="40"/>
      <c r="E7164" s="41"/>
      <c r="F7164" s="35" t="s">
        <v>23</v>
      </c>
      <c r="G7164" s="38" t="str">
        <f t="shared" si="208"/>
        <v/>
      </c>
      <c r="H7164" s="39"/>
      <c r="I7164" s="35"/>
      <c r="J7164" s="34">
        <v>0</v>
      </c>
    </row>
    <row r="7165" spans="1:10" ht="15.75" hidden="1" thickBot="1" x14ac:dyDescent="0.3">
      <c r="A7165" s="248" t="s">
        <v>1715</v>
      </c>
      <c r="B7165" s="251" t="s">
        <v>3467</v>
      </c>
      <c r="C7165" s="28"/>
      <c r="D7165" s="29" t="s">
        <v>2</v>
      </c>
      <c r="E7165" s="30"/>
      <c r="F7165" s="45" t="s">
        <v>23</v>
      </c>
      <c r="G7165" s="31" t="str">
        <f t="shared" si="208"/>
        <v/>
      </c>
      <c r="H7165" s="32"/>
      <c r="I7165" s="33"/>
      <c r="J7165" s="34">
        <v>0</v>
      </c>
    </row>
    <row r="7166" spans="1:10" ht="15.75" hidden="1" thickBot="1" x14ac:dyDescent="0.3">
      <c r="A7166" s="249"/>
      <c r="B7166" s="252"/>
      <c r="C7166" s="36"/>
      <c r="D7166" s="36"/>
      <c r="E7166" s="37"/>
      <c r="F7166" s="46" t="s">
        <v>23</v>
      </c>
      <c r="G7166" s="38" t="str">
        <f t="shared" si="208"/>
        <v/>
      </c>
      <c r="H7166" s="39"/>
      <c r="I7166" s="35"/>
      <c r="J7166" s="34">
        <v>0</v>
      </c>
    </row>
    <row r="7167" spans="1:10" ht="15.75" hidden="1" thickBot="1" x14ac:dyDescent="0.3">
      <c r="A7167" s="249"/>
      <c r="B7167" s="252"/>
      <c r="C7167" s="40" t="s">
        <v>4479</v>
      </c>
      <c r="D7167" s="40" t="s">
        <v>3752</v>
      </c>
      <c r="E7167" s="75" t="e">
        <f>IF(#REF!="Desonerado",ROUND(220/(1+82.01%),4),ROUND(220/(1+110.69%),4))</f>
        <v>#REF!</v>
      </c>
      <c r="F7167" s="35">
        <v>15.408999999999999</v>
      </c>
      <c r="G7167" s="38" t="e">
        <f t="shared" si="208"/>
        <v>#REF!</v>
      </c>
      <c r="H7167" s="43" t="e">
        <f>SUM(G7167:G7167)</f>
        <v>#REF!</v>
      </c>
      <c r="I7167" s="44"/>
      <c r="J7167" s="34">
        <v>0</v>
      </c>
    </row>
    <row r="7168" spans="1:10" ht="15.75" hidden="1" thickBot="1" x14ac:dyDescent="0.3">
      <c r="A7168" s="249"/>
      <c r="B7168" s="252"/>
      <c r="C7168" s="40"/>
      <c r="D7168" s="53"/>
      <c r="E7168" s="41"/>
      <c r="F7168" s="35" t="s">
        <v>23</v>
      </c>
      <c r="G7168" s="38" t="str">
        <f t="shared" si="208"/>
        <v/>
      </c>
      <c r="H7168" s="39"/>
      <c r="I7168" s="44"/>
      <c r="J7168" s="34">
        <v>0</v>
      </c>
    </row>
    <row r="7169" spans="1:10" ht="26.25" hidden="1" thickBot="1" x14ac:dyDescent="0.3">
      <c r="A7169" s="249"/>
      <c r="B7169" s="252"/>
      <c r="C7169" s="50" t="s">
        <v>668</v>
      </c>
      <c r="D7169" s="53"/>
      <c r="E7169" s="41"/>
      <c r="F7169" s="35" t="s">
        <v>23</v>
      </c>
      <c r="G7169" s="38" t="str">
        <f t="shared" si="208"/>
        <v/>
      </c>
      <c r="H7169" s="39"/>
      <c r="I7169" s="44"/>
      <c r="J7169" s="34">
        <v>0</v>
      </c>
    </row>
    <row r="7170" spans="1:10" ht="15.75" hidden="1" thickBot="1" x14ac:dyDescent="0.3">
      <c r="A7170" s="250"/>
      <c r="B7170" s="253"/>
      <c r="C7170" s="40"/>
      <c r="D7170" s="40"/>
      <c r="E7170" s="41"/>
      <c r="F7170" s="35" t="s">
        <v>23</v>
      </c>
      <c r="G7170" s="38" t="str">
        <f t="shared" si="208"/>
        <v/>
      </c>
      <c r="H7170" s="39"/>
      <c r="I7170" s="35"/>
      <c r="J7170" s="34">
        <v>0</v>
      </c>
    </row>
    <row r="7171" spans="1:10" ht="15.75" hidden="1" thickBot="1" x14ac:dyDescent="0.3">
      <c r="A7171" s="248" t="s">
        <v>1716</v>
      </c>
      <c r="B7171" s="251" t="s">
        <v>3468</v>
      </c>
      <c r="C7171" s="28"/>
      <c r="D7171" s="29" t="s">
        <v>2</v>
      </c>
      <c r="E7171" s="30"/>
      <c r="F7171" s="45" t="s">
        <v>23</v>
      </c>
      <c r="G7171" s="31" t="str">
        <f t="shared" si="208"/>
        <v/>
      </c>
      <c r="H7171" s="32"/>
      <c r="I7171" s="33"/>
      <c r="J7171" s="34">
        <v>0</v>
      </c>
    </row>
    <row r="7172" spans="1:10" ht="15.75" hidden="1" thickBot="1" x14ac:dyDescent="0.3">
      <c r="A7172" s="249"/>
      <c r="B7172" s="252"/>
      <c r="C7172" s="76"/>
      <c r="D7172" s="36"/>
      <c r="E7172" s="37"/>
      <c r="F7172" s="46" t="s">
        <v>23</v>
      </c>
      <c r="G7172" s="38" t="str">
        <f t="shared" si="208"/>
        <v/>
      </c>
      <c r="H7172" s="39"/>
      <c r="I7172" s="35"/>
      <c r="J7172" s="34">
        <v>0</v>
      </c>
    </row>
    <row r="7173" spans="1:10" ht="26.25" hidden="1" thickBot="1" x14ac:dyDescent="0.3">
      <c r="A7173" s="249"/>
      <c r="B7173" s="252"/>
      <c r="C7173" s="40" t="s">
        <v>4110</v>
      </c>
      <c r="D7173" s="40" t="s">
        <v>3752</v>
      </c>
      <c r="E7173" s="75" t="e">
        <f>IF(#REF!="Desonerado",ROUND(220/(1+82.01%),4),ROUND(220/(1+110.69%),4))</f>
        <v>#REF!</v>
      </c>
      <c r="F7173" s="35">
        <v>27.341000000000001</v>
      </c>
      <c r="G7173" s="38" t="e">
        <f t="shared" si="208"/>
        <v>#REF!</v>
      </c>
      <c r="H7173" s="43" t="e">
        <f>SUM(G7173:G7173)</f>
        <v>#REF!</v>
      </c>
      <c r="I7173" s="44"/>
      <c r="J7173" s="34">
        <v>0</v>
      </c>
    </row>
    <row r="7174" spans="1:10" ht="15.75" hidden="1" thickBot="1" x14ac:dyDescent="0.3">
      <c r="A7174" s="249"/>
      <c r="B7174" s="252"/>
      <c r="C7174" s="76"/>
      <c r="D7174" s="53"/>
      <c r="E7174" s="41"/>
      <c r="F7174" s="35" t="s">
        <v>23</v>
      </c>
      <c r="G7174" s="38" t="str">
        <f t="shared" si="208"/>
        <v/>
      </c>
      <c r="H7174" s="39"/>
      <c r="I7174" s="44"/>
      <c r="J7174" s="34">
        <v>0</v>
      </c>
    </row>
    <row r="7175" spans="1:10" ht="26.25" hidden="1" thickBot="1" x14ac:dyDescent="0.3">
      <c r="A7175" s="249"/>
      <c r="B7175" s="252"/>
      <c r="C7175" s="50" t="s">
        <v>668</v>
      </c>
      <c r="D7175" s="53"/>
      <c r="E7175" s="41"/>
      <c r="F7175" s="35" t="s">
        <v>23</v>
      </c>
      <c r="G7175" s="38" t="str">
        <f t="shared" si="208"/>
        <v/>
      </c>
      <c r="H7175" s="39"/>
      <c r="I7175" s="44"/>
      <c r="J7175" s="34">
        <v>0</v>
      </c>
    </row>
    <row r="7176" spans="1:10" ht="15.75" hidden="1" thickBot="1" x14ac:dyDescent="0.3">
      <c r="A7176" s="250"/>
      <c r="B7176" s="253"/>
      <c r="C7176" s="60"/>
      <c r="D7176" s="40"/>
      <c r="E7176" s="41"/>
      <c r="F7176" s="35" t="s">
        <v>23</v>
      </c>
      <c r="G7176" s="38" t="str">
        <f t="shared" si="208"/>
        <v/>
      </c>
      <c r="H7176" s="39"/>
      <c r="I7176" s="35"/>
      <c r="J7176" s="34">
        <v>0</v>
      </c>
    </row>
    <row r="7177" spans="1:10" ht="15.75" hidden="1" thickBot="1" x14ac:dyDescent="0.3">
      <c r="A7177" s="248" t="s">
        <v>1717</v>
      </c>
      <c r="B7177" s="251" t="s">
        <v>3469</v>
      </c>
      <c r="C7177" s="28"/>
      <c r="D7177" s="29" t="s">
        <v>2</v>
      </c>
      <c r="E7177" s="30"/>
      <c r="F7177" s="45" t="s">
        <v>23</v>
      </c>
      <c r="G7177" s="31" t="str">
        <f t="shared" si="208"/>
        <v/>
      </c>
      <c r="H7177" s="32"/>
      <c r="I7177" s="33"/>
      <c r="J7177" s="34">
        <v>0</v>
      </c>
    </row>
    <row r="7178" spans="1:10" ht="15.75" hidden="1" thickBot="1" x14ac:dyDescent="0.3">
      <c r="A7178" s="249"/>
      <c r="B7178" s="252"/>
      <c r="C7178" s="76"/>
      <c r="D7178" s="36"/>
      <c r="E7178" s="37"/>
      <c r="F7178" s="46" t="s">
        <v>23</v>
      </c>
      <c r="G7178" s="38" t="str">
        <f t="shared" si="208"/>
        <v/>
      </c>
      <c r="H7178" s="39"/>
      <c r="I7178" s="35"/>
      <c r="J7178" s="34">
        <v>0</v>
      </c>
    </row>
    <row r="7179" spans="1:10" ht="26.25" hidden="1" thickBot="1" x14ac:dyDescent="0.3">
      <c r="A7179" s="249"/>
      <c r="B7179" s="252"/>
      <c r="C7179" s="40" t="s">
        <v>4110</v>
      </c>
      <c r="D7179" s="40" t="s">
        <v>3752</v>
      </c>
      <c r="E7179" s="75" t="e">
        <f>IF(#REF!="Desonerado",ROUND(220/(1+82.01%),4),ROUND(220/(1+110.69%),4))</f>
        <v>#REF!</v>
      </c>
      <c r="F7179" s="35">
        <v>27.341000000000001</v>
      </c>
      <c r="G7179" s="38" t="e">
        <f t="shared" si="208"/>
        <v>#REF!</v>
      </c>
      <c r="H7179" s="43" t="e">
        <f>SUM(G7179:G7179)</f>
        <v>#REF!</v>
      </c>
      <c r="I7179" s="44"/>
      <c r="J7179" s="34">
        <v>0</v>
      </c>
    </row>
    <row r="7180" spans="1:10" ht="15.75" hidden="1" thickBot="1" x14ac:dyDescent="0.3">
      <c r="A7180" s="249"/>
      <c r="B7180" s="252"/>
      <c r="C7180" s="76"/>
      <c r="D7180" s="53"/>
      <c r="E7180" s="41"/>
      <c r="F7180" s="35" t="s">
        <v>23</v>
      </c>
      <c r="G7180" s="38" t="str">
        <f t="shared" si="208"/>
        <v/>
      </c>
      <c r="H7180" s="39"/>
      <c r="I7180" s="44"/>
      <c r="J7180" s="34">
        <v>0</v>
      </c>
    </row>
    <row r="7181" spans="1:10" ht="26.25" hidden="1" thickBot="1" x14ac:dyDescent="0.3">
      <c r="A7181" s="249"/>
      <c r="B7181" s="252"/>
      <c r="C7181" s="50" t="s">
        <v>668</v>
      </c>
      <c r="D7181" s="53"/>
      <c r="E7181" s="41"/>
      <c r="F7181" s="35" t="s">
        <v>23</v>
      </c>
      <c r="G7181" s="38" t="str">
        <f t="shared" si="208"/>
        <v/>
      </c>
      <c r="H7181" s="39"/>
      <c r="I7181" s="44"/>
      <c r="J7181" s="34">
        <v>0</v>
      </c>
    </row>
    <row r="7182" spans="1:10" ht="15.75" hidden="1" thickBot="1" x14ac:dyDescent="0.3">
      <c r="A7182" s="250"/>
      <c r="B7182" s="253"/>
      <c r="C7182" s="60"/>
      <c r="D7182" s="40"/>
      <c r="E7182" s="41"/>
      <c r="F7182" s="35" t="s">
        <v>23</v>
      </c>
      <c r="G7182" s="38" t="str">
        <f t="shared" si="208"/>
        <v/>
      </c>
      <c r="H7182" s="39"/>
      <c r="I7182" s="35"/>
      <c r="J7182" s="34">
        <v>0</v>
      </c>
    </row>
    <row r="7183" spans="1:10" ht="15.75" hidden="1" thickBot="1" x14ac:dyDescent="0.3">
      <c r="A7183" s="248" t="s">
        <v>1718</v>
      </c>
      <c r="B7183" s="251" t="s">
        <v>3470</v>
      </c>
      <c r="C7183" s="28"/>
      <c r="D7183" s="29" t="s">
        <v>2</v>
      </c>
      <c r="E7183" s="30"/>
      <c r="F7183" s="45" t="s">
        <v>23</v>
      </c>
      <c r="G7183" s="31" t="str">
        <f t="shared" si="208"/>
        <v/>
      </c>
      <c r="H7183" s="32"/>
      <c r="I7183" s="33"/>
      <c r="J7183" s="34">
        <v>0</v>
      </c>
    </row>
    <row r="7184" spans="1:10" ht="15.75" hidden="1" thickBot="1" x14ac:dyDescent="0.3">
      <c r="A7184" s="249"/>
      <c r="B7184" s="252"/>
      <c r="C7184" s="76"/>
      <c r="D7184" s="36"/>
      <c r="E7184" s="37"/>
      <c r="F7184" s="46" t="s">
        <v>23</v>
      </c>
      <c r="G7184" s="38" t="str">
        <f t="shared" si="208"/>
        <v/>
      </c>
      <c r="H7184" s="39"/>
      <c r="I7184" s="35"/>
      <c r="J7184" s="34">
        <v>0</v>
      </c>
    </row>
    <row r="7185" spans="1:10" ht="26.25" hidden="1" thickBot="1" x14ac:dyDescent="0.3">
      <c r="A7185" s="249"/>
      <c r="B7185" s="252"/>
      <c r="C7185" s="40" t="s">
        <v>4119</v>
      </c>
      <c r="D7185" s="40" t="s">
        <v>3752</v>
      </c>
      <c r="E7185" s="75" t="e">
        <f>IF(#REF!="Desonerado",ROUND(220/(1+82.01%),4),ROUND(220/(1+110.69%),4))</f>
        <v>#REF!</v>
      </c>
      <c r="F7185" s="35">
        <v>21.555499999999999</v>
      </c>
      <c r="G7185" s="38" t="e">
        <f t="shared" si="208"/>
        <v>#REF!</v>
      </c>
      <c r="H7185" s="43" t="e">
        <f>SUM(G7185:G7185)</f>
        <v>#REF!</v>
      </c>
      <c r="I7185" s="44"/>
      <c r="J7185" s="34">
        <v>0</v>
      </c>
    </row>
    <row r="7186" spans="1:10" ht="15.75" hidden="1" thickBot="1" x14ac:dyDescent="0.3">
      <c r="A7186" s="249"/>
      <c r="B7186" s="252"/>
      <c r="C7186" s="76"/>
      <c r="D7186" s="53"/>
      <c r="E7186" s="41"/>
      <c r="F7186" s="35" t="s">
        <v>23</v>
      </c>
      <c r="G7186" s="38" t="str">
        <f t="shared" si="208"/>
        <v/>
      </c>
      <c r="H7186" s="39"/>
      <c r="I7186" s="44"/>
      <c r="J7186" s="34">
        <v>0</v>
      </c>
    </row>
    <row r="7187" spans="1:10" ht="26.25" hidden="1" thickBot="1" x14ac:dyDescent="0.3">
      <c r="A7187" s="249"/>
      <c r="B7187" s="252"/>
      <c r="C7187" s="50" t="s">
        <v>668</v>
      </c>
      <c r="D7187" s="53"/>
      <c r="E7187" s="41"/>
      <c r="F7187" s="35" t="s">
        <v>23</v>
      </c>
      <c r="G7187" s="38" t="str">
        <f t="shared" si="208"/>
        <v/>
      </c>
      <c r="H7187" s="39"/>
      <c r="I7187" s="44"/>
      <c r="J7187" s="34">
        <v>0</v>
      </c>
    </row>
    <row r="7188" spans="1:10" ht="15.75" hidden="1" thickBot="1" x14ac:dyDescent="0.3">
      <c r="A7188" s="250"/>
      <c r="B7188" s="253"/>
      <c r="C7188" s="60"/>
      <c r="D7188" s="40"/>
      <c r="E7188" s="41"/>
      <c r="F7188" s="35" t="s">
        <v>23</v>
      </c>
      <c r="G7188" s="38" t="str">
        <f t="shared" si="208"/>
        <v/>
      </c>
      <c r="H7188" s="39"/>
      <c r="I7188" s="35"/>
      <c r="J7188" s="34">
        <v>0</v>
      </c>
    </row>
    <row r="7189" spans="1:10" ht="15.75" hidden="1" thickBot="1" x14ac:dyDescent="0.3">
      <c r="A7189" s="248" t="s">
        <v>1719</v>
      </c>
      <c r="B7189" s="251" t="s">
        <v>3471</v>
      </c>
      <c r="C7189" s="28"/>
      <c r="D7189" s="29" t="s">
        <v>2</v>
      </c>
      <c r="E7189" s="30"/>
      <c r="F7189" s="45" t="s">
        <v>23</v>
      </c>
      <c r="G7189" s="31" t="str">
        <f t="shared" si="208"/>
        <v/>
      </c>
      <c r="H7189" s="32"/>
      <c r="I7189" s="33"/>
      <c r="J7189" s="34">
        <v>0</v>
      </c>
    </row>
    <row r="7190" spans="1:10" ht="15.75" hidden="1" thickBot="1" x14ac:dyDescent="0.3">
      <c r="A7190" s="249"/>
      <c r="B7190" s="252"/>
      <c r="C7190" s="76"/>
      <c r="D7190" s="36"/>
      <c r="E7190" s="37"/>
      <c r="F7190" s="46" t="s">
        <v>23</v>
      </c>
      <c r="G7190" s="38" t="str">
        <f t="shared" si="208"/>
        <v/>
      </c>
      <c r="H7190" s="39"/>
      <c r="I7190" s="35"/>
      <c r="J7190" s="34">
        <v>0</v>
      </c>
    </row>
    <row r="7191" spans="1:10" ht="26.25" hidden="1" thickBot="1" x14ac:dyDescent="0.3">
      <c r="A7191" s="249"/>
      <c r="B7191" s="252"/>
      <c r="C7191" s="40" t="s">
        <v>4119</v>
      </c>
      <c r="D7191" s="40" t="s">
        <v>3752</v>
      </c>
      <c r="E7191" s="75" t="e">
        <f>IF(#REF!="Desonerado",ROUND(220/(1+82.01%),4),ROUND(220/(1+110.69%),4))</f>
        <v>#REF!</v>
      </c>
      <c r="F7191" s="35">
        <v>21.555499999999999</v>
      </c>
      <c r="G7191" s="38" t="e">
        <f t="shared" si="208"/>
        <v>#REF!</v>
      </c>
      <c r="H7191" s="43" t="e">
        <f>SUM(G7191:G7191)</f>
        <v>#REF!</v>
      </c>
      <c r="I7191" s="44"/>
      <c r="J7191" s="34">
        <v>0</v>
      </c>
    </row>
    <row r="7192" spans="1:10" ht="15.75" hidden="1" thickBot="1" x14ac:dyDescent="0.3">
      <c r="A7192" s="249"/>
      <c r="B7192" s="252"/>
      <c r="C7192" s="76"/>
      <c r="D7192" s="53"/>
      <c r="E7192" s="41"/>
      <c r="F7192" s="35" t="s">
        <v>23</v>
      </c>
      <c r="G7192" s="38" t="str">
        <f t="shared" si="208"/>
        <v/>
      </c>
      <c r="H7192" s="39"/>
      <c r="I7192" s="44"/>
      <c r="J7192" s="34">
        <v>0</v>
      </c>
    </row>
    <row r="7193" spans="1:10" ht="26.25" hidden="1" thickBot="1" x14ac:dyDescent="0.3">
      <c r="A7193" s="249"/>
      <c r="B7193" s="252"/>
      <c r="C7193" s="50" t="s">
        <v>668</v>
      </c>
      <c r="D7193" s="53"/>
      <c r="E7193" s="41"/>
      <c r="F7193" s="35" t="s">
        <v>23</v>
      </c>
      <c r="G7193" s="38" t="str">
        <f t="shared" si="208"/>
        <v/>
      </c>
      <c r="H7193" s="39"/>
      <c r="I7193" s="44"/>
      <c r="J7193" s="34">
        <v>0</v>
      </c>
    </row>
    <row r="7194" spans="1:10" ht="15.75" hidden="1" thickBot="1" x14ac:dyDescent="0.3">
      <c r="A7194" s="250"/>
      <c r="B7194" s="253"/>
      <c r="C7194" s="60"/>
      <c r="D7194" s="40"/>
      <c r="E7194" s="41"/>
      <c r="F7194" s="35" t="s">
        <v>23</v>
      </c>
      <c r="G7194" s="38" t="str">
        <f t="shared" si="208"/>
        <v/>
      </c>
      <c r="H7194" s="39"/>
      <c r="I7194" s="35"/>
      <c r="J7194" s="34">
        <v>0</v>
      </c>
    </row>
    <row r="7195" spans="1:10" ht="15.75" hidden="1" thickBot="1" x14ac:dyDescent="0.3">
      <c r="A7195" s="248" t="s">
        <v>1720</v>
      </c>
      <c r="B7195" s="251" t="s">
        <v>3472</v>
      </c>
      <c r="C7195" s="28"/>
      <c r="D7195" s="29" t="s">
        <v>2</v>
      </c>
      <c r="E7195" s="30"/>
      <c r="F7195" s="45" t="s">
        <v>23</v>
      </c>
      <c r="G7195" s="31" t="str">
        <f t="shared" si="208"/>
        <v/>
      </c>
      <c r="H7195" s="32"/>
      <c r="I7195" s="33"/>
      <c r="J7195" s="34">
        <v>0</v>
      </c>
    </row>
    <row r="7196" spans="1:10" ht="15.75" hidden="1" thickBot="1" x14ac:dyDescent="0.3">
      <c r="A7196" s="249"/>
      <c r="B7196" s="252"/>
      <c r="C7196" s="76"/>
      <c r="D7196" s="36"/>
      <c r="E7196" s="37"/>
      <c r="F7196" s="46" t="s">
        <v>23</v>
      </c>
      <c r="G7196" s="38" t="str">
        <f t="shared" si="208"/>
        <v/>
      </c>
      <c r="H7196" s="39"/>
      <c r="I7196" s="35"/>
      <c r="J7196" s="34">
        <v>0</v>
      </c>
    </row>
    <row r="7197" spans="1:10" ht="26.25" hidden="1" thickBot="1" x14ac:dyDescent="0.3">
      <c r="A7197" s="249"/>
      <c r="B7197" s="252"/>
      <c r="C7197" s="40" t="s">
        <v>4119</v>
      </c>
      <c r="D7197" s="40" t="s">
        <v>3752</v>
      </c>
      <c r="E7197" s="75" t="e">
        <f>IF(#REF!="Desonerado",ROUND(220/(1+82.01%),4),ROUND(220/(1+110.69%),4))</f>
        <v>#REF!</v>
      </c>
      <c r="F7197" s="35">
        <v>21.555499999999999</v>
      </c>
      <c r="G7197" s="38" t="e">
        <f t="shared" si="208"/>
        <v>#REF!</v>
      </c>
      <c r="H7197" s="43" t="e">
        <f>SUM(G7197:G7197)</f>
        <v>#REF!</v>
      </c>
      <c r="I7197" s="44"/>
      <c r="J7197" s="34">
        <v>0</v>
      </c>
    </row>
    <row r="7198" spans="1:10" ht="15.75" hidden="1" thickBot="1" x14ac:dyDescent="0.3">
      <c r="A7198" s="249"/>
      <c r="B7198" s="252"/>
      <c r="C7198" s="76"/>
      <c r="D7198" s="53"/>
      <c r="E7198" s="41"/>
      <c r="F7198" s="35" t="s">
        <v>23</v>
      </c>
      <c r="G7198" s="38" t="str">
        <f t="shared" si="208"/>
        <v/>
      </c>
      <c r="H7198" s="39"/>
      <c r="I7198" s="44"/>
      <c r="J7198" s="34">
        <v>0</v>
      </c>
    </row>
    <row r="7199" spans="1:10" ht="26.25" hidden="1" thickBot="1" x14ac:dyDescent="0.3">
      <c r="A7199" s="249"/>
      <c r="B7199" s="252"/>
      <c r="C7199" s="50" t="s">
        <v>668</v>
      </c>
      <c r="D7199" s="53"/>
      <c r="E7199" s="41"/>
      <c r="F7199" s="35" t="s">
        <v>23</v>
      </c>
      <c r="G7199" s="38" t="str">
        <f t="shared" si="208"/>
        <v/>
      </c>
      <c r="H7199" s="39"/>
      <c r="I7199" s="44"/>
      <c r="J7199" s="34">
        <v>0</v>
      </c>
    </row>
    <row r="7200" spans="1:10" ht="15.75" hidden="1" thickBot="1" x14ac:dyDescent="0.3">
      <c r="A7200" s="250"/>
      <c r="B7200" s="253"/>
      <c r="C7200" s="60"/>
      <c r="D7200" s="40"/>
      <c r="E7200" s="41"/>
      <c r="F7200" s="35" t="s">
        <v>23</v>
      </c>
      <c r="G7200" s="38" t="str">
        <f t="shared" si="208"/>
        <v/>
      </c>
      <c r="H7200" s="39"/>
      <c r="I7200" s="35"/>
      <c r="J7200" s="34">
        <v>0</v>
      </c>
    </row>
    <row r="7201" spans="1:10" ht="15.75" hidden="1" thickBot="1" x14ac:dyDescent="0.3">
      <c r="A7201" s="248" t="s">
        <v>1721</v>
      </c>
      <c r="B7201" s="251" t="s">
        <v>3473</v>
      </c>
      <c r="C7201" s="28"/>
      <c r="D7201" s="29" t="s">
        <v>28</v>
      </c>
      <c r="E7201" s="30"/>
      <c r="F7201" s="45" t="s">
        <v>23</v>
      </c>
      <c r="G7201" s="31" t="str">
        <f t="shared" si="208"/>
        <v/>
      </c>
      <c r="H7201" s="32"/>
      <c r="I7201" s="33"/>
      <c r="J7201" s="34">
        <v>0</v>
      </c>
    </row>
    <row r="7202" spans="1:10" ht="15.75" hidden="1" thickBot="1" x14ac:dyDescent="0.3">
      <c r="A7202" s="249"/>
      <c r="B7202" s="266"/>
      <c r="C7202" s="36"/>
      <c r="D7202" s="36"/>
      <c r="E7202" s="37"/>
      <c r="F7202" s="46" t="s">
        <v>23</v>
      </c>
      <c r="G7202" s="35" t="str">
        <f t="shared" si="208"/>
        <v/>
      </c>
      <c r="H7202" s="39"/>
      <c r="I7202" s="35"/>
      <c r="J7202" s="34">
        <v>0</v>
      </c>
    </row>
    <row r="7203" spans="1:10" ht="39" hidden="1" thickBot="1" x14ac:dyDescent="0.3">
      <c r="A7203" s="249"/>
      <c r="B7203" s="266"/>
      <c r="C7203" s="40" t="s">
        <v>4480</v>
      </c>
      <c r="D7203" s="40" t="s">
        <v>291</v>
      </c>
      <c r="E7203" s="75">
        <v>1</v>
      </c>
      <c r="F7203" s="35">
        <v>584.62049999999999</v>
      </c>
      <c r="G7203" s="35">
        <f t="shared" si="208"/>
        <v>584.62049999999999</v>
      </c>
      <c r="H7203" s="43">
        <f t="shared" si="207"/>
        <v>584.62049999999999</v>
      </c>
      <c r="I7203" s="44"/>
      <c r="J7203" s="34">
        <v>0</v>
      </c>
    </row>
    <row r="7204" spans="1:10" ht="15.75" hidden="1" thickBot="1" x14ac:dyDescent="0.3">
      <c r="A7204" s="250"/>
      <c r="B7204" s="253"/>
      <c r="C7204" s="60"/>
      <c r="D7204" s="60"/>
      <c r="E7204" s="79"/>
      <c r="F7204" s="87" t="s">
        <v>23</v>
      </c>
      <c r="G7204" s="87" t="str">
        <f t="shared" si="208"/>
        <v/>
      </c>
      <c r="H7204" s="89"/>
      <c r="I7204" s="35"/>
      <c r="J7204" s="34">
        <v>0</v>
      </c>
    </row>
    <row r="7205" spans="1:10" ht="15.75" hidden="1" thickBot="1" x14ac:dyDescent="0.3">
      <c r="A7205" s="248" t="s">
        <v>1722</v>
      </c>
      <c r="B7205" s="251" t="s">
        <v>3474</v>
      </c>
      <c r="C7205" s="28"/>
      <c r="D7205" s="29" t="s">
        <v>28</v>
      </c>
      <c r="E7205" s="30"/>
      <c r="F7205" s="45" t="s">
        <v>23</v>
      </c>
      <c r="G7205" s="31" t="str">
        <f t="shared" si="208"/>
        <v/>
      </c>
      <c r="H7205" s="32"/>
      <c r="I7205" s="33"/>
      <c r="J7205" s="34">
        <v>0</v>
      </c>
    </row>
    <row r="7206" spans="1:10" ht="15.75" hidden="1" thickBot="1" x14ac:dyDescent="0.3">
      <c r="A7206" s="249"/>
      <c r="B7206" s="266"/>
      <c r="C7206" s="36"/>
      <c r="D7206" s="36"/>
      <c r="E7206" s="37"/>
      <c r="F7206" s="46" t="s">
        <v>23</v>
      </c>
      <c r="G7206" s="35" t="str">
        <f t="shared" si="208"/>
        <v/>
      </c>
      <c r="H7206" s="39"/>
      <c r="I7206" s="35"/>
      <c r="J7206" s="34">
        <v>0</v>
      </c>
    </row>
    <row r="7207" spans="1:10" ht="26.25" hidden="1" thickBot="1" x14ac:dyDescent="0.3">
      <c r="A7207" s="249"/>
      <c r="B7207" s="266"/>
      <c r="C7207" s="40" t="s">
        <v>4481</v>
      </c>
      <c r="D7207" s="40" t="s">
        <v>291</v>
      </c>
      <c r="E7207" s="75">
        <v>1</v>
      </c>
      <c r="F7207" s="35">
        <v>173.71700000000001</v>
      </c>
      <c r="G7207" s="35">
        <f t="shared" si="208"/>
        <v>173.71700000000001</v>
      </c>
      <c r="H7207" s="43">
        <f t="shared" si="207"/>
        <v>173.71700000000001</v>
      </c>
      <c r="I7207" s="44"/>
      <c r="J7207" s="34">
        <v>0</v>
      </c>
    </row>
    <row r="7208" spans="1:10" ht="15.75" hidden="1" thickBot="1" x14ac:dyDescent="0.3">
      <c r="A7208" s="250"/>
      <c r="B7208" s="253"/>
      <c r="C7208" s="60"/>
      <c r="D7208" s="60"/>
      <c r="E7208" s="79"/>
      <c r="F7208" s="87" t="s">
        <v>23</v>
      </c>
      <c r="G7208" s="87" t="str">
        <f t="shared" si="208"/>
        <v/>
      </c>
      <c r="H7208" s="89"/>
      <c r="I7208" s="35"/>
      <c r="J7208" s="34">
        <v>0</v>
      </c>
    </row>
    <row r="7209" spans="1:10" ht="15.75" hidden="1" thickBot="1" x14ac:dyDescent="0.3">
      <c r="A7209" s="248" t="s">
        <v>1723</v>
      </c>
      <c r="B7209" s="251" t="s">
        <v>3475</v>
      </c>
      <c r="C7209" s="28"/>
      <c r="D7209" s="29" t="s">
        <v>28</v>
      </c>
      <c r="E7209" s="30"/>
      <c r="F7209" s="45" t="s">
        <v>23</v>
      </c>
      <c r="G7209" s="31" t="str">
        <f t="shared" si="208"/>
        <v/>
      </c>
      <c r="H7209" s="32"/>
      <c r="I7209" s="33"/>
      <c r="J7209" s="34">
        <v>0</v>
      </c>
    </row>
    <row r="7210" spans="1:10" ht="15.75" hidden="1" thickBot="1" x14ac:dyDescent="0.3">
      <c r="A7210" s="249"/>
      <c r="B7210" s="266"/>
      <c r="C7210" s="36"/>
      <c r="D7210" s="36"/>
      <c r="E7210" s="37"/>
      <c r="F7210" s="46" t="s">
        <v>23</v>
      </c>
      <c r="G7210" s="35" t="str">
        <f t="shared" si="208"/>
        <v/>
      </c>
      <c r="H7210" s="39"/>
      <c r="I7210" s="35"/>
      <c r="J7210" s="34">
        <v>0</v>
      </c>
    </row>
    <row r="7211" spans="1:10" ht="26.25" hidden="1" thickBot="1" x14ac:dyDescent="0.3">
      <c r="A7211" s="249"/>
      <c r="B7211" s="266"/>
      <c r="C7211" s="40" t="s">
        <v>4482</v>
      </c>
      <c r="D7211" s="40" t="s">
        <v>291</v>
      </c>
      <c r="E7211" s="75">
        <v>1</v>
      </c>
      <c r="F7211" s="35">
        <v>63.564499999999995</v>
      </c>
      <c r="G7211" s="35">
        <f t="shared" si="208"/>
        <v>63.564499999999995</v>
      </c>
      <c r="H7211" s="43">
        <f t="shared" si="207"/>
        <v>63.564499999999995</v>
      </c>
      <c r="I7211" s="44"/>
      <c r="J7211" s="34">
        <v>0</v>
      </c>
    </row>
    <row r="7212" spans="1:10" ht="15.75" hidden="1" thickBot="1" x14ac:dyDescent="0.3">
      <c r="A7212" s="250"/>
      <c r="B7212" s="253"/>
      <c r="C7212" s="60"/>
      <c r="D7212" s="60"/>
      <c r="E7212" s="79"/>
      <c r="F7212" s="87" t="s">
        <v>23</v>
      </c>
      <c r="G7212" s="87" t="str">
        <f t="shared" si="208"/>
        <v/>
      </c>
      <c r="H7212" s="89"/>
      <c r="I7212" s="35"/>
      <c r="J7212" s="34">
        <v>0</v>
      </c>
    </row>
    <row r="7213" spans="1:10" ht="15.75" hidden="1" thickBot="1" x14ac:dyDescent="0.3">
      <c r="A7213" s="248" t="s">
        <v>1724</v>
      </c>
      <c r="B7213" s="251" t="s">
        <v>3476</v>
      </c>
      <c r="C7213" s="28"/>
      <c r="D7213" s="29" t="s">
        <v>121</v>
      </c>
      <c r="E7213" s="30"/>
      <c r="F7213" s="45" t="s">
        <v>23</v>
      </c>
      <c r="G7213" s="31" t="str">
        <f t="shared" ref="G7213:G7227" si="209">IF(ISNUMBER(F7213),E7213*F7213,"")</f>
        <v/>
      </c>
      <c r="H7213" s="32"/>
      <c r="I7213" s="33"/>
      <c r="J7213" s="34">
        <v>0</v>
      </c>
    </row>
    <row r="7214" spans="1:10" ht="15.75" hidden="1" thickBot="1" x14ac:dyDescent="0.3">
      <c r="A7214" s="249"/>
      <c r="B7214" s="266"/>
      <c r="C7214" s="36"/>
      <c r="D7214" s="36"/>
      <c r="E7214" s="37"/>
      <c r="F7214" s="46" t="s">
        <v>23</v>
      </c>
      <c r="G7214" s="35" t="str">
        <f t="shared" si="209"/>
        <v/>
      </c>
      <c r="H7214" s="39"/>
      <c r="I7214" s="35"/>
      <c r="J7214" s="34">
        <v>0</v>
      </c>
    </row>
    <row r="7215" spans="1:10" ht="26.25" hidden="1" thickBot="1" x14ac:dyDescent="0.3">
      <c r="A7215" s="249"/>
      <c r="B7215" s="266"/>
      <c r="C7215" s="40" t="s">
        <v>4483</v>
      </c>
      <c r="D7215" s="40" t="s">
        <v>1286</v>
      </c>
      <c r="E7215" s="75">
        <v>1</v>
      </c>
      <c r="F7215" s="35">
        <v>60.448500000000003</v>
      </c>
      <c r="G7215" s="35">
        <f t="shared" si="209"/>
        <v>60.448500000000003</v>
      </c>
      <c r="H7215" s="43">
        <f t="shared" ref="H7215" si="210">SUM(G7215:G7215)</f>
        <v>60.448500000000003</v>
      </c>
      <c r="I7215" s="44"/>
      <c r="J7215" s="34">
        <v>0</v>
      </c>
    </row>
    <row r="7216" spans="1:10" ht="15.75" hidden="1" thickBot="1" x14ac:dyDescent="0.3">
      <c r="A7216" s="250"/>
      <c r="B7216" s="253"/>
      <c r="C7216" s="60"/>
      <c r="D7216" s="60"/>
      <c r="E7216" s="79"/>
      <c r="F7216" s="87" t="s">
        <v>23</v>
      </c>
      <c r="G7216" s="87" t="str">
        <f t="shared" si="209"/>
        <v/>
      </c>
      <c r="H7216" s="89"/>
      <c r="I7216" s="35"/>
      <c r="J7216" s="34">
        <v>0</v>
      </c>
    </row>
    <row r="7217" spans="1:10" ht="15.75" hidden="1" thickBot="1" x14ac:dyDescent="0.3">
      <c r="A7217" s="248" t="s">
        <v>1725</v>
      </c>
      <c r="B7217" s="251" t="s">
        <v>3477</v>
      </c>
      <c r="C7217" s="28"/>
      <c r="D7217" s="29" t="s">
        <v>28</v>
      </c>
      <c r="E7217" s="30"/>
      <c r="F7217" s="45" t="s">
        <v>23</v>
      </c>
      <c r="G7217" s="31" t="str">
        <f t="shared" si="209"/>
        <v/>
      </c>
      <c r="H7217" s="32"/>
      <c r="I7217" s="33"/>
      <c r="J7217" s="34">
        <v>0</v>
      </c>
    </row>
    <row r="7218" spans="1:10" ht="15.75" hidden="1" thickBot="1" x14ac:dyDescent="0.3">
      <c r="A7218" s="249"/>
      <c r="B7218" s="252"/>
      <c r="C7218" s="36"/>
      <c r="D7218" s="36"/>
      <c r="E7218" s="37"/>
      <c r="F7218" s="46" t="s">
        <v>23</v>
      </c>
      <c r="G7218" s="35" t="str">
        <f t="shared" si="209"/>
        <v/>
      </c>
      <c r="H7218" s="39"/>
      <c r="I7218" s="35"/>
      <c r="J7218" s="34">
        <v>0</v>
      </c>
    </row>
    <row r="7219" spans="1:10" ht="26.25" hidden="1" thickBot="1" x14ac:dyDescent="0.3">
      <c r="A7219" s="249"/>
      <c r="B7219" s="252"/>
      <c r="C7219" s="40" t="s">
        <v>3827</v>
      </c>
      <c r="D7219" s="40" t="s">
        <v>3752</v>
      </c>
      <c r="E7219" s="41">
        <v>3.5</v>
      </c>
      <c r="F7219" s="35">
        <v>23.882999999999999</v>
      </c>
      <c r="G7219" s="38">
        <f t="shared" si="209"/>
        <v>83.590499999999992</v>
      </c>
      <c r="H7219" s="43">
        <f>SUM(G7219:G7221)</f>
        <v>187.89574999999999</v>
      </c>
      <c r="I7219" s="44"/>
      <c r="J7219" s="34">
        <v>0</v>
      </c>
    </row>
    <row r="7220" spans="1:10" ht="26.25" hidden="1" thickBot="1" x14ac:dyDescent="0.3">
      <c r="A7220" s="249"/>
      <c r="B7220" s="252"/>
      <c r="C7220" s="40" t="s">
        <v>3772</v>
      </c>
      <c r="D7220" s="40" t="s">
        <v>3752</v>
      </c>
      <c r="E7220" s="41">
        <v>3.5</v>
      </c>
      <c r="F7220" s="35">
        <v>29.801500000000001</v>
      </c>
      <c r="G7220" s="38">
        <f t="shared" si="209"/>
        <v>104.30525</v>
      </c>
      <c r="H7220" s="39"/>
      <c r="I7220" s="35"/>
      <c r="J7220" s="34">
        <v>0</v>
      </c>
    </row>
    <row r="7221" spans="1:10" ht="15.75" hidden="1" thickBot="1" x14ac:dyDescent="0.3">
      <c r="A7221" s="249"/>
      <c r="B7221" s="252"/>
      <c r="C7221" s="40" t="s">
        <v>1726</v>
      </c>
      <c r="D7221" s="40" t="s">
        <v>102</v>
      </c>
      <c r="E7221" s="41">
        <v>1</v>
      </c>
      <c r="F7221" s="38" t="s">
        <v>23</v>
      </c>
      <c r="G7221" s="38" t="str">
        <f t="shared" si="209"/>
        <v/>
      </c>
      <c r="H7221" s="39"/>
      <c r="I7221" s="35"/>
      <c r="J7221" s="34">
        <v>0</v>
      </c>
    </row>
    <row r="7222" spans="1:10" ht="15.75" hidden="1" thickBot="1" x14ac:dyDescent="0.3">
      <c r="A7222" s="250"/>
      <c r="B7222" s="253"/>
      <c r="C7222" s="40"/>
      <c r="D7222" s="40"/>
      <c r="E7222" s="41"/>
      <c r="F7222" s="35" t="s">
        <v>23</v>
      </c>
      <c r="G7222" s="35" t="str">
        <f t="shared" si="209"/>
        <v/>
      </c>
      <c r="H7222" s="39"/>
      <c r="I7222" s="35"/>
      <c r="J7222" s="34">
        <v>0</v>
      </c>
    </row>
    <row r="7223" spans="1:10" ht="15.75" hidden="1" thickBot="1" x14ac:dyDescent="0.3">
      <c r="A7223" s="248" t="s">
        <v>1727</v>
      </c>
      <c r="B7223" s="251" t="s">
        <v>3478</v>
      </c>
      <c r="C7223" s="28"/>
      <c r="D7223" s="29" t="s">
        <v>28</v>
      </c>
      <c r="E7223" s="30"/>
      <c r="F7223" s="51" t="s">
        <v>23</v>
      </c>
      <c r="G7223" s="31" t="str">
        <f t="shared" si="209"/>
        <v/>
      </c>
      <c r="H7223" s="32"/>
      <c r="I7223" s="33"/>
      <c r="J7223" s="34">
        <v>0</v>
      </c>
    </row>
    <row r="7224" spans="1:10" ht="15.75" hidden="1" thickBot="1" x14ac:dyDescent="0.3">
      <c r="A7224" s="262"/>
      <c r="B7224" s="266"/>
      <c r="C7224" s="76"/>
      <c r="D7224" s="76"/>
      <c r="E7224" s="77"/>
      <c r="F7224" s="59" t="s">
        <v>23</v>
      </c>
      <c r="G7224" s="59" t="str">
        <f t="shared" si="209"/>
        <v/>
      </c>
      <c r="H7224" s="62"/>
      <c r="I7224" s="63"/>
      <c r="J7224" s="34">
        <v>0</v>
      </c>
    </row>
    <row r="7225" spans="1:10" ht="39" hidden="1" thickBot="1" x14ac:dyDescent="0.3">
      <c r="A7225" s="262"/>
      <c r="B7225" s="266"/>
      <c r="C7225" s="40" t="s">
        <v>4733</v>
      </c>
      <c r="D7225" s="40" t="s">
        <v>3764</v>
      </c>
      <c r="E7225" s="41">
        <v>1.9199999999999998E-2</v>
      </c>
      <c r="F7225" s="35">
        <v>853.36371524999993</v>
      </c>
      <c r="G7225" s="59">
        <f t="shared" si="209"/>
        <v>16.384583332799998</v>
      </c>
      <c r="H7225" s="43">
        <f>SUM(G7225:G7227)</f>
        <v>48.285358182799996</v>
      </c>
      <c r="I7225" s="44"/>
      <c r="J7225" s="34">
        <v>0</v>
      </c>
    </row>
    <row r="7226" spans="1:10" ht="15.75" hidden="1" thickBot="1" x14ac:dyDescent="0.3">
      <c r="A7226" s="262"/>
      <c r="B7226" s="266"/>
      <c r="C7226" s="40" t="s">
        <v>3770</v>
      </c>
      <c r="D7226" s="40" t="s">
        <v>3752</v>
      </c>
      <c r="E7226" s="41">
        <v>0.63370000000000004</v>
      </c>
      <c r="F7226" s="35">
        <v>21.954499999999999</v>
      </c>
      <c r="G7226" s="59">
        <f t="shared" si="209"/>
        <v>13.91256665</v>
      </c>
      <c r="H7226" s="47"/>
      <c r="I7226" s="44"/>
      <c r="J7226" s="34">
        <v>0</v>
      </c>
    </row>
    <row r="7227" spans="1:10" ht="15.75" hidden="1" thickBot="1" x14ac:dyDescent="0.3">
      <c r="A7227" s="262"/>
      <c r="B7227" s="266"/>
      <c r="C7227" s="40" t="s">
        <v>3760</v>
      </c>
      <c r="D7227" s="40" t="s">
        <v>3752</v>
      </c>
      <c r="E7227" s="41">
        <v>0.63370000000000004</v>
      </c>
      <c r="F7227" s="35">
        <v>28.385999999999999</v>
      </c>
      <c r="G7227" s="59">
        <f t="shared" si="209"/>
        <v>17.988208199999999</v>
      </c>
      <c r="H7227" s="47"/>
      <c r="I7227" s="44"/>
      <c r="J7227" s="34">
        <v>0</v>
      </c>
    </row>
    <row r="7228" spans="1:10" ht="15.75" hidden="1" thickBot="1" x14ac:dyDescent="0.3">
      <c r="A7228" s="263"/>
      <c r="B7228" s="253"/>
      <c r="C7228" s="40"/>
      <c r="D7228" s="99"/>
      <c r="E7228" s="75"/>
      <c r="F7228" s="35" t="s">
        <v>23</v>
      </c>
      <c r="G7228" s="59"/>
      <c r="H7228" s="47"/>
      <c r="I7228" s="44"/>
      <c r="J7228" s="34">
        <v>0</v>
      </c>
    </row>
    <row r="7229" spans="1:10" ht="15.75" hidden="1" thickBot="1" x14ac:dyDescent="0.3">
      <c r="A7229" s="248" t="s">
        <v>1728</v>
      </c>
      <c r="B7229" s="251" t="s">
        <v>3479</v>
      </c>
      <c r="C7229" s="28"/>
      <c r="D7229" s="29" t="s">
        <v>28</v>
      </c>
      <c r="E7229" s="30"/>
      <c r="F7229" s="51" t="s">
        <v>23</v>
      </c>
      <c r="G7229" s="31" t="str">
        <f t="shared" ref="G7229:G7292" si="211">IF(ISNUMBER(F7229),E7229*F7229,"")</f>
        <v/>
      </c>
      <c r="H7229" s="32"/>
      <c r="I7229" s="33"/>
      <c r="J7229" s="34">
        <v>0</v>
      </c>
    </row>
    <row r="7230" spans="1:10" ht="15.75" hidden="1" thickBot="1" x14ac:dyDescent="0.3">
      <c r="A7230" s="262"/>
      <c r="B7230" s="266"/>
      <c r="C7230" s="76"/>
      <c r="D7230" s="76"/>
      <c r="E7230" s="77"/>
      <c r="F7230" s="59" t="s">
        <v>23</v>
      </c>
      <c r="G7230" s="59" t="str">
        <f t="shared" si="211"/>
        <v/>
      </c>
      <c r="H7230" s="62"/>
      <c r="I7230" s="63"/>
      <c r="J7230" s="34">
        <v>0</v>
      </c>
    </row>
    <row r="7231" spans="1:10" ht="26.25" hidden="1" thickBot="1" x14ac:dyDescent="0.3">
      <c r="A7231" s="262"/>
      <c r="B7231" s="266"/>
      <c r="C7231" s="40" t="s">
        <v>4228</v>
      </c>
      <c r="D7231" s="40" t="s">
        <v>291</v>
      </c>
      <c r="E7231" s="75">
        <v>1</v>
      </c>
      <c r="F7231" s="35">
        <v>90.088499999999996</v>
      </c>
      <c r="G7231" s="59">
        <f t="shared" si="211"/>
        <v>90.088499999999996</v>
      </c>
      <c r="H7231" s="43">
        <f>SUM(G7231:G7234)</f>
        <v>120.85988065000001</v>
      </c>
      <c r="I7231" s="44"/>
      <c r="J7231" s="34">
        <v>0</v>
      </c>
    </row>
    <row r="7232" spans="1:10" ht="39" hidden="1" thickBot="1" x14ac:dyDescent="0.3">
      <c r="A7232" s="262"/>
      <c r="B7232" s="266"/>
      <c r="C7232" s="40" t="s">
        <v>4148</v>
      </c>
      <c r="D7232" s="40" t="s">
        <v>291</v>
      </c>
      <c r="E7232" s="41">
        <v>2</v>
      </c>
      <c r="F7232" s="38">
        <v>0.35149999999999998</v>
      </c>
      <c r="G7232" s="38">
        <f t="shared" si="211"/>
        <v>0.70299999999999996</v>
      </c>
      <c r="H7232" s="39"/>
      <c r="I7232" s="35"/>
      <c r="J7232" s="34">
        <v>0</v>
      </c>
    </row>
    <row r="7233" spans="1:10" ht="15.75" hidden="1" thickBot="1" x14ac:dyDescent="0.3">
      <c r="A7233" s="262"/>
      <c r="B7233" s="266"/>
      <c r="C7233" s="40" t="s">
        <v>3770</v>
      </c>
      <c r="D7233" s="40" t="s">
        <v>3752</v>
      </c>
      <c r="E7233" s="41">
        <v>0.59730000000000005</v>
      </c>
      <c r="F7233" s="35">
        <v>21.954499999999999</v>
      </c>
      <c r="G7233" s="59">
        <f t="shared" si="211"/>
        <v>13.113422850000001</v>
      </c>
      <c r="H7233" s="47"/>
      <c r="I7233" s="44"/>
      <c r="J7233" s="34">
        <v>0</v>
      </c>
    </row>
    <row r="7234" spans="1:10" ht="15.75" hidden="1" thickBot="1" x14ac:dyDescent="0.3">
      <c r="A7234" s="262"/>
      <c r="B7234" s="266"/>
      <c r="C7234" s="40" t="s">
        <v>3760</v>
      </c>
      <c r="D7234" s="40" t="s">
        <v>3752</v>
      </c>
      <c r="E7234" s="41">
        <v>0.59730000000000005</v>
      </c>
      <c r="F7234" s="35">
        <v>28.385999999999999</v>
      </c>
      <c r="G7234" s="59">
        <f t="shared" si="211"/>
        <v>16.954957800000003</v>
      </c>
      <c r="H7234" s="47"/>
      <c r="I7234" s="44"/>
      <c r="J7234" s="34">
        <v>0</v>
      </c>
    </row>
    <row r="7235" spans="1:10" ht="15.75" hidden="1" thickBot="1" x14ac:dyDescent="0.3">
      <c r="A7235" s="263"/>
      <c r="B7235" s="253"/>
      <c r="C7235" s="60"/>
      <c r="D7235" s="78"/>
      <c r="E7235" s="79"/>
      <c r="F7235" s="80" t="s">
        <v>23</v>
      </c>
      <c r="G7235" s="80" t="str">
        <f t="shared" si="211"/>
        <v/>
      </c>
      <c r="H7235" s="81"/>
      <c r="I7235" s="63"/>
      <c r="J7235" s="34">
        <v>0</v>
      </c>
    </row>
    <row r="7236" spans="1:10" ht="15.75" hidden="1" thickBot="1" x14ac:dyDescent="0.3">
      <c r="A7236" s="248" t="s">
        <v>1729</v>
      </c>
      <c r="B7236" s="251" t="s">
        <v>3480</v>
      </c>
      <c r="C7236" s="28"/>
      <c r="D7236" s="29" t="s">
        <v>3481</v>
      </c>
      <c r="E7236" s="30"/>
      <c r="F7236" s="45" t="s">
        <v>23</v>
      </c>
      <c r="G7236" s="31" t="str">
        <f t="shared" si="211"/>
        <v/>
      </c>
      <c r="H7236" s="32"/>
      <c r="I7236" s="33"/>
      <c r="J7236" s="34">
        <v>0</v>
      </c>
    </row>
    <row r="7237" spans="1:10" ht="15.75" hidden="1" thickBot="1" x14ac:dyDescent="0.3">
      <c r="A7237" s="249"/>
      <c r="B7237" s="266"/>
      <c r="C7237" s="95"/>
      <c r="D7237" s="36"/>
      <c r="E7237" s="37"/>
      <c r="F7237" s="46" t="s">
        <v>23</v>
      </c>
      <c r="G7237" s="35" t="str">
        <f t="shared" si="211"/>
        <v/>
      </c>
      <c r="H7237" s="39"/>
      <c r="I7237" s="35"/>
      <c r="J7237" s="34">
        <v>0</v>
      </c>
    </row>
    <row r="7238" spans="1:10" ht="15.75" hidden="1" thickBot="1" x14ac:dyDescent="0.3">
      <c r="A7238" s="249"/>
      <c r="B7238" s="266"/>
      <c r="C7238" s="40" t="s">
        <v>1730</v>
      </c>
      <c r="D7238" s="40" t="s">
        <v>80</v>
      </c>
      <c r="E7238" s="41">
        <v>0.91</v>
      </c>
      <c r="F7238" s="35" t="s">
        <v>23</v>
      </c>
      <c r="G7238" s="35" t="str">
        <f t="shared" si="211"/>
        <v/>
      </c>
      <c r="H7238" s="43">
        <f>SUM(G7238:G7239)</f>
        <v>0</v>
      </c>
      <c r="I7238" s="44"/>
      <c r="J7238" s="34">
        <v>0</v>
      </c>
    </row>
    <row r="7239" spans="1:10" ht="15.75" hidden="1" thickBot="1" x14ac:dyDescent="0.3">
      <c r="A7239" s="249"/>
      <c r="B7239" s="266"/>
      <c r="C7239" s="40" t="s">
        <v>1731</v>
      </c>
      <c r="D7239" s="40" t="s">
        <v>80</v>
      </c>
      <c r="E7239" s="41">
        <v>0.09</v>
      </c>
      <c r="F7239" s="35" t="s">
        <v>23</v>
      </c>
      <c r="G7239" s="35" t="str">
        <f t="shared" si="211"/>
        <v/>
      </c>
      <c r="H7239" s="39"/>
      <c r="I7239" s="44"/>
      <c r="J7239" s="34">
        <v>0</v>
      </c>
    </row>
    <row r="7240" spans="1:10" ht="15.75" hidden="1" thickBot="1" x14ac:dyDescent="0.3">
      <c r="A7240" s="250"/>
      <c r="B7240" s="253"/>
      <c r="C7240" s="40"/>
      <c r="D7240" s="60"/>
      <c r="E7240" s="79"/>
      <c r="F7240" s="87" t="s">
        <v>23</v>
      </c>
      <c r="G7240" s="87" t="str">
        <f t="shared" si="211"/>
        <v/>
      </c>
      <c r="H7240" s="89"/>
      <c r="I7240" s="35"/>
      <c r="J7240" s="34">
        <v>0</v>
      </c>
    </row>
    <row r="7241" spans="1:10" ht="15.75" hidden="1" thickBot="1" x14ac:dyDescent="0.3">
      <c r="A7241" s="248" t="s">
        <v>1732</v>
      </c>
      <c r="B7241" s="251" t="s">
        <v>3482</v>
      </c>
      <c r="C7241" s="28"/>
      <c r="D7241" s="29" t="s">
        <v>3481</v>
      </c>
      <c r="E7241" s="30"/>
      <c r="F7241" s="45" t="s">
        <v>23</v>
      </c>
      <c r="G7241" s="31" t="str">
        <f t="shared" si="211"/>
        <v/>
      </c>
      <c r="H7241" s="32"/>
      <c r="I7241" s="33"/>
      <c r="J7241" s="34">
        <v>0</v>
      </c>
    </row>
    <row r="7242" spans="1:10" ht="15.75" hidden="1" thickBot="1" x14ac:dyDescent="0.3">
      <c r="A7242" s="249"/>
      <c r="B7242" s="266"/>
      <c r="C7242" s="36"/>
      <c r="D7242" s="36"/>
      <c r="E7242" s="37"/>
      <c r="F7242" s="46" t="s">
        <v>23</v>
      </c>
      <c r="G7242" s="35" t="str">
        <f t="shared" si="211"/>
        <v/>
      </c>
      <c r="H7242" s="39"/>
      <c r="I7242" s="35"/>
      <c r="J7242" s="34">
        <v>0</v>
      </c>
    </row>
    <row r="7243" spans="1:10" ht="15.75" hidden="1" thickBot="1" x14ac:dyDescent="0.3">
      <c r="A7243" s="249"/>
      <c r="B7243" s="266"/>
      <c r="C7243" s="40" t="s">
        <v>1730</v>
      </c>
      <c r="D7243" s="40" t="s">
        <v>80</v>
      </c>
      <c r="E7243" s="41">
        <v>0.96</v>
      </c>
      <c r="F7243" s="35" t="s">
        <v>23</v>
      </c>
      <c r="G7243" s="35" t="str">
        <f t="shared" si="211"/>
        <v/>
      </c>
      <c r="H7243" s="43">
        <f>SUM(G7243:G7244)</f>
        <v>0</v>
      </c>
      <c r="I7243" s="44"/>
      <c r="J7243" s="34">
        <v>0</v>
      </c>
    </row>
    <row r="7244" spans="1:10" ht="15.75" hidden="1" thickBot="1" x14ac:dyDescent="0.3">
      <c r="A7244" s="249"/>
      <c r="B7244" s="266"/>
      <c r="C7244" s="40" t="s">
        <v>1733</v>
      </c>
      <c r="D7244" s="40" t="s">
        <v>80</v>
      </c>
      <c r="E7244" s="41">
        <v>0.04</v>
      </c>
      <c r="F7244" s="35" t="s">
        <v>23</v>
      </c>
      <c r="G7244" s="35" t="str">
        <f t="shared" si="211"/>
        <v/>
      </c>
      <c r="H7244" s="39"/>
      <c r="I7244" s="44"/>
      <c r="J7244" s="34">
        <v>0</v>
      </c>
    </row>
    <row r="7245" spans="1:10" ht="15.75" hidden="1" thickBot="1" x14ac:dyDescent="0.3">
      <c r="A7245" s="250"/>
      <c r="B7245" s="253"/>
      <c r="C7245" s="40"/>
      <c r="D7245" s="60"/>
      <c r="E7245" s="79"/>
      <c r="F7245" s="87" t="s">
        <v>23</v>
      </c>
      <c r="G7245" s="87" t="str">
        <f t="shared" si="211"/>
        <v/>
      </c>
      <c r="H7245" s="89"/>
      <c r="I7245" s="35"/>
      <c r="J7245" s="34">
        <v>0</v>
      </c>
    </row>
    <row r="7246" spans="1:10" ht="15.75" hidden="1" thickBot="1" x14ac:dyDescent="0.3">
      <c r="A7246" s="248" t="s">
        <v>1734</v>
      </c>
      <c r="B7246" s="251" t="s">
        <v>3483</v>
      </c>
      <c r="C7246" s="28"/>
      <c r="D7246" s="29" t="s">
        <v>3481</v>
      </c>
      <c r="E7246" s="30"/>
      <c r="F7246" s="45" t="s">
        <v>23</v>
      </c>
      <c r="G7246" s="31" t="str">
        <f t="shared" si="211"/>
        <v/>
      </c>
      <c r="H7246" s="32"/>
      <c r="I7246" s="33"/>
      <c r="J7246" s="34">
        <v>0</v>
      </c>
    </row>
    <row r="7247" spans="1:10" ht="15.75" hidden="1" thickBot="1" x14ac:dyDescent="0.3">
      <c r="A7247" s="249"/>
      <c r="B7247" s="252"/>
      <c r="C7247" s="95"/>
      <c r="D7247" s="36"/>
      <c r="E7247" s="37"/>
      <c r="F7247" s="46" t="s">
        <v>23</v>
      </c>
      <c r="G7247" s="38" t="str">
        <f t="shared" si="211"/>
        <v/>
      </c>
      <c r="H7247" s="39"/>
      <c r="I7247" s="35"/>
      <c r="J7247" s="34">
        <v>0</v>
      </c>
    </row>
    <row r="7248" spans="1:10" ht="15.75" hidden="1" thickBot="1" x14ac:dyDescent="0.3">
      <c r="A7248" s="249"/>
      <c r="B7248" s="252"/>
      <c r="C7248" s="99" t="s">
        <v>1730</v>
      </c>
      <c r="D7248" s="99" t="s">
        <v>80</v>
      </c>
      <c r="E7248" s="75">
        <v>0.5</v>
      </c>
      <c r="F7248" s="35" t="s">
        <v>23</v>
      </c>
      <c r="G7248" s="38" t="str">
        <f t="shared" si="211"/>
        <v/>
      </c>
      <c r="H7248" s="43">
        <f>SUM(G7248:G7249)</f>
        <v>0</v>
      </c>
      <c r="I7248" s="44"/>
      <c r="J7248" s="34">
        <v>0</v>
      </c>
    </row>
    <row r="7249" spans="1:10" ht="15.75" hidden="1" thickBot="1" x14ac:dyDescent="0.3">
      <c r="A7249" s="249"/>
      <c r="B7249" s="252"/>
      <c r="C7249" s="99" t="s">
        <v>1735</v>
      </c>
      <c r="D7249" s="99" t="s">
        <v>80</v>
      </c>
      <c r="E7249" s="75">
        <v>0.5</v>
      </c>
      <c r="F7249" s="35" t="s">
        <v>23</v>
      </c>
      <c r="G7249" s="35" t="str">
        <f t="shared" si="211"/>
        <v/>
      </c>
      <c r="H7249" s="39"/>
      <c r="I7249" s="44"/>
      <c r="J7249" s="34">
        <v>0</v>
      </c>
    </row>
    <row r="7250" spans="1:10" ht="15.75" hidden="1" thickBot="1" x14ac:dyDescent="0.3">
      <c r="A7250" s="250"/>
      <c r="B7250" s="253"/>
      <c r="C7250" s="60"/>
      <c r="D7250" s="40"/>
      <c r="E7250" s="41"/>
      <c r="F7250" s="35" t="s">
        <v>23</v>
      </c>
      <c r="G7250" s="38" t="str">
        <f t="shared" si="211"/>
        <v/>
      </c>
      <c r="H7250" s="39"/>
      <c r="I7250" s="35"/>
      <c r="J7250" s="34">
        <v>0</v>
      </c>
    </row>
    <row r="7251" spans="1:10" ht="15.75" hidden="1" thickBot="1" x14ac:dyDescent="0.3">
      <c r="A7251" s="248" t="s">
        <v>1736</v>
      </c>
      <c r="B7251" s="251" t="s">
        <v>3484</v>
      </c>
      <c r="C7251" s="28"/>
      <c r="D7251" s="29" t="s">
        <v>28</v>
      </c>
      <c r="E7251" s="30"/>
      <c r="F7251" s="45" t="s">
        <v>23</v>
      </c>
      <c r="G7251" s="31" t="str">
        <f t="shared" si="211"/>
        <v/>
      </c>
      <c r="H7251" s="32"/>
      <c r="I7251" s="33"/>
      <c r="J7251" s="34">
        <v>0</v>
      </c>
    </row>
    <row r="7252" spans="1:10" ht="15.75" hidden="1" thickBot="1" x14ac:dyDescent="0.3">
      <c r="A7252" s="249"/>
      <c r="B7252" s="266"/>
      <c r="C7252" s="95"/>
      <c r="D7252" s="36"/>
      <c r="E7252" s="37"/>
      <c r="F7252" s="46" t="s">
        <v>23</v>
      </c>
      <c r="G7252" s="35" t="str">
        <f t="shared" si="211"/>
        <v/>
      </c>
      <c r="H7252" s="39"/>
      <c r="I7252" s="35"/>
      <c r="J7252" s="34">
        <v>0</v>
      </c>
    </row>
    <row r="7253" spans="1:10" ht="26.25" hidden="1" thickBot="1" x14ac:dyDescent="0.3">
      <c r="A7253" s="249"/>
      <c r="B7253" s="266"/>
      <c r="C7253" s="40" t="s">
        <v>4484</v>
      </c>
      <c r="D7253" s="40" t="s">
        <v>291</v>
      </c>
      <c r="E7253" s="75">
        <v>1</v>
      </c>
      <c r="F7253" s="35">
        <v>40.061500000000002</v>
      </c>
      <c r="G7253" s="35">
        <f t="shared" si="211"/>
        <v>40.061500000000002</v>
      </c>
      <c r="H7253" s="43">
        <f t="shared" ref="H7253" si="212">SUM(G7253:G7253)</f>
        <v>40.061500000000002</v>
      </c>
      <c r="I7253" s="44"/>
      <c r="J7253" s="34">
        <v>0</v>
      </c>
    </row>
    <row r="7254" spans="1:10" ht="15.75" hidden="1" thickBot="1" x14ac:dyDescent="0.3">
      <c r="A7254" s="250"/>
      <c r="B7254" s="253"/>
      <c r="C7254" s="60"/>
      <c r="D7254" s="60"/>
      <c r="E7254" s="79"/>
      <c r="F7254" s="87" t="s">
        <v>23</v>
      </c>
      <c r="G7254" s="87" t="str">
        <f t="shared" si="211"/>
        <v/>
      </c>
      <c r="H7254" s="89"/>
      <c r="I7254" s="35"/>
      <c r="J7254" s="34">
        <v>0</v>
      </c>
    </row>
    <row r="7255" spans="1:10" ht="15.75" hidden="1" thickBot="1" x14ac:dyDescent="0.3">
      <c r="A7255" s="248" t="s">
        <v>1737</v>
      </c>
      <c r="B7255" s="251" t="s">
        <v>3485</v>
      </c>
      <c r="C7255" s="28"/>
      <c r="D7255" s="29" t="s">
        <v>28</v>
      </c>
      <c r="E7255" s="30"/>
      <c r="F7255" s="45" t="s">
        <v>23</v>
      </c>
      <c r="G7255" s="31" t="str">
        <f t="shared" si="211"/>
        <v/>
      </c>
      <c r="H7255" s="32"/>
      <c r="I7255" s="33"/>
      <c r="J7255" s="34">
        <v>0</v>
      </c>
    </row>
    <row r="7256" spans="1:10" ht="15.75" hidden="1" thickBot="1" x14ac:dyDescent="0.3">
      <c r="A7256" s="249"/>
      <c r="B7256" s="266"/>
      <c r="C7256" s="95"/>
      <c r="D7256" s="36"/>
      <c r="E7256" s="37"/>
      <c r="F7256" s="46" t="s">
        <v>23</v>
      </c>
      <c r="G7256" s="35" t="str">
        <f t="shared" si="211"/>
        <v/>
      </c>
      <c r="H7256" s="39"/>
      <c r="I7256" s="35"/>
      <c r="J7256" s="34">
        <v>0</v>
      </c>
    </row>
    <row r="7257" spans="1:10" ht="26.25" hidden="1" thickBot="1" x14ac:dyDescent="0.3">
      <c r="A7257" s="249"/>
      <c r="B7257" s="266"/>
      <c r="C7257" s="40" t="s">
        <v>4459</v>
      </c>
      <c r="D7257" s="40" t="s">
        <v>291</v>
      </c>
      <c r="E7257" s="75">
        <v>1</v>
      </c>
      <c r="F7257" s="35">
        <v>68.390499999999989</v>
      </c>
      <c r="G7257" s="35">
        <f t="shared" si="211"/>
        <v>68.390499999999989</v>
      </c>
      <c r="H7257" s="43">
        <f t="shared" ref="H7257" si="213">SUM(G7257:G7257)</f>
        <v>68.390499999999989</v>
      </c>
      <c r="I7257" s="44"/>
      <c r="J7257" s="34">
        <v>0</v>
      </c>
    </row>
    <row r="7258" spans="1:10" ht="15.75" hidden="1" thickBot="1" x14ac:dyDescent="0.3">
      <c r="A7258" s="250"/>
      <c r="B7258" s="253"/>
      <c r="C7258" s="60"/>
      <c r="D7258" s="60"/>
      <c r="E7258" s="79"/>
      <c r="F7258" s="87" t="s">
        <v>23</v>
      </c>
      <c r="G7258" s="87" t="str">
        <f t="shared" si="211"/>
        <v/>
      </c>
      <c r="H7258" s="89"/>
      <c r="I7258" s="35"/>
      <c r="J7258" s="34">
        <v>0</v>
      </c>
    </row>
    <row r="7259" spans="1:10" ht="15.75" hidden="1" thickBot="1" x14ac:dyDescent="0.3">
      <c r="A7259" s="248" t="s">
        <v>1738</v>
      </c>
      <c r="B7259" s="251" t="s">
        <v>3486</v>
      </c>
      <c r="C7259" s="28"/>
      <c r="D7259" s="29" t="s">
        <v>121</v>
      </c>
      <c r="E7259" s="30"/>
      <c r="F7259" s="45" t="s">
        <v>23</v>
      </c>
      <c r="G7259" s="31" t="str">
        <f t="shared" si="211"/>
        <v/>
      </c>
      <c r="H7259" s="32"/>
      <c r="I7259" s="33"/>
      <c r="J7259" s="34">
        <v>0</v>
      </c>
    </row>
    <row r="7260" spans="1:10" ht="15.75" hidden="1" thickBot="1" x14ac:dyDescent="0.3">
      <c r="A7260" s="249"/>
      <c r="B7260" s="252"/>
      <c r="C7260" s="95"/>
      <c r="D7260" s="36"/>
      <c r="E7260" s="37"/>
      <c r="F7260" s="46" t="s">
        <v>23</v>
      </c>
      <c r="G7260" s="38" t="str">
        <f t="shared" si="211"/>
        <v/>
      </c>
      <c r="H7260" s="39"/>
      <c r="I7260" s="35"/>
      <c r="J7260" s="34">
        <v>0</v>
      </c>
    </row>
    <row r="7261" spans="1:10" ht="26.25" hidden="1" thickBot="1" x14ac:dyDescent="0.3">
      <c r="A7261" s="249"/>
      <c r="B7261" s="252"/>
      <c r="C7261" s="40" t="s">
        <v>4483</v>
      </c>
      <c r="D7261" s="40" t="s">
        <v>1286</v>
      </c>
      <c r="E7261" s="41">
        <v>1</v>
      </c>
      <c r="F7261" s="35">
        <v>60.448500000000003</v>
      </c>
      <c r="G7261" s="38">
        <f t="shared" si="211"/>
        <v>60.448500000000003</v>
      </c>
      <c r="H7261" s="43">
        <f>SUM(G7261:G7261)</f>
        <v>60.448500000000003</v>
      </c>
      <c r="I7261" s="44"/>
      <c r="J7261" s="34">
        <v>0</v>
      </c>
    </row>
    <row r="7262" spans="1:10" ht="15.75" hidden="1" thickBot="1" x14ac:dyDescent="0.3">
      <c r="A7262" s="250"/>
      <c r="B7262" s="253"/>
      <c r="C7262" s="60"/>
      <c r="D7262" s="40"/>
      <c r="E7262" s="41"/>
      <c r="F7262" s="35" t="s">
        <v>23</v>
      </c>
      <c r="G7262" s="38" t="str">
        <f t="shared" si="211"/>
        <v/>
      </c>
      <c r="H7262" s="39"/>
      <c r="I7262" s="35"/>
      <c r="J7262" s="34">
        <v>0</v>
      </c>
    </row>
    <row r="7263" spans="1:10" ht="15.75" thickBot="1" x14ac:dyDescent="0.3">
      <c r="A7263" s="248" t="s">
        <v>1739</v>
      </c>
      <c r="B7263" s="251" t="s">
        <v>3487</v>
      </c>
      <c r="C7263" s="28"/>
      <c r="D7263" s="29" t="s">
        <v>28</v>
      </c>
      <c r="E7263" s="30"/>
      <c r="F7263" s="45" t="s">
        <v>23</v>
      </c>
      <c r="G7263" s="31" t="str">
        <f t="shared" si="211"/>
        <v/>
      </c>
      <c r="H7263" s="32"/>
      <c r="I7263" s="33"/>
      <c r="J7263" s="34">
        <v>1350</v>
      </c>
    </row>
    <row r="7264" spans="1:10" x14ac:dyDescent="0.25">
      <c r="A7264" s="249"/>
      <c r="B7264" s="266"/>
      <c r="C7264" s="36"/>
      <c r="D7264" s="36"/>
      <c r="E7264" s="37"/>
      <c r="F7264" s="46" t="s">
        <v>23</v>
      </c>
      <c r="G7264" s="35" t="str">
        <f t="shared" si="211"/>
        <v/>
      </c>
      <c r="H7264" s="39"/>
      <c r="I7264" s="35"/>
      <c r="J7264" s="34">
        <v>1350</v>
      </c>
    </row>
    <row r="7265" spans="1:10" ht="25.5" x14ac:dyDescent="0.25">
      <c r="A7265" s="249"/>
      <c r="B7265" s="266"/>
      <c r="C7265" s="40" t="s">
        <v>4125</v>
      </c>
      <c r="D7265" s="40" t="s">
        <v>291</v>
      </c>
      <c r="E7265" s="75">
        <v>1</v>
      </c>
      <c r="F7265" s="35">
        <v>5.8045</v>
      </c>
      <c r="G7265" s="35">
        <f t="shared" si="211"/>
        <v>5.8045</v>
      </c>
      <c r="H7265" s="43">
        <f t="shared" ref="H7265" si="214">SUM(G7265:G7265)</f>
        <v>5.8045</v>
      </c>
      <c r="I7265" s="44"/>
      <c r="J7265" s="34">
        <v>1350</v>
      </c>
    </row>
    <row r="7266" spans="1:10" ht="15.75" thickBot="1" x14ac:dyDescent="0.3">
      <c r="A7266" s="250"/>
      <c r="B7266" s="253"/>
      <c r="C7266" s="60"/>
      <c r="D7266" s="60"/>
      <c r="E7266" s="79"/>
      <c r="F7266" s="87" t="s">
        <v>23</v>
      </c>
      <c r="G7266" s="87" t="str">
        <f t="shared" si="211"/>
        <v/>
      </c>
      <c r="H7266" s="89"/>
      <c r="I7266" s="35"/>
      <c r="J7266" s="34">
        <v>1350</v>
      </c>
    </row>
    <row r="7267" spans="1:10" ht="15.75" thickBot="1" x14ac:dyDescent="0.3">
      <c r="A7267" s="248" t="s">
        <v>1740</v>
      </c>
      <c r="B7267" s="251" t="s">
        <v>3488</v>
      </c>
      <c r="C7267" s="28"/>
      <c r="D7267" s="29" t="s">
        <v>28</v>
      </c>
      <c r="E7267" s="30"/>
      <c r="F7267" s="45" t="s">
        <v>23</v>
      </c>
      <c r="G7267" s="31" t="str">
        <f t="shared" si="211"/>
        <v/>
      </c>
      <c r="H7267" s="32"/>
      <c r="I7267" s="33"/>
      <c r="J7267" s="34">
        <v>1350</v>
      </c>
    </row>
    <row r="7268" spans="1:10" x14ac:dyDescent="0.25">
      <c r="A7268" s="249"/>
      <c r="B7268" s="266"/>
      <c r="C7268" s="36"/>
      <c r="D7268" s="36"/>
      <c r="E7268" s="37"/>
      <c r="F7268" s="46" t="s">
        <v>23</v>
      </c>
      <c r="G7268" s="35" t="str">
        <f t="shared" si="211"/>
        <v/>
      </c>
      <c r="H7268" s="39"/>
      <c r="I7268" s="35"/>
      <c r="J7268" s="34">
        <v>1350</v>
      </c>
    </row>
    <row r="7269" spans="1:10" x14ac:dyDescent="0.25">
      <c r="A7269" s="249"/>
      <c r="B7269" s="266"/>
      <c r="C7269" s="101" t="s">
        <v>1741</v>
      </c>
      <c r="D7269" s="40" t="s">
        <v>28</v>
      </c>
      <c r="E7269" s="75">
        <v>1</v>
      </c>
      <c r="F7269" s="35">
        <v>6.5454999999999997</v>
      </c>
      <c r="G7269" s="35">
        <f t="shared" si="211"/>
        <v>6.5454999999999997</v>
      </c>
      <c r="H7269" s="43">
        <f t="shared" ref="H7269" si="215">SUM(G7269:G7269)</f>
        <v>6.5454999999999997</v>
      </c>
      <c r="I7269" s="44"/>
      <c r="J7269" s="34">
        <v>1350</v>
      </c>
    </row>
    <row r="7270" spans="1:10" ht="15.75" thickBot="1" x14ac:dyDescent="0.3">
      <c r="A7270" s="250"/>
      <c r="B7270" s="253"/>
      <c r="C7270" s="60"/>
      <c r="D7270" s="60"/>
      <c r="E7270" s="79"/>
      <c r="F7270" s="87" t="s">
        <v>23</v>
      </c>
      <c r="G7270" s="87" t="str">
        <f t="shared" si="211"/>
        <v/>
      </c>
      <c r="H7270" s="89"/>
      <c r="I7270" s="35"/>
      <c r="J7270" s="34">
        <v>1350</v>
      </c>
    </row>
    <row r="7271" spans="1:10" ht="15.75" thickBot="1" x14ac:dyDescent="0.3">
      <c r="A7271" s="248" t="s">
        <v>1742</v>
      </c>
      <c r="B7271" s="251" t="s">
        <v>3491</v>
      </c>
      <c r="C7271" s="28"/>
      <c r="D7271" s="29" t="s">
        <v>28</v>
      </c>
      <c r="E7271" s="30"/>
      <c r="F7271" s="45" t="s">
        <v>23</v>
      </c>
      <c r="G7271" s="31" t="str">
        <f t="shared" si="211"/>
        <v/>
      </c>
      <c r="H7271" s="32"/>
      <c r="I7271" s="33"/>
      <c r="J7271" s="34">
        <v>5000</v>
      </c>
    </row>
    <row r="7272" spans="1:10" x14ac:dyDescent="0.25">
      <c r="A7272" s="249"/>
      <c r="B7272" s="252"/>
      <c r="C7272" s="36"/>
      <c r="D7272" s="36"/>
      <c r="E7272" s="37"/>
      <c r="F7272" s="46" t="s">
        <v>23</v>
      </c>
      <c r="G7272" s="38" t="str">
        <f t="shared" si="211"/>
        <v/>
      </c>
      <c r="H7272" s="39"/>
      <c r="I7272" s="35"/>
      <c r="J7272" s="34">
        <v>5000</v>
      </c>
    </row>
    <row r="7273" spans="1:10" ht="25.5" x14ac:dyDescent="0.25">
      <c r="A7273" s="249"/>
      <c r="B7273" s="252"/>
      <c r="C7273" s="40" t="s">
        <v>4122</v>
      </c>
      <c r="D7273" s="40" t="s">
        <v>291</v>
      </c>
      <c r="E7273" s="41">
        <v>1</v>
      </c>
      <c r="F7273" s="35">
        <v>1.748</v>
      </c>
      <c r="G7273" s="38">
        <f t="shared" si="211"/>
        <v>1.748</v>
      </c>
      <c r="H7273" s="43">
        <f>SUM(G7273:G7273)</f>
        <v>1.748</v>
      </c>
      <c r="I7273" s="44"/>
      <c r="J7273" s="34">
        <v>5000</v>
      </c>
    </row>
    <row r="7274" spans="1:10" ht="15.75" thickBot="1" x14ac:dyDescent="0.3">
      <c r="A7274" s="250"/>
      <c r="B7274" s="253"/>
      <c r="C7274" s="40"/>
      <c r="D7274" s="40"/>
      <c r="E7274" s="41"/>
      <c r="F7274" s="35" t="s">
        <v>23</v>
      </c>
      <c r="G7274" s="38" t="str">
        <f t="shared" si="211"/>
        <v/>
      </c>
      <c r="H7274" s="39"/>
      <c r="I7274" s="35"/>
      <c r="J7274" s="34">
        <v>5000</v>
      </c>
    </row>
    <row r="7275" spans="1:10" ht="15.75" thickBot="1" x14ac:dyDescent="0.3">
      <c r="A7275" s="248" t="s">
        <v>1743</v>
      </c>
      <c r="B7275" s="251" t="s">
        <v>3492</v>
      </c>
      <c r="C7275" s="28"/>
      <c r="D7275" s="29" t="s">
        <v>3493</v>
      </c>
      <c r="E7275" s="30"/>
      <c r="F7275" s="45" t="s">
        <v>23</v>
      </c>
      <c r="G7275" s="31" t="str">
        <f t="shared" si="211"/>
        <v/>
      </c>
      <c r="H7275" s="32"/>
      <c r="I7275" s="33"/>
      <c r="J7275" s="34">
        <v>3900</v>
      </c>
    </row>
    <row r="7276" spans="1:10" x14ac:dyDescent="0.25">
      <c r="A7276" s="249"/>
      <c r="B7276" s="252"/>
      <c r="C7276" s="36"/>
      <c r="D7276" s="36"/>
      <c r="E7276" s="37"/>
      <c r="F7276" s="46" t="s">
        <v>23</v>
      </c>
      <c r="G7276" s="38" t="str">
        <f t="shared" si="211"/>
        <v/>
      </c>
      <c r="H7276" s="39"/>
      <c r="I7276" s="35"/>
      <c r="J7276" s="34">
        <v>3900</v>
      </c>
    </row>
    <row r="7277" spans="1:10" x14ac:dyDescent="0.25">
      <c r="A7277" s="249"/>
      <c r="B7277" s="252"/>
      <c r="C7277" s="40" t="s">
        <v>3855</v>
      </c>
      <c r="D7277" s="40" t="s">
        <v>1035</v>
      </c>
      <c r="E7277" s="41">
        <v>25</v>
      </c>
      <c r="F7277" s="35">
        <v>1.9379999999999999</v>
      </c>
      <c r="G7277" s="38">
        <f t="shared" si="211"/>
        <v>48.449999999999996</v>
      </c>
      <c r="H7277" s="43">
        <f>SUM(G7277:G7277)</f>
        <v>48.449999999999996</v>
      </c>
      <c r="I7277" s="44"/>
      <c r="J7277" s="34">
        <v>3900</v>
      </c>
    </row>
    <row r="7278" spans="1:10" ht="15.75" thickBot="1" x14ac:dyDescent="0.3">
      <c r="A7278" s="250"/>
      <c r="B7278" s="253"/>
      <c r="C7278" s="40"/>
      <c r="D7278" s="40"/>
      <c r="E7278" s="41"/>
      <c r="F7278" s="35" t="s">
        <v>23</v>
      </c>
      <c r="G7278" s="38" t="str">
        <f t="shared" si="211"/>
        <v/>
      </c>
      <c r="H7278" s="39"/>
      <c r="I7278" s="35"/>
      <c r="J7278" s="34">
        <v>3900</v>
      </c>
    </row>
    <row r="7279" spans="1:10" ht="15.75" thickBot="1" x14ac:dyDescent="0.3">
      <c r="A7279" s="248" t="s">
        <v>1744</v>
      </c>
      <c r="B7279" s="251" t="s">
        <v>3494</v>
      </c>
      <c r="C7279" s="28"/>
      <c r="D7279" s="29" t="s">
        <v>78</v>
      </c>
      <c r="E7279" s="30"/>
      <c r="F7279" s="45" t="s">
        <v>23</v>
      </c>
      <c r="G7279" s="31" t="str">
        <f t="shared" si="211"/>
        <v/>
      </c>
      <c r="H7279" s="32"/>
      <c r="I7279" s="33"/>
      <c r="J7279" s="34">
        <v>6430</v>
      </c>
    </row>
    <row r="7280" spans="1:10" x14ac:dyDescent="0.25">
      <c r="A7280" s="249"/>
      <c r="B7280" s="252"/>
      <c r="C7280" s="36"/>
      <c r="D7280" s="36"/>
      <c r="E7280" s="37"/>
      <c r="F7280" s="46" t="s">
        <v>23</v>
      </c>
      <c r="G7280" s="38" t="str">
        <f t="shared" si="211"/>
        <v/>
      </c>
      <c r="H7280" s="39"/>
      <c r="I7280" s="35"/>
      <c r="J7280" s="34">
        <v>6430</v>
      </c>
    </row>
    <row r="7281" spans="1:10" ht="25.5" x14ac:dyDescent="0.25">
      <c r="A7281" s="249"/>
      <c r="B7281" s="252"/>
      <c r="C7281" s="40" t="s">
        <v>3972</v>
      </c>
      <c r="D7281" s="40" t="s">
        <v>177</v>
      </c>
      <c r="E7281" s="41">
        <v>1</v>
      </c>
      <c r="F7281" s="35">
        <v>16.625</v>
      </c>
      <c r="G7281" s="38">
        <f t="shared" si="211"/>
        <v>16.625</v>
      </c>
      <c r="H7281" s="43">
        <f>SUM(G7281:G7281)</f>
        <v>16.625</v>
      </c>
      <c r="I7281" s="44"/>
      <c r="J7281" s="34">
        <v>6430</v>
      </c>
    </row>
    <row r="7282" spans="1:10" ht="15.75" thickBot="1" x14ac:dyDescent="0.3">
      <c r="A7282" s="250"/>
      <c r="B7282" s="253"/>
      <c r="C7282" s="40"/>
      <c r="D7282" s="40"/>
      <c r="E7282" s="41"/>
      <c r="F7282" s="35" t="s">
        <v>23</v>
      </c>
      <c r="G7282" s="38" t="str">
        <f t="shared" si="211"/>
        <v/>
      </c>
      <c r="H7282" s="39"/>
      <c r="I7282" s="35"/>
      <c r="J7282" s="34">
        <v>6430</v>
      </c>
    </row>
    <row r="7283" spans="1:10" ht="15.75" thickBot="1" x14ac:dyDescent="0.3">
      <c r="A7283" s="248" t="s">
        <v>1745</v>
      </c>
      <c r="B7283" s="251" t="s">
        <v>3495</v>
      </c>
      <c r="C7283" s="28"/>
      <c r="D7283" s="29" t="s">
        <v>121</v>
      </c>
      <c r="E7283" s="30"/>
      <c r="F7283" s="45" t="s">
        <v>23</v>
      </c>
      <c r="G7283" s="31" t="str">
        <f t="shared" si="211"/>
        <v/>
      </c>
      <c r="H7283" s="32"/>
      <c r="I7283" s="33"/>
      <c r="J7283" s="34">
        <v>4000</v>
      </c>
    </row>
    <row r="7284" spans="1:10" x14ac:dyDescent="0.25">
      <c r="A7284" s="249"/>
      <c r="B7284" s="252"/>
      <c r="C7284" s="36"/>
      <c r="D7284" s="36"/>
      <c r="E7284" s="37"/>
      <c r="F7284" s="46" t="s">
        <v>23</v>
      </c>
      <c r="G7284" s="38" t="str">
        <f t="shared" si="211"/>
        <v/>
      </c>
      <c r="H7284" s="39"/>
      <c r="I7284" s="35"/>
      <c r="J7284" s="34">
        <v>4000</v>
      </c>
    </row>
    <row r="7285" spans="1:10" x14ac:dyDescent="0.25">
      <c r="A7285" s="249"/>
      <c r="B7285" s="252"/>
      <c r="C7285" s="40" t="s">
        <v>4138</v>
      </c>
      <c r="D7285" s="40" t="s">
        <v>1035</v>
      </c>
      <c r="E7285" s="41">
        <v>0.109</v>
      </c>
      <c r="F7285" s="35">
        <v>9.5759999999999987</v>
      </c>
      <c r="G7285" s="38">
        <f t="shared" si="211"/>
        <v>1.0437839999999998</v>
      </c>
      <c r="H7285" s="43">
        <f>SUM(G7285:G7285)</f>
        <v>1.0437839999999998</v>
      </c>
      <c r="I7285" s="44"/>
      <c r="J7285" s="34">
        <v>4000</v>
      </c>
    </row>
    <row r="7286" spans="1:10" ht="15.75" thickBot="1" x14ac:dyDescent="0.3">
      <c r="A7286" s="250"/>
      <c r="B7286" s="253"/>
      <c r="C7286" s="40"/>
      <c r="D7286" s="40"/>
      <c r="E7286" s="41"/>
      <c r="F7286" s="35" t="s">
        <v>23</v>
      </c>
      <c r="G7286" s="38" t="str">
        <f t="shared" si="211"/>
        <v/>
      </c>
      <c r="H7286" s="39"/>
      <c r="I7286" s="35"/>
      <c r="J7286" s="34">
        <v>4000</v>
      </c>
    </row>
    <row r="7287" spans="1:10" ht="15.75" thickBot="1" x14ac:dyDescent="0.3">
      <c r="A7287" s="248" t="s">
        <v>1746</v>
      </c>
      <c r="B7287" s="251" t="s">
        <v>3496</v>
      </c>
      <c r="C7287" s="28"/>
      <c r="D7287" s="29" t="s">
        <v>3497</v>
      </c>
      <c r="E7287" s="30"/>
      <c r="F7287" s="45" t="s">
        <v>23</v>
      </c>
      <c r="G7287" s="31" t="str">
        <f t="shared" si="211"/>
        <v/>
      </c>
      <c r="H7287" s="32"/>
      <c r="I7287" s="33"/>
      <c r="J7287" s="34">
        <v>200</v>
      </c>
    </row>
    <row r="7288" spans="1:10" x14ac:dyDescent="0.25">
      <c r="A7288" s="249"/>
      <c r="B7288" s="252"/>
      <c r="C7288" s="36"/>
      <c r="D7288" s="36"/>
      <c r="E7288" s="37"/>
      <c r="F7288" s="46" t="s">
        <v>23</v>
      </c>
      <c r="G7288" s="38" t="str">
        <f t="shared" si="211"/>
        <v/>
      </c>
      <c r="H7288" s="39"/>
      <c r="I7288" s="35"/>
      <c r="J7288" s="34">
        <v>200</v>
      </c>
    </row>
    <row r="7289" spans="1:10" x14ac:dyDescent="0.25">
      <c r="A7289" s="249"/>
      <c r="B7289" s="252"/>
      <c r="C7289" s="40" t="s">
        <v>1747</v>
      </c>
      <c r="D7289" s="40" t="s">
        <v>1748</v>
      </c>
      <c r="E7289" s="41">
        <v>0.1</v>
      </c>
      <c r="F7289" s="35">
        <v>1101.1925000000001</v>
      </c>
      <c r="G7289" s="38">
        <f t="shared" si="211"/>
        <v>110.11925000000002</v>
      </c>
      <c r="H7289" s="43">
        <f>SUM(G7289:G7289)</f>
        <v>110.11925000000002</v>
      </c>
      <c r="I7289" s="44"/>
      <c r="J7289" s="34">
        <v>200</v>
      </c>
    </row>
    <row r="7290" spans="1:10" ht="15.75" thickBot="1" x14ac:dyDescent="0.3">
      <c r="A7290" s="250"/>
      <c r="B7290" s="253"/>
      <c r="C7290" s="60"/>
      <c r="D7290" s="60"/>
      <c r="E7290" s="79"/>
      <c r="F7290" s="87" t="s">
        <v>23</v>
      </c>
      <c r="G7290" s="88" t="str">
        <f t="shared" si="211"/>
        <v/>
      </c>
      <c r="H7290" s="89"/>
      <c r="I7290" s="35"/>
      <c r="J7290" s="34">
        <v>200</v>
      </c>
    </row>
    <row r="7291" spans="1:10" ht="15.75" hidden="1" thickBot="1" x14ac:dyDescent="0.3">
      <c r="A7291" s="248" t="s">
        <v>1749</v>
      </c>
      <c r="B7291" s="251" t="s">
        <v>3498</v>
      </c>
      <c r="C7291" s="28"/>
      <c r="D7291" s="29" t="s">
        <v>28</v>
      </c>
      <c r="E7291" s="30"/>
      <c r="F7291" s="45" t="s">
        <v>23</v>
      </c>
      <c r="G7291" s="31" t="str">
        <f t="shared" si="211"/>
        <v/>
      </c>
      <c r="H7291" s="32"/>
      <c r="I7291" s="33"/>
      <c r="J7291" s="34">
        <v>0</v>
      </c>
    </row>
    <row r="7292" spans="1:10" ht="15.75" hidden="1" thickBot="1" x14ac:dyDescent="0.3">
      <c r="A7292" s="249"/>
      <c r="B7292" s="252"/>
      <c r="C7292" s="36"/>
      <c r="D7292" s="36"/>
      <c r="E7292" s="37"/>
      <c r="F7292" s="46" t="s">
        <v>23</v>
      </c>
      <c r="G7292" s="38" t="str">
        <f t="shared" si="211"/>
        <v/>
      </c>
      <c r="H7292" s="39"/>
      <c r="I7292" s="35"/>
      <c r="J7292" s="34">
        <v>0</v>
      </c>
    </row>
    <row r="7293" spans="1:10" ht="15.75" hidden="1" thickBot="1" x14ac:dyDescent="0.3">
      <c r="A7293" s="249"/>
      <c r="B7293" s="252"/>
      <c r="C7293" s="40" t="s">
        <v>1750</v>
      </c>
      <c r="D7293" s="40" t="s">
        <v>28</v>
      </c>
      <c r="E7293" s="41">
        <v>1</v>
      </c>
      <c r="F7293" s="35">
        <v>0</v>
      </c>
      <c r="G7293" s="38">
        <f t="shared" ref="G7293:G7356" si="216">IF(ISNUMBER(F7293),E7293*F7293,"")</f>
        <v>0</v>
      </c>
      <c r="H7293" s="43">
        <f>SUM(G7293:G7293)</f>
        <v>0</v>
      </c>
      <c r="I7293" s="44"/>
      <c r="J7293" s="34">
        <v>0</v>
      </c>
    </row>
    <row r="7294" spans="1:10" ht="15.75" hidden="1" thickBot="1" x14ac:dyDescent="0.3">
      <c r="A7294" s="250"/>
      <c r="B7294" s="253"/>
      <c r="C7294" s="60"/>
      <c r="D7294" s="60"/>
      <c r="E7294" s="79"/>
      <c r="F7294" s="87" t="s">
        <v>23</v>
      </c>
      <c r="G7294" s="88" t="str">
        <f t="shared" si="216"/>
        <v/>
      </c>
      <c r="H7294" s="89"/>
      <c r="I7294" s="35"/>
      <c r="J7294" s="34">
        <v>0</v>
      </c>
    </row>
    <row r="7295" spans="1:10" ht="15.75" hidden="1" thickBot="1" x14ac:dyDescent="0.3">
      <c r="A7295" s="248" t="s">
        <v>1751</v>
      </c>
      <c r="B7295" s="251" t="s">
        <v>3499</v>
      </c>
      <c r="C7295" s="28"/>
      <c r="D7295" s="29" t="s">
        <v>28</v>
      </c>
      <c r="E7295" s="30"/>
      <c r="F7295" s="45" t="s">
        <v>23</v>
      </c>
      <c r="G7295" s="31" t="str">
        <f t="shared" si="216"/>
        <v/>
      </c>
      <c r="H7295" s="32"/>
      <c r="I7295" s="33"/>
      <c r="J7295" s="34">
        <v>0</v>
      </c>
    </row>
    <row r="7296" spans="1:10" ht="15.75" hidden="1" thickBot="1" x14ac:dyDescent="0.3">
      <c r="A7296" s="249"/>
      <c r="B7296" s="252"/>
      <c r="C7296" s="36"/>
      <c r="D7296" s="36"/>
      <c r="E7296" s="37"/>
      <c r="F7296" s="46" t="s">
        <v>23</v>
      </c>
      <c r="G7296" s="38" t="str">
        <f t="shared" si="216"/>
        <v/>
      </c>
      <c r="H7296" s="39"/>
      <c r="I7296" s="35"/>
      <c r="J7296" s="34">
        <v>0</v>
      </c>
    </row>
    <row r="7297" spans="1:10" ht="15.75" hidden="1" thickBot="1" x14ac:dyDescent="0.3">
      <c r="A7297" s="249"/>
      <c r="B7297" s="252"/>
      <c r="C7297" s="40" t="s">
        <v>1752</v>
      </c>
      <c r="D7297" s="40" t="s">
        <v>28</v>
      </c>
      <c r="E7297" s="41">
        <v>1</v>
      </c>
      <c r="F7297" s="35">
        <v>0</v>
      </c>
      <c r="G7297" s="38">
        <f t="shared" si="216"/>
        <v>0</v>
      </c>
      <c r="H7297" s="43">
        <f>SUM(G7297:G7297)</f>
        <v>0</v>
      </c>
      <c r="I7297" s="44"/>
      <c r="J7297" s="34">
        <v>0</v>
      </c>
    </row>
    <row r="7298" spans="1:10" ht="15.75" hidden="1" thickBot="1" x14ac:dyDescent="0.3">
      <c r="A7298" s="250"/>
      <c r="B7298" s="253"/>
      <c r="C7298" s="60"/>
      <c r="D7298" s="60"/>
      <c r="E7298" s="79"/>
      <c r="F7298" s="87" t="s">
        <v>23</v>
      </c>
      <c r="G7298" s="88" t="str">
        <f t="shared" si="216"/>
        <v/>
      </c>
      <c r="H7298" s="89"/>
      <c r="I7298" s="35"/>
      <c r="J7298" s="34">
        <v>0</v>
      </c>
    </row>
    <row r="7299" spans="1:10" ht="15.75" hidden="1" thickBot="1" x14ac:dyDescent="0.3">
      <c r="A7299" s="248" t="s">
        <v>1753</v>
      </c>
      <c r="B7299" s="251" t="s">
        <v>3500</v>
      </c>
      <c r="C7299" s="28"/>
      <c r="D7299" s="29" t="s">
        <v>28</v>
      </c>
      <c r="E7299" s="30"/>
      <c r="F7299" s="45" t="s">
        <v>23</v>
      </c>
      <c r="G7299" s="31" t="str">
        <f t="shared" si="216"/>
        <v/>
      </c>
      <c r="H7299" s="32"/>
      <c r="I7299" s="33"/>
      <c r="J7299" s="34">
        <v>0</v>
      </c>
    </row>
    <row r="7300" spans="1:10" ht="15.75" hidden="1" thickBot="1" x14ac:dyDescent="0.3">
      <c r="A7300" s="249"/>
      <c r="B7300" s="252"/>
      <c r="C7300" s="36"/>
      <c r="D7300" s="36"/>
      <c r="E7300" s="37"/>
      <c r="F7300" s="46" t="s">
        <v>23</v>
      </c>
      <c r="G7300" s="38" t="str">
        <f t="shared" si="216"/>
        <v/>
      </c>
      <c r="H7300" s="39"/>
      <c r="I7300" s="35"/>
      <c r="J7300" s="34">
        <v>0</v>
      </c>
    </row>
    <row r="7301" spans="1:10" ht="15.75" hidden="1" thickBot="1" x14ac:dyDescent="0.3">
      <c r="A7301" s="249"/>
      <c r="B7301" s="252"/>
      <c r="C7301" s="40" t="s">
        <v>1754</v>
      </c>
      <c r="D7301" s="40" t="s">
        <v>28</v>
      </c>
      <c r="E7301" s="41">
        <v>1</v>
      </c>
      <c r="F7301" s="35">
        <v>0</v>
      </c>
      <c r="G7301" s="38">
        <f t="shared" si="216"/>
        <v>0</v>
      </c>
      <c r="H7301" s="43">
        <f>SUM(G7301:G7301)</f>
        <v>0</v>
      </c>
      <c r="I7301" s="44"/>
      <c r="J7301" s="34">
        <v>0</v>
      </c>
    </row>
    <row r="7302" spans="1:10" ht="15.75" hidden="1" thickBot="1" x14ac:dyDescent="0.3">
      <c r="A7302" s="250"/>
      <c r="B7302" s="253"/>
      <c r="C7302" s="60"/>
      <c r="D7302" s="60"/>
      <c r="E7302" s="79"/>
      <c r="F7302" s="87" t="s">
        <v>23</v>
      </c>
      <c r="G7302" s="88" t="str">
        <f t="shared" si="216"/>
        <v/>
      </c>
      <c r="H7302" s="89"/>
      <c r="I7302" s="35"/>
      <c r="J7302" s="34">
        <v>0</v>
      </c>
    </row>
    <row r="7303" spans="1:10" ht="15.75" hidden="1" thickBot="1" x14ac:dyDescent="0.3">
      <c r="A7303" s="248" t="s">
        <v>1755</v>
      </c>
      <c r="B7303" s="251" t="s">
        <v>3078</v>
      </c>
      <c r="C7303" s="28"/>
      <c r="D7303" s="29" t="s">
        <v>121</v>
      </c>
      <c r="E7303" s="30"/>
      <c r="F7303" s="45" t="s">
        <v>23</v>
      </c>
      <c r="G7303" s="31" t="str">
        <f t="shared" si="216"/>
        <v/>
      </c>
      <c r="H7303" s="32"/>
      <c r="I7303" s="33"/>
      <c r="J7303" s="34">
        <v>0</v>
      </c>
    </row>
    <row r="7304" spans="1:10" ht="15.75" hidden="1" thickBot="1" x14ac:dyDescent="0.3">
      <c r="A7304" s="249"/>
      <c r="B7304" s="252"/>
      <c r="C7304" s="36"/>
      <c r="D7304" s="36"/>
      <c r="E7304" s="37"/>
      <c r="F7304" s="46" t="s">
        <v>23</v>
      </c>
      <c r="G7304" s="38" t="str">
        <f t="shared" si="216"/>
        <v/>
      </c>
      <c r="H7304" s="39"/>
      <c r="I7304" s="35"/>
      <c r="J7304" s="34">
        <v>0</v>
      </c>
    </row>
    <row r="7305" spans="1:10" ht="26.25" hidden="1" thickBot="1" x14ac:dyDescent="0.3">
      <c r="A7305" s="249"/>
      <c r="B7305" s="252"/>
      <c r="C7305" s="40" t="s">
        <v>4210</v>
      </c>
      <c r="D7305" s="40" t="s">
        <v>1286</v>
      </c>
      <c r="E7305" s="41">
        <v>1</v>
      </c>
      <c r="F7305" s="35">
        <v>16.814999999999998</v>
      </c>
      <c r="G7305" s="38">
        <f t="shared" si="216"/>
        <v>16.814999999999998</v>
      </c>
      <c r="H7305" s="43">
        <f>SUM(G7305:G7305)</f>
        <v>16.814999999999998</v>
      </c>
      <c r="I7305" s="44"/>
      <c r="J7305" s="34">
        <v>0</v>
      </c>
    </row>
    <row r="7306" spans="1:10" ht="15.75" hidden="1" thickBot="1" x14ac:dyDescent="0.3">
      <c r="A7306" s="250"/>
      <c r="B7306" s="253"/>
      <c r="C7306" s="60"/>
      <c r="D7306" s="60"/>
      <c r="E7306" s="79"/>
      <c r="F7306" s="87" t="s">
        <v>23</v>
      </c>
      <c r="G7306" s="88" t="str">
        <f t="shared" si="216"/>
        <v/>
      </c>
      <c r="H7306" s="89"/>
      <c r="I7306" s="35"/>
      <c r="J7306" s="34">
        <v>0</v>
      </c>
    </row>
    <row r="7307" spans="1:10" ht="15.75" hidden="1" thickBot="1" x14ac:dyDescent="0.3">
      <c r="A7307" s="248" t="s">
        <v>1756</v>
      </c>
      <c r="B7307" s="251" t="s">
        <v>3079</v>
      </c>
      <c r="C7307" s="28"/>
      <c r="D7307" s="29" t="s">
        <v>121</v>
      </c>
      <c r="E7307" s="30"/>
      <c r="F7307" s="45" t="s">
        <v>23</v>
      </c>
      <c r="G7307" s="31" t="str">
        <f t="shared" si="216"/>
        <v/>
      </c>
      <c r="H7307" s="32"/>
      <c r="I7307" s="33"/>
      <c r="J7307" s="34">
        <v>0</v>
      </c>
    </row>
    <row r="7308" spans="1:10" ht="15.75" hidden="1" thickBot="1" x14ac:dyDescent="0.3">
      <c r="A7308" s="249"/>
      <c r="B7308" s="252"/>
      <c r="C7308" s="36"/>
      <c r="D7308" s="36"/>
      <c r="E7308" s="37"/>
      <c r="F7308" s="46" t="s">
        <v>23</v>
      </c>
      <c r="G7308" s="38" t="str">
        <f t="shared" si="216"/>
        <v/>
      </c>
      <c r="H7308" s="39"/>
      <c r="I7308" s="35"/>
      <c r="J7308" s="34">
        <v>0</v>
      </c>
    </row>
    <row r="7309" spans="1:10" ht="26.25" hidden="1" thickBot="1" x14ac:dyDescent="0.3">
      <c r="A7309" s="249"/>
      <c r="B7309" s="252"/>
      <c r="C7309" s="40" t="s">
        <v>4211</v>
      </c>
      <c r="D7309" s="40" t="s">
        <v>1286</v>
      </c>
      <c r="E7309" s="41">
        <v>1</v>
      </c>
      <c r="F7309" s="35">
        <v>23.274999999999999</v>
      </c>
      <c r="G7309" s="38">
        <f t="shared" si="216"/>
        <v>23.274999999999999</v>
      </c>
      <c r="H7309" s="43">
        <f>SUM(G7309:G7309)</f>
        <v>23.274999999999999</v>
      </c>
      <c r="I7309" s="44"/>
      <c r="J7309" s="34">
        <v>0</v>
      </c>
    </row>
    <row r="7310" spans="1:10" ht="15.75" hidden="1" thickBot="1" x14ac:dyDescent="0.3">
      <c r="A7310" s="250"/>
      <c r="B7310" s="253"/>
      <c r="C7310" s="60"/>
      <c r="D7310" s="60"/>
      <c r="E7310" s="79"/>
      <c r="F7310" s="87" t="s">
        <v>23</v>
      </c>
      <c r="G7310" s="88" t="str">
        <f t="shared" si="216"/>
        <v/>
      </c>
      <c r="H7310" s="89"/>
      <c r="I7310" s="35"/>
      <c r="J7310" s="34">
        <v>0</v>
      </c>
    </row>
    <row r="7311" spans="1:10" ht="15.75" thickBot="1" x14ac:dyDescent="0.3">
      <c r="A7311" s="248" t="s">
        <v>1757</v>
      </c>
      <c r="B7311" s="251" t="s">
        <v>3501</v>
      </c>
      <c r="C7311" s="28"/>
      <c r="D7311" s="29" t="s">
        <v>78</v>
      </c>
      <c r="E7311" s="30"/>
      <c r="F7311" s="51" t="s">
        <v>23</v>
      </c>
      <c r="G7311" s="31" t="str">
        <f t="shared" si="216"/>
        <v/>
      </c>
      <c r="H7311" s="32"/>
      <c r="I7311" s="33"/>
      <c r="J7311" s="34">
        <v>2000</v>
      </c>
    </row>
    <row r="7312" spans="1:10" x14ac:dyDescent="0.25">
      <c r="A7312" s="262"/>
      <c r="B7312" s="266"/>
      <c r="C7312" s="76"/>
      <c r="D7312" s="76"/>
      <c r="E7312" s="77"/>
      <c r="F7312" s="59" t="s">
        <v>23</v>
      </c>
      <c r="G7312" s="59" t="str">
        <f t="shared" si="216"/>
        <v/>
      </c>
      <c r="H7312" s="62"/>
      <c r="I7312" s="63"/>
      <c r="J7312" s="34">
        <v>2000</v>
      </c>
    </row>
    <row r="7313" spans="1:10" ht="38.25" x14ac:dyDescent="0.25">
      <c r="A7313" s="262"/>
      <c r="B7313" s="266"/>
      <c r="C7313" s="40" t="s">
        <v>3825</v>
      </c>
      <c r="D7313" s="40" t="s">
        <v>177</v>
      </c>
      <c r="E7313" s="75">
        <v>1.05</v>
      </c>
      <c r="F7313" s="35">
        <v>169.56550000000001</v>
      </c>
      <c r="G7313" s="59">
        <f t="shared" si="216"/>
        <v>178.04377500000001</v>
      </c>
      <c r="H7313" s="43">
        <f>SUM(G7313:G7316)</f>
        <v>245.203664</v>
      </c>
      <c r="I7313" s="44"/>
      <c r="J7313" s="34">
        <v>2000</v>
      </c>
    </row>
    <row r="7314" spans="1:10" x14ac:dyDescent="0.25">
      <c r="A7314" s="262"/>
      <c r="B7314" s="266"/>
      <c r="C7314" s="40" t="s">
        <v>4006</v>
      </c>
      <c r="D7314" s="40" t="s">
        <v>1035</v>
      </c>
      <c r="E7314" s="41">
        <v>9.8000000000000007</v>
      </c>
      <c r="F7314" s="38">
        <v>2.1755</v>
      </c>
      <c r="G7314" s="38">
        <f t="shared" si="216"/>
        <v>21.319900000000001</v>
      </c>
      <c r="H7314" s="39"/>
      <c r="I7314" s="35"/>
      <c r="J7314" s="34">
        <v>2000</v>
      </c>
    </row>
    <row r="7315" spans="1:10" x14ac:dyDescent="0.25">
      <c r="A7315" s="262"/>
      <c r="B7315" s="266"/>
      <c r="C7315" s="40" t="s">
        <v>3808</v>
      </c>
      <c r="D7315" s="40" t="s">
        <v>3752</v>
      </c>
      <c r="E7315" s="41">
        <v>1.196</v>
      </c>
      <c r="F7315" s="35">
        <v>27.920500000000001</v>
      </c>
      <c r="G7315" s="59">
        <f t="shared" si="216"/>
        <v>33.392918000000002</v>
      </c>
      <c r="H7315" s="47"/>
      <c r="I7315" s="44"/>
      <c r="J7315" s="34">
        <v>2000</v>
      </c>
    </row>
    <row r="7316" spans="1:10" x14ac:dyDescent="0.25">
      <c r="A7316" s="262"/>
      <c r="B7316" s="266"/>
      <c r="C7316" s="40" t="s">
        <v>3754</v>
      </c>
      <c r="D7316" s="40" t="s">
        <v>3752</v>
      </c>
      <c r="E7316" s="41">
        <v>0.59799999999999998</v>
      </c>
      <c r="F7316" s="35">
        <v>20.814499999999999</v>
      </c>
      <c r="G7316" s="59">
        <f t="shared" si="216"/>
        <v>12.447070999999999</v>
      </c>
      <c r="H7316" s="47"/>
      <c r="I7316" s="44"/>
      <c r="J7316" s="34">
        <v>2000</v>
      </c>
    </row>
    <row r="7317" spans="1:10" ht="15.75" thickBot="1" x14ac:dyDescent="0.3">
      <c r="A7317" s="263"/>
      <c r="B7317" s="253"/>
      <c r="C7317" s="60"/>
      <c r="D7317" s="78"/>
      <c r="E7317" s="79"/>
      <c r="F7317" s="80" t="s">
        <v>23</v>
      </c>
      <c r="G7317" s="80" t="str">
        <f t="shared" si="216"/>
        <v/>
      </c>
      <c r="H7317" s="81"/>
      <c r="I7317" s="63"/>
      <c r="J7317" s="34">
        <v>2000</v>
      </c>
    </row>
    <row r="7318" spans="1:10" ht="15.75" hidden="1" thickBot="1" x14ac:dyDescent="0.3">
      <c r="A7318" s="248" t="s">
        <v>1758</v>
      </c>
      <c r="B7318" s="251" t="s">
        <v>3502</v>
      </c>
      <c r="C7318" s="28"/>
      <c r="D7318" s="29" t="s">
        <v>121</v>
      </c>
      <c r="E7318" s="30"/>
      <c r="F7318" s="51" t="s">
        <v>23</v>
      </c>
      <c r="G7318" s="31" t="str">
        <f t="shared" si="216"/>
        <v/>
      </c>
      <c r="H7318" s="32"/>
      <c r="I7318" s="33"/>
      <c r="J7318" s="34">
        <v>0</v>
      </c>
    </row>
    <row r="7319" spans="1:10" ht="15.75" hidden="1" thickBot="1" x14ac:dyDescent="0.3">
      <c r="A7319" s="262"/>
      <c r="B7319" s="266"/>
      <c r="C7319" s="76"/>
      <c r="D7319" s="76"/>
      <c r="E7319" s="77"/>
      <c r="F7319" s="59" t="s">
        <v>23</v>
      </c>
      <c r="G7319" s="59" t="str">
        <f t="shared" si="216"/>
        <v/>
      </c>
      <c r="H7319" s="62"/>
      <c r="I7319" s="63"/>
      <c r="J7319" s="34">
        <v>0</v>
      </c>
    </row>
    <row r="7320" spans="1:10" ht="39" hidden="1" thickBot="1" x14ac:dyDescent="0.3">
      <c r="A7320" s="262"/>
      <c r="B7320" s="266"/>
      <c r="C7320" s="40" t="s">
        <v>4490</v>
      </c>
      <c r="D7320" s="40" t="s">
        <v>1286</v>
      </c>
      <c r="E7320" s="75">
        <v>1.1000000000000001</v>
      </c>
      <c r="F7320" s="35">
        <v>11.371499999999999</v>
      </c>
      <c r="G7320" s="59">
        <f t="shared" si="216"/>
        <v>12.508649999999999</v>
      </c>
      <c r="H7320" s="43">
        <f>SUM(G7320:G7322)</f>
        <v>21.172250049999999</v>
      </c>
      <c r="I7320" s="44"/>
      <c r="J7320" s="34">
        <v>0</v>
      </c>
    </row>
    <row r="7321" spans="1:10" ht="15.75" hidden="1" thickBot="1" x14ac:dyDescent="0.3">
      <c r="A7321" s="262"/>
      <c r="B7321" s="266"/>
      <c r="C7321" s="40" t="s">
        <v>3770</v>
      </c>
      <c r="D7321" s="40" t="s">
        <v>3752</v>
      </c>
      <c r="E7321" s="41">
        <v>0.1721</v>
      </c>
      <c r="F7321" s="38">
        <v>21.954499999999999</v>
      </c>
      <c r="G7321" s="38">
        <f t="shared" si="216"/>
        <v>3.77836945</v>
      </c>
      <c r="H7321" s="39"/>
      <c r="I7321" s="35"/>
      <c r="J7321" s="34">
        <v>0</v>
      </c>
    </row>
    <row r="7322" spans="1:10" ht="15.75" hidden="1" thickBot="1" x14ac:dyDescent="0.3">
      <c r="A7322" s="262"/>
      <c r="B7322" s="266"/>
      <c r="C7322" s="40" t="s">
        <v>3760</v>
      </c>
      <c r="D7322" s="40" t="s">
        <v>3752</v>
      </c>
      <c r="E7322" s="41">
        <v>0.1721</v>
      </c>
      <c r="F7322" s="35">
        <v>28.385999999999999</v>
      </c>
      <c r="G7322" s="59">
        <f t="shared" si="216"/>
        <v>4.8852305999999999</v>
      </c>
      <c r="H7322" s="47"/>
      <c r="I7322" s="44"/>
      <c r="J7322" s="34">
        <v>0</v>
      </c>
    </row>
    <row r="7323" spans="1:10" ht="15.75" hidden="1" thickBot="1" x14ac:dyDescent="0.3">
      <c r="A7323" s="263"/>
      <c r="B7323" s="253"/>
      <c r="C7323" s="60"/>
      <c r="D7323" s="78"/>
      <c r="E7323" s="79"/>
      <c r="F7323" s="80" t="s">
        <v>23</v>
      </c>
      <c r="G7323" s="80" t="str">
        <f t="shared" si="216"/>
        <v/>
      </c>
      <c r="H7323" s="81"/>
      <c r="I7323" s="63"/>
      <c r="J7323" s="34">
        <v>0</v>
      </c>
    </row>
    <row r="7324" spans="1:10" ht="15.75" hidden="1" thickBot="1" x14ac:dyDescent="0.3">
      <c r="A7324" s="248" t="s">
        <v>1759</v>
      </c>
      <c r="B7324" s="251" t="s">
        <v>3503</v>
      </c>
      <c r="C7324" s="28"/>
      <c r="D7324" s="29" t="s">
        <v>28</v>
      </c>
      <c r="E7324" s="30"/>
      <c r="F7324" s="51" t="s">
        <v>23</v>
      </c>
      <c r="G7324" s="31" t="str">
        <f t="shared" si="216"/>
        <v/>
      </c>
      <c r="H7324" s="32"/>
      <c r="I7324" s="33"/>
      <c r="J7324" s="34">
        <v>0</v>
      </c>
    </row>
    <row r="7325" spans="1:10" ht="15.75" hidden="1" thickBot="1" x14ac:dyDescent="0.3">
      <c r="A7325" s="262"/>
      <c r="B7325" s="266"/>
      <c r="C7325" s="76"/>
      <c r="D7325" s="76"/>
      <c r="E7325" s="77"/>
      <c r="F7325" s="59" t="s">
        <v>23</v>
      </c>
      <c r="G7325" s="59" t="str">
        <f t="shared" si="216"/>
        <v/>
      </c>
      <c r="H7325" s="62"/>
      <c r="I7325" s="63"/>
      <c r="J7325" s="34">
        <v>0</v>
      </c>
    </row>
    <row r="7326" spans="1:10" ht="15.75" hidden="1" thickBot="1" x14ac:dyDescent="0.3">
      <c r="A7326" s="262"/>
      <c r="B7326" s="266"/>
      <c r="C7326" s="40" t="s">
        <v>4243</v>
      </c>
      <c r="D7326" s="40" t="s">
        <v>1286</v>
      </c>
      <c r="E7326" s="75">
        <v>9</v>
      </c>
      <c r="F7326" s="35">
        <v>37.904999999999994</v>
      </c>
      <c r="G7326" s="59">
        <f t="shared" si="216"/>
        <v>341.14499999999992</v>
      </c>
      <c r="H7326" s="43">
        <f>SUM(G7326:G7330)</f>
        <v>1847.0418129999998</v>
      </c>
      <c r="I7326" s="44"/>
      <c r="J7326" s="34">
        <v>0</v>
      </c>
    </row>
    <row r="7327" spans="1:10" ht="51.75" hidden="1" thickBot="1" x14ac:dyDescent="0.3">
      <c r="A7327" s="262"/>
      <c r="B7327" s="266"/>
      <c r="C7327" s="40" t="s">
        <v>4213</v>
      </c>
      <c r="D7327" s="40" t="s">
        <v>1041</v>
      </c>
      <c r="E7327" s="41">
        <v>7.6999999999999999E-2</v>
      </c>
      <c r="F7327" s="38">
        <v>238.74449999999999</v>
      </c>
      <c r="G7327" s="38">
        <f t="shared" si="216"/>
        <v>18.383326499999999</v>
      </c>
      <c r="H7327" s="39"/>
      <c r="I7327" s="35"/>
      <c r="J7327" s="34">
        <v>0</v>
      </c>
    </row>
    <row r="7328" spans="1:10" ht="15.75" hidden="1" thickBot="1" x14ac:dyDescent="0.3">
      <c r="A7328" s="262"/>
      <c r="B7328" s="266"/>
      <c r="C7328" s="40" t="s">
        <v>3770</v>
      </c>
      <c r="D7328" s="40" t="s">
        <v>3752</v>
      </c>
      <c r="E7328" s="41">
        <v>1.2330000000000001</v>
      </c>
      <c r="F7328" s="35">
        <v>21.954499999999999</v>
      </c>
      <c r="G7328" s="59">
        <f t="shared" si="216"/>
        <v>27.069898500000001</v>
      </c>
      <c r="H7328" s="47"/>
      <c r="I7328" s="44"/>
      <c r="J7328" s="34">
        <v>0</v>
      </c>
    </row>
    <row r="7329" spans="1:10" ht="15.75" hidden="1" thickBot="1" x14ac:dyDescent="0.3">
      <c r="A7329" s="262"/>
      <c r="B7329" s="266"/>
      <c r="C7329" s="40" t="s">
        <v>3760</v>
      </c>
      <c r="D7329" s="40" t="s">
        <v>3752</v>
      </c>
      <c r="E7329" s="41">
        <v>4.008</v>
      </c>
      <c r="F7329" s="35">
        <v>28.385999999999999</v>
      </c>
      <c r="G7329" s="59">
        <f t="shared" si="216"/>
        <v>113.77108799999999</v>
      </c>
      <c r="H7329" s="47"/>
      <c r="I7329" s="44"/>
      <c r="J7329" s="34">
        <v>0</v>
      </c>
    </row>
    <row r="7330" spans="1:10" ht="26.25" hidden="1" thickBot="1" x14ac:dyDescent="0.3">
      <c r="A7330" s="262"/>
      <c r="B7330" s="266"/>
      <c r="C7330" s="40" t="s">
        <v>4491</v>
      </c>
      <c r="D7330" s="40" t="s">
        <v>291</v>
      </c>
      <c r="E7330" s="41">
        <v>1</v>
      </c>
      <c r="F7330" s="35">
        <v>1346.6724999999999</v>
      </c>
      <c r="G7330" s="59">
        <f t="shared" si="216"/>
        <v>1346.6724999999999</v>
      </c>
      <c r="H7330" s="47"/>
      <c r="I7330" s="44"/>
      <c r="J7330" s="34">
        <v>0</v>
      </c>
    </row>
    <row r="7331" spans="1:10" ht="15.75" hidden="1" thickBot="1" x14ac:dyDescent="0.3">
      <c r="A7331" s="263"/>
      <c r="B7331" s="253"/>
      <c r="C7331" s="60"/>
      <c r="D7331" s="78"/>
      <c r="E7331" s="79"/>
      <c r="F7331" s="80" t="s">
        <v>23</v>
      </c>
      <c r="G7331" s="80" t="str">
        <f t="shared" si="216"/>
        <v/>
      </c>
      <c r="H7331" s="81"/>
      <c r="I7331" s="63"/>
      <c r="J7331" s="34">
        <v>0</v>
      </c>
    </row>
    <row r="7332" spans="1:10" ht="15.75" hidden="1" thickBot="1" x14ac:dyDescent="0.3">
      <c r="A7332" s="248" t="s">
        <v>1760</v>
      </c>
      <c r="B7332" s="251" t="s">
        <v>3504</v>
      </c>
      <c r="C7332" s="28"/>
      <c r="D7332" s="29" t="s">
        <v>28</v>
      </c>
      <c r="E7332" s="30"/>
      <c r="F7332" s="51" t="s">
        <v>23</v>
      </c>
      <c r="G7332" s="31" t="str">
        <f t="shared" si="216"/>
        <v/>
      </c>
      <c r="H7332" s="32"/>
      <c r="I7332" s="33"/>
      <c r="J7332" s="34">
        <v>0</v>
      </c>
    </row>
    <row r="7333" spans="1:10" ht="15.75" hidden="1" thickBot="1" x14ac:dyDescent="0.3">
      <c r="A7333" s="262"/>
      <c r="B7333" s="266"/>
      <c r="C7333" s="76"/>
      <c r="D7333" s="76"/>
      <c r="E7333" s="77"/>
      <c r="F7333" s="59" t="s">
        <v>23</v>
      </c>
      <c r="G7333" s="59" t="str">
        <f t="shared" si="216"/>
        <v/>
      </c>
      <c r="H7333" s="62"/>
      <c r="I7333" s="63"/>
      <c r="J7333" s="34">
        <v>0</v>
      </c>
    </row>
    <row r="7334" spans="1:10" ht="15.75" hidden="1" thickBot="1" x14ac:dyDescent="0.3">
      <c r="A7334" s="262"/>
      <c r="B7334" s="266"/>
      <c r="C7334" s="40" t="s">
        <v>4243</v>
      </c>
      <c r="D7334" s="40" t="s">
        <v>1286</v>
      </c>
      <c r="E7334" s="75">
        <v>12</v>
      </c>
      <c r="F7334" s="35">
        <v>37.904999999999994</v>
      </c>
      <c r="G7334" s="59">
        <f t="shared" si="216"/>
        <v>454.8599999999999</v>
      </c>
      <c r="H7334" s="43">
        <f>SUM(G7334:G7338)</f>
        <v>1573.5098044999995</v>
      </c>
      <c r="I7334" s="44"/>
      <c r="J7334" s="34">
        <v>0</v>
      </c>
    </row>
    <row r="7335" spans="1:10" ht="51.75" hidden="1" thickBot="1" x14ac:dyDescent="0.3">
      <c r="A7335" s="262"/>
      <c r="B7335" s="266"/>
      <c r="C7335" s="40" t="s">
        <v>4213</v>
      </c>
      <c r="D7335" s="40" t="s">
        <v>1041</v>
      </c>
      <c r="E7335" s="41">
        <v>9.9000000000000005E-2</v>
      </c>
      <c r="F7335" s="38">
        <v>238.74449999999999</v>
      </c>
      <c r="G7335" s="38">
        <f t="shared" si="216"/>
        <v>23.6357055</v>
      </c>
      <c r="H7335" s="39"/>
      <c r="I7335" s="35"/>
      <c r="J7335" s="34">
        <v>0</v>
      </c>
    </row>
    <row r="7336" spans="1:10" ht="15.75" hidden="1" thickBot="1" x14ac:dyDescent="0.3">
      <c r="A7336" s="262"/>
      <c r="B7336" s="266"/>
      <c r="C7336" s="40" t="s">
        <v>3770</v>
      </c>
      <c r="D7336" s="40" t="s">
        <v>3752</v>
      </c>
      <c r="E7336" s="41">
        <v>2.234</v>
      </c>
      <c r="F7336" s="35">
        <v>21.954499999999999</v>
      </c>
      <c r="G7336" s="59">
        <f t="shared" si="216"/>
        <v>49.046352999999996</v>
      </c>
      <c r="H7336" s="47"/>
      <c r="I7336" s="44"/>
      <c r="J7336" s="34">
        <v>0</v>
      </c>
    </row>
    <row r="7337" spans="1:10" ht="15.75" hidden="1" thickBot="1" x14ac:dyDescent="0.3">
      <c r="A7337" s="262"/>
      <c r="B7337" s="266"/>
      <c r="C7337" s="40" t="s">
        <v>3760</v>
      </c>
      <c r="D7337" s="40" t="s">
        <v>3752</v>
      </c>
      <c r="E7337" s="41">
        <v>7.2610000000000001</v>
      </c>
      <c r="F7337" s="35">
        <v>28.385999999999999</v>
      </c>
      <c r="G7337" s="59">
        <f t="shared" si="216"/>
        <v>206.11074600000001</v>
      </c>
      <c r="H7337" s="47"/>
      <c r="I7337" s="44"/>
      <c r="J7337" s="34">
        <v>0</v>
      </c>
    </row>
    <row r="7338" spans="1:10" ht="26.25" hidden="1" thickBot="1" x14ac:dyDescent="0.3">
      <c r="A7338" s="262"/>
      <c r="B7338" s="266"/>
      <c r="C7338" s="40" t="s">
        <v>4492</v>
      </c>
      <c r="D7338" s="40" t="s">
        <v>291</v>
      </c>
      <c r="E7338" s="41">
        <v>1</v>
      </c>
      <c r="F7338" s="35">
        <v>839.85699999999986</v>
      </c>
      <c r="G7338" s="59">
        <f t="shared" si="216"/>
        <v>839.85699999999986</v>
      </c>
      <c r="H7338" s="47"/>
      <c r="I7338" s="44"/>
      <c r="J7338" s="34">
        <v>0</v>
      </c>
    </row>
    <row r="7339" spans="1:10" ht="15.75" hidden="1" thickBot="1" x14ac:dyDescent="0.3">
      <c r="A7339" s="263"/>
      <c r="B7339" s="253"/>
      <c r="C7339" s="60"/>
      <c r="D7339" s="78"/>
      <c r="E7339" s="79"/>
      <c r="F7339" s="80" t="s">
        <v>23</v>
      </c>
      <c r="G7339" s="80" t="str">
        <f t="shared" si="216"/>
        <v/>
      </c>
      <c r="H7339" s="81"/>
      <c r="I7339" s="63"/>
      <c r="J7339" s="34">
        <v>0</v>
      </c>
    </row>
    <row r="7340" spans="1:10" ht="15.75" hidden="1" thickBot="1" x14ac:dyDescent="0.3">
      <c r="A7340" s="248" t="s">
        <v>1761</v>
      </c>
      <c r="B7340" s="251" t="s">
        <v>3505</v>
      </c>
      <c r="C7340" s="28"/>
      <c r="D7340" s="29" t="s">
        <v>28</v>
      </c>
      <c r="E7340" s="30"/>
      <c r="F7340" s="51" t="s">
        <v>23</v>
      </c>
      <c r="G7340" s="31" t="str">
        <f t="shared" si="216"/>
        <v/>
      </c>
      <c r="H7340" s="32"/>
      <c r="I7340" s="33"/>
      <c r="J7340" s="34">
        <v>0</v>
      </c>
    </row>
    <row r="7341" spans="1:10" ht="15.75" hidden="1" thickBot="1" x14ac:dyDescent="0.3">
      <c r="A7341" s="262"/>
      <c r="B7341" s="266"/>
      <c r="C7341" s="76"/>
      <c r="D7341" s="76"/>
      <c r="E7341" s="77"/>
      <c r="F7341" s="59" t="s">
        <v>23</v>
      </c>
      <c r="G7341" s="59" t="str">
        <f t="shared" si="216"/>
        <v/>
      </c>
      <c r="H7341" s="62"/>
      <c r="I7341" s="63"/>
      <c r="J7341" s="34">
        <v>0</v>
      </c>
    </row>
    <row r="7342" spans="1:10" ht="26.25" hidden="1" thickBot="1" x14ac:dyDescent="0.3">
      <c r="A7342" s="262"/>
      <c r="B7342" s="266"/>
      <c r="C7342" s="40" t="s">
        <v>1762</v>
      </c>
      <c r="D7342" s="40" t="s">
        <v>28</v>
      </c>
      <c r="E7342" s="41">
        <v>1</v>
      </c>
      <c r="F7342" s="35">
        <v>0</v>
      </c>
      <c r="G7342" s="59">
        <f t="shared" si="216"/>
        <v>0</v>
      </c>
      <c r="H7342" s="43">
        <f>SUM(G7342:G7344)</f>
        <v>12.585125</v>
      </c>
      <c r="I7342" s="44"/>
      <c r="J7342" s="34">
        <v>0</v>
      </c>
    </row>
    <row r="7343" spans="1:10" ht="15.75" hidden="1" thickBot="1" x14ac:dyDescent="0.3">
      <c r="A7343" s="262"/>
      <c r="B7343" s="266"/>
      <c r="C7343" s="40" t="s">
        <v>3770</v>
      </c>
      <c r="D7343" s="40" t="s">
        <v>3752</v>
      </c>
      <c r="E7343" s="41">
        <v>0.25</v>
      </c>
      <c r="F7343" s="38">
        <v>21.954499999999999</v>
      </c>
      <c r="G7343" s="38">
        <f t="shared" si="216"/>
        <v>5.4886249999999999</v>
      </c>
      <c r="H7343" s="39"/>
      <c r="I7343" s="35"/>
      <c r="J7343" s="34">
        <v>0</v>
      </c>
    </row>
    <row r="7344" spans="1:10" ht="15.75" hidden="1" thickBot="1" x14ac:dyDescent="0.3">
      <c r="A7344" s="262"/>
      <c r="B7344" s="266"/>
      <c r="C7344" s="40" t="s">
        <v>3760</v>
      </c>
      <c r="D7344" s="40" t="s">
        <v>3752</v>
      </c>
      <c r="E7344" s="41">
        <v>0.25</v>
      </c>
      <c r="F7344" s="35">
        <v>28.385999999999999</v>
      </c>
      <c r="G7344" s="59">
        <f t="shared" si="216"/>
        <v>7.0964999999999998</v>
      </c>
      <c r="H7344" s="47"/>
      <c r="I7344" s="44"/>
      <c r="J7344" s="34">
        <v>0</v>
      </c>
    </row>
    <row r="7345" spans="1:10" ht="15.75" hidden="1" thickBot="1" x14ac:dyDescent="0.3">
      <c r="A7345" s="263"/>
      <c r="B7345" s="253"/>
      <c r="C7345" s="60"/>
      <c r="D7345" s="78"/>
      <c r="E7345" s="79"/>
      <c r="F7345" s="80" t="s">
        <v>23</v>
      </c>
      <c r="G7345" s="80" t="str">
        <f t="shared" si="216"/>
        <v/>
      </c>
      <c r="H7345" s="81"/>
      <c r="I7345" s="63"/>
      <c r="J7345" s="34">
        <v>0</v>
      </c>
    </row>
    <row r="7346" spans="1:10" ht="15.75" hidden="1" thickBot="1" x14ac:dyDescent="0.3">
      <c r="A7346" s="248" t="s">
        <v>1763</v>
      </c>
      <c r="B7346" s="251" t="s">
        <v>3506</v>
      </c>
      <c r="C7346" s="28"/>
      <c r="D7346" s="29" t="s">
        <v>28</v>
      </c>
      <c r="E7346" s="30"/>
      <c r="F7346" s="51" t="s">
        <v>23</v>
      </c>
      <c r="G7346" s="31" t="str">
        <f t="shared" si="216"/>
        <v/>
      </c>
      <c r="H7346" s="32"/>
      <c r="I7346" s="33"/>
      <c r="J7346" s="34">
        <v>0</v>
      </c>
    </row>
    <row r="7347" spans="1:10" ht="15.75" hidden="1" thickBot="1" x14ac:dyDescent="0.3">
      <c r="A7347" s="262"/>
      <c r="B7347" s="266"/>
      <c r="C7347" s="76"/>
      <c r="D7347" s="76"/>
      <c r="E7347" s="77"/>
      <c r="F7347" s="59" t="s">
        <v>23</v>
      </c>
      <c r="G7347" s="59" t="str">
        <f t="shared" si="216"/>
        <v/>
      </c>
      <c r="H7347" s="62"/>
      <c r="I7347" s="63"/>
      <c r="J7347" s="34">
        <v>0</v>
      </c>
    </row>
    <row r="7348" spans="1:10" ht="15.75" hidden="1" thickBot="1" x14ac:dyDescent="0.3">
      <c r="A7348" s="262"/>
      <c r="B7348" s="266"/>
      <c r="C7348" s="40" t="s">
        <v>3770</v>
      </c>
      <c r="D7348" s="40" t="s">
        <v>3752</v>
      </c>
      <c r="E7348" s="41">
        <v>5</v>
      </c>
      <c r="F7348" s="38">
        <v>21.954499999999999</v>
      </c>
      <c r="G7348" s="59">
        <f t="shared" si="216"/>
        <v>109.77249999999999</v>
      </c>
      <c r="H7348" s="43">
        <f>SUM(G7348:G7349)</f>
        <v>251.70249999999999</v>
      </c>
      <c r="I7348" s="44"/>
      <c r="J7348" s="34">
        <v>0</v>
      </c>
    </row>
    <row r="7349" spans="1:10" ht="15.75" hidden="1" thickBot="1" x14ac:dyDescent="0.3">
      <c r="A7349" s="262"/>
      <c r="B7349" s="266"/>
      <c r="C7349" s="40" t="s">
        <v>3760</v>
      </c>
      <c r="D7349" s="40" t="s">
        <v>3752</v>
      </c>
      <c r="E7349" s="41">
        <v>5</v>
      </c>
      <c r="F7349" s="35">
        <v>28.385999999999999</v>
      </c>
      <c r="G7349" s="38">
        <f t="shared" si="216"/>
        <v>141.93</v>
      </c>
      <c r="H7349" s="39"/>
      <c r="I7349" s="35"/>
      <c r="J7349" s="34">
        <v>0</v>
      </c>
    </row>
    <row r="7350" spans="1:10" ht="15.75" hidden="1" thickBot="1" x14ac:dyDescent="0.3">
      <c r="A7350" s="263"/>
      <c r="B7350" s="253"/>
      <c r="C7350" s="60"/>
      <c r="D7350" s="78"/>
      <c r="E7350" s="79"/>
      <c r="F7350" s="80" t="s">
        <v>23</v>
      </c>
      <c r="G7350" s="80" t="str">
        <f t="shared" si="216"/>
        <v/>
      </c>
      <c r="H7350" s="81"/>
      <c r="I7350" s="63"/>
      <c r="J7350" s="34">
        <v>0</v>
      </c>
    </row>
    <row r="7351" spans="1:10" ht="15.75" hidden="1" thickBot="1" x14ac:dyDescent="0.3">
      <c r="A7351" s="248" t="s">
        <v>1764</v>
      </c>
      <c r="B7351" s="251" t="s">
        <v>3507</v>
      </c>
      <c r="C7351" s="28"/>
      <c r="D7351" s="29" t="s">
        <v>28</v>
      </c>
      <c r="E7351" s="30"/>
      <c r="F7351" s="51" t="s">
        <v>23</v>
      </c>
      <c r="G7351" s="31" t="str">
        <f t="shared" si="216"/>
        <v/>
      </c>
      <c r="H7351" s="32"/>
      <c r="I7351" s="33"/>
      <c r="J7351" s="34">
        <v>0</v>
      </c>
    </row>
    <row r="7352" spans="1:10" ht="15.75" hidden="1" thickBot="1" x14ac:dyDescent="0.3">
      <c r="A7352" s="262"/>
      <c r="B7352" s="266"/>
      <c r="C7352" s="76"/>
      <c r="D7352" s="76"/>
      <c r="E7352" s="77"/>
      <c r="F7352" s="59" t="s">
        <v>23</v>
      </c>
      <c r="G7352" s="59" t="str">
        <f t="shared" si="216"/>
        <v/>
      </c>
      <c r="H7352" s="62"/>
      <c r="I7352" s="63"/>
      <c r="J7352" s="34">
        <v>0</v>
      </c>
    </row>
    <row r="7353" spans="1:10" ht="15.75" hidden="1" thickBot="1" x14ac:dyDescent="0.3">
      <c r="A7353" s="262"/>
      <c r="B7353" s="266"/>
      <c r="C7353" s="40" t="s">
        <v>3770</v>
      </c>
      <c r="D7353" s="40" t="s">
        <v>3752</v>
      </c>
      <c r="E7353" s="41">
        <v>0.8</v>
      </c>
      <c r="F7353" s="38">
        <v>21.954499999999999</v>
      </c>
      <c r="G7353" s="59">
        <f t="shared" si="216"/>
        <v>17.563600000000001</v>
      </c>
      <c r="H7353" s="43">
        <f>SUM(G7353:G7354)</f>
        <v>40.272400000000005</v>
      </c>
      <c r="I7353" s="44"/>
      <c r="J7353" s="34">
        <v>0</v>
      </c>
    </row>
    <row r="7354" spans="1:10" ht="15.75" hidden="1" thickBot="1" x14ac:dyDescent="0.3">
      <c r="A7354" s="262"/>
      <c r="B7354" s="266"/>
      <c r="C7354" s="40" t="s">
        <v>3760</v>
      </c>
      <c r="D7354" s="40" t="s">
        <v>3752</v>
      </c>
      <c r="E7354" s="41">
        <v>0.8</v>
      </c>
      <c r="F7354" s="35">
        <v>28.385999999999999</v>
      </c>
      <c r="G7354" s="38">
        <f t="shared" si="216"/>
        <v>22.7088</v>
      </c>
      <c r="H7354" s="39"/>
      <c r="I7354" s="35"/>
      <c r="J7354" s="34">
        <v>0</v>
      </c>
    </row>
    <row r="7355" spans="1:10" ht="15.75" hidden="1" thickBot="1" x14ac:dyDescent="0.3">
      <c r="A7355" s="263"/>
      <c r="B7355" s="253"/>
      <c r="C7355" s="60"/>
      <c r="D7355" s="78"/>
      <c r="E7355" s="79"/>
      <c r="F7355" s="80" t="s">
        <v>23</v>
      </c>
      <c r="G7355" s="80" t="str">
        <f t="shared" si="216"/>
        <v/>
      </c>
      <c r="H7355" s="81"/>
      <c r="I7355" s="63"/>
      <c r="J7355" s="34">
        <v>0</v>
      </c>
    </row>
    <row r="7356" spans="1:10" ht="15.75" hidden="1" thickBot="1" x14ac:dyDescent="0.3">
      <c r="A7356" s="248" t="s">
        <v>1765</v>
      </c>
      <c r="B7356" s="251" t="s">
        <v>3508</v>
      </c>
      <c r="C7356" s="28"/>
      <c r="D7356" s="29" t="s">
        <v>121</v>
      </c>
      <c r="E7356" s="30"/>
      <c r="F7356" s="45" t="s">
        <v>23</v>
      </c>
      <c r="G7356" s="31" t="str">
        <f t="shared" si="216"/>
        <v/>
      </c>
      <c r="H7356" s="32"/>
      <c r="I7356" s="33"/>
      <c r="J7356" s="34">
        <v>0</v>
      </c>
    </row>
    <row r="7357" spans="1:10" ht="15.75" hidden="1" thickBot="1" x14ac:dyDescent="0.3">
      <c r="A7357" s="249"/>
      <c r="B7357" s="252"/>
      <c r="C7357" s="36"/>
      <c r="D7357" s="36"/>
      <c r="E7357" s="37"/>
      <c r="F7357" s="46" t="s">
        <v>23</v>
      </c>
      <c r="G7357" s="35" t="str">
        <f t="shared" ref="G7357:G7420" si="217">IF(ISNUMBER(F7357),E7357*F7357,"")</f>
        <v/>
      </c>
      <c r="H7357" s="39"/>
      <c r="I7357" s="35"/>
      <c r="J7357" s="34">
        <v>0</v>
      </c>
    </row>
    <row r="7358" spans="1:10" ht="15.75" hidden="1" thickBot="1" x14ac:dyDescent="0.3">
      <c r="A7358" s="249"/>
      <c r="B7358" s="252"/>
      <c r="C7358" s="40" t="s">
        <v>3770</v>
      </c>
      <c r="D7358" s="40" t="s">
        <v>3752</v>
      </c>
      <c r="E7358" s="41">
        <v>6.08E-2</v>
      </c>
      <c r="F7358" s="35">
        <v>21.954499999999999</v>
      </c>
      <c r="G7358" s="38">
        <f t="shared" si="217"/>
        <v>1.3348336000000001</v>
      </c>
      <c r="H7358" s="43">
        <f>SUM(G7358:G7361)</f>
        <v>3.0959284000000005</v>
      </c>
      <c r="I7358" s="44"/>
      <c r="J7358" s="34">
        <v>0</v>
      </c>
    </row>
    <row r="7359" spans="1:10" ht="15.75" hidden="1" thickBot="1" x14ac:dyDescent="0.3">
      <c r="A7359" s="249"/>
      <c r="B7359" s="252"/>
      <c r="C7359" s="40" t="s">
        <v>3760</v>
      </c>
      <c r="D7359" s="40" t="s">
        <v>3752</v>
      </c>
      <c r="E7359" s="41">
        <v>6.08E-2</v>
      </c>
      <c r="F7359" s="35">
        <v>28.385999999999999</v>
      </c>
      <c r="G7359" s="38">
        <f t="shared" si="217"/>
        <v>1.7258688</v>
      </c>
      <c r="H7359" s="39"/>
      <c r="I7359" s="35"/>
      <c r="J7359" s="34">
        <v>0</v>
      </c>
    </row>
    <row r="7360" spans="1:10" ht="26.25" hidden="1" thickBot="1" x14ac:dyDescent="0.3">
      <c r="A7360" s="249"/>
      <c r="B7360" s="252"/>
      <c r="C7360" s="40" t="s">
        <v>1766</v>
      </c>
      <c r="D7360" s="40" t="s">
        <v>121</v>
      </c>
      <c r="E7360" s="41">
        <v>1.0149999999999999</v>
      </c>
      <c r="F7360" s="38" t="s">
        <v>23</v>
      </c>
      <c r="G7360" s="38" t="str">
        <f t="shared" si="217"/>
        <v/>
      </c>
      <c r="H7360" s="39"/>
      <c r="I7360" s="35"/>
      <c r="J7360" s="34">
        <v>0</v>
      </c>
    </row>
    <row r="7361" spans="1:10" ht="26.25" hidden="1" thickBot="1" x14ac:dyDescent="0.3">
      <c r="A7361" s="249"/>
      <c r="B7361" s="252"/>
      <c r="C7361" s="40" t="s">
        <v>3907</v>
      </c>
      <c r="D7361" s="40" t="s">
        <v>291</v>
      </c>
      <c r="E7361" s="41">
        <v>8.9999999999999993E-3</v>
      </c>
      <c r="F7361" s="38">
        <v>3.9139999999999997</v>
      </c>
      <c r="G7361" s="38">
        <f t="shared" si="217"/>
        <v>3.5225999999999993E-2</v>
      </c>
      <c r="H7361" s="39"/>
      <c r="I7361" s="35"/>
      <c r="J7361" s="34">
        <v>0</v>
      </c>
    </row>
    <row r="7362" spans="1:10" ht="15.75" hidden="1" thickBot="1" x14ac:dyDescent="0.3">
      <c r="A7362" s="250"/>
      <c r="B7362" s="253"/>
      <c r="C7362" s="40"/>
      <c r="D7362" s="40"/>
      <c r="E7362" s="41"/>
      <c r="F7362" s="35" t="s">
        <v>23</v>
      </c>
      <c r="G7362" s="35" t="str">
        <f t="shared" si="217"/>
        <v/>
      </c>
      <c r="H7362" s="39"/>
      <c r="I7362" s="35"/>
      <c r="J7362" s="34">
        <v>0</v>
      </c>
    </row>
    <row r="7363" spans="1:10" ht="15.75" hidden="1" thickBot="1" x14ac:dyDescent="0.3">
      <c r="A7363" s="248" t="s">
        <v>1767</v>
      </c>
      <c r="B7363" s="251" t="s">
        <v>3509</v>
      </c>
      <c r="C7363" s="28"/>
      <c r="D7363" s="29" t="s">
        <v>28</v>
      </c>
      <c r="E7363" s="30"/>
      <c r="F7363" s="45" t="s">
        <v>23</v>
      </c>
      <c r="G7363" s="31" t="str">
        <f t="shared" si="217"/>
        <v/>
      </c>
      <c r="H7363" s="32"/>
      <c r="I7363" s="33"/>
      <c r="J7363" s="34">
        <v>0</v>
      </c>
    </row>
    <row r="7364" spans="1:10" ht="15.75" hidden="1" thickBot="1" x14ac:dyDescent="0.3">
      <c r="A7364" s="249"/>
      <c r="B7364" s="252"/>
      <c r="C7364" s="36"/>
      <c r="D7364" s="36"/>
      <c r="E7364" s="37"/>
      <c r="F7364" s="46" t="s">
        <v>23</v>
      </c>
      <c r="G7364" s="35" t="str">
        <f t="shared" si="217"/>
        <v/>
      </c>
      <c r="H7364" s="39"/>
      <c r="I7364" s="35"/>
      <c r="J7364" s="34">
        <v>0</v>
      </c>
    </row>
    <row r="7365" spans="1:10" ht="39" hidden="1" thickBot="1" x14ac:dyDescent="0.3">
      <c r="A7365" s="249"/>
      <c r="B7365" s="252"/>
      <c r="C7365" s="40" t="s">
        <v>1768</v>
      </c>
      <c r="D7365" s="53" t="s">
        <v>28</v>
      </c>
      <c r="E7365" s="41">
        <v>1</v>
      </c>
      <c r="F7365" s="38" t="s">
        <v>23</v>
      </c>
      <c r="G7365" s="35" t="str">
        <f t="shared" si="217"/>
        <v/>
      </c>
      <c r="H7365" s="43">
        <f>SUM(G7365:G7368)</f>
        <v>48.285358182799996</v>
      </c>
      <c r="I7365" s="44"/>
      <c r="J7365" s="34">
        <v>0</v>
      </c>
    </row>
    <row r="7366" spans="1:10" ht="39" hidden="1" thickBot="1" x14ac:dyDescent="0.3">
      <c r="A7366" s="249"/>
      <c r="B7366" s="252"/>
      <c r="C7366" s="40" t="s">
        <v>4733</v>
      </c>
      <c r="D7366" s="40" t="s">
        <v>3764</v>
      </c>
      <c r="E7366" s="41">
        <v>1.9199999999999998E-2</v>
      </c>
      <c r="F7366" s="35">
        <v>853.36371524999993</v>
      </c>
      <c r="G7366" s="35">
        <f t="shared" si="217"/>
        <v>16.384583332799998</v>
      </c>
      <c r="H7366" s="39"/>
      <c r="I7366" s="35"/>
      <c r="J7366" s="34">
        <v>0</v>
      </c>
    </row>
    <row r="7367" spans="1:10" ht="15.75" hidden="1" thickBot="1" x14ac:dyDescent="0.3">
      <c r="A7367" s="249"/>
      <c r="B7367" s="252"/>
      <c r="C7367" s="40" t="s">
        <v>3770</v>
      </c>
      <c r="D7367" s="40" t="s">
        <v>3752</v>
      </c>
      <c r="E7367" s="41">
        <v>0.63370000000000004</v>
      </c>
      <c r="F7367" s="35">
        <v>21.954499999999999</v>
      </c>
      <c r="G7367" s="35">
        <f t="shared" si="217"/>
        <v>13.91256665</v>
      </c>
      <c r="H7367" s="39"/>
      <c r="I7367" s="35"/>
      <c r="J7367" s="34">
        <v>0</v>
      </c>
    </row>
    <row r="7368" spans="1:10" ht="15.75" hidden="1" thickBot="1" x14ac:dyDescent="0.3">
      <c r="A7368" s="249"/>
      <c r="B7368" s="252"/>
      <c r="C7368" s="40" t="s">
        <v>3760</v>
      </c>
      <c r="D7368" s="40" t="s">
        <v>3752</v>
      </c>
      <c r="E7368" s="41">
        <v>0.63370000000000004</v>
      </c>
      <c r="F7368" s="35">
        <v>28.385999999999999</v>
      </c>
      <c r="G7368" s="38">
        <f t="shared" si="217"/>
        <v>17.988208199999999</v>
      </c>
      <c r="H7368" s="39"/>
      <c r="I7368" s="35"/>
      <c r="J7368" s="34">
        <v>0</v>
      </c>
    </row>
    <row r="7369" spans="1:10" ht="15.75" hidden="1" thickBot="1" x14ac:dyDescent="0.3">
      <c r="A7369" s="249"/>
      <c r="B7369" s="253"/>
      <c r="C7369" s="40"/>
      <c r="D7369" s="40"/>
      <c r="E7369" s="41"/>
      <c r="F7369" s="35" t="s">
        <v>23</v>
      </c>
      <c r="G7369" s="35" t="str">
        <f t="shared" si="217"/>
        <v/>
      </c>
      <c r="H7369" s="39"/>
      <c r="I7369" s="35"/>
      <c r="J7369" s="34">
        <v>0</v>
      </c>
    </row>
    <row r="7370" spans="1:10" ht="15.75" hidden="1" thickBot="1" x14ac:dyDescent="0.3">
      <c r="A7370" s="248" t="s">
        <v>1769</v>
      </c>
      <c r="B7370" s="251" t="s">
        <v>3510</v>
      </c>
      <c r="C7370" s="28"/>
      <c r="D7370" s="29" t="s">
        <v>28</v>
      </c>
      <c r="E7370" s="30"/>
      <c r="F7370" s="45" t="s">
        <v>23</v>
      </c>
      <c r="G7370" s="31" t="str">
        <f t="shared" si="217"/>
        <v/>
      </c>
      <c r="H7370" s="32"/>
      <c r="I7370" s="33"/>
      <c r="J7370" s="34">
        <v>0</v>
      </c>
    </row>
    <row r="7371" spans="1:10" ht="15.75" hidden="1" thickBot="1" x14ac:dyDescent="0.3">
      <c r="A7371" s="249"/>
      <c r="B7371" s="252"/>
      <c r="C7371" s="36"/>
      <c r="D7371" s="36"/>
      <c r="E7371" s="37"/>
      <c r="F7371" s="46" t="s">
        <v>23</v>
      </c>
      <c r="G7371" s="35" t="str">
        <f t="shared" si="217"/>
        <v/>
      </c>
      <c r="H7371" s="39"/>
      <c r="I7371" s="35"/>
      <c r="J7371" s="34">
        <v>0</v>
      </c>
    </row>
    <row r="7372" spans="1:10" ht="51.75" hidden="1" thickBot="1" x14ac:dyDescent="0.3">
      <c r="A7372" s="249"/>
      <c r="B7372" s="252"/>
      <c r="C7372" s="40" t="s">
        <v>4213</v>
      </c>
      <c r="D7372" s="40" t="s">
        <v>1041</v>
      </c>
      <c r="E7372" s="41">
        <v>0.23880000000000001</v>
      </c>
      <c r="F7372" s="38">
        <v>238.74449999999999</v>
      </c>
      <c r="G7372" s="35">
        <f t="shared" si="217"/>
        <v>57.0121866</v>
      </c>
      <c r="H7372" s="43">
        <f>SUM(G7372:G7376)</f>
        <v>826.04155564999996</v>
      </c>
      <c r="I7372" s="44"/>
      <c r="J7372" s="34">
        <v>0</v>
      </c>
    </row>
    <row r="7373" spans="1:10" ht="26.25" hidden="1" thickBot="1" x14ac:dyDescent="0.3">
      <c r="A7373" s="249"/>
      <c r="B7373" s="252"/>
      <c r="C7373" s="40" t="s">
        <v>3907</v>
      </c>
      <c r="D7373" s="40" t="s">
        <v>291</v>
      </c>
      <c r="E7373" s="41">
        <v>1.4E-2</v>
      </c>
      <c r="F7373" s="35">
        <v>3.9139999999999997</v>
      </c>
      <c r="G7373" s="35">
        <f t="shared" si="217"/>
        <v>5.4795999999999997E-2</v>
      </c>
      <c r="H7373" s="39"/>
      <c r="I7373" s="35"/>
      <c r="J7373" s="34">
        <v>0</v>
      </c>
    </row>
    <row r="7374" spans="1:10" ht="26.25" hidden="1" thickBot="1" x14ac:dyDescent="0.3">
      <c r="A7374" s="249"/>
      <c r="B7374" s="252"/>
      <c r="C7374" s="40" t="s">
        <v>4493</v>
      </c>
      <c r="D7374" s="40" t="s">
        <v>291</v>
      </c>
      <c r="E7374" s="41">
        <v>1</v>
      </c>
      <c r="F7374" s="35">
        <v>756.98850000000004</v>
      </c>
      <c r="G7374" s="35">
        <f t="shared" si="217"/>
        <v>756.98850000000004</v>
      </c>
      <c r="H7374" s="39"/>
      <c r="I7374" s="35"/>
      <c r="J7374" s="34">
        <v>0</v>
      </c>
    </row>
    <row r="7375" spans="1:10" ht="15.75" hidden="1" thickBot="1" x14ac:dyDescent="0.3">
      <c r="A7375" s="249"/>
      <c r="B7375" s="252"/>
      <c r="C7375" s="40" t="s">
        <v>3770</v>
      </c>
      <c r="D7375" s="40" t="s">
        <v>3752</v>
      </c>
      <c r="E7375" s="41">
        <v>0.23810000000000001</v>
      </c>
      <c r="F7375" s="35">
        <v>21.954499999999999</v>
      </c>
      <c r="G7375" s="35">
        <f t="shared" si="217"/>
        <v>5.2273664499999999</v>
      </c>
      <c r="H7375" s="39"/>
      <c r="I7375" s="35"/>
      <c r="J7375" s="34">
        <v>0</v>
      </c>
    </row>
    <row r="7376" spans="1:10" ht="15.75" hidden="1" thickBot="1" x14ac:dyDescent="0.3">
      <c r="A7376" s="249"/>
      <c r="B7376" s="252"/>
      <c r="C7376" s="40" t="s">
        <v>3760</v>
      </c>
      <c r="D7376" s="40" t="s">
        <v>3752</v>
      </c>
      <c r="E7376" s="41">
        <v>0.23810000000000001</v>
      </c>
      <c r="F7376" s="35">
        <v>28.385999999999999</v>
      </c>
      <c r="G7376" s="38">
        <f t="shared" si="217"/>
        <v>6.7587066</v>
      </c>
      <c r="H7376" s="39"/>
      <c r="I7376" s="35"/>
      <c r="J7376" s="34">
        <v>0</v>
      </c>
    </row>
    <row r="7377" spans="1:10" ht="15.75" hidden="1" thickBot="1" x14ac:dyDescent="0.3">
      <c r="A7377" s="249"/>
      <c r="B7377" s="253"/>
      <c r="C7377" s="40"/>
      <c r="D7377" s="40"/>
      <c r="E7377" s="41"/>
      <c r="F7377" s="35" t="s">
        <v>23</v>
      </c>
      <c r="G7377" s="35" t="str">
        <f t="shared" si="217"/>
        <v/>
      </c>
      <c r="H7377" s="39"/>
      <c r="I7377" s="35"/>
      <c r="J7377" s="34">
        <v>0</v>
      </c>
    </row>
    <row r="7378" spans="1:10" ht="15.75" hidden="1" thickBot="1" x14ac:dyDescent="0.3">
      <c r="A7378" s="248" t="s">
        <v>1770</v>
      </c>
      <c r="B7378" s="251" t="s">
        <v>3511</v>
      </c>
      <c r="C7378" s="28"/>
      <c r="D7378" s="29" t="s">
        <v>121</v>
      </c>
      <c r="E7378" s="30"/>
      <c r="F7378" s="51" t="s">
        <v>23</v>
      </c>
      <c r="G7378" s="31" t="str">
        <f t="shared" si="217"/>
        <v/>
      </c>
      <c r="H7378" s="32"/>
      <c r="I7378" s="33"/>
      <c r="J7378" s="34">
        <v>0</v>
      </c>
    </row>
    <row r="7379" spans="1:10" ht="15.75" hidden="1" thickBot="1" x14ac:dyDescent="0.3">
      <c r="A7379" s="262"/>
      <c r="B7379" s="266"/>
      <c r="C7379" s="76"/>
      <c r="D7379" s="76"/>
      <c r="E7379" s="77"/>
      <c r="F7379" s="59" t="s">
        <v>23</v>
      </c>
      <c r="G7379" s="59" t="str">
        <f t="shared" si="217"/>
        <v/>
      </c>
      <c r="H7379" s="62"/>
      <c r="I7379" s="63"/>
      <c r="J7379" s="34">
        <v>0</v>
      </c>
    </row>
    <row r="7380" spans="1:10" ht="39" hidden="1" thickBot="1" x14ac:dyDescent="0.3">
      <c r="A7380" s="262"/>
      <c r="B7380" s="266"/>
      <c r="C7380" s="40" t="s">
        <v>4494</v>
      </c>
      <c r="D7380" s="40" t="s">
        <v>1286</v>
      </c>
      <c r="E7380" s="75">
        <v>1.1000000000000001</v>
      </c>
      <c r="F7380" s="35">
        <v>4.0564999999999998</v>
      </c>
      <c r="G7380" s="59">
        <f t="shared" si="217"/>
        <v>4.4621500000000003</v>
      </c>
      <c r="H7380" s="43">
        <f>SUM(G7380:G7382)</f>
        <v>7.8450315999999995</v>
      </c>
      <c r="I7380" s="44"/>
      <c r="J7380" s="34">
        <v>0</v>
      </c>
    </row>
    <row r="7381" spans="1:10" ht="15.75" hidden="1" thickBot="1" x14ac:dyDescent="0.3">
      <c r="A7381" s="262"/>
      <c r="B7381" s="266"/>
      <c r="C7381" s="40" t="s">
        <v>3770</v>
      </c>
      <c r="D7381" s="40" t="s">
        <v>3752</v>
      </c>
      <c r="E7381" s="41">
        <v>6.7199999999999996E-2</v>
      </c>
      <c r="F7381" s="38">
        <v>21.954499999999999</v>
      </c>
      <c r="G7381" s="38">
        <f t="shared" si="217"/>
        <v>1.4753423999999999</v>
      </c>
      <c r="H7381" s="39"/>
      <c r="I7381" s="35"/>
      <c r="J7381" s="34">
        <v>0</v>
      </c>
    </row>
    <row r="7382" spans="1:10" ht="15.75" hidden="1" thickBot="1" x14ac:dyDescent="0.3">
      <c r="A7382" s="262"/>
      <c r="B7382" s="266"/>
      <c r="C7382" s="40" t="s">
        <v>3760</v>
      </c>
      <c r="D7382" s="40" t="s">
        <v>3752</v>
      </c>
      <c r="E7382" s="41">
        <v>6.7199999999999996E-2</v>
      </c>
      <c r="F7382" s="35">
        <v>28.385999999999999</v>
      </c>
      <c r="G7382" s="59">
        <f t="shared" si="217"/>
        <v>1.9075391999999998</v>
      </c>
      <c r="H7382" s="47"/>
      <c r="I7382" s="44"/>
      <c r="J7382" s="34">
        <v>0</v>
      </c>
    </row>
    <row r="7383" spans="1:10" ht="15.75" hidden="1" thickBot="1" x14ac:dyDescent="0.3">
      <c r="A7383" s="263"/>
      <c r="B7383" s="253"/>
      <c r="C7383" s="60"/>
      <c r="D7383" s="78"/>
      <c r="E7383" s="79"/>
      <c r="F7383" s="80" t="s">
        <v>23</v>
      </c>
      <c r="G7383" s="80" t="str">
        <f t="shared" si="217"/>
        <v/>
      </c>
      <c r="H7383" s="81"/>
      <c r="I7383" s="63"/>
      <c r="J7383" s="34">
        <v>0</v>
      </c>
    </row>
    <row r="7384" spans="1:10" ht="15.75" hidden="1" thickBot="1" x14ac:dyDescent="0.3">
      <c r="A7384" s="248" t="s">
        <v>1771</v>
      </c>
      <c r="B7384" s="251" t="s">
        <v>3512</v>
      </c>
      <c r="C7384" s="28"/>
      <c r="D7384" s="29" t="s">
        <v>121</v>
      </c>
      <c r="E7384" s="30"/>
      <c r="F7384" s="45" t="s">
        <v>23</v>
      </c>
      <c r="G7384" s="31" t="str">
        <f t="shared" si="217"/>
        <v/>
      </c>
      <c r="H7384" s="32"/>
      <c r="I7384" s="33"/>
      <c r="J7384" s="34">
        <v>0</v>
      </c>
    </row>
    <row r="7385" spans="1:10" ht="15.75" hidden="1" thickBot="1" x14ac:dyDescent="0.3">
      <c r="A7385" s="249"/>
      <c r="B7385" s="252"/>
      <c r="C7385" s="36"/>
      <c r="D7385" s="36"/>
      <c r="E7385" s="37"/>
      <c r="F7385" s="46" t="s">
        <v>23</v>
      </c>
      <c r="G7385" s="35" t="str">
        <f t="shared" si="217"/>
        <v/>
      </c>
      <c r="H7385" s="39"/>
      <c r="I7385" s="35"/>
      <c r="J7385" s="34">
        <v>0</v>
      </c>
    </row>
    <row r="7386" spans="1:10" ht="15.75" hidden="1" thickBot="1" x14ac:dyDescent="0.3">
      <c r="A7386" s="249"/>
      <c r="B7386" s="252"/>
      <c r="C7386" s="40" t="s">
        <v>3770</v>
      </c>
      <c r="D7386" s="40" t="s">
        <v>3752</v>
      </c>
      <c r="E7386" s="41">
        <v>1.2999999999999999E-2</v>
      </c>
      <c r="F7386" s="35">
        <v>21.954499999999999</v>
      </c>
      <c r="G7386" s="38">
        <f t="shared" si="217"/>
        <v>0.28540849999999995</v>
      </c>
      <c r="H7386" s="43">
        <f>SUM(G7386:G7389)</f>
        <v>0.69356649999999986</v>
      </c>
      <c r="I7386" s="44"/>
      <c r="J7386" s="34">
        <v>0</v>
      </c>
    </row>
    <row r="7387" spans="1:10" ht="15.75" hidden="1" thickBot="1" x14ac:dyDescent="0.3">
      <c r="A7387" s="249"/>
      <c r="B7387" s="252"/>
      <c r="C7387" s="40" t="s">
        <v>3760</v>
      </c>
      <c r="D7387" s="40" t="s">
        <v>3752</v>
      </c>
      <c r="E7387" s="41">
        <v>1.2999999999999999E-2</v>
      </c>
      <c r="F7387" s="35">
        <v>28.385999999999999</v>
      </c>
      <c r="G7387" s="38">
        <f t="shared" si="217"/>
        <v>0.36901799999999996</v>
      </c>
      <c r="H7387" s="39"/>
      <c r="I7387" s="35"/>
      <c r="J7387" s="34">
        <v>0</v>
      </c>
    </row>
    <row r="7388" spans="1:10" ht="26.25" hidden="1" thickBot="1" x14ac:dyDescent="0.3">
      <c r="A7388" s="249"/>
      <c r="B7388" s="252"/>
      <c r="C7388" s="40" t="s">
        <v>1772</v>
      </c>
      <c r="D7388" s="40" t="s">
        <v>121</v>
      </c>
      <c r="E7388" s="41">
        <v>1.0269999999999999</v>
      </c>
      <c r="F7388" s="38" t="s">
        <v>23</v>
      </c>
      <c r="G7388" s="38" t="str">
        <f t="shared" si="217"/>
        <v/>
      </c>
      <c r="H7388" s="39"/>
      <c r="I7388" s="35"/>
      <c r="J7388" s="34">
        <v>0</v>
      </c>
    </row>
    <row r="7389" spans="1:10" ht="26.25" hidden="1" thickBot="1" x14ac:dyDescent="0.3">
      <c r="A7389" s="249"/>
      <c r="B7389" s="252"/>
      <c r="C7389" s="40" t="s">
        <v>3907</v>
      </c>
      <c r="D7389" s="40" t="s">
        <v>291</v>
      </c>
      <c r="E7389" s="41">
        <v>0.01</v>
      </c>
      <c r="F7389" s="38">
        <v>3.9139999999999997</v>
      </c>
      <c r="G7389" s="38">
        <f t="shared" si="217"/>
        <v>3.9140000000000001E-2</v>
      </c>
      <c r="H7389" s="39"/>
      <c r="I7389" s="35"/>
      <c r="J7389" s="34">
        <v>0</v>
      </c>
    </row>
    <row r="7390" spans="1:10" ht="15.75" hidden="1" thickBot="1" x14ac:dyDescent="0.3">
      <c r="A7390" s="250"/>
      <c r="B7390" s="253"/>
      <c r="C7390" s="40"/>
      <c r="D7390" s="40"/>
      <c r="E7390" s="41"/>
      <c r="F7390" s="35" t="s">
        <v>23</v>
      </c>
      <c r="G7390" s="35" t="str">
        <f t="shared" si="217"/>
        <v/>
      </c>
      <c r="H7390" s="39"/>
      <c r="I7390" s="35"/>
      <c r="J7390" s="34">
        <v>0</v>
      </c>
    </row>
    <row r="7391" spans="1:10" ht="15.75" hidden="1" thickBot="1" x14ac:dyDescent="0.3">
      <c r="A7391" s="248" t="s">
        <v>1773</v>
      </c>
      <c r="B7391" s="251" t="s">
        <v>3161</v>
      </c>
      <c r="C7391" s="28"/>
      <c r="D7391" s="29" t="s">
        <v>121</v>
      </c>
      <c r="E7391" s="30"/>
      <c r="F7391" s="45" t="s">
        <v>23</v>
      </c>
      <c r="G7391" s="31" t="str">
        <f t="shared" si="217"/>
        <v/>
      </c>
      <c r="H7391" s="32"/>
      <c r="I7391" s="33"/>
      <c r="J7391" s="34">
        <v>0</v>
      </c>
    </row>
    <row r="7392" spans="1:10" ht="15.75" hidden="1" thickBot="1" x14ac:dyDescent="0.3">
      <c r="A7392" s="249"/>
      <c r="B7392" s="252"/>
      <c r="C7392" s="36"/>
      <c r="D7392" s="36"/>
      <c r="E7392" s="37"/>
      <c r="F7392" s="46" t="s">
        <v>23</v>
      </c>
      <c r="G7392" s="35" t="str">
        <f t="shared" si="217"/>
        <v/>
      </c>
      <c r="H7392" s="39"/>
      <c r="I7392" s="35"/>
      <c r="J7392" s="34">
        <v>0</v>
      </c>
    </row>
    <row r="7393" spans="1:10" ht="15.75" hidden="1" thickBot="1" x14ac:dyDescent="0.3">
      <c r="A7393" s="249"/>
      <c r="B7393" s="252"/>
      <c r="C7393" s="40" t="s">
        <v>1774</v>
      </c>
      <c r="D7393" s="40" t="s">
        <v>121</v>
      </c>
      <c r="E7393" s="41">
        <v>1.05</v>
      </c>
      <c r="F7393" s="35">
        <v>0</v>
      </c>
      <c r="G7393" s="38">
        <f t="shared" si="217"/>
        <v>0</v>
      </c>
      <c r="H7393" s="43">
        <f>SUM(G7393:G7395)</f>
        <v>25.170249999999999</v>
      </c>
      <c r="I7393" s="44"/>
      <c r="J7393" s="34">
        <v>0</v>
      </c>
    </row>
    <row r="7394" spans="1:10" ht="15.75" hidden="1" thickBot="1" x14ac:dyDescent="0.3">
      <c r="A7394" s="249"/>
      <c r="B7394" s="252"/>
      <c r="C7394" s="40" t="s">
        <v>3770</v>
      </c>
      <c r="D7394" s="40" t="s">
        <v>3752</v>
      </c>
      <c r="E7394" s="41">
        <v>0.5</v>
      </c>
      <c r="F7394" s="35">
        <v>21.954499999999999</v>
      </c>
      <c r="G7394" s="38">
        <f t="shared" si="217"/>
        <v>10.97725</v>
      </c>
      <c r="H7394" s="39"/>
      <c r="I7394" s="35"/>
      <c r="J7394" s="34">
        <v>0</v>
      </c>
    </row>
    <row r="7395" spans="1:10" ht="15.75" hidden="1" thickBot="1" x14ac:dyDescent="0.3">
      <c r="A7395" s="249"/>
      <c r="B7395" s="252"/>
      <c r="C7395" s="40" t="s">
        <v>3760</v>
      </c>
      <c r="D7395" s="40" t="s">
        <v>3752</v>
      </c>
      <c r="E7395" s="41">
        <v>0.5</v>
      </c>
      <c r="F7395" s="35">
        <v>28.385999999999999</v>
      </c>
      <c r="G7395" s="38">
        <f t="shared" si="217"/>
        <v>14.193</v>
      </c>
      <c r="H7395" s="39"/>
      <c r="I7395" s="35"/>
      <c r="J7395" s="34">
        <v>0</v>
      </c>
    </row>
    <row r="7396" spans="1:10" ht="15.75" hidden="1" thickBot="1" x14ac:dyDescent="0.3">
      <c r="A7396" s="250"/>
      <c r="B7396" s="253"/>
      <c r="C7396" s="40"/>
      <c r="D7396" s="40"/>
      <c r="E7396" s="41"/>
      <c r="F7396" s="35" t="s">
        <v>23</v>
      </c>
      <c r="G7396" s="35" t="str">
        <f t="shared" si="217"/>
        <v/>
      </c>
      <c r="H7396" s="39"/>
      <c r="I7396" s="35"/>
      <c r="J7396" s="34">
        <v>0</v>
      </c>
    </row>
    <row r="7397" spans="1:10" ht="15.75" hidden="1" thickBot="1" x14ac:dyDescent="0.3">
      <c r="A7397" s="248" t="s">
        <v>1775</v>
      </c>
      <c r="B7397" s="251" t="s">
        <v>3162</v>
      </c>
      <c r="C7397" s="28"/>
      <c r="D7397" s="29" t="s">
        <v>121</v>
      </c>
      <c r="E7397" s="30"/>
      <c r="F7397" s="45" t="s">
        <v>23</v>
      </c>
      <c r="G7397" s="31" t="str">
        <f t="shared" si="217"/>
        <v/>
      </c>
      <c r="H7397" s="32"/>
      <c r="I7397" s="33"/>
      <c r="J7397" s="34">
        <v>0</v>
      </c>
    </row>
    <row r="7398" spans="1:10" ht="15.75" hidden="1" thickBot="1" x14ac:dyDescent="0.3">
      <c r="A7398" s="249"/>
      <c r="B7398" s="252"/>
      <c r="C7398" s="36"/>
      <c r="D7398" s="36"/>
      <c r="E7398" s="37"/>
      <c r="F7398" s="46" t="s">
        <v>23</v>
      </c>
      <c r="G7398" s="35" t="str">
        <f t="shared" si="217"/>
        <v/>
      </c>
      <c r="H7398" s="39"/>
      <c r="I7398" s="35"/>
      <c r="J7398" s="34">
        <v>0</v>
      </c>
    </row>
    <row r="7399" spans="1:10" ht="15.75" hidden="1" thickBot="1" x14ac:dyDescent="0.3">
      <c r="A7399" s="249"/>
      <c r="B7399" s="252"/>
      <c r="C7399" s="40" t="s">
        <v>1776</v>
      </c>
      <c r="D7399" s="40" t="s">
        <v>121</v>
      </c>
      <c r="E7399" s="41">
        <v>1.05</v>
      </c>
      <c r="F7399" s="35">
        <v>0</v>
      </c>
      <c r="G7399" s="38">
        <f t="shared" si="217"/>
        <v>0</v>
      </c>
      <c r="H7399" s="43">
        <f>SUM(G7399:G7401)</f>
        <v>37.755375000000001</v>
      </c>
      <c r="I7399" s="44"/>
      <c r="J7399" s="34">
        <v>0</v>
      </c>
    </row>
    <row r="7400" spans="1:10" ht="15.75" hidden="1" thickBot="1" x14ac:dyDescent="0.3">
      <c r="A7400" s="249"/>
      <c r="B7400" s="252"/>
      <c r="C7400" s="40" t="s">
        <v>3760</v>
      </c>
      <c r="D7400" s="40" t="s">
        <v>3752</v>
      </c>
      <c r="E7400" s="41">
        <v>0.75</v>
      </c>
      <c r="F7400" s="35">
        <v>28.385999999999999</v>
      </c>
      <c r="G7400" s="38">
        <f t="shared" si="217"/>
        <v>21.2895</v>
      </c>
      <c r="H7400" s="39"/>
      <c r="I7400" s="35"/>
      <c r="J7400" s="34">
        <v>0</v>
      </c>
    </row>
    <row r="7401" spans="1:10" ht="15.75" hidden="1" thickBot="1" x14ac:dyDescent="0.3">
      <c r="A7401" s="249"/>
      <c r="B7401" s="252"/>
      <c r="C7401" s="40" t="s">
        <v>3770</v>
      </c>
      <c r="D7401" s="40" t="s">
        <v>3752</v>
      </c>
      <c r="E7401" s="41">
        <v>0.75</v>
      </c>
      <c r="F7401" s="35">
        <v>21.954499999999999</v>
      </c>
      <c r="G7401" s="38">
        <f t="shared" si="217"/>
        <v>16.465875</v>
      </c>
      <c r="H7401" s="39"/>
      <c r="I7401" s="35"/>
      <c r="J7401" s="34">
        <v>0</v>
      </c>
    </row>
    <row r="7402" spans="1:10" ht="15.75" hidden="1" thickBot="1" x14ac:dyDescent="0.3">
      <c r="A7402" s="250"/>
      <c r="B7402" s="253"/>
      <c r="C7402" s="40"/>
      <c r="D7402" s="40"/>
      <c r="E7402" s="41"/>
      <c r="F7402" s="35" t="s">
        <v>23</v>
      </c>
      <c r="G7402" s="35" t="str">
        <f t="shared" si="217"/>
        <v/>
      </c>
      <c r="H7402" s="39"/>
      <c r="I7402" s="35"/>
      <c r="J7402" s="34">
        <v>0</v>
      </c>
    </row>
    <row r="7403" spans="1:10" ht="15.75" hidden="1" thickBot="1" x14ac:dyDescent="0.3">
      <c r="A7403" s="248" t="s">
        <v>1777</v>
      </c>
      <c r="B7403" s="251" t="s">
        <v>3163</v>
      </c>
      <c r="C7403" s="28"/>
      <c r="D7403" s="29" t="s">
        <v>121</v>
      </c>
      <c r="E7403" s="30"/>
      <c r="F7403" s="45" t="s">
        <v>23</v>
      </c>
      <c r="G7403" s="31" t="str">
        <f t="shared" si="217"/>
        <v/>
      </c>
      <c r="H7403" s="32"/>
      <c r="I7403" s="33"/>
      <c r="J7403" s="34">
        <v>0</v>
      </c>
    </row>
    <row r="7404" spans="1:10" ht="15.75" hidden="1" thickBot="1" x14ac:dyDescent="0.3">
      <c r="A7404" s="249"/>
      <c r="B7404" s="252"/>
      <c r="C7404" s="36"/>
      <c r="D7404" s="36"/>
      <c r="E7404" s="37"/>
      <c r="F7404" s="46" t="s">
        <v>23</v>
      </c>
      <c r="G7404" s="35" t="str">
        <f t="shared" si="217"/>
        <v/>
      </c>
      <c r="H7404" s="39"/>
      <c r="I7404" s="35"/>
      <c r="J7404" s="34">
        <v>0</v>
      </c>
    </row>
    <row r="7405" spans="1:10" ht="15.75" hidden="1" thickBot="1" x14ac:dyDescent="0.3">
      <c r="A7405" s="249"/>
      <c r="B7405" s="252"/>
      <c r="C7405" s="40" t="s">
        <v>1778</v>
      </c>
      <c r="D7405" s="40" t="s">
        <v>121</v>
      </c>
      <c r="E7405" s="41">
        <v>1.05</v>
      </c>
      <c r="F7405" s="35">
        <v>0</v>
      </c>
      <c r="G7405" s="38">
        <f t="shared" si="217"/>
        <v>0</v>
      </c>
      <c r="H7405" s="43">
        <f>SUM(G7405:G7407)</f>
        <v>37.755375000000001</v>
      </c>
      <c r="I7405" s="44"/>
      <c r="J7405" s="34">
        <v>0</v>
      </c>
    </row>
    <row r="7406" spans="1:10" ht="15.75" hidden="1" thickBot="1" x14ac:dyDescent="0.3">
      <c r="A7406" s="249"/>
      <c r="B7406" s="252"/>
      <c r="C7406" s="40" t="s">
        <v>3760</v>
      </c>
      <c r="D7406" s="40" t="s">
        <v>3752</v>
      </c>
      <c r="E7406" s="41">
        <v>0.75</v>
      </c>
      <c r="F7406" s="35">
        <v>28.385999999999999</v>
      </c>
      <c r="G7406" s="38">
        <f t="shared" si="217"/>
        <v>21.2895</v>
      </c>
      <c r="H7406" s="39"/>
      <c r="I7406" s="35"/>
      <c r="J7406" s="34">
        <v>0</v>
      </c>
    </row>
    <row r="7407" spans="1:10" ht="15.75" hidden="1" thickBot="1" x14ac:dyDescent="0.3">
      <c r="A7407" s="249"/>
      <c r="B7407" s="252"/>
      <c r="C7407" s="40" t="s">
        <v>3770</v>
      </c>
      <c r="D7407" s="40" t="s">
        <v>3752</v>
      </c>
      <c r="E7407" s="41">
        <v>0.75</v>
      </c>
      <c r="F7407" s="35">
        <v>21.954499999999999</v>
      </c>
      <c r="G7407" s="38">
        <f t="shared" si="217"/>
        <v>16.465875</v>
      </c>
      <c r="H7407" s="39"/>
      <c r="I7407" s="35"/>
      <c r="J7407" s="34">
        <v>0</v>
      </c>
    </row>
    <row r="7408" spans="1:10" ht="15.75" hidden="1" thickBot="1" x14ac:dyDescent="0.3">
      <c r="A7408" s="250"/>
      <c r="B7408" s="253"/>
      <c r="C7408" s="40"/>
      <c r="D7408" s="40"/>
      <c r="E7408" s="41"/>
      <c r="F7408" s="35" t="s">
        <v>23</v>
      </c>
      <c r="G7408" s="35" t="str">
        <f t="shared" si="217"/>
        <v/>
      </c>
      <c r="H7408" s="39"/>
      <c r="I7408" s="35"/>
      <c r="J7408" s="34">
        <v>0</v>
      </c>
    </row>
    <row r="7409" spans="1:10" ht="15.75" hidden="1" thickBot="1" x14ac:dyDescent="0.3">
      <c r="A7409" s="248" t="s">
        <v>1779</v>
      </c>
      <c r="B7409" s="251" t="s">
        <v>3164</v>
      </c>
      <c r="C7409" s="28"/>
      <c r="D7409" s="29" t="s">
        <v>121</v>
      </c>
      <c r="E7409" s="30"/>
      <c r="F7409" s="45" t="s">
        <v>23</v>
      </c>
      <c r="G7409" s="31" t="str">
        <f t="shared" si="217"/>
        <v/>
      </c>
      <c r="H7409" s="32"/>
      <c r="I7409" s="33"/>
      <c r="J7409" s="34">
        <v>0</v>
      </c>
    </row>
    <row r="7410" spans="1:10" ht="15.75" hidden="1" thickBot="1" x14ac:dyDescent="0.3">
      <c r="A7410" s="249"/>
      <c r="B7410" s="252"/>
      <c r="C7410" s="36"/>
      <c r="D7410" s="36"/>
      <c r="E7410" s="37"/>
      <c r="F7410" s="46" t="s">
        <v>23</v>
      </c>
      <c r="G7410" s="35" t="str">
        <f t="shared" si="217"/>
        <v/>
      </c>
      <c r="H7410" s="39"/>
      <c r="I7410" s="35"/>
      <c r="J7410" s="34">
        <v>0</v>
      </c>
    </row>
    <row r="7411" spans="1:10" ht="15.75" hidden="1" thickBot="1" x14ac:dyDescent="0.3">
      <c r="A7411" s="249"/>
      <c r="B7411" s="252"/>
      <c r="C7411" s="40" t="s">
        <v>1780</v>
      </c>
      <c r="D7411" s="40" t="s">
        <v>121</v>
      </c>
      <c r="E7411" s="41">
        <v>1.05</v>
      </c>
      <c r="F7411" s="35">
        <v>0</v>
      </c>
      <c r="G7411" s="38">
        <f t="shared" si="217"/>
        <v>0</v>
      </c>
      <c r="H7411" s="43">
        <f>SUM(G7411:G7413)</f>
        <v>50.340499999999999</v>
      </c>
      <c r="I7411" s="44"/>
      <c r="J7411" s="34">
        <v>0</v>
      </c>
    </row>
    <row r="7412" spans="1:10" ht="15.75" hidden="1" thickBot="1" x14ac:dyDescent="0.3">
      <c r="A7412" s="249"/>
      <c r="B7412" s="252"/>
      <c r="C7412" s="40" t="s">
        <v>3760</v>
      </c>
      <c r="D7412" s="40" t="s">
        <v>3752</v>
      </c>
      <c r="E7412" s="41">
        <v>1</v>
      </c>
      <c r="F7412" s="35">
        <v>28.385999999999999</v>
      </c>
      <c r="G7412" s="38">
        <f t="shared" si="217"/>
        <v>28.385999999999999</v>
      </c>
      <c r="H7412" s="39"/>
      <c r="I7412" s="35"/>
      <c r="J7412" s="34">
        <v>0</v>
      </c>
    </row>
    <row r="7413" spans="1:10" ht="15.75" hidden="1" thickBot="1" x14ac:dyDescent="0.3">
      <c r="A7413" s="249"/>
      <c r="B7413" s="252"/>
      <c r="C7413" s="40" t="s">
        <v>3770</v>
      </c>
      <c r="D7413" s="40" t="s">
        <v>3752</v>
      </c>
      <c r="E7413" s="41">
        <v>1</v>
      </c>
      <c r="F7413" s="35">
        <v>21.954499999999999</v>
      </c>
      <c r="G7413" s="38">
        <f t="shared" si="217"/>
        <v>21.954499999999999</v>
      </c>
      <c r="H7413" s="39"/>
      <c r="I7413" s="35"/>
      <c r="J7413" s="34">
        <v>0</v>
      </c>
    </row>
    <row r="7414" spans="1:10" ht="15.75" hidden="1" thickBot="1" x14ac:dyDescent="0.3">
      <c r="A7414" s="250"/>
      <c r="B7414" s="253"/>
      <c r="C7414" s="40"/>
      <c r="D7414" s="40"/>
      <c r="E7414" s="41"/>
      <c r="F7414" s="35" t="s">
        <v>23</v>
      </c>
      <c r="G7414" s="35" t="str">
        <f t="shared" si="217"/>
        <v/>
      </c>
      <c r="H7414" s="39"/>
      <c r="I7414" s="35"/>
      <c r="J7414" s="34">
        <v>0</v>
      </c>
    </row>
    <row r="7415" spans="1:10" ht="15.75" hidden="1" thickBot="1" x14ac:dyDescent="0.3">
      <c r="A7415" s="248" t="s">
        <v>1781</v>
      </c>
      <c r="B7415" s="251" t="s">
        <v>3513</v>
      </c>
      <c r="C7415" s="28"/>
      <c r="D7415" s="29" t="s">
        <v>28</v>
      </c>
      <c r="E7415" s="30"/>
      <c r="F7415" s="45" t="s">
        <v>23</v>
      </c>
      <c r="G7415" s="31" t="str">
        <f t="shared" si="217"/>
        <v/>
      </c>
      <c r="H7415" s="32"/>
      <c r="I7415" s="33"/>
      <c r="J7415" s="34">
        <v>0</v>
      </c>
    </row>
    <row r="7416" spans="1:10" ht="15.75" hidden="1" thickBot="1" x14ac:dyDescent="0.3">
      <c r="A7416" s="249"/>
      <c r="B7416" s="252"/>
      <c r="C7416" s="36"/>
      <c r="D7416" s="36"/>
      <c r="E7416" s="37"/>
      <c r="F7416" s="46" t="s">
        <v>23</v>
      </c>
      <c r="G7416" s="35" t="str">
        <f t="shared" si="217"/>
        <v/>
      </c>
      <c r="H7416" s="39"/>
      <c r="I7416" s="35"/>
      <c r="J7416" s="34">
        <v>0</v>
      </c>
    </row>
    <row r="7417" spans="1:10" ht="15.75" hidden="1" thickBot="1" x14ac:dyDescent="0.3">
      <c r="A7417" s="249"/>
      <c r="B7417" s="252"/>
      <c r="C7417" s="40" t="s">
        <v>4218</v>
      </c>
      <c r="D7417" s="40" t="s">
        <v>3752</v>
      </c>
      <c r="E7417" s="41">
        <v>40</v>
      </c>
      <c r="F7417" s="38">
        <v>125.88449999999999</v>
      </c>
      <c r="G7417" s="35">
        <f t="shared" si="217"/>
        <v>5035.3799999999992</v>
      </c>
      <c r="H7417" s="43">
        <f>SUM(G7417:G7419)</f>
        <v>5621.7099999999991</v>
      </c>
      <c r="I7417" s="44"/>
      <c r="J7417" s="34">
        <v>0</v>
      </c>
    </row>
    <row r="7418" spans="1:10" ht="15.75" hidden="1" thickBot="1" x14ac:dyDescent="0.3">
      <c r="A7418" s="249"/>
      <c r="B7418" s="252"/>
      <c r="C7418" s="40" t="s">
        <v>4205</v>
      </c>
      <c r="D7418" s="40" t="s">
        <v>3752</v>
      </c>
      <c r="E7418" s="41">
        <v>20</v>
      </c>
      <c r="F7418" s="35">
        <v>16.587</v>
      </c>
      <c r="G7418" s="38">
        <f t="shared" si="217"/>
        <v>331.74</v>
      </c>
      <c r="H7418" s="39"/>
      <c r="I7418" s="35"/>
      <c r="J7418" s="34">
        <v>0</v>
      </c>
    </row>
    <row r="7419" spans="1:10" ht="15.75" hidden="1" thickBot="1" x14ac:dyDescent="0.3">
      <c r="A7419" s="249"/>
      <c r="B7419" s="252"/>
      <c r="C7419" s="40" t="s">
        <v>27</v>
      </c>
      <c r="D7419" s="40" t="s">
        <v>28</v>
      </c>
      <c r="E7419" s="41">
        <v>1</v>
      </c>
      <c r="F7419" s="35">
        <v>254.59</v>
      </c>
      <c r="G7419" s="38">
        <f t="shared" si="217"/>
        <v>254.59</v>
      </c>
      <c r="H7419" s="39"/>
      <c r="I7419" s="35"/>
      <c r="J7419" s="34">
        <v>0</v>
      </c>
    </row>
    <row r="7420" spans="1:10" ht="15.75" hidden="1" thickBot="1" x14ac:dyDescent="0.3">
      <c r="A7420" s="249"/>
      <c r="B7420" s="253"/>
      <c r="C7420" s="40"/>
      <c r="D7420" s="40"/>
      <c r="E7420" s="41"/>
      <c r="F7420" s="35" t="s">
        <v>23</v>
      </c>
      <c r="G7420" s="35" t="str">
        <f t="shared" si="217"/>
        <v/>
      </c>
      <c r="H7420" s="39"/>
      <c r="I7420" s="35"/>
      <c r="J7420" s="34">
        <v>0</v>
      </c>
    </row>
    <row r="7421" spans="1:10" ht="15.75" hidden="1" thickBot="1" x14ac:dyDescent="0.3">
      <c r="A7421" s="248" t="s">
        <v>1782</v>
      </c>
      <c r="B7421" s="251" t="s">
        <v>3237</v>
      </c>
      <c r="C7421" s="28"/>
      <c r="D7421" s="29" t="s">
        <v>28</v>
      </c>
      <c r="E7421" s="30"/>
      <c r="F7421" s="45" t="s">
        <v>23</v>
      </c>
      <c r="G7421" s="31" t="str">
        <f t="shared" ref="G7421:G7484" si="218">IF(ISNUMBER(F7421),E7421*F7421,"")</f>
        <v/>
      </c>
      <c r="H7421" s="32"/>
      <c r="I7421" s="33"/>
      <c r="J7421" s="34">
        <v>0</v>
      </c>
    </row>
    <row r="7422" spans="1:10" ht="15.75" hidden="1" thickBot="1" x14ac:dyDescent="0.3">
      <c r="A7422" s="249"/>
      <c r="B7422" s="252"/>
      <c r="C7422" s="36"/>
      <c r="D7422" s="36"/>
      <c r="E7422" s="37"/>
      <c r="F7422" s="46" t="s">
        <v>23</v>
      </c>
      <c r="G7422" s="35" t="str">
        <f t="shared" si="218"/>
        <v/>
      </c>
      <c r="H7422" s="39"/>
      <c r="I7422" s="35"/>
      <c r="J7422" s="34">
        <v>0</v>
      </c>
    </row>
    <row r="7423" spans="1:10" ht="51.75" hidden="1" thickBot="1" x14ac:dyDescent="0.3">
      <c r="A7423" s="249"/>
      <c r="B7423" s="252"/>
      <c r="C7423" s="40" t="s">
        <v>4213</v>
      </c>
      <c r="D7423" s="40" t="s">
        <v>1041</v>
      </c>
      <c r="E7423" s="41">
        <v>0.23880000000000001</v>
      </c>
      <c r="F7423" s="38">
        <v>238.74449999999999</v>
      </c>
      <c r="G7423" s="35">
        <f t="shared" si="218"/>
        <v>57.0121866</v>
      </c>
      <c r="H7423" s="43">
        <f>SUM(G7423:G7427)</f>
        <v>720.74355564999985</v>
      </c>
      <c r="I7423" s="44"/>
      <c r="J7423" s="34">
        <v>0</v>
      </c>
    </row>
    <row r="7424" spans="1:10" ht="26.25" hidden="1" thickBot="1" x14ac:dyDescent="0.3">
      <c r="A7424" s="249"/>
      <c r="B7424" s="252"/>
      <c r="C7424" s="40" t="s">
        <v>3907</v>
      </c>
      <c r="D7424" s="40" t="s">
        <v>291</v>
      </c>
      <c r="E7424" s="41">
        <v>1.4E-2</v>
      </c>
      <c r="F7424" s="35">
        <v>3.9139999999999997</v>
      </c>
      <c r="G7424" s="35">
        <f t="shared" si="218"/>
        <v>5.4795999999999997E-2</v>
      </c>
      <c r="H7424" s="39"/>
      <c r="I7424" s="35"/>
      <c r="J7424" s="34">
        <v>0</v>
      </c>
    </row>
    <row r="7425" spans="1:10" ht="26.25" hidden="1" thickBot="1" x14ac:dyDescent="0.3">
      <c r="A7425" s="249"/>
      <c r="B7425" s="252"/>
      <c r="C7425" s="40" t="s">
        <v>4495</v>
      </c>
      <c r="D7425" s="40" t="s">
        <v>291</v>
      </c>
      <c r="E7425" s="41">
        <v>1</v>
      </c>
      <c r="F7425" s="35">
        <v>651.69049999999993</v>
      </c>
      <c r="G7425" s="35">
        <f t="shared" si="218"/>
        <v>651.69049999999993</v>
      </c>
      <c r="H7425" s="39"/>
      <c r="I7425" s="35"/>
      <c r="J7425" s="34">
        <v>0</v>
      </c>
    </row>
    <row r="7426" spans="1:10" ht="15.75" hidden="1" thickBot="1" x14ac:dyDescent="0.3">
      <c r="A7426" s="249"/>
      <c r="B7426" s="252"/>
      <c r="C7426" s="40" t="s">
        <v>3770</v>
      </c>
      <c r="D7426" s="40" t="s">
        <v>3752</v>
      </c>
      <c r="E7426" s="41">
        <v>0.23810000000000001</v>
      </c>
      <c r="F7426" s="35">
        <v>21.954499999999999</v>
      </c>
      <c r="G7426" s="35">
        <f t="shared" si="218"/>
        <v>5.2273664499999999</v>
      </c>
      <c r="H7426" s="39"/>
      <c r="I7426" s="35"/>
      <c r="J7426" s="34">
        <v>0</v>
      </c>
    </row>
    <row r="7427" spans="1:10" ht="15.75" hidden="1" thickBot="1" x14ac:dyDescent="0.3">
      <c r="A7427" s="249"/>
      <c r="B7427" s="252"/>
      <c r="C7427" s="40" t="s">
        <v>3760</v>
      </c>
      <c r="D7427" s="40" t="s">
        <v>3752</v>
      </c>
      <c r="E7427" s="41">
        <v>0.23810000000000001</v>
      </c>
      <c r="F7427" s="35">
        <v>28.385999999999999</v>
      </c>
      <c r="G7427" s="38">
        <f t="shared" si="218"/>
        <v>6.7587066</v>
      </c>
      <c r="H7427" s="39"/>
      <c r="I7427" s="35"/>
      <c r="J7427" s="34">
        <v>0</v>
      </c>
    </row>
    <row r="7428" spans="1:10" ht="15.75" hidden="1" thickBot="1" x14ac:dyDescent="0.3">
      <c r="A7428" s="249"/>
      <c r="B7428" s="253"/>
      <c r="C7428" s="40"/>
      <c r="D7428" s="40"/>
      <c r="E7428" s="41"/>
      <c r="F7428" s="35" t="s">
        <v>23</v>
      </c>
      <c r="G7428" s="35" t="str">
        <f t="shared" si="218"/>
        <v/>
      </c>
      <c r="H7428" s="39"/>
      <c r="I7428" s="35"/>
      <c r="J7428" s="34">
        <v>0</v>
      </c>
    </row>
    <row r="7429" spans="1:10" ht="15.75" hidden="1" thickBot="1" x14ac:dyDescent="0.3">
      <c r="A7429" s="248" t="s">
        <v>1783</v>
      </c>
      <c r="B7429" s="251" t="s">
        <v>3514</v>
      </c>
      <c r="C7429" s="28"/>
      <c r="D7429" s="29" t="s">
        <v>28</v>
      </c>
      <c r="E7429" s="30"/>
      <c r="F7429" s="51" t="s">
        <v>23</v>
      </c>
      <c r="G7429" s="31" t="str">
        <f t="shared" si="218"/>
        <v/>
      </c>
      <c r="H7429" s="32"/>
      <c r="I7429" s="33"/>
      <c r="J7429" s="34">
        <v>0</v>
      </c>
    </row>
    <row r="7430" spans="1:10" ht="15.75" hidden="1" thickBot="1" x14ac:dyDescent="0.3">
      <c r="A7430" s="249"/>
      <c r="B7430" s="252"/>
      <c r="C7430" s="76"/>
      <c r="D7430" s="76"/>
      <c r="E7430" s="77"/>
      <c r="F7430" s="59" t="s">
        <v>23</v>
      </c>
      <c r="G7430" s="59" t="str">
        <f t="shared" si="218"/>
        <v/>
      </c>
      <c r="H7430" s="62"/>
      <c r="I7430" s="35"/>
      <c r="J7430" s="34">
        <v>0</v>
      </c>
    </row>
    <row r="7431" spans="1:10" ht="26.25" hidden="1" thickBot="1" x14ac:dyDescent="0.3">
      <c r="A7431" s="249"/>
      <c r="B7431" s="252"/>
      <c r="C7431" s="40" t="s">
        <v>1784</v>
      </c>
      <c r="D7431" s="40" t="s">
        <v>28</v>
      </c>
      <c r="E7431" s="41">
        <v>1</v>
      </c>
      <c r="F7431" s="35">
        <v>0</v>
      </c>
      <c r="G7431" s="59">
        <f t="shared" si="218"/>
        <v>0</v>
      </c>
      <c r="H7431" s="43">
        <f>SUM(G7431:G7433)</f>
        <v>12.585125</v>
      </c>
      <c r="I7431" s="44"/>
      <c r="J7431" s="34">
        <v>0</v>
      </c>
    </row>
    <row r="7432" spans="1:10" ht="15.75" hidden="1" thickBot="1" x14ac:dyDescent="0.3">
      <c r="A7432" s="249"/>
      <c r="B7432" s="252"/>
      <c r="C7432" s="40" t="s">
        <v>3770</v>
      </c>
      <c r="D7432" s="40" t="s">
        <v>3752</v>
      </c>
      <c r="E7432" s="41">
        <v>0.25</v>
      </c>
      <c r="F7432" s="38">
        <v>21.954499999999999</v>
      </c>
      <c r="G7432" s="38">
        <f t="shared" si="218"/>
        <v>5.4886249999999999</v>
      </c>
      <c r="H7432" s="39"/>
      <c r="I7432" s="35"/>
      <c r="J7432" s="34">
        <v>0</v>
      </c>
    </row>
    <row r="7433" spans="1:10" ht="15.75" hidden="1" thickBot="1" x14ac:dyDescent="0.3">
      <c r="A7433" s="249"/>
      <c r="B7433" s="252"/>
      <c r="C7433" s="40" t="s">
        <v>3760</v>
      </c>
      <c r="D7433" s="40" t="s">
        <v>3752</v>
      </c>
      <c r="E7433" s="41">
        <v>0.25</v>
      </c>
      <c r="F7433" s="35">
        <v>28.385999999999999</v>
      </c>
      <c r="G7433" s="59">
        <f t="shared" si="218"/>
        <v>7.0964999999999998</v>
      </c>
      <c r="H7433" s="47"/>
      <c r="I7433" s="35"/>
      <c r="J7433" s="34">
        <v>0</v>
      </c>
    </row>
    <row r="7434" spans="1:10" ht="15.75" hidden="1" thickBot="1" x14ac:dyDescent="0.3">
      <c r="A7434" s="249"/>
      <c r="B7434" s="253"/>
      <c r="C7434" s="40"/>
      <c r="D7434" s="40"/>
      <c r="E7434" s="41"/>
      <c r="F7434" s="35" t="s">
        <v>23</v>
      </c>
      <c r="G7434" s="35" t="str">
        <f t="shared" si="218"/>
        <v/>
      </c>
      <c r="H7434" s="39"/>
      <c r="I7434" s="35"/>
      <c r="J7434" s="34">
        <v>0</v>
      </c>
    </row>
    <row r="7435" spans="1:10" ht="15.75" hidden="1" thickBot="1" x14ac:dyDescent="0.3">
      <c r="A7435" s="248" t="s">
        <v>1785</v>
      </c>
      <c r="B7435" s="251" t="s">
        <v>3241</v>
      </c>
      <c r="C7435" s="28"/>
      <c r="D7435" s="29" t="s">
        <v>28</v>
      </c>
      <c r="E7435" s="30"/>
      <c r="F7435" s="45" t="s">
        <v>23</v>
      </c>
      <c r="G7435" s="31" t="str">
        <f t="shared" si="218"/>
        <v/>
      </c>
      <c r="H7435" s="32"/>
      <c r="I7435" s="33"/>
      <c r="J7435" s="34">
        <v>0</v>
      </c>
    </row>
    <row r="7436" spans="1:10" ht="15.75" hidden="1" thickBot="1" x14ac:dyDescent="0.3">
      <c r="A7436" s="249"/>
      <c r="B7436" s="266"/>
      <c r="C7436" s="95"/>
      <c r="D7436" s="95"/>
      <c r="E7436" s="96"/>
      <c r="F7436" s="46" t="s">
        <v>23</v>
      </c>
      <c r="G7436" s="35" t="str">
        <f t="shared" si="218"/>
        <v/>
      </c>
      <c r="H7436" s="39"/>
      <c r="I7436" s="35"/>
      <c r="J7436" s="34">
        <v>0</v>
      </c>
    </row>
    <row r="7437" spans="1:10" ht="15.75" hidden="1" thickBot="1" x14ac:dyDescent="0.3">
      <c r="A7437" s="249"/>
      <c r="B7437" s="266"/>
      <c r="C7437" s="40" t="s">
        <v>4307</v>
      </c>
      <c r="D7437" s="40" t="s">
        <v>291</v>
      </c>
      <c r="E7437" s="75">
        <v>1</v>
      </c>
      <c r="F7437" s="38">
        <v>35.8245</v>
      </c>
      <c r="G7437" s="35">
        <f t="shared" si="218"/>
        <v>35.8245</v>
      </c>
      <c r="H7437" s="43">
        <f>SUM(G7437:G7440)</f>
        <v>126.71584310000001</v>
      </c>
      <c r="I7437" s="44"/>
      <c r="J7437" s="34">
        <v>0</v>
      </c>
    </row>
    <row r="7438" spans="1:10" ht="51.75" hidden="1" thickBot="1" x14ac:dyDescent="0.3">
      <c r="A7438" s="249"/>
      <c r="B7438" s="266"/>
      <c r="C7438" s="40" t="s">
        <v>4213</v>
      </c>
      <c r="D7438" s="40" t="s">
        <v>1041</v>
      </c>
      <c r="E7438" s="75">
        <v>0.23880000000000001</v>
      </c>
      <c r="F7438" s="35">
        <v>238.74449999999999</v>
      </c>
      <c r="G7438" s="35">
        <f t="shared" si="218"/>
        <v>57.0121866</v>
      </c>
      <c r="H7438" s="39"/>
      <c r="I7438" s="35"/>
      <c r="J7438" s="34">
        <v>0</v>
      </c>
    </row>
    <row r="7439" spans="1:10" ht="15.75" hidden="1" thickBot="1" x14ac:dyDescent="0.3">
      <c r="A7439" s="249"/>
      <c r="B7439" s="266"/>
      <c r="C7439" s="40" t="s">
        <v>3770</v>
      </c>
      <c r="D7439" s="40" t="s">
        <v>3752</v>
      </c>
      <c r="E7439" s="75">
        <v>0.67300000000000004</v>
      </c>
      <c r="F7439" s="35">
        <v>21.954499999999999</v>
      </c>
      <c r="G7439" s="35">
        <f t="shared" si="218"/>
        <v>14.7753785</v>
      </c>
      <c r="H7439" s="39"/>
      <c r="I7439" s="35"/>
      <c r="J7439" s="34">
        <v>0</v>
      </c>
    </row>
    <row r="7440" spans="1:10" ht="15.75" hidden="1" thickBot="1" x14ac:dyDescent="0.3">
      <c r="A7440" s="249"/>
      <c r="B7440" s="266"/>
      <c r="C7440" s="40" t="s">
        <v>3760</v>
      </c>
      <c r="D7440" s="40" t="s">
        <v>3752</v>
      </c>
      <c r="E7440" s="75">
        <v>0.67300000000000004</v>
      </c>
      <c r="F7440" s="35">
        <v>28.385999999999999</v>
      </c>
      <c r="G7440" s="35">
        <f t="shared" si="218"/>
        <v>19.103778000000002</v>
      </c>
      <c r="H7440" s="39"/>
      <c r="I7440" s="35"/>
      <c r="J7440" s="34">
        <v>0</v>
      </c>
    </row>
    <row r="7441" spans="1:10" ht="15.75" hidden="1" thickBot="1" x14ac:dyDescent="0.3">
      <c r="A7441" s="250"/>
      <c r="B7441" s="253"/>
      <c r="C7441" s="60"/>
      <c r="D7441" s="60"/>
      <c r="E7441" s="79"/>
      <c r="F7441" s="87" t="s">
        <v>23</v>
      </c>
      <c r="G7441" s="87" t="str">
        <f t="shared" si="218"/>
        <v/>
      </c>
      <c r="H7441" s="89"/>
      <c r="I7441" s="35"/>
      <c r="J7441" s="34">
        <v>0</v>
      </c>
    </row>
    <row r="7442" spans="1:10" ht="15.75" hidden="1" thickBot="1" x14ac:dyDescent="0.3">
      <c r="A7442" s="248" t="s">
        <v>1786</v>
      </c>
      <c r="B7442" s="251" t="s">
        <v>3515</v>
      </c>
      <c r="C7442" s="28"/>
      <c r="D7442" s="29" t="s">
        <v>28</v>
      </c>
      <c r="E7442" s="30"/>
      <c r="F7442" s="45" t="s">
        <v>23</v>
      </c>
      <c r="G7442" s="31" t="str">
        <f t="shared" si="218"/>
        <v/>
      </c>
      <c r="H7442" s="32"/>
      <c r="I7442" s="33"/>
      <c r="J7442" s="34">
        <v>0</v>
      </c>
    </row>
    <row r="7443" spans="1:10" ht="15.75" hidden="1" thickBot="1" x14ac:dyDescent="0.3">
      <c r="A7443" s="249"/>
      <c r="B7443" s="252"/>
      <c r="C7443" s="36"/>
      <c r="D7443" s="36"/>
      <c r="E7443" s="37"/>
      <c r="F7443" s="46" t="s">
        <v>23</v>
      </c>
      <c r="G7443" s="35" t="str">
        <f t="shared" si="218"/>
        <v/>
      </c>
      <c r="H7443" s="39"/>
      <c r="I7443" s="35"/>
      <c r="J7443" s="34">
        <v>0</v>
      </c>
    </row>
    <row r="7444" spans="1:10" ht="39" hidden="1" thickBot="1" x14ac:dyDescent="0.3">
      <c r="A7444" s="249"/>
      <c r="B7444" s="252"/>
      <c r="C7444" s="40" t="s">
        <v>1787</v>
      </c>
      <c r="D7444" s="53" t="s">
        <v>28</v>
      </c>
      <c r="E7444" s="41">
        <v>1</v>
      </c>
      <c r="F7444" s="38" t="s">
        <v>23</v>
      </c>
      <c r="G7444" s="35" t="str">
        <f t="shared" si="218"/>
        <v/>
      </c>
      <c r="H7444" s="43">
        <f>SUM(G7444:G7447)</f>
        <v>48.285358182799996</v>
      </c>
      <c r="I7444" s="44"/>
      <c r="J7444" s="34">
        <v>0</v>
      </c>
    </row>
    <row r="7445" spans="1:10" ht="39" hidden="1" thickBot="1" x14ac:dyDescent="0.3">
      <c r="A7445" s="249"/>
      <c r="B7445" s="252"/>
      <c r="C7445" s="40" t="s">
        <v>4733</v>
      </c>
      <c r="D7445" s="40" t="s">
        <v>3764</v>
      </c>
      <c r="E7445" s="41">
        <v>1.9199999999999998E-2</v>
      </c>
      <c r="F7445" s="35">
        <v>853.36371524999993</v>
      </c>
      <c r="G7445" s="35">
        <f t="shared" si="218"/>
        <v>16.384583332799998</v>
      </c>
      <c r="H7445" s="39"/>
      <c r="I7445" s="35"/>
      <c r="J7445" s="34">
        <v>0</v>
      </c>
    </row>
    <row r="7446" spans="1:10" ht="15.75" hidden="1" thickBot="1" x14ac:dyDescent="0.3">
      <c r="A7446" s="249"/>
      <c r="B7446" s="252"/>
      <c r="C7446" s="40" t="s">
        <v>3770</v>
      </c>
      <c r="D7446" s="40" t="s">
        <v>3752</v>
      </c>
      <c r="E7446" s="41">
        <v>0.63370000000000004</v>
      </c>
      <c r="F7446" s="35">
        <v>21.954499999999999</v>
      </c>
      <c r="G7446" s="35">
        <f t="shared" si="218"/>
        <v>13.91256665</v>
      </c>
      <c r="H7446" s="39"/>
      <c r="I7446" s="35"/>
      <c r="J7446" s="34">
        <v>0</v>
      </c>
    </row>
    <row r="7447" spans="1:10" ht="15.75" hidden="1" thickBot="1" x14ac:dyDescent="0.3">
      <c r="A7447" s="249"/>
      <c r="B7447" s="252"/>
      <c r="C7447" s="40" t="s">
        <v>3760</v>
      </c>
      <c r="D7447" s="40" t="s">
        <v>3752</v>
      </c>
      <c r="E7447" s="41">
        <v>0.63370000000000004</v>
      </c>
      <c r="F7447" s="35">
        <v>28.385999999999999</v>
      </c>
      <c r="G7447" s="38">
        <f t="shared" si="218"/>
        <v>17.988208199999999</v>
      </c>
      <c r="H7447" s="39"/>
      <c r="I7447" s="35"/>
      <c r="J7447" s="34">
        <v>0</v>
      </c>
    </row>
    <row r="7448" spans="1:10" ht="15.75" hidden="1" thickBot="1" x14ac:dyDescent="0.3">
      <c r="A7448" s="249"/>
      <c r="B7448" s="253"/>
      <c r="C7448" s="40"/>
      <c r="D7448" s="40"/>
      <c r="E7448" s="41"/>
      <c r="F7448" s="35" t="s">
        <v>23</v>
      </c>
      <c r="G7448" s="35" t="str">
        <f t="shared" si="218"/>
        <v/>
      </c>
      <c r="H7448" s="39"/>
      <c r="I7448" s="35"/>
      <c r="J7448" s="34">
        <v>0</v>
      </c>
    </row>
    <row r="7449" spans="1:10" ht="15.75" hidden="1" thickBot="1" x14ac:dyDescent="0.3">
      <c r="A7449" s="248" t="s">
        <v>1788</v>
      </c>
      <c r="B7449" s="251" t="s">
        <v>3516</v>
      </c>
      <c r="C7449" s="28"/>
      <c r="D7449" s="29" t="s">
        <v>28</v>
      </c>
      <c r="E7449" s="30"/>
      <c r="F7449" s="51" t="s">
        <v>23</v>
      </c>
      <c r="G7449" s="31" t="str">
        <f t="shared" si="218"/>
        <v/>
      </c>
      <c r="H7449" s="32"/>
      <c r="I7449" s="33"/>
      <c r="J7449" s="34">
        <v>0</v>
      </c>
    </row>
    <row r="7450" spans="1:10" ht="15.75" hidden="1" thickBot="1" x14ac:dyDescent="0.3">
      <c r="A7450" s="262"/>
      <c r="B7450" s="266"/>
      <c r="C7450" s="76"/>
      <c r="D7450" s="76"/>
      <c r="E7450" s="77"/>
      <c r="F7450" s="59" t="s">
        <v>23</v>
      </c>
      <c r="G7450" s="59" t="str">
        <f t="shared" si="218"/>
        <v/>
      </c>
      <c r="H7450" s="62"/>
      <c r="I7450" s="63"/>
      <c r="J7450" s="34">
        <v>0</v>
      </c>
    </row>
    <row r="7451" spans="1:10" ht="26.25" hidden="1" thickBot="1" x14ac:dyDescent="0.3">
      <c r="A7451" s="262"/>
      <c r="B7451" s="266"/>
      <c r="C7451" s="40" t="s">
        <v>4496</v>
      </c>
      <c r="D7451" s="40" t="s">
        <v>291</v>
      </c>
      <c r="E7451" s="75">
        <v>1</v>
      </c>
      <c r="F7451" s="35">
        <v>12.711</v>
      </c>
      <c r="G7451" s="59">
        <f t="shared" si="218"/>
        <v>12.711</v>
      </c>
      <c r="H7451" s="43">
        <f>SUM(G7451:G7454)</f>
        <v>33.590472400000003</v>
      </c>
      <c r="I7451" s="44"/>
      <c r="J7451" s="34">
        <v>0</v>
      </c>
    </row>
    <row r="7452" spans="1:10" ht="39" hidden="1" thickBot="1" x14ac:dyDescent="0.3">
      <c r="A7452" s="262"/>
      <c r="B7452" s="266"/>
      <c r="C7452" s="40" t="s">
        <v>4148</v>
      </c>
      <c r="D7452" s="40" t="s">
        <v>291</v>
      </c>
      <c r="E7452" s="41">
        <v>2</v>
      </c>
      <c r="F7452" s="38">
        <v>0.35149999999999998</v>
      </c>
      <c r="G7452" s="38">
        <f t="shared" si="218"/>
        <v>0.70299999999999996</v>
      </c>
      <c r="H7452" s="39"/>
      <c r="I7452" s="35"/>
      <c r="J7452" s="34">
        <v>0</v>
      </c>
    </row>
    <row r="7453" spans="1:10" ht="15.75" hidden="1" thickBot="1" x14ac:dyDescent="0.3">
      <c r="A7453" s="262"/>
      <c r="B7453" s="266"/>
      <c r="C7453" s="40" t="s">
        <v>3770</v>
      </c>
      <c r="D7453" s="40" t="s">
        <v>3752</v>
      </c>
      <c r="E7453" s="41">
        <v>0.40079999999999999</v>
      </c>
      <c r="F7453" s="35">
        <v>21.954499999999999</v>
      </c>
      <c r="G7453" s="59">
        <f t="shared" si="218"/>
        <v>8.7993635999999995</v>
      </c>
      <c r="H7453" s="47"/>
      <c r="I7453" s="44"/>
      <c r="J7453" s="34">
        <v>0</v>
      </c>
    </row>
    <row r="7454" spans="1:10" ht="15.75" hidden="1" thickBot="1" x14ac:dyDescent="0.3">
      <c r="A7454" s="262"/>
      <c r="B7454" s="266"/>
      <c r="C7454" s="40" t="s">
        <v>3760</v>
      </c>
      <c r="D7454" s="40" t="s">
        <v>3752</v>
      </c>
      <c r="E7454" s="41">
        <v>0.40079999999999999</v>
      </c>
      <c r="F7454" s="35">
        <v>28.385999999999999</v>
      </c>
      <c r="G7454" s="59">
        <f t="shared" si="218"/>
        <v>11.3771088</v>
      </c>
      <c r="H7454" s="47"/>
      <c r="I7454" s="44"/>
      <c r="J7454" s="34">
        <v>0</v>
      </c>
    </row>
    <row r="7455" spans="1:10" ht="15.75" hidden="1" thickBot="1" x14ac:dyDescent="0.3">
      <c r="A7455" s="263"/>
      <c r="B7455" s="253"/>
      <c r="C7455" s="60"/>
      <c r="D7455" s="78"/>
      <c r="E7455" s="79"/>
      <c r="F7455" s="80" t="s">
        <v>23</v>
      </c>
      <c r="G7455" s="80" t="str">
        <f t="shared" si="218"/>
        <v/>
      </c>
      <c r="H7455" s="81"/>
      <c r="I7455" s="63"/>
      <c r="J7455" s="34">
        <v>0</v>
      </c>
    </row>
    <row r="7456" spans="1:10" ht="15.75" hidden="1" thickBot="1" x14ac:dyDescent="0.3">
      <c r="A7456" s="248" t="s">
        <v>1789</v>
      </c>
      <c r="B7456" s="251" t="s">
        <v>3517</v>
      </c>
      <c r="C7456" s="28"/>
      <c r="D7456" s="29" t="s">
        <v>28</v>
      </c>
      <c r="E7456" s="30"/>
      <c r="F7456" s="51" t="s">
        <v>23</v>
      </c>
      <c r="G7456" s="31" t="str">
        <f t="shared" si="218"/>
        <v/>
      </c>
      <c r="H7456" s="32"/>
      <c r="I7456" s="33"/>
      <c r="J7456" s="34">
        <v>0</v>
      </c>
    </row>
    <row r="7457" spans="1:10" ht="15.75" hidden="1" thickBot="1" x14ac:dyDescent="0.3">
      <c r="A7457" s="262"/>
      <c r="B7457" s="266"/>
      <c r="C7457" s="76"/>
      <c r="D7457" s="76"/>
      <c r="E7457" s="77"/>
      <c r="F7457" s="59" t="s">
        <v>23</v>
      </c>
      <c r="G7457" s="59" t="str">
        <f t="shared" si="218"/>
        <v/>
      </c>
      <c r="H7457" s="62"/>
      <c r="I7457" s="63"/>
      <c r="J7457" s="34">
        <v>0</v>
      </c>
    </row>
    <row r="7458" spans="1:10" ht="26.25" hidden="1" thickBot="1" x14ac:dyDescent="0.3">
      <c r="A7458" s="262"/>
      <c r="B7458" s="266"/>
      <c r="C7458" s="40" t="s">
        <v>4497</v>
      </c>
      <c r="D7458" s="40" t="s">
        <v>291</v>
      </c>
      <c r="E7458" s="75">
        <v>1</v>
      </c>
      <c r="F7458" s="35">
        <v>2.9830000000000001</v>
      </c>
      <c r="G7458" s="59">
        <f t="shared" si="218"/>
        <v>2.9830000000000001</v>
      </c>
      <c r="H7458" s="43">
        <f>SUM(G7458:G7458)</f>
        <v>2.9830000000000001</v>
      </c>
      <c r="I7458" s="44"/>
      <c r="J7458" s="34">
        <v>0</v>
      </c>
    </row>
    <row r="7459" spans="1:10" ht="15.75" hidden="1" thickBot="1" x14ac:dyDescent="0.3">
      <c r="A7459" s="263"/>
      <c r="B7459" s="253"/>
      <c r="C7459" s="60"/>
      <c r="D7459" s="78"/>
      <c r="E7459" s="79"/>
      <c r="F7459" s="80" t="s">
        <v>23</v>
      </c>
      <c r="G7459" s="80" t="str">
        <f t="shared" si="218"/>
        <v/>
      </c>
      <c r="H7459" s="81"/>
      <c r="I7459" s="63"/>
      <c r="J7459" s="34">
        <v>0</v>
      </c>
    </row>
    <row r="7460" spans="1:10" ht="15.75" thickBot="1" x14ac:dyDescent="0.3">
      <c r="A7460" s="248" t="s">
        <v>1790</v>
      </c>
      <c r="B7460" s="251" t="s">
        <v>3518</v>
      </c>
      <c r="C7460" s="28"/>
      <c r="D7460" s="29" t="s">
        <v>78</v>
      </c>
      <c r="E7460" s="30"/>
      <c r="F7460" s="51" t="s">
        <v>23</v>
      </c>
      <c r="G7460" s="31" t="str">
        <f t="shared" si="218"/>
        <v/>
      </c>
      <c r="H7460" s="32"/>
      <c r="I7460" s="33"/>
      <c r="J7460" s="34">
        <v>8000</v>
      </c>
    </row>
    <row r="7461" spans="1:10" x14ac:dyDescent="0.25">
      <c r="A7461" s="262"/>
      <c r="B7461" s="266"/>
      <c r="C7461" s="95"/>
      <c r="D7461" s="95"/>
      <c r="E7461" s="96"/>
      <c r="F7461" s="59" t="s">
        <v>23</v>
      </c>
      <c r="G7461" s="59" t="str">
        <f t="shared" si="218"/>
        <v/>
      </c>
      <c r="H7461" s="62"/>
      <c r="I7461" s="63"/>
      <c r="J7461" s="34">
        <v>8000</v>
      </c>
    </row>
    <row r="7462" spans="1:10" ht="51" x14ac:dyDescent="0.25">
      <c r="A7462" s="262"/>
      <c r="B7462" s="266"/>
      <c r="C7462" s="99" t="s">
        <v>1791</v>
      </c>
      <c r="D7462" s="99" t="s">
        <v>78</v>
      </c>
      <c r="E7462" s="75">
        <v>1.0798000000000001</v>
      </c>
      <c r="F7462" s="59">
        <v>60.99</v>
      </c>
      <c r="G7462" s="59">
        <f t="shared" si="218"/>
        <v>65.857002000000008</v>
      </c>
      <c r="H7462" s="43">
        <f>SUM(G7462:G7466)</f>
        <v>100.51954560000001</v>
      </c>
      <c r="I7462" s="44"/>
      <c r="J7462" s="34">
        <v>8000</v>
      </c>
    </row>
    <row r="7463" spans="1:10" x14ac:dyDescent="0.25">
      <c r="A7463" s="262"/>
      <c r="B7463" s="266"/>
      <c r="C7463" s="40" t="s">
        <v>3854</v>
      </c>
      <c r="D7463" s="40" t="s">
        <v>1035</v>
      </c>
      <c r="E7463" s="75">
        <v>6.85</v>
      </c>
      <c r="F7463" s="59">
        <v>1.1495</v>
      </c>
      <c r="G7463" s="59">
        <f t="shared" si="218"/>
        <v>7.8740749999999995</v>
      </c>
      <c r="H7463" s="62"/>
      <c r="I7463" s="63"/>
      <c r="J7463" s="34">
        <v>8000</v>
      </c>
    </row>
    <row r="7464" spans="1:10" x14ac:dyDescent="0.25">
      <c r="A7464" s="262"/>
      <c r="B7464" s="266"/>
      <c r="C7464" s="40" t="s">
        <v>4013</v>
      </c>
      <c r="D7464" s="40" t="s">
        <v>1035</v>
      </c>
      <c r="E7464" s="75">
        <v>0.22</v>
      </c>
      <c r="F7464" s="59">
        <v>3.6194999999999999</v>
      </c>
      <c r="G7464" s="59">
        <f t="shared" si="218"/>
        <v>0.79628999999999994</v>
      </c>
      <c r="H7464" s="62"/>
      <c r="I7464" s="63"/>
      <c r="J7464" s="34">
        <v>8000</v>
      </c>
    </row>
    <row r="7465" spans="1:10" x14ac:dyDescent="0.25">
      <c r="A7465" s="262"/>
      <c r="B7465" s="266"/>
      <c r="C7465" s="40" t="s">
        <v>3808</v>
      </c>
      <c r="D7465" s="40" t="s">
        <v>3752</v>
      </c>
      <c r="E7465" s="75">
        <v>0.69699999999999995</v>
      </c>
      <c r="F7465" s="59">
        <v>27.920500000000001</v>
      </c>
      <c r="G7465" s="59">
        <f t="shared" si="218"/>
        <v>19.4605885</v>
      </c>
      <c r="H7465" s="62"/>
      <c r="I7465" s="63"/>
      <c r="J7465" s="34">
        <v>8000</v>
      </c>
    </row>
    <row r="7466" spans="1:10" x14ac:dyDescent="0.25">
      <c r="A7466" s="262"/>
      <c r="B7466" s="266"/>
      <c r="C7466" s="40" t="s">
        <v>3754</v>
      </c>
      <c r="D7466" s="40" t="s">
        <v>3752</v>
      </c>
      <c r="E7466" s="75">
        <v>0.31380000000000002</v>
      </c>
      <c r="F7466" s="59">
        <v>20.814499999999999</v>
      </c>
      <c r="G7466" s="59">
        <f t="shared" si="218"/>
        <v>6.5315900999999998</v>
      </c>
      <c r="H7466" s="62"/>
      <c r="I7466" s="63"/>
      <c r="J7466" s="34">
        <v>8000</v>
      </c>
    </row>
    <row r="7467" spans="1:10" ht="15.75" thickBot="1" x14ac:dyDescent="0.3">
      <c r="A7467" s="263"/>
      <c r="B7467" s="253"/>
      <c r="C7467" s="60"/>
      <c r="D7467" s="78"/>
      <c r="E7467" s="79"/>
      <c r="F7467" s="80" t="s">
        <v>23</v>
      </c>
      <c r="G7467" s="80" t="str">
        <f t="shared" si="218"/>
        <v/>
      </c>
      <c r="H7467" s="81"/>
      <c r="I7467" s="63"/>
      <c r="J7467" s="34">
        <v>8000</v>
      </c>
    </row>
    <row r="7468" spans="1:10" ht="15.75" thickBot="1" x14ac:dyDescent="0.3">
      <c r="A7468" s="248" t="s">
        <v>1792</v>
      </c>
      <c r="B7468" s="251" t="s">
        <v>3519</v>
      </c>
      <c r="C7468" s="28"/>
      <c r="D7468" s="29" t="s">
        <v>78</v>
      </c>
      <c r="E7468" s="30"/>
      <c r="F7468" s="51" t="s">
        <v>23</v>
      </c>
      <c r="G7468" s="31" t="str">
        <f t="shared" si="218"/>
        <v/>
      </c>
      <c r="H7468" s="32"/>
      <c r="I7468" s="33"/>
      <c r="J7468" s="34">
        <v>8000</v>
      </c>
    </row>
    <row r="7469" spans="1:10" x14ac:dyDescent="0.25">
      <c r="A7469" s="262"/>
      <c r="B7469" s="266"/>
      <c r="C7469" s="95"/>
      <c r="D7469" s="95"/>
      <c r="E7469" s="96"/>
      <c r="F7469" s="59" t="s">
        <v>23</v>
      </c>
      <c r="G7469" s="59" t="str">
        <f t="shared" si="218"/>
        <v/>
      </c>
      <c r="H7469" s="62"/>
      <c r="I7469" s="63"/>
      <c r="J7469" s="34">
        <v>8000</v>
      </c>
    </row>
    <row r="7470" spans="1:10" ht="25.5" x14ac:dyDescent="0.25">
      <c r="A7470" s="262"/>
      <c r="B7470" s="266"/>
      <c r="C7470" s="99" t="s">
        <v>1793</v>
      </c>
      <c r="D7470" s="99" t="s">
        <v>78</v>
      </c>
      <c r="E7470" s="75">
        <v>1.0798000000000001</v>
      </c>
      <c r="F7470" s="59">
        <v>51.34</v>
      </c>
      <c r="G7470" s="59">
        <f t="shared" si="218"/>
        <v>55.436932000000006</v>
      </c>
      <c r="H7470" s="43">
        <f>SUM(G7470:G7474)</f>
        <v>90.099475600000005</v>
      </c>
      <c r="I7470" s="44"/>
      <c r="J7470" s="34">
        <v>8000</v>
      </c>
    </row>
    <row r="7471" spans="1:10" x14ac:dyDescent="0.25">
      <c r="A7471" s="262"/>
      <c r="B7471" s="266"/>
      <c r="C7471" s="40" t="s">
        <v>3854</v>
      </c>
      <c r="D7471" s="40" t="s">
        <v>1035</v>
      </c>
      <c r="E7471" s="75">
        <v>6.85</v>
      </c>
      <c r="F7471" s="59">
        <v>1.1495</v>
      </c>
      <c r="G7471" s="59">
        <f t="shared" si="218"/>
        <v>7.8740749999999995</v>
      </c>
      <c r="H7471" s="62"/>
      <c r="I7471" s="63"/>
      <c r="J7471" s="34">
        <v>8000</v>
      </c>
    </row>
    <row r="7472" spans="1:10" x14ac:dyDescent="0.25">
      <c r="A7472" s="262"/>
      <c r="B7472" s="266"/>
      <c r="C7472" s="40" t="s">
        <v>4013</v>
      </c>
      <c r="D7472" s="40" t="s">
        <v>1035</v>
      </c>
      <c r="E7472" s="75">
        <v>0.22</v>
      </c>
      <c r="F7472" s="59">
        <v>3.6194999999999999</v>
      </c>
      <c r="G7472" s="59">
        <f t="shared" si="218"/>
        <v>0.79628999999999994</v>
      </c>
      <c r="H7472" s="62"/>
      <c r="I7472" s="63"/>
      <c r="J7472" s="34">
        <v>8000</v>
      </c>
    </row>
    <row r="7473" spans="1:10" x14ac:dyDescent="0.25">
      <c r="A7473" s="262"/>
      <c r="B7473" s="266"/>
      <c r="C7473" s="40" t="s">
        <v>3808</v>
      </c>
      <c r="D7473" s="40" t="s">
        <v>3752</v>
      </c>
      <c r="E7473" s="75">
        <v>0.69699999999999995</v>
      </c>
      <c r="F7473" s="59">
        <v>27.920500000000001</v>
      </c>
      <c r="G7473" s="59">
        <f t="shared" si="218"/>
        <v>19.4605885</v>
      </c>
      <c r="H7473" s="62"/>
      <c r="I7473" s="63"/>
      <c r="J7473" s="34">
        <v>8000</v>
      </c>
    </row>
    <row r="7474" spans="1:10" x14ac:dyDescent="0.25">
      <c r="A7474" s="262"/>
      <c r="B7474" s="266"/>
      <c r="C7474" s="40" t="s">
        <v>3754</v>
      </c>
      <c r="D7474" s="40" t="s">
        <v>3752</v>
      </c>
      <c r="E7474" s="75">
        <v>0.31380000000000002</v>
      </c>
      <c r="F7474" s="59">
        <v>20.814499999999999</v>
      </c>
      <c r="G7474" s="59">
        <f t="shared" si="218"/>
        <v>6.5315900999999998</v>
      </c>
      <c r="H7474" s="62"/>
      <c r="I7474" s="63"/>
      <c r="J7474" s="34">
        <v>8000</v>
      </c>
    </row>
    <row r="7475" spans="1:10" ht="15.75" thickBot="1" x14ac:dyDescent="0.3">
      <c r="A7475" s="263"/>
      <c r="B7475" s="253"/>
      <c r="C7475" s="60"/>
      <c r="D7475" s="78"/>
      <c r="E7475" s="79"/>
      <c r="F7475" s="80" t="s">
        <v>23</v>
      </c>
      <c r="G7475" s="80" t="str">
        <f t="shared" si="218"/>
        <v/>
      </c>
      <c r="H7475" s="81"/>
      <c r="I7475" s="63"/>
      <c r="J7475" s="34">
        <v>8000</v>
      </c>
    </row>
    <row r="7476" spans="1:10" ht="15.75" thickBot="1" x14ac:dyDescent="0.3">
      <c r="A7476" s="248" t="s">
        <v>1794</v>
      </c>
      <c r="B7476" s="251" t="s">
        <v>3520</v>
      </c>
      <c r="C7476" s="28"/>
      <c r="D7476" s="29" t="s">
        <v>78</v>
      </c>
      <c r="E7476" s="30"/>
      <c r="F7476" s="51" t="s">
        <v>23</v>
      </c>
      <c r="G7476" s="31" t="str">
        <f t="shared" si="218"/>
        <v/>
      </c>
      <c r="H7476" s="32"/>
      <c r="I7476" s="33"/>
      <c r="J7476" s="34">
        <v>8000</v>
      </c>
    </row>
    <row r="7477" spans="1:10" x14ac:dyDescent="0.25">
      <c r="A7477" s="262"/>
      <c r="B7477" s="266"/>
      <c r="C7477" s="95"/>
      <c r="D7477" s="95"/>
      <c r="E7477" s="96"/>
      <c r="F7477" s="59" t="s">
        <v>23</v>
      </c>
      <c r="G7477" s="59" t="str">
        <f t="shared" si="218"/>
        <v/>
      </c>
      <c r="H7477" s="62"/>
      <c r="I7477" s="63"/>
      <c r="J7477" s="34">
        <v>8000</v>
      </c>
    </row>
    <row r="7478" spans="1:10" ht="25.5" x14ac:dyDescent="0.25">
      <c r="A7478" s="262"/>
      <c r="B7478" s="266"/>
      <c r="C7478" s="99" t="s">
        <v>1795</v>
      </c>
      <c r="D7478" s="99" t="s">
        <v>78</v>
      </c>
      <c r="E7478" s="75">
        <v>1.0798000000000001</v>
      </c>
      <c r="F7478" s="59">
        <v>132.61000000000001</v>
      </c>
      <c r="G7478" s="59">
        <f t="shared" si="218"/>
        <v>143.19227800000002</v>
      </c>
      <c r="H7478" s="43">
        <f>SUM(G7478:G7482)</f>
        <v>177.85482160000001</v>
      </c>
      <c r="I7478" s="44"/>
      <c r="J7478" s="34">
        <v>8000</v>
      </c>
    </row>
    <row r="7479" spans="1:10" x14ac:dyDescent="0.25">
      <c r="A7479" s="262"/>
      <c r="B7479" s="266"/>
      <c r="C7479" s="40" t="s">
        <v>3854</v>
      </c>
      <c r="D7479" s="40" t="s">
        <v>1035</v>
      </c>
      <c r="E7479" s="75">
        <v>6.85</v>
      </c>
      <c r="F7479" s="59">
        <v>1.1495</v>
      </c>
      <c r="G7479" s="59">
        <f t="shared" si="218"/>
        <v>7.8740749999999995</v>
      </c>
      <c r="H7479" s="62"/>
      <c r="I7479" s="63"/>
      <c r="J7479" s="34">
        <v>8000</v>
      </c>
    </row>
    <row r="7480" spans="1:10" x14ac:dyDescent="0.25">
      <c r="A7480" s="262"/>
      <c r="B7480" s="266"/>
      <c r="C7480" s="40" t="s">
        <v>4013</v>
      </c>
      <c r="D7480" s="40" t="s">
        <v>1035</v>
      </c>
      <c r="E7480" s="75">
        <v>0.22</v>
      </c>
      <c r="F7480" s="59">
        <v>3.6194999999999999</v>
      </c>
      <c r="G7480" s="59">
        <f t="shared" si="218"/>
        <v>0.79628999999999994</v>
      </c>
      <c r="H7480" s="62"/>
      <c r="I7480" s="63"/>
      <c r="J7480" s="34">
        <v>8000</v>
      </c>
    </row>
    <row r="7481" spans="1:10" x14ac:dyDescent="0.25">
      <c r="A7481" s="262"/>
      <c r="B7481" s="266"/>
      <c r="C7481" s="40" t="s">
        <v>3808</v>
      </c>
      <c r="D7481" s="40" t="s">
        <v>3752</v>
      </c>
      <c r="E7481" s="75">
        <v>0.69699999999999995</v>
      </c>
      <c r="F7481" s="59">
        <v>27.920500000000001</v>
      </c>
      <c r="G7481" s="59">
        <f t="shared" si="218"/>
        <v>19.4605885</v>
      </c>
      <c r="H7481" s="62"/>
      <c r="I7481" s="63"/>
      <c r="J7481" s="34">
        <v>8000</v>
      </c>
    </row>
    <row r="7482" spans="1:10" x14ac:dyDescent="0.25">
      <c r="A7482" s="262"/>
      <c r="B7482" s="266"/>
      <c r="C7482" s="40" t="s">
        <v>3754</v>
      </c>
      <c r="D7482" s="40" t="s">
        <v>3752</v>
      </c>
      <c r="E7482" s="75">
        <v>0.31380000000000002</v>
      </c>
      <c r="F7482" s="59">
        <v>20.814499999999999</v>
      </c>
      <c r="G7482" s="59">
        <f t="shared" si="218"/>
        <v>6.5315900999999998</v>
      </c>
      <c r="H7482" s="62"/>
      <c r="I7482" s="63"/>
      <c r="J7482" s="34">
        <v>8000</v>
      </c>
    </row>
    <row r="7483" spans="1:10" ht="15.75" thickBot="1" x14ac:dyDescent="0.3">
      <c r="A7483" s="263"/>
      <c r="B7483" s="253"/>
      <c r="C7483" s="60"/>
      <c r="D7483" s="78"/>
      <c r="E7483" s="79"/>
      <c r="F7483" s="80" t="s">
        <v>23</v>
      </c>
      <c r="G7483" s="80" t="str">
        <f t="shared" si="218"/>
        <v/>
      </c>
      <c r="H7483" s="81"/>
      <c r="I7483" s="63"/>
      <c r="J7483" s="34">
        <v>8000</v>
      </c>
    </row>
    <row r="7484" spans="1:10" ht="15.75" thickBot="1" x14ac:dyDescent="0.3">
      <c r="A7484" s="248" t="s">
        <v>1796</v>
      </c>
      <c r="B7484" s="251" t="s">
        <v>3521</v>
      </c>
      <c r="C7484" s="28"/>
      <c r="D7484" s="29" t="s">
        <v>78</v>
      </c>
      <c r="E7484" s="30"/>
      <c r="F7484" s="51" t="s">
        <v>23</v>
      </c>
      <c r="G7484" s="31" t="str">
        <f t="shared" si="218"/>
        <v/>
      </c>
      <c r="H7484" s="32"/>
      <c r="I7484" s="33"/>
      <c r="J7484" s="34">
        <v>100000</v>
      </c>
    </row>
    <row r="7485" spans="1:10" x14ac:dyDescent="0.25">
      <c r="A7485" s="262"/>
      <c r="B7485" s="266"/>
      <c r="C7485" s="95"/>
      <c r="D7485" s="95"/>
      <c r="E7485" s="96"/>
      <c r="F7485" s="59" t="s">
        <v>23</v>
      </c>
      <c r="G7485" s="59" t="str">
        <f t="shared" ref="G7485:G7548" si="219">IF(ISNUMBER(F7485),E7485*F7485,"")</f>
        <v/>
      </c>
      <c r="H7485" s="62"/>
      <c r="I7485" s="63"/>
      <c r="J7485" s="34">
        <v>100000</v>
      </c>
    </row>
    <row r="7486" spans="1:10" x14ac:dyDescent="0.25">
      <c r="A7486" s="262"/>
      <c r="B7486" s="266"/>
      <c r="C7486" s="40" t="s">
        <v>3754</v>
      </c>
      <c r="D7486" s="40" t="s">
        <v>3752</v>
      </c>
      <c r="E7486" s="75">
        <v>0.4</v>
      </c>
      <c r="F7486" s="59">
        <v>20.814499999999999</v>
      </c>
      <c r="G7486" s="59">
        <f t="shared" si="219"/>
        <v>8.3257999999999992</v>
      </c>
      <c r="H7486" s="43">
        <f>SUM(G7486:G7488)</f>
        <v>16.165500407812498</v>
      </c>
      <c r="I7486" s="44"/>
      <c r="J7486" s="34">
        <v>100000</v>
      </c>
    </row>
    <row r="7487" spans="1:10" ht="25.5" x14ac:dyDescent="0.25">
      <c r="A7487" s="262"/>
      <c r="B7487" s="266"/>
      <c r="C7487" s="40" t="s">
        <v>4734</v>
      </c>
      <c r="D7487" s="40" t="s">
        <v>3764</v>
      </c>
      <c r="E7487" s="75">
        <v>5.0000000000000001E-3</v>
      </c>
      <c r="F7487" s="59">
        <v>925.74008156250011</v>
      </c>
      <c r="G7487" s="59">
        <f t="shared" si="219"/>
        <v>4.6287004078125005</v>
      </c>
      <c r="H7487" s="62"/>
      <c r="I7487" s="63"/>
      <c r="J7487" s="34">
        <v>100000</v>
      </c>
    </row>
    <row r="7488" spans="1:10" x14ac:dyDescent="0.25">
      <c r="A7488" s="262"/>
      <c r="B7488" s="266"/>
      <c r="C7488" s="40" t="s">
        <v>3830</v>
      </c>
      <c r="D7488" s="40" t="s">
        <v>291</v>
      </c>
      <c r="E7488" s="75">
        <v>0.5</v>
      </c>
      <c r="F7488" s="59">
        <v>6.4219999999999997</v>
      </c>
      <c r="G7488" s="59">
        <f t="shared" si="219"/>
        <v>3.2109999999999999</v>
      </c>
      <c r="H7488" s="62"/>
      <c r="I7488" s="63"/>
      <c r="J7488" s="34">
        <v>100000</v>
      </c>
    </row>
    <row r="7489" spans="1:10" ht="15.75" thickBot="1" x14ac:dyDescent="0.3">
      <c r="A7489" s="263"/>
      <c r="B7489" s="253"/>
      <c r="C7489" s="60"/>
      <c r="D7489" s="78"/>
      <c r="E7489" s="79"/>
      <c r="F7489" s="80" t="s">
        <v>23</v>
      </c>
      <c r="G7489" s="80" t="str">
        <f t="shared" si="219"/>
        <v/>
      </c>
      <c r="H7489" s="81"/>
      <c r="I7489" s="63"/>
      <c r="J7489" s="34">
        <v>100000</v>
      </c>
    </row>
    <row r="7490" spans="1:10" ht="15.75" hidden="1" thickBot="1" x14ac:dyDescent="0.3">
      <c r="A7490" s="248" t="s">
        <v>1797</v>
      </c>
      <c r="B7490" s="251" t="s">
        <v>3522</v>
      </c>
      <c r="C7490" s="28"/>
      <c r="D7490" s="29" t="s">
        <v>28</v>
      </c>
      <c r="E7490" s="30"/>
      <c r="F7490" s="51" t="s">
        <v>23</v>
      </c>
      <c r="G7490" s="31" t="str">
        <f t="shared" si="219"/>
        <v/>
      </c>
      <c r="H7490" s="32"/>
      <c r="I7490" s="33"/>
      <c r="J7490" s="34">
        <v>0</v>
      </c>
    </row>
    <row r="7491" spans="1:10" ht="15.75" hidden="1" thickBot="1" x14ac:dyDescent="0.3">
      <c r="A7491" s="262"/>
      <c r="B7491" s="266"/>
      <c r="C7491" s="95"/>
      <c r="D7491" s="95"/>
      <c r="E7491" s="96"/>
      <c r="F7491" s="59" t="s">
        <v>23</v>
      </c>
      <c r="G7491" s="59" t="str">
        <f t="shared" si="219"/>
        <v/>
      </c>
      <c r="H7491" s="62"/>
      <c r="I7491" s="63"/>
      <c r="J7491" s="34">
        <v>0</v>
      </c>
    </row>
    <row r="7492" spans="1:10" ht="15.75" hidden="1" thickBot="1" x14ac:dyDescent="0.3">
      <c r="A7492" s="262"/>
      <c r="B7492" s="266"/>
      <c r="C7492" s="40" t="s">
        <v>4218</v>
      </c>
      <c r="D7492" s="40" t="s">
        <v>3752</v>
      </c>
      <c r="E7492" s="41">
        <v>40</v>
      </c>
      <c r="F7492" s="59">
        <v>125.88449999999999</v>
      </c>
      <c r="G7492" s="59">
        <f t="shared" si="219"/>
        <v>5035.3799999999992</v>
      </c>
      <c r="H7492" s="43">
        <f>SUM(G7492:G7494)</f>
        <v>5621.7099999999991</v>
      </c>
      <c r="I7492" s="44"/>
      <c r="J7492" s="34">
        <v>0</v>
      </c>
    </row>
    <row r="7493" spans="1:10" ht="15.75" hidden="1" thickBot="1" x14ac:dyDescent="0.3">
      <c r="A7493" s="262"/>
      <c r="B7493" s="266"/>
      <c r="C7493" s="40" t="s">
        <v>4205</v>
      </c>
      <c r="D7493" s="40" t="s">
        <v>3752</v>
      </c>
      <c r="E7493" s="41">
        <v>20</v>
      </c>
      <c r="F7493" s="59">
        <v>16.587</v>
      </c>
      <c r="G7493" s="59">
        <f t="shared" si="219"/>
        <v>331.74</v>
      </c>
      <c r="H7493" s="62"/>
      <c r="I7493" s="63"/>
      <c r="J7493" s="34">
        <v>0</v>
      </c>
    </row>
    <row r="7494" spans="1:10" ht="15.75" hidden="1" thickBot="1" x14ac:dyDescent="0.3">
      <c r="A7494" s="262"/>
      <c r="B7494" s="266"/>
      <c r="C7494" s="40" t="s">
        <v>27</v>
      </c>
      <c r="D7494" s="40" t="s">
        <v>28</v>
      </c>
      <c r="E7494" s="41">
        <v>1</v>
      </c>
      <c r="F7494" s="59">
        <v>254.59</v>
      </c>
      <c r="G7494" s="59">
        <f t="shared" si="219"/>
        <v>254.59</v>
      </c>
      <c r="H7494" s="62"/>
      <c r="I7494" s="63"/>
      <c r="J7494" s="34">
        <v>0</v>
      </c>
    </row>
    <row r="7495" spans="1:10" ht="15.75" hidden="1" thickBot="1" x14ac:dyDescent="0.3">
      <c r="A7495" s="263"/>
      <c r="B7495" s="253"/>
      <c r="C7495" s="60"/>
      <c r="D7495" s="78"/>
      <c r="E7495" s="79"/>
      <c r="F7495" s="80" t="s">
        <v>23</v>
      </c>
      <c r="G7495" s="80" t="str">
        <f t="shared" si="219"/>
        <v/>
      </c>
      <c r="H7495" s="81"/>
      <c r="I7495" s="63"/>
      <c r="J7495" s="34">
        <v>0</v>
      </c>
    </row>
    <row r="7496" spans="1:10" ht="15.75" hidden="1" thickBot="1" x14ac:dyDescent="0.3">
      <c r="A7496" s="248" t="s">
        <v>1798</v>
      </c>
      <c r="B7496" s="251" t="s">
        <v>3523</v>
      </c>
      <c r="C7496" s="28"/>
      <c r="D7496" s="29" t="s">
        <v>28</v>
      </c>
      <c r="E7496" s="30"/>
      <c r="F7496" s="45" t="s">
        <v>23</v>
      </c>
      <c r="G7496" s="31" t="str">
        <f t="shared" si="219"/>
        <v/>
      </c>
      <c r="H7496" s="32"/>
      <c r="I7496" s="33"/>
      <c r="J7496" s="34">
        <v>0</v>
      </c>
    </row>
    <row r="7497" spans="1:10" ht="15.75" hidden="1" thickBot="1" x14ac:dyDescent="0.3">
      <c r="A7497" s="249"/>
      <c r="B7497" s="252"/>
      <c r="C7497" s="36"/>
      <c r="D7497" s="36"/>
      <c r="E7497" s="37"/>
      <c r="F7497" s="103" t="s">
        <v>23</v>
      </c>
      <c r="G7497" s="102" t="str">
        <f t="shared" si="219"/>
        <v/>
      </c>
      <c r="H7497" s="104"/>
      <c r="I7497" s="102"/>
      <c r="J7497" s="34">
        <v>0</v>
      </c>
    </row>
    <row r="7498" spans="1:10" ht="26.25" hidden="1" thickBot="1" x14ac:dyDescent="0.3">
      <c r="A7498" s="249"/>
      <c r="B7498" s="252"/>
      <c r="C7498" s="40" t="s">
        <v>3827</v>
      </c>
      <c r="D7498" s="40" t="s">
        <v>3752</v>
      </c>
      <c r="E7498" s="41">
        <v>3.5</v>
      </c>
      <c r="F7498" s="102">
        <v>23.882999999999999</v>
      </c>
      <c r="G7498" s="105">
        <f t="shared" si="219"/>
        <v>83.590499999999992</v>
      </c>
      <c r="H7498" s="43">
        <f>SUM(G7498:G7503)</f>
        <v>187.89574999999999</v>
      </c>
      <c r="I7498" s="106"/>
      <c r="J7498" s="34">
        <v>0</v>
      </c>
    </row>
    <row r="7499" spans="1:10" ht="26.25" hidden="1" thickBot="1" x14ac:dyDescent="0.3">
      <c r="A7499" s="249"/>
      <c r="B7499" s="252"/>
      <c r="C7499" s="40" t="s">
        <v>3772</v>
      </c>
      <c r="D7499" s="40" t="s">
        <v>3752</v>
      </c>
      <c r="E7499" s="41">
        <v>3.5</v>
      </c>
      <c r="F7499" s="102">
        <v>29.801500000000001</v>
      </c>
      <c r="G7499" s="105">
        <f t="shared" si="219"/>
        <v>104.30525</v>
      </c>
      <c r="H7499" s="104"/>
      <c r="I7499" s="102"/>
      <c r="J7499" s="34">
        <v>0</v>
      </c>
    </row>
    <row r="7500" spans="1:10" ht="15.75" hidden="1" thickBot="1" x14ac:dyDescent="0.3">
      <c r="A7500" s="249"/>
      <c r="B7500" s="252"/>
      <c r="C7500" s="40" t="s">
        <v>1799</v>
      </c>
      <c r="D7500" s="40" t="s">
        <v>102</v>
      </c>
      <c r="E7500" s="41">
        <v>1</v>
      </c>
      <c r="F7500" s="105" t="s">
        <v>23</v>
      </c>
      <c r="G7500" s="105" t="str">
        <f t="shared" si="219"/>
        <v/>
      </c>
      <c r="H7500" s="104"/>
      <c r="I7500" s="102"/>
      <c r="J7500" s="34">
        <v>0</v>
      </c>
    </row>
    <row r="7501" spans="1:10" ht="15.75" hidden="1" thickBot="1" x14ac:dyDescent="0.3">
      <c r="A7501" s="249"/>
      <c r="B7501" s="252"/>
      <c r="C7501" s="40" t="s">
        <v>1800</v>
      </c>
      <c r="D7501" s="40" t="s">
        <v>102</v>
      </c>
      <c r="E7501" s="41">
        <v>1</v>
      </c>
      <c r="F7501" s="105" t="s">
        <v>23</v>
      </c>
      <c r="G7501" s="105" t="str">
        <f t="shared" si="219"/>
        <v/>
      </c>
      <c r="H7501" s="104"/>
      <c r="I7501" s="102"/>
      <c r="J7501" s="34">
        <v>0</v>
      </c>
    </row>
    <row r="7502" spans="1:10" ht="15.75" hidden="1" thickBot="1" x14ac:dyDescent="0.3">
      <c r="A7502" s="249"/>
      <c r="B7502" s="252"/>
      <c r="C7502" s="40" t="s">
        <v>1801</v>
      </c>
      <c r="D7502" s="40" t="s">
        <v>102</v>
      </c>
      <c r="E7502" s="41">
        <v>1</v>
      </c>
      <c r="F7502" s="105" t="s">
        <v>23</v>
      </c>
      <c r="G7502" s="105" t="str">
        <f t="shared" si="219"/>
        <v/>
      </c>
      <c r="H7502" s="104"/>
      <c r="I7502" s="102"/>
      <c r="J7502" s="34">
        <v>0</v>
      </c>
    </row>
    <row r="7503" spans="1:10" ht="15.75" hidden="1" thickBot="1" x14ac:dyDescent="0.3">
      <c r="A7503" s="249"/>
      <c r="B7503" s="252"/>
      <c r="C7503" s="40" t="s">
        <v>1802</v>
      </c>
      <c r="D7503" s="40" t="s">
        <v>102</v>
      </c>
      <c r="E7503" s="41">
        <v>1</v>
      </c>
      <c r="F7503" s="105" t="s">
        <v>23</v>
      </c>
      <c r="G7503" s="105" t="str">
        <f t="shared" si="219"/>
        <v/>
      </c>
      <c r="H7503" s="104"/>
      <c r="I7503" s="102"/>
      <c r="J7503" s="34">
        <v>0</v>
      </c>
    </row>
    <row r="7504" spans="1:10" ht="15.75" hidden="1" thickBot="1" x14ac:dyDescent="0.3">
      <c r="A7504" s="250"/>
      <c r="B7504" s="253"/>
      <c r="C7504" s="40"/>
      <c r="D7504" s="40"/>
      <c r="E7504" s="41"/>
      <c r="F7504" s="102" t="s">
        <v>23</v>
      </c>
      <c r="G7504" s="102" t="str">
        <f t="shared" si="219"/>
        <v/>
      </c>
      <c r="H7504" s="104"/>
      <c r="I7504" s="102"/>
      <c r="J7504" s="34">
        <v>0</v>
      </c>
    </row>
    <row r="7505" spans="1:10" ht="15.75" hidden="1" thickBot="1" x14ac:dyDescent="0.3">
      <c r="A7505" s="248" t="s">
        <v>1803</v>
      </c>
      <c r="B7505" s="251" t="s">
        <v>3524</v>
      </c>
      <c r="C7505" s="28"/>
      <c r="D7505" s="29" t="s">
        <v>28</v>
      </c>
      <c r="E7505" s="30"/>
      <c r="F7505" s="45" t="s">
        <v>23</v>
      </c>
      <c r="G7505" s="31" t="str">
        <f t="shared" si="219"/>
        <v/>
      </c>
      <c r="H7505" s="32"/>
      <c r="I7505" s="33"/>
      <c r="J7505" s="34">
        <v>0</v>
      </c>
    </row>
    <row r="7506" spans="1:10" ht="15.75" hidden="1" thickBot="1" x14ac:dyDescent="0.3">
      <c r="A7506" s="249"/>
      <c r="B7506" s="252"/>
      <c r="C7506" s="36"/>
      <c r="D7506" s="36"/>
      <c r="E7506" s="37"/>
      <c r="F7506" s="103" t="s">
        <v>23</v>
      </c>
      <c r="G7506" s="102" t="str">
        <f t="shared" si="219"/>
        <v/>
      </c>
      <c r="H7506" s="104"/>
      <c r="I7506" s="102"/>
      <c r="J7506" s="34">
        <v>0</v>
      </c>
    </row>
    <row r="7507" spans="1:10" ht="26.25" hidden="1" thickBot="1" x14ac:dyDescent="0.3">
      <c r="A7507" s="249"/>
      <c r="B7507" s="252"/>
      <c r="C7507" s="40" t="s">
        <v>3827</v>
      </c>
      <c r="D7507" s="40" t="s">
        <v>3752</v>
      </c>
      <c r="E7507" s="41">
        <v>3.5</v>
      </c>
      <c r="F7507" s="102">
        <v>23.882999999999999</v>
      </c>
      <c r="G7507" s="105">
        <f t="shared" si="219"/>
        <v>83.590499999999992</v>
      </c>
      <c r="H7507" s="107">
        <f>SUM(G7507:G7509)</f>
        <v>187.89574999999999</v>
      </c>
      <c r="I7507" s="106"/>
      <c r="J7507" s="34">
        <v>0</v>
      </c>
    </row>
    <row r="7508" spans="1:10" ht="26.25" hidden="1" thickBot="1" x14ac:dyDescent="0.3">
      <c r="A7508" s="249"/>
      <c r="B7508" s="252"/>
      <c r="C7508" s="40" t="s">
        <v>3772</v>
      </c>
      <c r="D7508" s="40" t="s">
        <v>3752</v>
      </c>
      <c r="E7508" s="41">
        <v>3.5</v>
      </c>
      <c r="F7508" s="102">
        <v>29.801500000000001</v>
      </c>
      <c r="G7508" s="105">
        <f t="shared" si="219"/>
        <v>104.30525</v>
      </c>
      <c r="H7508" s="104"/>
      <c r="I7508" s="102"/>
      <c r="J7508" s="34">
        <v>0</v>
      </c>
    </row>
    <row r="7509" spans="1:10" ht="15.75" hidden="1" thickBot="1" x14ac:dyDescent="0.3">
      <c r="A7509" s="249"/>
      <c r="B7509" s="252"/>
      <c r="C7509" s="40" t="s">
        <v>1804</v>
      </c>
      <c r="D7509" s="40" t="s">
        <v>102</v>
      </c>
      <c r="E7509" s="41">
        <v>1</v>
      </c>
      <c r="F7509" s="105" t="s">
        <v>23</v>
      </c>
      <c r="G7509" s="105" t="str">
        <f t="shared" si="219"/>
        <v/>
      </c>
      <c r="H7509" s="104"/>
      <c r="I7509" s="102"/>
      <c r="J7509" s="34">
        <v>0</v>
      </c>
    </row>
    <row r="7510" spans="1:10" ht="15.75" hidden="1" thickBot="1" x14ac:dyDescent="0.3">
      <c r="A7510" s="250"/>
      <c r="B7510" s="253"/>
      <c r="C7510" s="40"/>
      <c r="D7510" s="40"/>
      <c r="E7510" s="41"/>
      <c r="F7510" s="102" t="s">
        <v>23</v>
      </c>
      <c r="G7510" s="102" t="str">
        <f t="shared" si="219"/>
        <v/>
      </c>
      <c r="H7510" s="104"/>
      <c r="I7510" s="102"/>
      <c r="J7510" s="34">
        <v>0</v>
      </c>
    </row>
    <row r="7511" spans="1:10" ht="15.75" hidden="1" thickBot="1" x14ac:dyDescent="0.3">
      <c r="A7511" s="248" t="s">
        <v>1805</v>
      </c>
      <c r="B7511" s="251" t="s">
        <v>3525</v>
      </c>
      <c r="C7511" s="28"/>
      <c r="D7511" s="29" t="s">
        <v>28</v>
      </c>
      <c r="E7511" s="30"/>
      <c r="F7511" s="45" t="s">
        <v>23</v>
      </c>
      <c r="G7511" s="31" t="str">
        <f t="shared" si="219"/>
        <v/>
      </c>
      <c r="H7511" s="32"/>
      <c r="I7511" s="33"/>
      <c r="J7511" s="34">
        <v>0</v>
      </c>
    </row>
    <row r="7512" spans="1:10" ht="15.75" hidden="1" thickBot="1" x14ac:dyDescent="0.3">
      <c r="A7512" s="249"/>
      <c r="B7512" s="252"/>
      <c r="C7512" s="36"/>
      <c r="D7512" s="36"/>
      <c r="E7512" s="37"/>
      <c r="F7512" s="103" t="s">
        <v>23</v>
      </c>
      <c r="G7512" s="102" t="str">
        <f t="shared" si="219"/>
        <v/>
      </c>
      <c r="H7512" s="104"/>
      <c r="I7512" s="102"/>
      <c r="J7512" s="34">
        <v>0</v>
      </c>
    </row>
    <row r="7513" spans="1:10" ht="26.25" hidden="1" thickBot="1" x14ac:dyDescent="0.3">
      <c r="A7513" s="249"/>
      <c r="B7513" s="252"/>
      <c r="C7513" s="40" t="s">
        <v>3827</v>
      </c>
      <c r="D7513" s="40" t="s">
        <v>3752</v>
      </c>
      <c r="E7513" s="41">
        <v>3.5</v>
      </c>
      <c r="F7513" s="102">
        <v>23.882999999999999</v>
      </c>
      <c r="G7513" s="105">
        <f t="shared" si="219"/>
        <v>83.590499999999992</v>
      </c>
      <c r="H7513" s="107">
        <f>SUM(G7513:G7515)</f>
        <v>187.89574999999999</v>
      </c>
      <c r="I7513" s="106"/>
      <c r="J7513" s="34">
        <v>0</v>
      </c>
    </row>
    <row r="7514" spans="1:10" ht="26.25" hidden="1" thickBot="1" x14ac:dyDescent="0.3">
      <c r="A7514" s="249"/>
      <c r="B7514" s="252"/>
      <c r="C7514" s="40" t="s">
        <v>3772</v>
      </c>
      <c r="D7514" s="40" t="s">
        <v>3752</v>
      </c>
      <c r="E7514" s="41">
        <v>3.5</v>
      </c>
      <c r="F7514" s="102">
        <v>29.801500000000001</v>
      </c>
      <c r="G7514" s="105">
        <f t="shared" si="219"/>
        <v>104.30525</v>
      </c>
      <c r="H7514" s="104"/>
      <c r="I7514" s="102"/>
      <c r="J7514" s="34">
        <v>0</v>
      </c>
    </row>
    <row r="7515" spans="1:10" ht="15.75" hidden="1" thickBot="1" x14ac:dyDescent="0.3">
      <c r="A7515" s="249"/>
      <c r="B7515" s="252"/>
      <c r="C7515" s="40" t="s">
        <v>1806</v>
      </c>
      <c r="D7515" s="40" t="s">
        <v>102</v>
      </c>
      <c r="E7515" s="41">
        <v>1</v>
      </c>
      <c r="F7515" s="105">
        <v>0</v>
      </c>
      <c r="G7515" s="105">
        <f t="shared" si="219"/>
        <v>0</v>
      </c>
      <c r="H7515" s="104"/>
      <c r="I7515" s="102"/>
      <c r="J7515" s="34">
        <v>0</v>
      </c>
    </row>
    <row r="7516" spans="1:10" ht="15.75" hidden="1" thickBot="1" x14ac:dyDescent="0.3">
      <c r="A7516" s="250"/>
      <c r="B7516" s="253"/>
      <c r="C7516" s="40"/>
      <c r="D7516" s="40"/>
      <c r="E7516" s="41"/>
      <c r="F7516" s="102" t="s">
        <v>23</v>
      </c>
      <c r="G7516" s="102" t="str">
        <f t="shared" si="219"/>
        <v/>
      </c>
      <c r="H7516" s="104"/>
      <c r="I7516" s="102"/>
      <c r="J7516" s="34">
        <v>0</v>
      </c>
    </row>
    <row r="7517" spans="1:10" ht="15.75" hidden="1" thickBot="1" x14ac:dyDescent="0.3">
      <c r="A7517" s="248" t="s">
        <v>1807</v>
      </c>
      <c r="B7517" s="251" t="s">
        <v>3526</v>
      </c>
      <c r="C7517" s="28"/>
      <c r="D7517" s="29" t="s">
        <v>28</v>
      </c>
      <c r="E7517" s="30"/>
      <c r="F7517" s="45" t="s">
        <v>23</v>
      </c>
      <c r="G7517" s="31" t="str">
        <f t="shared" si="219"/>
        <v/>
      </c>
      <c r="H7517" s="32"/>
      <c r="I7517" s="33"/>
      <c r="J7517" s="34">
        <v>0</v>
      </c>
    </row>
    <row r="7518" spans="1:10" ht="15.75" hidden="1" thickBot="1" x14ac:dyDescent="0.3">
      <c r="A7518" s="249"/>
      <c r="B7518" s="252"/>
      <c r="C7518" s="36"/>
      <c r="D7518" s="36"/>
      <c r="E7518" s="37"/>
      <c r="F7518" s="103" t="s">
        <v>23</v>
      </c>
      <c r="G7518" s="102" t="str">
        <f t="shared" si="219"/>
        <v/>
      </c>
      <c r="H7518" s="104"/>
      <c r="I7518" s="102"/>
      <c r="J7518" s="34">
        <v>0</v>
      </c>
    </row>
    <row r="7519" spans="1:10" ht="26.25" hidden="1" thickBot="1" x14ac:dyDescent="0.3">
      <c r="A7519" s="249"/>
      <c r="B7519" s="252"/>
      <c r="C7519" s="40" t="s">
        <v>4502</v>
      </c>
      <c r="D7519" s="40" t="s">
        <v>291</v>
      </c>
      <c r="E7519" s="41">
        <v>10</v>
      </c>
      <c r="F7519" s="105">
        <v>0.9405</v>
      </c>
      <c r="G7519" s="102">
        <f t="shared" si="219"/>
        <v>9.4049999999999994</v>
      </c>
      <c r="H7519" s="107">
        <f>SUM(G7519:G7529)</f>
        <v>844.55441369999994</v>
      </c>
      <c r="I7519" s="106"/>
      <c r="J7519" s="34">
        <v>0</v>
      </c>
    </row>
    <row r="7520" spans="1:10" ht="15.75" hidden="1" thickBot="1" x14ac:dyDescent="0.3">
      <c r="A7520" s="249"/>
      <c r="B7520" s="252"/>
      <c r="C7520" s="40" t="s">
        <v>3787</v>
      </c>
      <c r="D7520" s="40" t="s">
        <v>3752</v>
      </c>
      <c r="E7520" s="41">
        <v>5.3597999999999999</v>
      </c>
      <c r="F7520" s="102">
        <v>21.963999999999999</v>
      </c>
      <c r="G7520" s="102">
        <f t="shared" si="219"/>
        <v>117.7226472</v>
      </c>
      <c r="H7520" s="104"/>
      <c r="I7520" s="102"/>
      <c r="J7520" s="34">
        <v>0</v>
      </c>
    </row>
    <row r="7521" spans="1:10" ht="39" hidden="1" thickBot="1" x14ac:dyDescent="0.3">
      <c r="A7521" s="249"/>
      <c r="B7521" s="252"/>
      <c r="C7521" s="40" t="s">
        <v>4503</v>
      </c>
      <c r="D7521" s="40" t="s">
        <v>1041</v>
      </c>
      <c r="E7521" s="41">
        <v>0.4118</v>
      </c>
      <c r="F7521" s="102">
        <v>299.59199999999998</v>
      </c>
      <c r="G7521" s="102">
        <f t="shared" si="219"/>
        <v>123.37198559999999</v>
      </c>
      <c r="H7521" s="104"/>
      <c r="I7521" s="102"/>
      <c r="J7521" s="34">
        <v>0</v>
      </c>
    </row>
    <row r="7522" spans="1:10" ht="39" hidden="1" thickBot="1" x14ac:dyDescent="0.3">
      <c r="A7522" s="249"/>
      <c r="B7522" s="252"/>
      <c r="C7522" s="40" t="s">
        <v>4504</v>
      </c>
      <c r="D7522" s="40" t="s">
        <v>1052</v>
      </c>
      <c r="E7522" s="41">
        <v>3.0331999999999999</v>
      </c>
      <c r="F7522" s="102">
        <v>143.52600000000001</v>
      </c>
      <c r="G7522" s="102">
        <f t="shared" si="219"/>
        <v>435.34306320000002</v>
      </c>
      <c r="H7522" s="104"/>
      <c r="I7522" s="102"/>
      <c r="J7522" s="34">
        <v>0</v>
      </c>
    </row>
    <row r="7523" spans="1:10" ht="26.25" hidden="1" thickBot="1" x14ac:dyDescent="0.3">
      <c r="A7523" s="249"/>
      <c r="B7523" s="252"/>
      <c r="C7523" s="40" t="s">
        <v>4505</v>
      </c>
      <c r="D7523" s="40" t="s">
        <v>3752</v>
      </c>
      <c r="E7523" s="41">
        <v>5.3597999999999999</v>
      </c>
      <c r="F7523" s="102">
        <v>29.611499999999999</v>
      </c>
      <c r="G7523" s="102">
        <f t="shared" si="219"/>
        <v>158.71171770000001</v>
      </c>
      <c r="H7523" s="104"/>
      <c r="I7523" s="102"/>
      <c r="J7523" s="34">
        <v>0</v>
      </c>
    </row>
    <row r="7524" spans="1:10" ht="15.75" hidden="1" thickBot="1" x14ac:dyDescent="0.3">
      <c r="A7524" s="249"/>
      <c r="B7524" s="252"/>
      <c r="C7524" s="40" t="s">
        <v>1808</v>
      </c>
      <c r="D7524" s="53" t="s">
        <v>28</v>
      </c>
      <c r="E7524" s="41">
        <v>1</v>
      </c>
      <c r="F7524" s="102" t="s">
        <v>23</v>
      </c>
      <c r="G7524" s="102" t="str">
        <f t="shared" si="219"/>
        <v/>
      </c>
      <c r="H7524" s="104"/>
      <c r="I7524" s="102"/>
      <c r="J7524" s="34">
        <v>0</v>
      </c>
    </row>
    <row r="7525" spans="1:10" ht="39" hidden="1" thickBot="1" x14ac:dyDescent="0.3">
      <c r="A7525" s="249"/>
      <c r="B7525" s="252"/>
      <c r="C7525" s="40" t="s">
        <v>1809</v>
      </c>
      <c r="D7525" s="53" t="s">
        <v>28</v>
      </c>
      <c r="E7525" s="41">
        <v>1</v>
      </c>
      <c r="F7525" s="102" t="s">
        <v>23</v>
      </c>
      <c r="G7525" s="102" t="str">
        <f t="shared" si="219"/>
        <v/>
      </c>
      <c r="H7525" s="104"/>
      <c r="I7525" s="102"/>
      <c r="J7525" s="34">
        <v>0</v>
      </c>
    </row>
    <row r="7526" spans="1:10" ht="26.25" hidden="1" thickBot="1" x14ac:dyDescent="0.3">
      <c r="A7526" s="249"/>
      <c r="B7526" s="252"/>
      <c r="C7526" s="40" t="s">
        <v>1810</v>
      </c>
      <c r="D7526" s="53" t="s">
        <v>28</v>
      </c>
      <c r="E7526" s="41">
        <v>1</v>
      </c>
      <c r="F7526" s="102" t="s">
        <v>23</v>
      </c>
      <c r="G7526" s="102" t="str">
        <f t="shared" si="219"/>
        <v/>
      </c>
      <c r="H7526" s="104"/>
      <c r="I7526" s="102"/>
      <c r="J7526" s="34">
        <v>0</v>
      </c>
    </row>
    <row r="7527" spans="1:10" ht="39" hidden="1" thickBot="1" x14ac:dyDescent="0.3">
      <c r="A7527" s="249"/>
      <c r="B7527" s="252"/>
      <c r="C7527" s="40" t="s">
        <v>1811</v>
      </c>
      <c r="D7527" s="53" t="s">
        <v>28</v>
      </c>
      <c r="E7527" s="41">
        <v>2</v>
      </c>
      <c r="F7527" s="102" t="s">
        <v>23</v>
      </c>
      <c r="G7527" s="102" t="str">
        <f t="shared" si="219"/>
        <v/>
      </c>
      <c r="H7527" s="104"/>
      <c r="I7527" s="102"/>
      <c r="J7527" s="34">
        <v>0</v>
      </c>
    </row>
    <row r="7528" spans="1:10" ht="26.25" hidden="1" thickBot="1" x14ac:dyDescent="0.3">
      <c r="A7528" s="249"/>
      <c r="B7528" s="252"/>
      <c r="C7528" s="40" t="s">
        <v>1812</v>
      </c>
      <c r="D7528" s="53" t="s">
        <v>28</v>
      </c>
      <c r="E7528" s="41">
        <v>1</v>
      </c>
      <c r="F7528" s="102" t="s">
        <v>23</v>
      </c>
      <c r="G7528" s="102" t="str">
        <f t="shared" si="219"/>
        <v/>
      </c>
      <c r="H7528" s="104"/>
      <c r="I7528" s="102"/>
      <c r="J7528" s="34">
        <v>0</v>
      </c>
    </row>
    <row r="7529" spans="1:10" ht="39" hidden="1" thickBot="1" x14ac:dyDescent="0.3">
      <c r="A7529" s="249"/>
      <c r="B7529" s="252"/>
      <c r="C7529" s="40" t="s">
        <v>1813</v>
      </c>
      <c r="D7529" s="53" t="s">
        <v>28</v>
      </c>
      <c r="E7529" s="41">
        <v>1</v>
      </c>
      <c r="F7529" s="102" t="s">
        <v>23</v>
      </c>
      <c r="G7529" s="102" t="str">
        <f t="shared" si="219"/>
        <v/>
      </c>
      <c r="H7529" s="104"/>
      <c r="I7529" s="102"/>
      <c r="J7529" s="34">
        <v>0</v>
      </c>
    </row>
    <row r="7530" spans="1:10" ht="15.75" hidden="1" thickBot="1" x14ac:dyDescent="0.3">
      <c r="A7530" s="249"/>
      <c r="B7530" s="253"/>
      <c r="C7530" s="40"/>
      <c r="D7530" s="40"/>
      <c r="E7530" s="41"/>
      <c r="F7530" s="102" t="s">
        <v>23</v>
      </c>
      <c r="G7530" s="102" t="str">
        <f t="shared" si="219"/>
        <v/>
      </c>
      <c r="H7530" s="104"/>
      <c r="I7530" s="102"/>
      <c r="J7530" s="34">
        <v>0</v>
      </c>
    </row>
    <row r="7531" spans="1:10" ht="15.75" hidden="1" thickBot="1" x14ac:dyDescent="0.3">
      <c r="A7531" s="248" t="s">
        <v>1814</v>
      </c>
      <c r="B7531" s="251" t="s">
        <v>3527</v>
      </c>
      <c r="C7531" s="28"/>
      <c r="D7531" s="29" t="s">
        <v>28</v>
      </c>
      <c r="E7531" s="30"/>
      <c r="F7531" s="45" t="s">
        <v>23</v>
      </c>
      <c r="G7531" s="31" t="str">
        <f t="shared" si="219"/>
        <v/>
      </c>
      <c r="H7531" s="32"/>
      <c r="I7531" s="33"/>
      <c r="J7531" s="34">
        <v>0</v>
      </c>
    </row>
    <row r="7532" spans="1:10" ht="15.75" hidden="1" thickBot="1" x14ac:dyDescent="0.3">
      <c r="A7532" s="249"/>
      <c r="B7532" s="252"/>
      <c r="C7532" s="36"/>
      <c r="D7532" s="36"/>
      <c r="E7532" s="37"/>
      <c r="F7532" s="103" t="s">
        <v>23</v>
      </c>
      <c r="G7532" s="102" t="str">
        <f t="shared" si="219"/>
        <v/>
      </c>
      <c r="H7532" s="104"/>
      <c r="I7532" s="102"/>
      <c r="J7532" s="34">
        <v>0</v>
      </c>
    </row>
    <row r="7533" spans="1:10" ht="26.25" hidden="1" thickBot="1" x14ac:dyDescent="0.3">
      <c r="A7533" s="249"/>
      <c r="B7533" s="252"/>
      <c r="C7533" s="40" t="s">
        <v>4502</v>
      </c>
      <c r="D7533" s="40" t="s">
        <v>291</v>
      </c>
      <c r="E7533" s="41">
        <v>10</v>
      </c>
      <c r="F7533" s="105">
        <v>0.9405</v>
      </c>
      <c r="G7533" s="102">
        <f t="shared" si="219"/>
        <v>9.4049999999999994</v>
      </c>
      <c r="H7533" s="107">
        <f>SUM(G7533:G7543)</f>
        <v>844.55441369999994</v>
      </c>
      <c r="I7533" s="106"/>
      <c r="J7533" s="34">
        <v>0</v>
      </c>
    </row>
    <row r="7534" spans="1:10" ht="15.75" hidden="1" thickBot="1" x14ac:dyDescent="0.3">
      <c r="A7534" s="249"/>
      <c r="B7534" s="252"/>
      <c r="C7534" s="40" t="s">
        <v>3787</v>
      </c>
      <c r="D7534" s="40" t="s">
        <v>3752</v>
      </c>
      <c r="E7534" s="41">
        <v>5.3597999999999999</v>
      </c>
      <c r="F7534" s="102">
        <v>21.963999999999999</v>
      </c>
      <c r="G7534" s="102">
        <f t="shared" si="219"/>
        <v>117.7226472</v>
      </c>
      <c r="H7534" s="104"/>
      <c r="I7534" s="102"/>
      <c r="J7534" s="34">
        <v>0</v>
      </c>
    </row>
    <row r="7535" spans="1:10" ht="39" hidden="1" thickBot="1" x14ac:dyDescent="0.3">
      <c r="A7535" s="249"/>
      <c r="B7535" s="252"/>
      <c r="C7535" s="40" t="s">
        <v>4503</v>
      </c>
      <c r="D7535" s="40" t="s">
        <v>1041</v>
      </c>
      <c r="E7535" s="41">
        <v>0.4118</v>
      </c>
      <c r="F7535" s="102">
        <v>299.59199999999998</v>
      </c>
      <c r="G7535" s="102">
        <f t="shared" si="219"/>
        <v>123.37198559999999</v>
      </c>
      <c r="H7535" s="104"/>
      <c r="I7535" s="102"/>
      <c r="J7535" s="34">
        <v>0</v>
      </c>
    </row>
    <row r="7536" spans="1:10" ht="39" hidden="1" thickBot="1" x14ac:dyDescent="0.3">
      <c r="A7536" s="249"/>
      <c r="B7536" s="252"/>
      <c r="C7536" s="40" t="s">
        <v>4504</v>
      </c>
      <c r="D7536" s="40" t="s">
        <v>1052</v>
      </c>
      <c r="E7536" s="41">
        <v>3.0331999999999999</v>
      </c>
      <c r="F7536" s="102">
        <v>143.52600000000001</v>
      </c>
      <c r="G7536" s="102">
        <f t="shared" si="219"/>
        <v>435.34306320000002</v>
      </c>
      <c r="H7536" s="104"/>
      <c r="I7536" s="102"/>
      <c r="J7536" s="34">
        <v>0</v>
      </c>
    </row>
    <row r="7537" spans="1:10" ht="26.25" hidden="1" thickBot="1" x14ac:dyDescent="0.3">
      <c r="A7537" s="249"/>
      <c r="B7537" s="252"/>
      <c r="C7537" s="40" t="s">
        <v>4505</v>
      </c>
      <c r="D7537" s="40" t="s">
        <v>3752</v>
      </c>
      <c r="E7537" s="41">
        <v>5.3597999999999999</v>
      </c>
      <c r="F7537" s="102">
        <v>29.611499999999999</v>
      </c>
      <c r="G7537" s="102">
        <f t="shared" si="219"/>
        <v>158.71171770000001</v>
      </c>
      <c r="H7537" s="104"/>
      <c r="I7537" s="102"/>
      <c r="J7537" s="34">
        <v>0</v>
      </c>
    </row>
    <row r="7538" spans="1:10" ht="15.75" hidden="1" thickBot="1" x14ac:dyDescent="0.3">
      <c r="A7538" s="249"/>
      <c r="B7538" s="252"/>
      <c r="C7538" s="40" t="s">
        <v>1815</v>
      </c>
      <c r="D7538" s="53" t="s">
        <v>28</v>
      </c>
      <c r="E7538" s="41">
        <v>1</v>
      </c>
      <c r="F7538" s="102" t="s">
        <v>23</v>
      </c>
      <c r="G7538" s="102" t="str">
        <f t="shared" si="219"/>
        <v/>
      </c>
      <c r="H7538" s="104"/>
      <c r="I7538" s="102"/>
      <c r="J7538" s="34">
        <v>0</v>
      </c>
    </row>
    <row r="7539" spans="1:10" ht="39" hidden="1" thickBot="1" x14ac:dyDescent="0.3">
      <c r="A7539" s="249"/>
      <c r="B7539" s="252"/>
      <c r="C7539" s="40" t="s">
        <v>1809</v>
      </c>
      <c r="D7539" s="53" t="s">
        <v>28</v>
      </c>
      <c r="E7539" s="41">
        <v>1</v>
      </c>
      <c r="F7539" s="102" t="s">
        <v>23</v>
      </c>
      <c r="G7539" s="102" t="str">
        <f t="shared" si="219"/>
        <v/>
      </c>
      <c r="H7539" s="104"/>
      <c r="I7539" s="102"/>
      <c r="J7539" s="34">
        <v>0</v>
      </c>
    </row>
    <row r="7540" spans="1:10" ht="26.25" hidden="1" thickBot="1" x14ac:dyDescent="0.3">
      <c r="A7540" s="249"/>
      <c r="B7540" s="252"/>
      <c r="C7540" s="40" t="s">
        <v>1810</v>
      </c>
      <c r="D7540" s="53" t="s">
        <v>28</v>
      </c>
      <c r="E7540" s="41">
        <v>1</v>
      </c>
      <c r="F7540" s="102" t="s">
        <v>23</v>
      </c>
      <c r="G7540" s="102" t="str">
        <f t="shared" si="219"/>
        <v/>
      </c>
      <c r="H7540" s="104"/>
      <c r="I7540" s="102"/>
      <c r="J7540" s="34">
        <v>0</v>
      </c>
    </row>
    <row r="7541" spans="1:10" ht="39" hidden="1" thickBot="1" x14ac:dyDescent="0.3">
      <c r="A7541" s="249"/>
      <c r="B7541" s="252"/>
      <c r="C7541" s="40" t="s">
        <v>1811</v>
      </c>
      <c r="D7541" s="53" t="s">
        <v>28</v>
      </c>
      <c r="E7541" s="41">
        <v>2</v>
      </c>
      <c r="F7541" s="102" t="s">
        <v>23</v>
      </c>
      <c r="G7541" s="102" t="str">
        <f t="shared" si="219"/>
        <v/>
      </c>
      <c r="H7541" s="104"/>
      <c r="I7541" s="102"/>
      <c r="J7541" s="34">
        <v>0</v>
      </c>
    </row>
    <row r="7542" spans="1:10" ht="26.25" hidden="1" thickBot="1" x14ac:dyDescent="0.3">
      <c r="A7542" s="249"/>
      <c r="B7542" s="252"/>
      <c r="C7542" s="40" t="s">
        <v>1812</v>
      </c>
      <c r="D7542" s="53" t="s">
        <v>28</v>
      </c>
      <c r="E7542" s="41">
        <v>1</v>
      </c>
      <c r="F7542" s="102" t="s">
        <v>23</v>
      </c>
      <c r="G7542" s="102" t="str">
        <f t="shared" si="219"/>
        <v/>
      </c>
      <c r="H7542" s="104"/>
      <c r="I7542" s="102"/>
      <c r="J7542" s="34">
        <v>0</v>
      </c>
    </row>
    <row r="7543" spans="1:10" ht="39" hidden="1" thickBot="1" x14ac:dyDescent="0.3">
      <c r="A7543" s="249"/>
      <c r="B7543" s="252"/>
      <c r="C7543" s="40" t="s">
        <v>1813</v>
      </c>
      <c r="D7543" s="53" t="s">
        <v>28</v>
      </c>
      <c r="E7543" s="41">
        <v>1</v>
      </c>
      <c r="F7543" s="102" t="s">
        <v>23</v>
      </c>
      <c r="G7543" s="102" t="str">
        <f t="shared" si="219"/>
        <v/>
      </c>
      <c r="H7543" s="104"/>
      <c r="I7543" s="102"/>
      <c r="J7543" s="34">
        <v>0</v>
      </c>
    </row>
    <row r="7544" spans="1:10" ht="15.75" hidden="1" thickBot="1" x14ac:dyDescent="0.3">
      <c r="A7544" s="249"/>
      <c r="B7544" s="253"/>
      <c r="C7544" s="40"/>
      <c r="D7544" s="40"/>
      <c r="E7544" s="41"/>
      <c r="F7544" s="102" t="s">
        <v>23</v>
      </c>
      <c r="G7544" s="102" t="str">
        <f t="shared" si="219"/>
        <v/>
      </c>
      <c r="H7544" s="104"/>
      <c r="I7544" s="102"/>
      <c r="J7544" s="34">
        <v>0</v>
      </c>
    </row>
    <row r="7545" spans="1:10" ht="15.75" hidden="1" thickBot="1" x14ac:dyDescent="0.3">
      <c r="A7545" s="248" t="s">
        <v>1816</v>
      </c>
      <c r="B7545" s="251" t="s">
        <v>1817</v>
      </c>
      <c r="C7545" s="28"/>
      <c r="D7545" s="29" t="s">
        <v>28</v>
      </c>
      <c r="E7545" s="30"/>
      <c r="F7545" s="45" t="s">
        <v>23</v>
      </c>
      <c r="G7545" s="31" t="str">
        <f t="shared" si="219"/>
        <v/>
      </c>
      <c r="H7545" s="32"/>
      <c r="I7545" s="33"/>
      <c r="J7545" s="34">
        <v>0</v>
      </c>
    </row>
    <row r="7546" spans="1:10" ht="15.75" hidden="1" thickBot="1" x14ac:dyDescent="0.3">
      <c r="A7546" s="249"/>
      <c r="B7546" s="252"/>
      <c r="C7546" s="36"/>
      <c r="D7546" s="36"/>
      <c r="E7546" s="37"/>
      <c r="F7546" s="103" t="s">
        <v>23</v>
      </c>
      <c r="G7546" s="102" t="str">
        <f t="shared" si="219"/>
        <v/>
      </c>
      <c r="H7546" s="104"/>
      <c r="I7546" s="102"/>
      <c r="J7546" s="34">
        <v>0</v>
      </c>
    </row>
    <row r="7547" spans="1:10" ht="26.25" hidden="1" thickBot="1" x14ac:dyDescent="0.3">
      <c r="A7547" s="249"/>
      <c r="B7547" s="252"/>
      <c r="C7547" s="40" t="s">
        <v>1817</v>
      </c>
      <c r="D7547" s="53" t="s">
        <v>28</v>
      </c>
      <c r="E7547" s="41">
        <v>1</v>
      </c>
      <c r="F7547" s="105" t="s">
        <v>23</v>
      </c>
      <c r="G7547" s="102" t="str">
        <f t="shared" si="219"/>
        <v/>
      </c>
      <c r="H7547" s="107">
        <f>SUM(G7547:G7550)</f>
        <v>48.285358182799996</v>
      </c>
      <c r="I7547" s="106"/>
      <c r="J7547" s="34">
        <v>0</v>
      </c>
    </row>
    <row r="7548" spans="1:10" ht="39" hidden="1" thickBot="1" x14ac:dyDescent="0.3">
      <c r="A7548" s="249"/>
      <c r="B7548" s="252"/>
      <c r="C7548" s="40" t="s">
        <v>4733</v>
      </c>
      <c r="D7548" s="40" t="s">
        <v>3764</v>
      </c>
      <c r="E7548" s="41">
        <v>1.9199999999999998E-2</v>
      </c>
      <c r="F7548" s="102">
        <v>853.36371524999993</v>
      </c>
      <c r="G7548" s="102">
        <f t="shared" si="219"/>
        <v>16.384583332799998</v>
      </c>
      <c r="H7548" s="104"/>
      <c r="I7548" s="102"/>
      <c r="J7548" s="34">
        <v>0</v>
      </c>
    </row>
    <row r="7549" spans="1:10" ht="15.75" hidden="1" thickBot="1" x14ac:dyDescent="0.3">
      <c r="A7549" s="249"/>
      <c r="B7549" s="252"/>
      <c r="C7549" s="40" t="s">
        <v>3770</v>
      </c>
      <c r="D7549" s="40" t="s">
        <v>3752</v>
      </c>
      <c r="E7549" s="41">
        <v>0.63370000000000004</v>
      </c>
      <c r="F7549" s="102">
        <v>21.954499999999999</v>
      </c>
      <c r="G7549" s="102">
        <f t="shared" ref="G7549:G7612" si="220">IF(ISNUMBER(F7549),E7549*F7549,"")</f>
        <v>13.91256665</v>
      </c>
      <c r="H7549" s="104"/>
      <c r="I7549" s="102"/>
      <c r="J7549" s="34">
        <v>0</v>
      </c>
    </row>
    <row r="7550" spans="1:10" ht="15.75" hidden="1" thickBot="1" x14ac:dyDescent="0.3">
      <c r="A7550" s="249"/>
      <c r="B7550" s="252"/>
      <c r="C7550" s="40" t="s">
        <v>3760</v>
      </c>
      <c r="D7550" s="40" t="s">
        <v>3752</v>
      </c>
      <c r="E7550" s="41">
        <v>0.63370000000000004</v>
      </c>
      <c r="F7550" s="102">
        <v>28.385999999999999</v>
      </c>
      <c r="G7550" s="105">
        <f t="shared" si="220"/>
        <v>17.988208199999999</v>
      </c>
      <c r="H7550" s="104"/>
      <c r="I7550" s="102"/>
      <c r="J7550" s="34">
        <v>0</v>
      </c>
    </row>
    <row r="7551" spans="1:10" ht="15.75" hidden="1" thickBot="1" x14ac:dyDescent="0.3">
      <c r="A7551" s="249"/>
      <c r="B7551" s="253"/>
      <c r="C7551" s="40"/>
      <c r="D7551" s="40"/>
      <c r="E7551" s="41"/>
      <c r="F7551" s="102" t="s">
        <v>23</v>
      </c>
      <c r="G7551" s="102" t="str">
        <f t="shared" si="220"/>
        <v/>
      </c>
      <c r="H7551" s="104"/>
      <c r="I7551" s="102"/>
      <c r="J7551" s="34">
        <v>0</v>
      </c>
    </row>
    <row r="7552" spans="1:10" ht="15.75" hidden="1" thickBot="1" x14ac:dyDescent="0.3">
      <c r="A7552" s="256" t="s">
        <v>1818</v>
      </c>
      <c r="B7552" s="259" t="s">
        <v>3528</v>
      </c>
      <c r="C7552" s="28"/>
      <c r="D7552" s="29" t="s">
        <v>28</v>
      </c>
      <c r="E7552" s="30"/>
      <c r="F7552" s="45" t="s">
        <v>23</v>
      </c>
      <c r="G7552" s="31" t="str">
        <f t="shared" si="220"/>
        <v/>
      </c>
      <c r="H7552" s="32"/>
      <c r="I7552" s="33"/>
      <c r="J7552" s="34">
        <v>0</v>
      </c>
    </row>
    <row r="7553" spans="1:10" ht="15.75" hidden="1" thickBot="1" x14ac:dyDescent="0.3">
      <c r="A7553" s="257"/>
      <c r="B7553" s="260"/>
      <c r="C7553" s="36"/>
      <c r="D7553" s="36"/>
      <c r="E7553" s="37"/>
      <c r="F7553" s="46" t="s">
        <v>23</v>
      </c>
      <c r="G7553" s="38" t="str">
        <f t="shared" si="220"/>
        <v/>
      </c>
      <c r="H7553" s="39"/>
      <c r="I7553" s="35"/>
      <c r="J7553" s="34">
        <v>0</v>
      </c>
    </row>
    <row r="7554" spans="1:10" ht="26.25" hidden="1" thickBot="1" x14ac:dyDescent="0.3">
      <c r="A7554" s="257"/>
      <c r="B7554" s="260"/>
      <c r="C7554" s="40" t="s">
        <v>4506</v>
      </c>
      <c r="D7554" s="40" t="s">
        <v>291</v>
      </c>
      <c r="E7554" s="41">
        <v>1</v>
      </c>
      <c r="F7554" s="35">
        <v>6.6784999999999997</v>
      </c>
      <c r="G7554" s="38">
        <f t="shared" si="220"/>
        <v>6.6784999999999997</v>
      </c>
      <c r="H7554" s="43">
        <f>SUM(G7554:G7554)</f>
        <v>6.6784999999999997</v>
      </c>
      <c r="I7554" s="44"/>
      <c r="J7554" s="34">
        <v>0</v>
      </c>
    </row>
    <row r="7555" spans="1:10" ht="15.75" hidden="1" thickBot="1" x14ac:dyDescent="0.3">
      <c r="A7555" s="258"/>
      <c r="B7555" s="261"/>
      <c r="C7555" s="60"/>
      <c r="D7555" s="60"/>
      <c r="E7555" s="79"/>
      <c r="F7555" s="87" t="s">
        <v>23</v>
      </c>
      <c r="G7555" s="88" t="str">
        <f t="shared" si="220"/>
        <v/>
      </c>
      <c r="H7555" s="89"/>
      <c r="I7555" s="35"/>
      <c r="J7555" s="34">
        <v>0</v>
      </c>
    </row>
    <row r="7556" spans="1:10" ht="15.75" hidden="1" thickBot="1" x14ac:dyDescent="0.3">
      <c r="A7556" s="256" t="s">
        <v>1819</v>
      </c>
      <c r="B7556" s="259" t="s">
        <v>3529</v>
      </c>
      <c r="C7556" s="28"/>
      <c r="D7556" s="29" t="s">
        <v>28</v>
      </c>
      <c r="E7556" s="30"/>
      <c r="F7556" s="45" t="s">
        <v>23</v>
      </c>
      <c r="G7556" s="31" t="str">
        <f t="shared" si="220"/>
        <v/>
      </c>
      <c r="H7556" s="32"/>
      <c r="I7556" s="33"/>
      <c r="J7556" s="34">
        <v>0</v>
      </c>
    </row>
    <row r="7557" spans="1:10" ht="15.75" hidden="1" thickBot="1" x14ac:dyDescent="0.3">
      <c r="A7557" s="257"/>
      <c r="B7557" s="260"/>
      <c r="C7557" s="36"/>
      <c r="D7557" s="36"/>
      <c r="E7557" s="37"/>
      <c r="F7557" s="46" t="s">
        <v>23</v>
      </c>
      <c r="G7557" s="38" t="str">
        <f t="shared" si="220"/>
        <v/>
      </c>
      <c r="H7557" s="39"/>
      <c r="I7557" s="35"/>
      <c r="J7557" s="34">
        <v>0</v>
      </c>
    </row>
    <row r="7558" spans="1:10" ht="26.25" hidden="1" thickBot="1" x14ac:dyDescent="0.3">
      <c r="A7558" s="257"/>
      <c r="B7558" s="260"/>
      <c r="C7558" s="40" t="s">
        <v>4507</v>
      </c>
      <c r="D7558" s="40" t="s">
        <v>291</v>
      </c>
      <c r="E7558" s="41">
        <v>1</v>
      </c>
      <c r="F7558" s="35">
        <v>0.72199999999999998</v>
      </c>
      <c r="G7558" s="38">
        <f t="shared" si="220"/>
        <v>0.72199999999999998</v>
      </c>
      <c r="H7558" s="43">
        <f>SUM(G7558:G7558)</f>
        <v>0.72199999999999998</v>
      </c>
      <c r="I7558" s="44"/>
      <c r="J7558" s="34">
        <v>0</v>
      </c>
    </row>
    <row r="7559" spans="1:10" ht="15.75" hidden="1" thickBot="1" x14ac:dyDescent="0.3">
      <c r="A7559" s="258"/>
      <c r="B7559" s="261"/>
      <c r="C7559" s="60"/>
      <c r="D7559" s="60"/>
      <c r="E7559" s="79"/>
      <c r="F7559" s="87" t="s">
        <v>23</v>
      </c>
      <c r="G7559" s="88" t="str">
        <f t="shared" si="220"/>
        <v/>
      </c>
      <c r="H7559" s="89"/>
      <c r="I7559" s="35"/>
      <c r="J7559" s="34">
        <v>0</v>
      </c>
    </row>
    <row r="7560" spans="1:10" ht="15.75" hidden="1" thickBot="1" x14ac:dyDescent="0.3">
      <c r="A7560" s="256" t="s">
        <v>1820</v>
      </c>
      <c r="B7560" s="259" t="s">
        <v>3530</v>
      </c>
      <c r="C7560" s="28"/>
      <c r="D7560" s="29" t="s">
        <v>28</v>
      </c>
      <c r="E7560" s="30"/>
      <c r="F7560" s="45" t="s">
        <v>23</v>
      </c>
      <c r="G7560" s="31" t="str">
        <f t="shared" si="220"/>
        <v/>
      </c>
      <c r="H7560" s="32"/>
      <c r="I7560" s="33"/>
      <c r="J7560" s="34">
        <v>0</v>
      </c>
    </row>
    <row r="7561" spans="1:10" ht="15.75" hidden="1" thickBot="1" x14ac:dyDescent="0.3">
      <c r="A7561" s="257"/>
      <c r="B7561" s="260"/>
      <c r="C7561" s="36"/>
      <c r="D7561" s="36"/>
      <c r="E7561" s="37"/>
      <c r="F7561" s="46" t="s">
        <v>23</v>
      </c>
      <c r="G7561" s="38" t="str">
        <f t="shared" si="220"/>
        <v/>
      </c>
      <c r="H7561" s="39"/>
      <c r="I7561" s="35"/>
      <c r="J7561" s="34">
        <v>0</v>
      </c>
    </row>
    <row r="7562" spans="1:10" ht="26.25" hidden="1" thickBot="1" x14ac:dyDescent="0.3">
      <c r="A7562" s="257"/>
      <c r="B7562" s="260"/>
      <c r="C7562" s="40" t="s">
        <v>4508</v>
      </c>
      <c r="D7562" s="40" t="s">
        <v>291</v>
      </c>
      <c r="E7562" s="41">
        <v>1</v>
      </c>
      <c r="F7562" s="35">
        <v>1.5009999999999999</v>
      </c>
      <c r="G7562" s="38">
        <f t="shared" si="220"/>
        <v>1.5009999999999999</v>
      </c>
      <c r="H7562" s="43">
        <f>SUM(G7562:G7562)</f>
        <v>1.5009999999999999</v>
      </c>
      <c r="I7562" s="44"/>
      <c r="J7562" s="34">
        <v>0</v>
      </c>
    </row>
    <row r="7563" spans="1:10" ht="15.75" hidden="1" thickBot="1" x14ac:dyDescent="0.3">
      <c r="A7563" s="258"/>
      <c r="B7563" s="261"/>
      <c r="C7563" s="60"/>
      <c r="D7563" s="60"/>
      <c r="E7563" s="79"/>
      <c r="F7563" s="87" t="s">
        <v>23</v>
      </c>
      <c r="G7563" s="88" t="str">
        <f t="shared" si="220"/>
        <v/>
      </c>
      <c r="H7563" s="89"/>
      <c r="I7563" s="35"/>
      <c r="J7563" s="34">
        <v>0</v>
      </c>
    </row>
    <row r="7564" spans="1:10" ht="15.75" hidden="1" thickBot="1" x14ac:dyDescent="0.3">
      <c r="A7564" s="256" t="s">
        <v>1821</v>
      </c>
      <c r="B7564" s="259" t="s">
        <v>3531</v>
      </c>
      <c r="C7564" s="28"/>
      <c r="D7564" s="29" t="s">
        <v>28</v>
      </c>
      <c r="E7564" s="30"/>
      <c r="F7564" s="45" t="s">
        <v>23</v>
      </c>
      <c r="G7564" s="31" t="str">
        <f t="shared" si="220"/>
        <v/>
      </c>
      <c r="H7564" s="32"/>
      <c r="I7564" s="33"/>
      <c r="J7564" s="34">
        <v>0</v>
      </c>
    </row>
    <row r="7565" spans="1:10" ht="15.75" hidden="1" thickBot="1" x14ac:dyDescent="0.3">
      <c r="A7565" s="257"/>
      <c r="B7565" s="260"/>
      <c r="C7565" s="36"/>
      <c r="D7565" s="36"/>
      <c r="E7565" s="37"/>
      <c r="F7565" s="46" t="s">
        <v>23</v>
      </c>
      <c r="G7565" s="38" t="str">
        <f t="shared" si="220"/>
        <v/>
      </c>
      <c r="H7565" s="39"/>
      <c r="I7565" s="35"/>
      <c r="J7565" s="34">
        <v>0</v>
      </c>
    </row>
    <row r="7566" spans="1:10" ht="26.25" hidden="1" thickBot="1" x14ac:dyDescent="0.3">
      <c r="A7566" s="257"/>
      <c r="B7566" s="260"/>
      <c r="C7566" s="40" t="s">
        <v>4509</v>
      </c>
      <c r="D7566" s="40" t="s">
        <v>291</v>
      </c>
      <c r="E7566" s="41">
        <v>1</v>
      </c>
      <c r="F7566" s="35">
        <v>2.4224999999999999</v>
      </c>
      <c r="G7566" s="38">
        <f t="shared" si="220"/>
        <v>2.4224999999999999</v>
      </c>
      <c r="H7566" s="43">
        <f>SUM(G7566:G7566)</f>
        <v>2.4224999999999999</v>
      </c>
      <c r="I7566" s="44"/>
      <c r="J7566" s="34">
        <v>0</v>
      </c>
    </row>
    <row r="7567" spans="1:10" ht="15.75" hidden="1" thickBot="1" x14ac:dyDescent="0.3">
      <c r="A7567" s="258"/>
      <c r="B7567" s="261"/>
      <c r="C7567" s="60"/>
      <c r="D7567" s="60"/>
      <c r="E7567" s="79"/>
      <c r="F7567" s="87" t="s">
        <v>23</v>
      </c>
      <c r="G7567" s="88" t="str">
        <f t="shared" si="220"/>
        <v/>
      </c>
      <c r="H7567" s="89"/>
      <c r="I7567" s="35"/>
      <c r="J7567" s="34">
        <v>0</v>
      </c>
    </row>
    <row r="7568" spans="1:10" ht="15.75" hidden="1" thickBot="1" x14ac:dyDescent="0.3">
      <c r="A7568" s="256" t="s">
        <v>1822</v>
      </c>
      <c r="B7568" s="259" t="s">
        <v>3532</v>
      </c>
      <c r="C7568" s="28"/>
      <c r="D7568" s="29" t="s">
        <v>28</v>
      </c>
      <c r="E7568" s="30"/>
      <c r="F7568" s="45" t="s">
        <v>23</v>
      </c>
      <c r="G7568" s="31" t="str">
        <f t="shared" si="220"/>
        <v/>
      </c>
      <c r="H7568" s="32"/>
      <c r="I7568" s="33"/>
      <c r="J7568" s="34">
        <v>0</v>
      </c>
    </row>
    <row r="7569" spans="1:10" ht="15.75" hidden="1" thickBot="1" x14ac:dyDescent="0.3">
      <c r="A7569" s="257"/>
      <c r="B7569" s="260"/>
      <c r="C7569" s="36"/>
      <c r="D7569" s="36"/>
      <c r="E7569" s="37"/>
      <c r="F7569" s="46" t="s">
        <v>23</v>
      </c>
      <c r="G7569" s="38" t="str">
        <f t="shared" si="220"/>
        <v/>
      </c>
      <c r="H7569" s="39"/>
      <c r="I7569" s="35"/>
      <c r="J7569" s="34">
        <v>0</v>
      </c>
    </row>
    <row r="7570" spans="1:10" ht="26.25" hidden="1" thickBot="1" x14ac:dyDescent="0.3">
      <c r="A7570" s="257"/>
      <c r="B7570" s="260"/>
      <c r="C7570" s="40" t="s">
        <v>4510</v>
      </c>
      <c r="D7570" s="40" t="s">
        <v>291</v>
      </c>
      <c r="E7570" s="41">
        <v>1</v>
      </c>
      <c r="F7570" s="35">
        <v>5.3484999999999996</v>
      </c>
      <c r="G7570" s="38">
        <f t="shared" si="220"/>
        <v>5.3484999999999996</v>
      </c>
      <c r="H7570" s="43">
        <f>SUM(G7570:G7570)</f>
        <v>5.3484999999999996</v>
      </c>
      <c r="I7570" s="44"/>
      <c r="J7570" s="34">
        <v>0</v>
      </c>
    </row>
    <row r="7571" spans="1:10" ht="15.75" hidden="1" thickBot="1" x14ac:dyDescent="0.3">
      <c r="A7571" s="258"/>
      <c r="B7571" s="261"/>
      <c r="C7571" s="60"/>
      <c r="D7571" s="60"/>
      <c r="E7571" s="79"/>
      <c r="F7571" s="87" t="s">
        <v>23</v>
      </c>
      <c r="G7571" s="88" t="str">
        <f t="shared" si="220"/>
        <v/>
      </c>
      <c r="H7571" s="89"/>
      <c r="I7571" s="35"/>
      <c r="J7571" s="34">
        <v>0</v>
      </c>
    </row>
    <row r="7572" spans="1:10" ht="15.75" hidden="1" thickBot="1" x14ac:dyDescent="0.3">
      <c r="A7572" s="256" t="s">
        <v>1823</v>
      </c>
      <c r="B7572" s="259" t="s">
        <v>3533</v>
      </c>
      <c r="C7572" s="28"/>
      <c r="D7572" s="29" t="s">
        <v>28</v>
      </c>
      <c r="E7572" s="30"/>
      <c r="F7572" s="45" t="s">
        <v>23</v>
      </c>
      <c r="G7572" s="31" t="str">
        <f t="shared" si="220"/>
        <v/>
      </c>
      <c r="H7572" s="32"/>
      <c r="I7572" s="33"/>
      <c r="J7572" s="34">
        <v>0</v>
      </c>
    </row>
    <row r="7573" spans="1:10" ht="15.75" hidden="1" thickBot="1" x14ac:dyDescent="0.3">
      <c r="A7573" s="257"/>
      <c r="B7573" s="260"/>
      <c r="C7573" s="36"/>
      <c r="D7573" s="36"/>
      <c r="E7573" s="37"/>
      <c r="F7573" s="46" t="s">
        <v>23</v>
      </c>
      <c r="G7573" s="38" t="str">
        <f t="shared" si="220"/>
        <v/>
      </c>
      <c r="H7573" s="39"/>
      <c r="I7573" s="35"/>
      <c r="J7573" s="34">
        <v>0</v>
      </c>
    </row>
    <row r="7574" spans="1:10" ht="26.25" hidden="1" thickBot="1" x14ac:dyDescent="0.3">
      <c r="A7574" s="257"/>
      <c r="B7574" s="260"/>
      <c r="C7574" s="40" t="s">
        <v>4511</v>
      </c>
      <c r="D7574" s="40" t="s">
        <v>291</v>
      </c>
      <c r="E7574" s="41">
        <v>1</v>
      </c>
      <c r="F7574" s="35">
        <v>8.0559999999999992</v>
      </c>
      <c r="G7574" s="38">
        <f t="shared" si="220"/>
        <v>8.0559999999999992</v>
      </c>
      <c r="H7574" s="43">
        <f>SUM(G7574:G7574)</f>
        <v>8.0559999999999992</v>
      </c>
      <c r="I7574" s="44"/>
      <c r="J7574" s="34">
        <v>0</v>
      </c>
    </row>
    <row r="7575" spans="1:10" ht="15.75" hidden="1" thickBot="1" x14ac:dyDescent="0.3">
      <c r="A7575" s="258"/>
      <c r="B7575" s="261"/>
      <c r="C7575" s="60"/>
      <c r="D7575" s="60"/>
      <c r="E7575" s="79"/>
      <c r="F7575" s="87" t="s">
        <v>23</v>
      </c>
      <c r="G7575" s="88" t="str">
        <f t="shared" si="220"/>
        <v/>
      </c>
      <c r="H7575" s="89"/>
      <c r="I7575" s="35"/>
      <c r="J7575" s="34">
        <v>0</v>
      </c>
    </row>
    <row r="7576" spans="1:10" ht="15.75" hidden="1" thickBot="1" x14ac:dyDescent="0.3">
      <c r="A7576" s="256" t="s">
        <v>1824</v>
      </c>
      <c r="B7576" s="259" t="s">
        <v>3534</v>
      </c>
      <c r="C7576" s="28"/>
      <c r="D7576" s="29" t="s">
        <v>28</v>
      </c>
      <c r="E7576" s="30"/>
      <c r="F7576" s="45" t="s">
        <v>23</v>
      </c>
      <c r="G7576" s="31" t="str">
        <f t="shared" si="220"/>
        <v/>
      </c>
      <c r="H7576" s="32"/>
      <c r="I7576" s="33"/>
      <c r="J7576" s="34">
        <v>0</v>
      </c>
    </row>
    <row r="7577" spans="1:10" ht="15.75" hidden="1" thickBot="1" x14ac:dyDescent="0.3">
      <c r="A7577" s="257"/>
      <c r="B7577" s="260"/>
      <c r="C7577" s="36"/>
      <c r="D7577" s="36"/>
      <c r="E7577" s="37"/>
      <c r="F7577" s="46" t="s">
        <v>23</v>
      </c>
      <c r="G7577" s="38" t="str">
        <f t="shared" si="220"/>
        <v/>
      </c>
      <c r="H7577" s="39"/>
      <c r="I7577" s="35"/>
      <c r="J7577" s="34">
        <v>0</v>
      </c>
    </row>
    <row r="7578" spans="1:10" ht="26.25" hidden="1" thickBot="1" x14ac:dyDescent="0.3">
      <c r="A7578" s="257"/>
      <c r="B7578" s="260"/>
      <c r="C7578" s="40" t="s">
        <v>4512</v>
      </c>
      <c r="D7578" s="40" t="s">
        <v>291</v>
      </c>
      <c r="E7578" s="41">
        <v>1</v>
      </c>
      <c r="F7578" s="35">
        <v>1.1969999999999998</v>
      </c>
      <c r="G7578" s="38">
        <f t="shared" si="220"/>
        <v>1.1969999999999998</v>
      </c>
      <c r="H7578" s="43">
        <f>SUM(G7578:G7578)</f>
        <v>1.1969999999999998</v>
      </c>
      <c r="I7578" s="44"/>
      <c r="J7578" s="34">
        <v>0</v>
      </c>
    </row>
    <row r="7579" spans="1:10" ht="15.75" hidden="1" thickBot="1" x14ac:dyDescent="0.3">
      <c r="A7579" s="258"/>
      <c r="B7579" s="261"/>
      <c r="C7579" s="60"/>
      <c r="D7579" s="60"/>
      <c r="E7579" s="79"/>
      <c r="F7579" s="87" t="s">
        <v>23</v>
      </c>
      <c r="G7579" s="88" t="str">
        <f t="shared" si="220"/>
        <v/>
      </c>
      <c r="H7579" s="89"/>
      <c r="I7579" s="35"/>
      <c r="J7579" s="34">
        <v>0</v>
      </c>
    </row>
    <row r="7580" spans="1:10" ht="15.75" hidden="1" thickBot="1" x14ac:dyDescent="0.3">
      <c r="A7580" s="256" t="s">
        <v>1825</v>
      </c>
      <c r="B7580" s="259" t="s">
        <v>3535</v>
      </c>
      <c r="C7580" s="28"/>
      <c r="D7580" s="29" t="s">
        <v>28</v>
      </c>
      <c r="E7580" s="30"/>
      <c r="F7580" s="45" t="s">
        <v>23</v>
      </c>
      <c r="G7580" s="31" t="str">
        <f t="shared" si="220"/>
        <v/>
      </c>
      <c r="H7580" s="32"/>
      <c r="I7580" s="33"/>
      <c r="J7580" s="34">
        <v>0</v>
      </c>
    </row>
    <row r="7581" spans="1:10" ht="15.75" hidden="1" thickBot="1" x14ac:dyDescent="0.3">
      <c r="A7581" s="257"/>
      <c r="B7581" s="260"/>
      <c r="C7581" s="36"/>
      <c r="D7581" s="36"/>
      <c r="E7581" s="37"/>
      <c r="F7581" s="46" t="s">
        <v>23</v>
      </c>
      <c r="G7581" s="38" t="str">
        <f t="shared" si="220"/>
        <v/>
      </c>
      <c r="H7581" s="39"/>
      <c r="I7581" s="35"/>
      <c r="J7581" s="34">
        <v>0</v>
      </c>
    </row>
    <row r="7582" spans="1:10" ht="26.25" hidden="1" thickBot="1" x14ac:dyDescent="0.3">
      <c r="A7582" s="257"/>
      <c r="B7582" s="260"/>
      <c r="C7582" s="40" t="s">
        <v>4513</v>
      </c>
      <c r="D7582" s="40" t="s">
        <v>291</v>
      </c>
      <c r="E7582" s="41">
        <v>1</v>
      </c>
      <c r="F7582" s="35">
        <v>4.2275</v>
      </c>
      <c r="G7582" s="38">
        <f t="shared" si="220"/>
        <v>4.2275</v>
      </c>
      <c r="H7582" s="43">
        <f>SUM(G7582:G7582)</f>
        <v>4.2275</v>
      </c>
      <c r="I7582" s="44"/>
      <c r="J7582" s="34">
        <v>0</v>
      </c>
    </row>
    <row r="7583" spans="1:10" ht="15.75" hidden="1" thickBot="1" x14ac:dyDescent="0.3">
      <c r="A7583" s="258"/>
      <c r="B7583" s="261"/>
      <c r="C7583" s="60"/>
      <c r="D7583" s="60"/>
      <c r="E7583" s="79"/>
      <c r="F7583" s="87" t="s">
        <v>23</v>
      </c>
      <c r="G7583" s="88" t="str">
        <f t="shared" si="220"/>
        <v/>
      </c>
      <c r="H7583" s="89"/>
      <c r="I7583" s="35"/>
      <c r="J7583" s="34">
        <v>0</v>
      </c>
    </row>
    <row r="7584" spans="1:10" ht="15.75" hidden="1" thickBot="1" x14ac:dyDescent="0.3">
      <c r="A7584" s="256" t="s">
        <v>1826</v>
      </c>
      <c r="B7584" s="259" t="s">
        <v>3536</v>
      </c>
      <c r="C7584" s="28"/>
      <c r="D7584" s="29" t="s">
        <v>28</v>
      </c>
      <c r="E7584" s="30"/>
      <c r="F7584" s="45" t="s">
        <v>23</v>
      </c>
      <c r="G7584" s="31" t="str">
        <f t="shared" si="220"/>
        <v/>
      </c>
      <c r="H7584" s="32"/>
      <c r="I7584" s="33"/>
      <c r="J7584" s="34">
        <v>0</v>
      </c>
    </row>
    <row r="7585" spans="1:10" ht="15.75" hidden="1" thickBot="1" x14ac:dyDescent="0.3">
      <c r="A7585" s="257"/>
      <c r="B7585" s="260"/>
      <c r="C7585" s="36"/>
      <c r="D7585" s="36"/>
      <c r="E7585" s="37"/>
      <c r="F7585" s="46" t="s">
        <v>23</v>
      </c>
      <c r="G7585" s="38" t="str">
        <f t="shared" si="220"/>
        <v/>
      </c>
      <c r="H7585" s="39"/>
      <c r="I7585" s="35"/>
      <c r="J7585" s="34">
        <v>0</v>
      </c>
    </row>
    <row r="7586" spans="1:10" ht="26.25" hidden="1" thickBot="1" x14ac:dyDescent="0.3">
      <c r="A7586" s="257"/>
      <c r="B7586" s="260"/>
      <c r="C7586" s="40" t="s">
        <v>4514</v>
      </c>
      <c r="D7586" s="40" t="s">
        <v>291</v>
      </c>
      <c r="E7586" s="41">
        <v>1</v>
      </c>
      <c r="F7586" s="35">
        <v>5.1964999999999995</v>
      </c>
      <c r="G7586" s="38">
        <f t="shared" si="220"/>
        <v>5.1964999999999995</v>
      </c>
      <c r="H7586" s="43">
        <f>SUM(G7586:G7586)</f>
        <v>5.1964999999999995</v>
      </c>
      <c r="I7586" s="44"/>
      <c r="J7586" s="34">
        <v>0</v>
      </c>
    </row>
    <row r="7587" spans="1:10" ht="15.75" hidden="1" thickBot="1" x14ac:dyDescent="0.3">
      <c r="A7587" s="258"/>
      <c r="B7587" s="261"/>
      <c r="C7587" s="60"/>
      <c r="D7587" s="60"/>
      <c r="E7587" s="79"/>
      <c r="F7587" s="87" t="s">
        <v>23</v>
      </c>
      <c r="G7587" s="88" t="str">
        <f t="shared" si="220"/>
        <v/>
      </c>
      <c r="H7587" s="89"/>
      <c r="I7587" s="35"/>
      <c r="J7587" s="34">
        <v>0</v>
      </c>
    </row>
    <row r="7588" spans="1:10" ht="15.75" hidden="1" thickBot="1" x14ac:dyDescent="0.3">
      <c r="A7588" s="256" t="s">
        <v>1827</v>
      </c>
      <c r="B7588" s="259" t="s">
        <v>3537</v>
      </c>
      <c r="C7588" s="28"/>
      <c r="D7588" s="29" t="s">
        <v>28</v>
      </c>
      <c r="E7588" s="30"/>
      <c r="F7588" s="45" t="s">
        <v>23</v>
      </c>
      <c r="G7588" s="31" t="str">
        <f t="shared" si="220"/>
        <v/>
      </c>
      <c r="H7588" s="32"/>
      <c r="I7588" s="33"/>
      <c r="J7588" s="34">
        <v>0</v>
      </c>
    </row>
    <row r="7589" spans="1:10" ht="15.75" hidden="1" thickBot="1" x14ac:dyDescent="0.3">
      <c r="A7589" s="257"/>
      <c r="B7589" s="260"/>
      <c r="C7589" s="36"/>
      <c r="D7589" s="36"/>
      <c r="E7589" s="37"/>
      <c r="F7589" s="46" t="s">
        <v>23</v>
      </c>
      <c r="G7589" s="38" t="str">
        <f t="shared" si="220"/>
        <v/>
      </c>
      <c r="H7589" s="39"/>
      <c r="I7589" s="35"/>
      <c r="J7589" s="34">
        <v>0</v>
      </c>
    </row>
    <row r="7590" spans="1:10" ht="15.75" hidden="1" thickBot="1" x14ac:dyDescent="0.3">
      <c r="A7590" s="257"/>
      <c r="B7590" s="260"/>
      <c r="C7590" s="40" t="s">
        <v>4515</v>
      </c>
      <c r="D7590" s="40" t="s">
        <v>291</v>
      </c>
      <c r="E7590" s="41">
        <v>1</v>
      </c>
      <c r="F7590" s="35">
        <v>1.2444999999999999</v>
      </c>
      <c r="G7590" s="38">
        <f t="shared" si="220"/>
        <v>1.2444999999999999</v>
      </c>
      <c r="H7590" s="43">
        <f>SUM(G7590:G7590)</f>
        <v>1.2444999999999999</v>
      </c>
      <c r="I7590" s="44"/>
      <c r="J7590" s="34">
        <v>0</v>
      </c>
    </row>
    <row r="7591" spans="1:10" ht="15.75" hidden="1" thickBot="1" x14ac:dyDescent="0.3">
      <c r="A7591" s="258"/>
      <c r="B7591" s="261"/>
      <c r="C7591" s="60"/>
      <c r="D7591" s="60"/>
      <c r="E7591" s="79"/>
      <c r="F7591" s="87" t="s">
        <v>23</v>
      </c>
      <c r="G7591" s="88" t="str">
        <f t="shared" si="220"/>
        <v/>
      </c>
      <c r="H7591" s="89"/>
      <c r="I7591" s="35"/>
      <c r="J7591" s="34">
        <v>0</v>
      </c>
    </row>
    <row r="7592" spans="1:10" ht="15.75" hidden="1" thickBot="1" x14ac:dyDescent="0.3">
      <c r="A7592" s="256" t="s">
        <v>1828</v>
      </c>
      <c r="B7592" s="259" t="s">
        <v>3538</v>
      </c>
      <c r="C7592" s="28"/>
      <c r="D7592" s="29" t="s">
        <v>28</v>
      </c>
      <c r="E7592" s="30"/>
      <c r="F7592" s="45" t="s">
        <v>23</v>
      </c>
      <c r="G7592" s="31" t="str">
        <f t="shared" si="220"/>
        <v/>
      </c>
      <c r="H7592" s="32"/>
      <c r="I7592" s="33"/>
      <c r="J7592" s="34">
        <v>0</v>
      </c>
    </row>
    <row r="7593" spans="1:10" ht="15.75" hidden="1" thickBot="1" x14ac:dyDescent="0.3">
      <c r="A7593" s="257"/>
      <c r="B7593" s="260"/>
      <c r="C7593" s="36"/>
      <c r="D7593" s="36"/>
      <c r="E7593" s="37"/>
      <c r="F7593" s="46" t="s">
        <v>23</v>
      </c>
      <c r="G7593" s="38" t="str">
        <f t="shared" si="220"/>
        <v/>
      </c>
      <c r="H7593" s="39"/>
      <c r="I7593" s="35"/>
      <c r="J7593" s="34">
        <v>0</v>
      </c>
    </row>
    <row r="7594" spans="1:10" ht="26.25" hidden="1" thickBot="1" x14ac:dyDescent="0.3">
      <c r="A7594" s="257"/>
      <c r="B7594" s="260"/>
      <c r="C7594" s="40" t="s">
        <v>4516</v>
      </c>
      <c r="D7594" s="40" t="s">
        <v>291</v>
      </c>
      <c r="E7594" s="41">
        <v>1</v>
      </c>
      <c r="F7594" s="35">
        <v>1.8334999999999999</v>
      </c>
      <c r="G7594" s="38">
        <f t="shared" si="220"/>
        <v>1.8334999999999999</v>
      </c>
      <c r="H7594" s="43">
        <f>SUM(G7594:G7594)</f>
        <v>1.8334999999999999</v>
      </c>
      <c r="I7594" s="44"/>
      <c r="J7594" s="34">
        <v>0</v>
      </c>
    </row>
    <row r="7595" spans="1:10" ht="15.75" hidden="1" thickBot="1" x14ac:dyDescent="0.3">
      <c r="A7595" s="258"/>
      <c r="B7595" s="261"/>
      <c r="C7595" s="60"/>
      <c r="D7595" s="60"/>
      <c r="E7595" s="79"/>
      <c r="F7595" s="87" t="s">
        <v>23</v>
      </c>
      <c r="G7595" s="88" t="str">
        <f t="shared" si="220"/>
        <v/>
      </c>
      <c r="H7595" s="89"/>
      <c r="I7595" s="35"/>
      <c r="J7595" s="34">
        <v>0</v>
      </c>
    </row>
    <row r="7596" spans="1:10" ht="15.75" hidden="1" thickBot="1" x14ac:dyDescent="0.3">
      <c r="A7596" s="256" t="s">
        <v>1829</v>
      </c>
      <c r="B7596" s="259" t="s">
        <v>3539</v>
      </c>
      <c r="C7596" s="28"/>
      <c r="D7596" s="29" t="s">
        <v>28</v>
      </c>
      <c r="E7596" s="30"/>
      <c r="F7596" s="45" t="s">
        <v>23</v>
      </c>
      <c r="G7596" s="31" t="str">
        <f t="shared" si="220"/>
        <v/>
      </c>
      <c r="H7596" s="32"/>
      <c r="I7596" s="33"/>
      <c r="J7596" s="34">
        <v>0</v>
      </c>
    </row>
    <row r="7597" spans="1:10" ht="15.75" hidden="1" thickBot="1" x14ac:dyDescent="0.3">
      <c r="A7597" s="257"/>
      <c r="B7597" s="260"/>
      <c r="C7597" s="36"/>
      <c r="D7597" s="36"/>
      <c r="E7597" s="37"/>
      <c r="F7597" s="46" t="s">
        <v>23</v>
      </c>
      <c r="G7597" s="38" t="str">
        <f t="shared" si="220"/>
        <v/>
      </c>
      <c r="H7597" s="39"/>
      <c r="I7597" s="35"/>
      <c r="J7597" s="34">
        <v>0</v>
      </c>
    </row>
    <row r="7598" spans="1:10" ht="15.75" hidden="1" thickBot="1" x14ac:dyDescent="0.3">
      <c r="A7598" s="257"/>
      <c r="B7598" s="260"/>
      <c r="C7598" s="40" t="s">
        <v>4517</v>
      </c>
      <c r="D7598" s="40" t="s">
        <v>291</v>
      </c>
      <c r="E7598" s="41">
        <v>1</v>
      </c>
      <c r="F7598" s="35">
        <v>5.9849999999999994</v>
      </c>
      <c r="G7598" s="38">
        <f t="shared" si="220"/>
        <v>5.9849999999999994</v>
      </c>
      <c r="H7598" s="43">
        <f>SUM(G7598:G7598)</f>
        <v>5.9849999999999994</v>
      </c>
      <c r="I7598" s="44"/>
      <c r="J7598" s="34">
        <v>0</v>
      </c>
    </row>
    <row r="7599" spans="1:10" ht="15.75" hidden="1" thickBot="1" x14ac:dyDescent="0.3">
      <c r="A7599" s="258"/>
      <c r="B7599" s="261"/>
      <c r="C7599" s="60"/>
      <c r="D7599" s="60"/>
      <c r="E7599" s="79"/>
      <c r="F7599" s="87" t="s">
        <v>23</v>
      </c>
      <c r="G7599" s="88" t="str">
        <f t="shared" si="220"/>
        <v/>
      </c>
      <c r="H7599" s="89"/>
      <c r="I7599" s="35"/>
      <c r="J7599" s="34">
        <v>0</v>
      </c>
    </row>
    <row r="7600" spans="1:10" ht="15.75" hidden="1" thickBot="1" x14ac:dyDescent="0.3">
      <c r="A7600" s="256" t="s">
        <v>1830</v>
      </c>
      <c r="B7600" s="259" t="s">
        <v>3540</v>
      </c>
      <c r="C7600" s="28"/>
      <c r="D7600" s="29" t="s">
        <v>28</v>
      </c>
      <c r="E7600" s="30"/>
      <c r="F7600" s="45" t="s">
        <v>23</v>
      </c>
      <c r="G7600" s="31" t="str">
        <f t="shared" si="220"/>
        <v/>
      </c>
      <c r="H7600" s="32"/>
      <c r="I7600" s="33"/>
      <c r="J7600" s="34">
        <v>0</v>
      </c>
    </row>
    <row r="7601" spans="1:10" ht="15.75" hidden="1" thickBot="1" x14ac:dyDescent="0.3">
      <c r="A7601" s="257"/>
      <c r="B7601" s="260"/>
      <c r="C7601" s="36"/>
      <c r="D7601" s="36"/>
      <c r="E7601" s="37"/>
      <c r="F7601" s="46" t="s">
        <v>23</v>
      </c>
      <c r="G7601" s="38" t="str">
        <f t="shared" si="220"/>
        <v/>
      </c>
      <c r="H7601" s="39"/>
      <c r="I7601" s="35"/>
      <c r="J7601" s="34">
        <v>0</v>
      </c>
    </row>
    <row r="7602" spans="1:10" ht="15.75" hidden="1" thickBot="1" x14ac:dyDescent="0.3">
      <c r="A7602" s="257"/>
      <c r="B7602" s="260"/>
      <c r="C7602" s="40" t="s">
        <v>4518</v>
      </c>
      <c r="D7602" s="40" t="s">
        <v>291</v>
      </c>
      <c r="E7602" s="41">
        <v>1</v>
      </c>
      <c r="F7602" s="35">
        <v>6.5644999999999998</v>
      </c>
      <c r="G7602" s="38">
        <f t="shared" si="220"/>
        <v>6.5644999999999998</v>
      </c>
      <c r="H7602" s="43">
        <f>SUM(G7602:G7602)</f>
        <v>6.5644999999999998</v>
      </c>
      <c r="I7602" s="44"/>
      <c r="J7602" s="34">
        <v>0</v>
      </c>
    </row>
    <row r="7603" spans="1:10" ht="15.75" hidden="1" thickBot="1" x14ac:dyDescent="0.3">
      <c r="A7603" s="258"/>
      <c r="B7603" s="261"/>
      <c r="C7603" s="60"/>
      <c r="D7603" s="60"/>
      <c r="E7603" s="79"/>
      <c r="F7603" s="87" t="s">
        <v>23</v>
      </c>
      <c r="G7603" s="88" t="str">
        <f t="shared" si="220"/>
        <v/>
      </c>
      <c r="H7603" s="89"/>
      <c r="I7603" s="35"/>
      <c r="J7603" s="34">
        <v>0</v>
      </c>
    </row>
    <row r="7604" spans="1:10" ht="15.75" hidden="1" thickBot="1" x14ac:dyDescent="0.3">
      <c r="A7604" s="256" t="s">
        <v>1831</v>
      </c>
      <c r="B7604" s="259" t="s">
        <v>3541</v>
      </c>
      <c r="C7604" s="28"/>
      <c r="D7604" s="29" t="s">
        <v>28</v>
      </c>
      <c r="E7604" s="30"/>
      <c r="F7604" s="45" t="s">
        <v>23</v>
      </c>
      <c r="G7604" s="31" t="str">
        <f t="shared" si="220"/>
        <v/>
      </c>
      <c r="H7604" s="32"/>
      <c r="I7604" s="33"/>
      <c r="J7604" s="34">
        <v>0</v>
      </c>
    </row>
    <row r="7605" spans="1:10" ht="15.75" hidden="1" thickBot="1" x14ac:dyDescent="0.3">
      <c r="A7605" s="257"/>
      <c r="B7605" s="260"/>
      <c r="C7605" s="36"/>
      <c r="D7605" s="36"/>
      <c r="E7605" s="37"/>
      <c r="F7605" s="46" t="s">
        <v>23</v>
      </c>
      <c r="G7605" s="38" t="str">
        <f t="shared" si="220"/>
        <v/>
      </c>
      <c r="H7605" s="39"/>
      <c r="I7605" s="35"/>
      <c r="J7605" s="34">
        <v>0</v>
      </c>
    </row>
    <row r="7606" spans="1:10" ht="26.25" hidden="1" thickBot="1" x14ac:dyDescent="0.3">
      <c r="A7606" s="257"/>
      <c r="B7606" s="260"/>
      <c r="C7606" s="40" t="s">
        <v>4519</v>
      </c>
      <c r="D7606" s="40" t="s">
        <v>291</v>
      </c>
      <c r="E7606" s="41">
        <v>1</v>
      </c>
      <c r="F7606" s="35">
        <v>12.3405</v>
      </c>
      <c r="G7606" s="38">
        <f t="shared" si="220"/>
        <v>12.3405</v>
      </c>
      <c r="H7606" s="43">
        <f>SUM(G7606:G7606)</f>
        <v>12.3405</v>
      </c>
      <c r="I7606" s="44"/>
      <c r="J7606" s="34">
        <v>0</v>
      </c>
    </row>
    <row r="7607" spans="1:10" ht="15.75" hidden="1" thickBot="1" x14ac:dyDescent="0.3">
      <c r="A7607" s="258"/>
      <c r="B7607" s="261"/>
      <c r="C7607" s="60"/>
      <c r="D7607" s="60"/>
      <c r="E7607" s="79"/>
      <c r="F7607" s="87" t="s">
        <v>23</v>
      </c>
      <c r="G7607" s="88" t="str">
        <f t="shared" si="220"/>
        <v/>
      </c>
      <c r="H7607" s="89"/>
      <c r="I7607" s="35"/>
      <c r="J7607" s="34">
        <v>0</v>
      </c>
    </row>
    <row r="7608" spans="1:10" ht="15.75" hidden="1" thickBot="1" x14ac:dyDescent="0.3">
      <c r="A7608" s="256" t="s">
        <v>1832</v>
      </c>
      <c r="B7608" s="259" t="s">
        <v>3542</v>
      </c>
      <c r="C7608" s="28"/>
      <c r="D7608" s="29" t="s">
        <v>28</v>
      </c>
      <c r="E7608" s="30"/>
      <c r="F7608" s="45" t="s">
        <v>23</v>
      </c>
      <c r="G7608" s="31" t="str">
        <f t="shared" si="220"/>
        <v/>
      </c>
      <c r="H7608" s="32"/>
      <c r="I7608" s="33"/>
      <c r="J7608" s="34">
        <v>0</v>
      </c>
    </row>
    <row r="7609" spans="1:10" ht="15.75" hidden="1" thickBot="1" x14ac:dyDescent="0.3">
      <c r="A7609" s="257"/>
      <c r="B7609" s="260"/>
      <c r="C7609" s="36"/>
      <c r="D7609" s="36"/>
      <c r="E7609" s="37"/>
      <c r="F7609" s="46" t="s">
        <v>23</v>
      </c>
      <c r="G7609" s="38" t="str">
        <f t="shared" si="220"/>
        <v/>
      </c>
      <c r="H7609" s="39"/>
      <c r="I7609" s="35"/>
      <c r="J7609" s="34">
        <v>0</v>
      </c>
    </row>
    <row r="7610" spans="1:10" ht="15.75" hidden="1" thickBot="1" x14ac:dyDescent="0.3">
      <c r="A7610" s="257"/>
      <c r="B7610" s="260"/>
      <c r="C7610" s="40" t="s">
        <v>4520</v>
      </c>
      <c r="D7610" s="40" t="s">
        <v>291</v>
      </c>
      <c r="E7610" s="41">
        <v>1</v>
      </c>
      <c r="F7610" s="35">
        <v>0.81699999999999995</v>
      </c>
      <c r="G7610" s="38">
        <f t="shared" si="220"/>
        <v>0.81699999999999995</v>
      </c>
      <c r="H7610" s="43">
        <f>SUM(G7610:G7610)</f>
        <v>0.81699999999999995</v>
      </c>
      <c r="I7610" s="44"/>
      <c r="J7610" s="34">
        <v>0</v>
      </c>
    </row>
    <row r="7611" spans="1:10" ht="15.75" hidden="1" thickBot="1" x14ac:dyDescent="0.3">
      <c r="A7611" s="258"/>
      <c r="B7611" s="261"/>
      <c r="C7611" s="60"/>
      <c r="D7611" s="60"/>
      <c r="E7611" s="79"/>
      <c r="F7611" s="87" t="s">
        <v>23</v>
      </c>
      <c r="G7611" s="88" t="str">
        <f t="shared" si="220"/>
        <v/>
      </c>
      <c r="H7611" s="89"/>
      <c r="I7611" s="35"/>
      <c r="J7611" s="34">
        <v>0</v>
      </c>
    </row>
    <row r="7612" spans="1:10" ht="15.75" hidden="1" thickBot="1" x14ac:dyDescent="0.3">
      <c r="A7612" s="256" t="s">
        <v>1833</v>
      </c>
      <c r="B7612" s="259" t="s">
        <v>3543</v>
      </c>
      <c r="C7612" s="28"/>
      <c r="D7612" s="29" t="s">
        <v>28</v>
      </c>
      <c r="E7612" s="30"/>
      <c r="F7612" s="45" t="s">
        <v>23</v>
      </c>
      <c r="G7612" s="31" t="str">
        <f t="shared" si="220"/>
        <v/>
      </c>
      <c r="H7612" s="32"/>
      <c r="I7612" s="33"/>
      <c r="J7612" s="34">
        <v>0</v>
      </c>
    </row>
    <row r="7613" spans="1:10" ht="15.75" hidden="1" thickBot="1" x14ac:dyDescent="0.3">
      <c r="A7613" s="257"/>
      <c r="B7613" s="260"/>
      <c r="C7613" s="36"/>
      <c r="D7613" s="36"/>
      <c r="E7613" s="37"/>
      <c r="F7613" s="46" t="s">
        <v>23</v>
      </c>
      <c r="G7613" s="38" t="str">
        <f t="shared" ref="G7613:G7676" si="221">IF(ISNUMBER(F7613),E7613*F7613,"")</f>
        <v/>
      </c>
      <c r="H7613" s="39"/>
      <c r="I7613" s="35"/>
      <c r="J7613" s="34">
        <v>0</v>
      </c>
    </row>
    <row r="7614" spans="1:10" ht="15.75" hidden="1" thickBot="1" x14ac:dyDescent="0.3">
      <c r="A7614" s="257"/>
      <c r="B7614" s="260"/>
      <c r="C7614" s="40" t="s">
        <v>4521</v>
      </c>
      <c r="D7614" s="40" t="s">
        <v>291</v>
      </c>
      <c r="E7614" s="41">
        <v>1</v>
      </c>
      <c r="F7614" s="35">
        <v>7.9894999999999996</v>
      </c>
      <c r="G7614" s="38">
        <f t="shared" si="221"/>
        <v>7.9894999999999996</v>
      </c>
      <c r="H7614" s="43">
        <f>SUM(G7614:G7614)</f>
        <v>7.9894999999999996</v>
      </c>
      <c r="I7614" s="44"/>
      <c r="J7614" s="34">
        <v>0</v>
      </c>
    </row>
    <row r="7615" spans="1:10" ht="15.75" hidden="1" thickBot="1" x14ac:dyDescent="0.3">
      <c r="A7615" s="258"/>
      <c r="B7615" s="261"/>
      <c r="C7615" s="60"/>
      <c r="D7615" s="60"/>
      <c r="E7615" s="79"/>
      <c r="F7615" s="87" t="s">
        <v>23</v>
      </c>
      <c r="G7615" s="88" t="str">
        <f t="shared" si="221"/>
        <v/>
      </c>
      <c r="H7615" s="89"/>
      <c r="I7615" s="35"/>
      <c r="J7615" s="34">
        <v>0</v>
      </c>
    </row>
    <row r="7616" spans="1:10" ht="15.75" hidden="1" thickBot="1" x14ac:dyDescent="0.3">
      <c r="A7616" s="256" t="s">
        <v>1834</v>
      </c>
      <c r="B7616" s="259" t="s">
        <v>3544</v>
      </c>
      <c r="C7616" s="28"/>
      <c r="D7616" s="29" t="s">
        <v>28</v>
      </c>
      <c r="E7616" s="30"/>
      <c r="F7616" s="45" t="s">
        <v>23</v>
      </c>
      <c r="G7616" s="31" t="str">
        <f t="shared" si="221"/>
        <v/>
      </c>
      <c r="H7616" s="32"/>
      <c r="I7616" s="33"/>
      <c r="J7616" s="34">
        <v>0</v>
      </c>
    </row>
    <row r="7617" spans="1:10" ht="15.75" hidden="1" thickBot="1" x14ac:dyDescent="0.3">
      <c r="A7617" s="257"/>
      <c r="B7617" s="260"/>
      <c r="C7617" s="36"/>
      <c r="D7617" s="36"/>
      <c r="E7617" s="37"/>
      <c r="F7617" s="46" t="s">
        <v>23</v>
      </c>
      <c r="G7617" s="38" t="str">
        <f t="shared" si="221"/>
        <v/>
      </c>
      <c r="H7617" s="39"/>
      <c r="I7617" s="35"/>
      <c r="J7617" s="34">
        <v>0</v>
      </c>
    </row>
    <row r="7618" spans="1:10" ht="26.25" hidden="1" thickBot="1" x14ac:dyDescent="0.3">
      <c r="A7618" s="257"/>
      <c r="B7618" s="260"/>
      <c r="C7618" s="40" t="s">
        <v>4522</v>
      </c>
      <c r="D7618" s="40" t="s">
        <v>291</v>
      </c>
      <c r="E7618" s="41">
        <v>1</v>
      </c>
      <c r="F7618" s="35">
        <v>0.8929999999999999</v>
      </c>
      <c r="G7618" s="38">
        <f t="shared" si="221"/>
        <v>0.8929999999999999</v>
      </c>
      <c r="H7618" s="43">
        <f>SUM(G7618:G7618)</f>
        <v>0.8929999999999999</v>
      </c>
      <c r="I7618" s="44"/>
      <c r="J7618" s="34">
        <v>0</v>
      </c>
    </row>
    <row r="7619" spans="1:10" ht="15.75" hidden="1" thickBot="1" x14ac:dyDescent="0.3">
      <c r="A7619" s="258"/>
      <c r="B7619" s="261"/>
      <c r="C7619" s="60"/>
      <c r="D7619" s="60"/>
      <c r="E7619" s="79"/>
      <c r="F7619" s="87" t="s">
        <v>23</v>
      </c>
      <c r="G7619" s="88" t="str">
        <f t="shared" si="221"/>
        <v/>
      </c>
      <c r="H7619" s="89"/>
      <c r="I7619" s="35"/>
      <c r="J7619" s="34">
        <v>0</v>
      </c>
    </row>
    <row r="7620" spans="1:10" ht="15.75" hidden="1" thickBot="1" x14ac:dyDescent="0.3">
      <c r="A7620" s="256" t="s">
        <v>1835</v>
      </c>
      <c r="B7620" s="259" t="s">
        <v>3545</v>
      </c>
      <c r="C7620" s="28"/>
      <c r="D7620" s="29" t="s">
        <v>28</v>
      </c>
      <c r="E7620" s="30"/>
      <c r="F7620" s="45" t="s">
        <v>23</v>
      </c>
      <c r="G7620" s="31" t="str">
        <f t="shared" si="221"/>
        <v/>
      </c>
      <c r="H7620" s="32"/>
      <c r="I7620" s="33"/>
      <c r="J7620" s="34">
        <v>0</v>
      </c>
    </row>
    <row r="7621" spans="1:10" ht="15.75" hidden="1" thickBot="1" x14ac:dyDescent="0.3">
      <c r="A7621" s="257"/>
      <c r="B7621" s="260"/>
      <c r="C7621" s="36"/>
      <c r="D7621" s="36"/>
      <c r="E7621" s="37"/>
      <c r="F7621" s="46" t="s">
        <v>23</v>
      </c>
      <c r="G7621" s="38" t="str">
        <f t="shared" si="221"/>
        <v/>
      </c>
      <c r="H7621" s="39"/>
      <c r="I7621" s="35"/>
      <c r="J7621" s="34">
        <v>0</v>
      </c>
    </row>
    <row r="7622" spans="1:10" ht="26.25" hidden="1" thickBot="1" x14ac:dyDescent="0.3">
      <c r="A7622" s="257"/>
      <c r="B7622" s="260"/>
      <c r="C7622" s="40" t="s">
        <v>4441</v>
      </c>
      <c r="D7622" s="40" t="s">
        <v>291</v>
      </c>
      <c r="E7622" s="41">
        <v>1</v>
      </c>
      <c r="F7622" s="35">
        <v>12.311999999999999</v>
      </c>
      <c r="G7622" s="38">
        <f t="shared" si="221"/>
        <v>12.311999999999999</v>
      </c>
      <c r="H7622" s="43">
        <f>SUM(G7622:G7622)</f>
        <v>12.311999999999999</v>
      </c>
      <c r="I7622" s="44"/>
      <c r="J7622" s="34">
        <v>0</v>
      </c>
    </row>
    <row r="7623" spans="1:10" ht="15.75" hidden="1" thickBot="1" x14ac:dyDescent="0.3">
      <c r="A7623" s="258"/>
      <c r="B7623" s="261"/>
      <c r="C7623" s="60"/>
      <c r="D7623" s="60"/>
      <c r="E7623" s="79"/>
      <c r="F7623" s="87" t="s">
        <v>23</v>
      </c>
      <c r="G7623" s="88" t="str">
        <f t="shared" si="221"/>
        <v/>
      </c>
      <c r="H7623" s="89"/>
      <c r="I7623" s="35"/>
      <c r="J7623" s="34">
        <v>0</v>
      </c>
    </row>
    <row r="7624" spans="1:10" ht="15.75" hidden="1" thickBot="1" x14ac:dyDescent="0.3">
      <c r="A7624" s="256" t="s">
        <v>1836</v>
      </c>
      <c r="B7624" s="259" t="s">
        <v>3546</v>
      </c>
      <c r="C7624" s="28"/>
      <c r="D7624" s="29" t="s">
        <v>28</v>
      </c>
      <c r="E7624" s="30"/>
      <c r="F7624" s="45" t="s">
        <v>23</v>
      </c>
      <c r="G7624" s="31" t="str">
        <f t="shared" si="221"/>
        <v/>
      </c>
      <c r="H7624" s="32"/>
      <c r="I7624" s="33"/>
      <c r="J7624" s="34">
        <v>0</v>
      </c>
    </row>
    <row r="7625" spans="1:10" ht="15.75" hidden="1" thickBot="1" x14ac:dyDescent="0.3">
      <c r="A7625" s="257"/>
      <c r="B7625" s="260"/>
      <c r="C7625" s="36"/>
      <c r="D7625" s="36"/>
      <c r="E7625" s="37"/>
      <c r="F7625" s="46" t="s">
        <v>23</v>
      </c>
      <c r="G7625" s="38" t="str">
        <f t="shared" si="221"/>
        <v/>
      </c>
      <c r="H7625" s="39"/>
      <c r="I7625" s="35"/>
      <c r="J7625" s="34">
        <v>0</v>
      </c>
    </row>
    <row r="7626" spans="1:10" ht="26.25" hidden="1" thickBot="1" x14ac:dyDescent="0.3">
      <c r="A7626" s="257"/>
      <c r="B7626" s="260"/>
      <c r="C7626" s="40" t="s">
        <v>4523</v>
      </c>
      <c r="D7626" s="40" t="s">
        <v>291</v>
      </c>
      <c r="E7626" s="41">
        <v>1</v>
      </c>
      <c r="F7626" s="35">
        <v>2.4224999999999999</v>
      </c>
      <c r="G7626" s="38">
        <f t="shared" si="221"/>
        <v>2.4224999999999999</v>
      </c>
      <c r="H7626" s="43">
        <f>SUM(G7626:G7626)</f>
        <v>2.4224999999999999</v>
      </c>
      <c r="I7626" s="44"/>
      <c r="J7626" s="34">
        <v>0</v>
      </c>
    </row>
    <row r="7627" spans="1:10" ht="15.75" hidden="1" thickBot="1" x14ac:dyDescent="0.3">
      <c r="A7627" s="258"/>
      <c r="B7627" s="261"/>
      <c r="C7627" s="60"/>
      <c r="D7627" s="60"/>
      <c r="E7627" s="79"/>
      <c r="F7627" s="87" t="s">
        <v>23</v>
      </c>
      <c r="G7627" s="88" t="str">
        <f t="shared" si="221"/>
        <v/>
      </c>
      <c r="H7627" s="89"/>
      <c r="I7627" s="35"/>
      <c r="J7627" s="34">
        <v>0</v>
      </c>
    </row>
    <row r="7628" spans="1:10" ht="15.75" hidden="1" thickBot="1" x14ac:dyDescent="0.3">
      <c r="A7628" s="256" t="s">
        <v>1837</v>
      </c>
      <c r="B7628" s="259" t="s">
        <v>3547</v>
      </c>
      <c r="C7628" s="28"/>
      <c r="D7628" s="29" t="s">
        <v>28</v>
      </c>
      <c r="E7628" s="30"/>
      <c r="F7628" s="45" t="s">
        <v>23</v>
      </c>
      <c r="G7628" s="31" t="str">
        <f t="shared" si="221"/>
        <v/>
      </c>
      <c r="H7628" s="32"/>
      <c r="I7628" s="33"/>
      <c r="J7628" s="34">
        <v>0</v>
      </c>
    </row>
    <row r="7629" spans="1:10" ht="15.75" hidden="1" thickBot="1" x14ac:dyDescent="0.3">
      <c r="A7629" s="257"/>
      <c r="B7629" s="260"/>
      <c r="C7629" s="36"/>
      <c r="D7629" s="36"/>
      <c r="E7629" s="37"/>
      <c r="F7629" s="46" t="s">
        <v>23</v>
      </c>
      <c r="G7629" s="38" t="str">
        <f t="shared" si="221"/>
        <v/>
      </c>
      <c r="H7629" s="39"/>
      <c r="I7629" s="35"/>
      <c r="J7629" s="34">
        <v>0</v>
      </c>
    </row>
    <row r="7630" spans="1:10" ht="26.25" hidden="1" thickBot="1" x14ac:dyDescent="0.3">
      <c r="A7630" s="257"/>
      <c r="B7630" s="260"/>
      <c r="C7630" s="40" t="s">
        <v>4524</v>
      </c>
      <c r="D7630" s="40" t="s">
        <v>291</v>
      </c>
      <c r="E7630" s="41">
        <v>1</v>
      </c>
      <c r="F7630" s="35">
        <v>4.1420000000000003</v>
      </c>
      <c r="G7630" s="38">
        <f t="shared" si="221"/>
        <v>4.1420000000000003</v>
      </c>
      <c r="H7630" s="43">
        <f>SUM(G7630:G7630)</f>
        <v>4.1420000000000003</v>
      </c>
      <c r="I7630" s="44"/>
      <c r="J7630" s="34">
        <v>0</v>
      </c>
    </row>
    <row r="7631" spans="1:10" ht="15.75" hidden="1" thickBot="1" x14ac:dyDescent="0.3">
      <c r="A7631" s="258"/>
      <c r="B7631" s="261"/>
      <c r="C7631" s="60"/>
      <c r="D7631" s="60"/>
      <c r="E7631" s="79"/>
      <c r="F7631" s="87" t="s">
        <v>23</v>
      </c>
      <c r="G7631" s="88" t="str">
        <f t="shared" si="221"/>
        <v/>
      </c>
      <c r="H7631" s="89"/>
      <c r="I7631" s="35"/>
      <c r="J7631" s="34">
        <v>0</v>
      </c>
    </row>
    <row r="7632" spans="1:10" ht="15.75" hidden="1" thickBot="1" x14ac:dyDescent="0.3">
      <c r="A7632" s="256" t="s">
        <v>1838</v>
      </c>
      <c r="B7632" s="259" t="s">
        <v>3548</v>
      </c>
      <c r="C7632" s="28"/>
      <c r="D7632" s="29" t="s">
        <v>28</v>
      </c>
      <c r="E7632" s="30"/>
      <c r="F7632" s="45" t="s">
        <v>23</v>
      </c>
      <c r="G7632" s="31" t="str">
        <f t="shared" si="221"/>
        <v/>
      </c>
      <c r="H7632" s="32"/>
      <c r="I7632" s="33"/>
      <c r="J7632" s="34">
        <v>0</v>
      </c>
    </row>
    <row r="7633" spans="1:10" ht="15.75" hidden="1" thickBot="1" x14ac:dyDescent="0.3">
      <c r="A7633" s="257"/>
      <c r="B7633" s="260"/>
      <c r="C7633" s="36"/>
      <c r="D7633" s="36"/>
      <c r="E7633" s="37"/>
      <c r="F7633" s="46" t="s">
        <v>23</v>
      </c>
      <c r="G7633" s="38" t="str">
        <f t="shared" si="221"/>
        <v/>
      </c>
      <c r="H7633" s="39"/>
      <c r="I7633" s="35"/>
      <c r="J7633" s="34">
        <v>0</v>
      </c>
    </row>
    <row r="7634" spans="1:10" ht="15.75" hidden="1" thickBot="1" x14ac:dyDescent="0.3">
      <c r="A7634" s="257"/>
      <c r="B7634" s="260"/>
      <c r="C7634" s="40" t="s">
        <v>4525</v>
      </c>
      <c r="D7634" s="40" t="s">
        <v>291</v>
      </c>
      <c r="E7634" s="41">
        <v>1</v>
      </c>
      <c r="F7634" s="35">
        <v>2.0425</v>
      </c>
      <c r="G7634" s="38">
        <f t="shared" si="221"/>
        <v>2.0425</v>
      </c>
      <c r="H7634" s="43">
        <f>SUM(G7634:G7634)</f>
        <v>2.0425</v>
      </c>
      <c r="I7634" s="44"/>
      <c r="J7634" s="34">
        <v>0</v>
      </c>
    </row>
    <row r="7635" spans="1:10" ht="15.75" hidden="1" thickBot="1" x14ac:dyDescent="0.3">
      <c r="A7635" s="258"/>
      <c r="B7635" s="261"/>
      <c r="C7635" s="60"/>
      <c r="D7635" s="60"/>
      <c r="E7635" s="79"/>
      <c r="F7635" s="87" t="s">
        <v>23</v>
      </c>
      <c r="G7635" s="88" t="str">
        <f t="shared" si="221"/>
        <v/>
      </c>
      <c r="H7635" s="89"/>
      <c r="I7635" s="35"/>
      <c r="J7635" s="34">
        <v>0</v>
      </c>
    </row>
    <row r="7636" spans="1:10" ht="15.75" hidden="1" thickBot="1" x14ac:dyDescent="0.3">
      <c r="A7636" s="256" t="s">
        <v>1839</v>
      </c>
      <c r="B7636" s="259" t="s">
        <v>3549</v>
      </c>
      <c r="C7636" s="28"/>
      <c r="D7636" s="29" t="s">
        <v>28</v>
      </c>
      <c r="E7636" s="30"/>
      <c r="F7636" s="45" t="s">
        <v>23</v>
      </c>
      <c r="G7636" s="31" t="str">
        <f t="shared" si="221"/>
        <v/>
      </c>
      <c r="H7636" s="32"/>
      <c r="I7636" s="33"/>
      <c r="J7636" s="34">
        <v>0</v>
      </c>
    </row>
    <row r="7637" spans="1:10" ht="15.75" hidden="1" thickBot="1" x14ac:dyDescent="0.3">
      <c r="A7637" s="257"/>
      <c r="B7637" s="260"/>
      <c r="C7637" s="36"/>
      <c r="D7637" s="36"/>
      <c r="E7637" s="37"/>
      <c r="F7637" s="46" t="s">
        <v>23</v>
      </c>
      <c r="G7637" s="38" t="str">
        <f t="shared" si="221"/>
        <v/>
      </c>
      <c r="H7637" s="39"/>
      <c r="I7637" s="35"/>
      <c r="J7637" s="34">
        <v>0</v>
      </c>
    </row>
    <row r="7638" spans="1:10" ht="26.25" hidden="1" thickBot="1" x14ac:dyDescent="0.3">
      <c r="A7638" s="257"/>
      <c r="B7638" s="260"/>
      <c r="C7638" s="40" t="s">
        <v>4526</v>
      </c>
      <c r="D7638" s="40" t="s">
        <v>291</v>
      </c>
      <c r="E7638" s="41">
        <v>1</v>
      </c>
      <c r="F7638" s="35">
        <v>6.4504999999999999</v>
      </c>
      <c r="G7638" s="38">
        <f t="shared" si="221"/>
        <v>6.4504999999999999</v>
      </c>
      <c r="H7638" s="43">
        <f>SUM(G7638:G7638)</f>
        <v>6.4504999999999999</v>
      </c>
      <c r="I7638" s="44"/>
      <c r="J7638" s="34">
        <v>0</v>
      </c>
    </row>
    <row r="7639" spans="1:10" ht="15.75" hidden="1" thickBot="1" x14ac:dyDescent="0.3">
      <c r="A7639" s="258"/>
      <c r="B7639" s="261"/>
      <c r="C7639" s="60"/>
      <c r="D7639" s="60"/>
      <c r="E7639" s="79"/>
      <c r="F7639" s="87" t="s">
        <v>23</v>
      </c>
      <c r="G7639" s="88" t="str">
        <f t="shared" si="221"/>
        <v/>
      </c>
      <c r="H7639" s="89"/>
      <c r="I7639" s="35"/>
      <c r="J7639" s="34">
        <v>0</v>
      </c>
    </row>
    <row r="7640" spans="1:10" ht="15.75" hidden="1" thickBot="1" x14ac:dyDescent="0.3">
      <c r="A7640" s="256" t="s">
        <v>1840</v>
      </c>
      <c r="B7640" s="259" t="s">
        <v>3550</v>
      </c>
      <c r="C7640" s="28"/>
      <c r="D7640" s="29" t="s">
        <v>28</v>
      </c>
      <c r="E7640" s="30"/>
      <c r="F7640" s="45" t="s">
        <v>23</v>
      </c>
      <c r="G7640" s="31" t="str">
        <f t="shared" si="221"/>
        <v/>
      </c>
      <c r="H7640" s="32"/>
      <c r="I7640" s="33"/>
      <c r="J7640" s="34">
        <v>0</v>
      </c>
    </row>
    <row r="7641" spans="1:10" ht="15.75" hidden="1" thickBot="1" x14ac:dyDescent="0.3">
      <c r="A7641" s="257"/>
      <c r="B7641" s="260"/>
      <c r="C7641" s="36"/>
      <c r="D7641" s="36"/>
      <c r="E7641" s="37"/>
      <c r="F7641" s="46" t="s">
        <v>23</v>
      </c>
      <c r="G7641" s="38" t="str">
        <f t="shared" si="221"/>
        <v/>
      </c>
      <c r="H7641" s="39"/>
      <c r="I7641" s="35"/>
      <c r="J7641" s="34">
        <v>0</v>
      </c>
    </row>
    <row r="7642" spans="1:10" ht="26.25" hidden="1" thickBot="1" x14ac:dyDescent="0.3">
      <c r="A7642" s="257"/>
      <c r="B7642" s="260"/>
      <c r="C7642" s="40" t="s">
        <v>4527</v>
      </c>
      <c r="D7642" s="40" t="s">
        <v>291</v>
      </c>
      <c r="E7642" s="41">
        <v>1</v>
      </c>
      <c r="F7642" s="35">
        <v>3.7715000000000001</v>
      </c>
      <c r="G7642" s="38">
        <f t="shared" si="221"/>
        <v>3.7715000000000001</v>
      </c>
      <c r="H7642" s="43">
        <f>SUM(G7642:G7642)</f>
        <v>3.7715000000000001</v>
      </c>
      <c r="I7642" s="44"/>
      <c r="J7642" s="34">
        <v>0</v>
      </c>
    </row>
    <row r="7643" spans="1:10" ht="15.75" hidden="1" thickBot="1" x14ac:dyDescent="0.3">
      <c r="A7643" s="258"/>
      <c r="B7643" s="261"/>
      <c r="C7643" s="60"/>
      <c r="D7643" s="60"/>
      <c r="E7643" s="79"/>
      <c r="F7643" s="87" t="s">
        <v>23</v>
      </c>
      <c r="G7643" s="88" t="str">
        <f t="shared" si="221"/>
        <v/>
      </c>
      <c r="H7643" s="89"/>
      <c r="I7643" s="35"/>
      <c r="J7643" s="34">
        <v>0</v>
      </c>
    </row>
    <row r="7644" spans="1:10" ht="15.75" hidden="1" thickBot="1" x14ac:dyDescent="0.3">
      <c r="A7644" s="256" t="s">
        <v>1841</v>
      </c>
      <c r="B7644" s="259" t="s">
        <v>3551</v>
      </c>
      <c r="C7644" s="28"/>
      <c r="D7644" s="29" t="s">
        <v>28</v>
      </c>
      <c r="E7644" s="30"/>
      <c r="F7644" s="45" t="s">
        <v>23</v>
      </c>
      <c r="G7644" s="31" t="str">
        <f t="shared" si="221"/>
        <v/>
      </c>
      <c r="H7644" s="32"/>
      <c r="I7644" s="33"/>
      <c r="J7644" s="34">
        <v>0</v>
      </c>
    </row>
    <row r="7645" spans="1:10" ht="15.75" hidden="1" thickBot="1" x14ac:dyDescent="0.3">
      <c r="A7645" s="257"/>
      <c r="B7645" s="260"/>
      <c r="C7645" s="36"/>
      <c r="D7645" s="36"/>
      <c r="E7645" s="37"/>
      <c r="F7645" s="46" t="s">
        <v>23</v>
      </c>
      <c r="G7645" s="38" t="str">
        <f t="shared" si="221"/>
        <v/>
      </c>
      <c r="H7645" s="39"/>
      <c r="I7645" s="35"/>
      <c r="J7645" s="34">
        <v>0</v>
      </c>
    </row>
    <row r="7646" spans="1:10" ht="15.75" hidden="1" thickBot="1" x14ac:dyDescent="0.3">
      <c r="A7646" s="257"/>
      <c r="B7646" s="260"/>
      <c r="C7646" s="40" t="s">
        <v>4528</v>
      </c>
      <c r="D7646" s="40" t="s">
        <v>291</v>
      </c>
      <c r="E7646" s="41">
        <v>1</v>
      </c>
      <c r="F7646" s="35">
        <v>1.9949999999999999</v>
      </c>
      <c r="G7646" s="38">
        <f t="shared" si="221"/>
        <v>1.9949999999999999</v>
      </c>
      <c r="H7646" s="43">
        <f>SUM(G7646:G7646)</f>
        <v>1.9949999999999999</v>
      </c>
      <c r="I7646" s="44"/>
      <c r="J7646" s="34">
        <v>0</v>
      </c>
    </row>
    <row r="7647" spans="1:10" ht="15.75" hidden="1" thickBot="1" x14ac:dyDescent="0.3">
      <c r="A7647" s="258"/>
      <c r="B7647" s="261"/>
      <c r="C7647" s="60"/>
      <c r="D7647" s="60"/>
      <c r="E7647" s="79"/>
      <c r="F7647" s="87" t="s">
        <v>23</v>
      </c>
      <c r="G7647" s="88" t="str">
        <f t="shared" si="221"/>
        <v/>
      </c>
      <c r="H7647" s="89"/>
      <c r="I7647" s="35"/>
      <c r="J7647" s="34">
        <v>0</v>
      </c>
    </row>
    <row r="7648" spans="1:10" ht="15.75" hidden="1" thickBot="1" x14ac:dyDescent="0.3">
      <c r="A7648" s="256" t="s">
        <v>1842</v>
      </c>
      <c r="B7648" s="259" t="s">
        <v>3552</v>
      </c>
      <c r="C7648" s="28"/>
      <c r="D7648" s="29" t="s">
        <v>28</v>
      </c>
      <c r="E7648" s="30"/>
      <c r="F7648" s="45" t="s">
        <v>23</v>
      </c>
      <c r="G7648" s="31" t="str">
        <f t="shared" si="221"/>
        <v/>
      </c>
      <c r="H7648" s="32"/>
      <c r="I7648" s="33"/>
      <c r="J7648" s="34">
        <v>0</v>
      </c>
    </row>
    <row r="7649" spans="1:10" ht="15.75" hidden="1" thickBot="1" x14ac:dyDescent="0.3">
      <c r="A7649" s="257"/>
      <c r="B7649" s="260"/>
      <c r="C7649" s="36"/>
      <c r="D7649" s="36"/>
      <c r="E7649" s="37"/>
      <c r="F7649" s="46" t="s">
        <v>23</v>
      </c>
      <c r="G7649" s="38" t="str">
        <f t="shared" si="221"/>
        <v/>
      </c>
      <c r="H7649" s="39"/>
      <c r="I7649" s="35"/>
      <c r="J7649" s="34">
        <v>0</v>
      </c>
    </row>
    <row r="7650" spans="1:10" ht="26.25" hidden="1" thickBot="1" x14ac:dyDescent="0.3">
      <c r="A7650" s="257"/>
      <c r="B7650" s="260"/>
      <c r="C7650" s="40" t="s">
        <v>4529</v>
      </c>
      <c r="D7650" s="40" t="s">
        <v>291</v>
      </c>
      <c r="E7650" s="41">
        <v>1</v>
      </c>
      <c r="F7650" s="35">
        <v>21.906999999999996</v>
      </c>
      <c r="G7650" s="38">
        <f t="shared" si="221"/>
        <v>21.906999999999996</v>
      </c>
      <c r="H7650" s="43">
        <f>SUM(G7650:G7650)</f>
        <v>21.906999999999996</v>
      </c>
      <c r="I7650" s="44"/>
      <c r="J7650" s="34">
        <v>0</v>
      </c>
    </row>
    <row r="7651" spans="1:10" ht="15.75" hidden="1" thickBot="1" x14ac:dyDescent="0.3">
      <c r="A7651" s="258"/>
      <c r="B7651" s="261"/>
      <c r="C7651" s="60"/>
      <c r="D7651" s="60"/>
      <c r="E7651" s="79"/>
      <c r="F7651" s="87" t="s">
        <v>23</v>
      </c>
      <c r="G7651" s="88" t="str">
        <f t="shared" si="221"/>
        <v/>
      </c>
      <c r="H7651" s="89"/>
      <c r="I7651" s="35"/>
      <c r="J7651" s="34">
        <v>0</v>
      </c>
    </row>
    <row r="7652" spans="1:10" ht="15.75" hidden="1" thickBot="1" x14ac:dyDescent="0.3">
      <c r="A7652" s="256" t="s">
        <v>1843</v>
      </c>
      <c r="B7652" s="259" t="s">
        <v>3553</v>
      </c>
      <c r="C7652" s="28"/>
      <c r="D7652" s="29" t="s">
        <v>28</v>
      </c>
      <c r="E7652" s="30"/>
      <c r="F7652" s="45" t="s">
        <v>23</v>
      </c>
      <c r="G7652" s="31" t="str">
        <f t="shared" si="221"/>
        <v/>
      </c>
      <c r="H7652" s="32"/>
      <c r="I7652" s="33"/>
      <c r="J7652" s="34">
        <v>0</v>
      </c>
    </row>
    <row r="7653" spans="1:10" ht="15.75" hidden="1" thickBot="1" x14ac:dyDescent="0.3">
      <c r="A7653" s="257"/>
      <c r="B7653" s="260"/>
      <c r="C7653" s="36"/>
      <c r="D7653" s="36"/>
      <c r="E7653" s="37"/>
      <c r="F7653" s="46" t="s">
        <v>23</v>
      </c>
      <c r="G7653" s="38" t="str">
        <f t="shared" si="221"/>
        <v/>
      </c>
      <c r="H7653" s="39"/>
      <c r="I7653" s="35"/>
      <c r="J7653" s="34">
        <v>0</v>
      </c>
    </row>
    <row r="7654" spans="1:10" ht="15.75" hidden="1" thickBot="1" x14ac:dyDescent="0.3">
      <c r="A7654" s="257"/>
      <c r="B7654" s="260"/>
      <c r="C7654" s="40" t="s">
        <v>4530</v>
      </c>
      <c r="D7654" s="40" t="s">
        <v>291</v>
      </c>
      <c r="E7654" s="41">
        <v>1</v>
      </c>
      <c r="F7654" s="35">
        <v>13.452</v>
      </c>
      <c r="G7654" s="38">
        <f t="shared" si="221"/>
        <v>13.452</v>
      </c>
      <c r="H7654" s="43">
        <f>SUM(G7654:G7654)</f>
        <v>13.452</v>
      </c>
      <c r="I7654" s="44"/>
      <c r="J7654" s="34">
        <v>0</v>
      </c>
    </row>
    <row r="7655" spans="1:10" ht="15.75" hidden="1" thickBot="1" x14ac:dyDescent="0.3">
      <c r="A7655" s="258"/>
      <c r="B7655" s="261"/>
      <c r="C7655" s="60"/>
      <c r="D7655" s="60"/>
      <c r="E7655" s="79"/>
      <c r="F7655" s="87" t="s">
        <v>23</v>
      </c>
      <c r="G7655" s="88" t="str">
        <f t="shared" si="221"/>
        <v/>
      </c>
      <c r="H7655" s="89"/>
      <c r="I7655" s="35"/>
      <c r="J7655" s="34">
        <v>0</v>
      </c>
    </row>
    <row r="7656" spans="1:10" ht="15.75" hidden="1" thickBot="1" x14ac:dyDescent="0.3">
      <c r="A7656" s="256" t="s">
        <v>1844</v>
      </c>
      <c r="B7656" s="259" t="s">
        <v>3554</v>
      </c>
      <c r="C7656" s="28"/>
      <c r="D7656" s="29" t="s">
        <v>28</v>
      </c>
      <c r="E7656" s="30"/>
      <c r="F7656" s="45" t="s">
        <v>23</v>
      </c>
      <c r="G7656" s="31" t="str">
        <f t="shared" si="221"/>
        <v/>
      </c>
      <c r="H7656" s="32"/>
      <c r="I7656" s="33"/>
      <c r="J7656" s="34">
        <v>0</v>
      </c>
    </row>
    <row r="7657" spans="1:10" ht="15.75" hidden="1" thickBot="1" x14ac:dyDescent="0.3">
      <c r="A7657" s="257"/>
      <c r="B7657" s="260"/>
      <c r="C7657" s="36"/>
      <c r="D7657" s="36"/>
      <c r="E7657" s="37"/>
      <c r="F7657" s="46" t="s">
        <v>23</v>
      </c>
      <c r="G7657" s="38" t="str">
        <f t="shared" si="221"/>
        <v/>
      </c>
      <c r="H7657" s="39"/>
      <c r="I7657" s="35"/>
      <c r="J7657" s="34">
        <v>0</v>
      </c>
    </row>
    <row r="7658" spans="1:10" ht="26.25" hidden="1" thickBot="1" x14ac:dyDescent="0.3">
      <c r="A7658" s="257"/>
      <c r="B7658" s="260"/>
      <c r="C7658" s="40" t="s">
        <v>4531</v>
      </c>
      <c r="D7658" s="40" t="s">
        <v>291</v>
      </c>
      <c r="E7658" s="41">
        <v>1</v>
      </c>
      <c r="F7658" s="35">
        <v>2.8119999999999998</v>
      </c>
      <c r="G7658" s="38">
        <f t="shared" si="221"/>
        <v>2.8119999999999998</v>
      </c>
      <c r="H7658" s="43">
        <f>SUM(G7658:G7658)</f>
        <v>2.8119999999999998</v>
      </c>
      <c r="I7658" s="44"/>
      <c r="J7658" s="34">
        <v>0</v>
      </c>
    </row>
    <row r="7659" spans="1:10" ht="15.75" hidden="1" thickBot="1" x14ac:dyDescent="0.3">
      <c r="A7659" s="258"/>
      <c r="B7659" s="261"/>
      <c r="C7659" s="60"/>
      <c r="D7659" s="60"/>
      <c r="E7659" s="79"/>
      <c r="F7659" s="87" t="s">
        <v>23</v>
      </c>
      <c r="G7659" s="88" t="str">
        <f t="shared" si="221"/>
        <v/>
      </c>
      <c r="H7659" s="89"/>
      <c r="I7659" s="35"/>
      <c r="J7659" s="34">
        <v>0</v>
      </c>
    </row>
    <row r="7660" spans="1:10" ht="15.75" hidden="1" thickBot="1" x14ac:dyDescent="0.3">
      <c r="A7660" s="256" t="s">
        <v>1845</v>
      </c>
      <c r="B7660" s="259" t="s">
        <v>3555</v>
      </c>
      <c r="C7660" s="28"/>
      <c r="D7660" s="29" t="s">
        <v>28</v>
      </c>
      <c r="E7660" s="30"/>
      <c r="F7660" s="45" t="s">
        <v>23</v>
      </c>
      <c r="G7660" s="31" t="str">
        <f t="shared" si="221"/>
        <v/>
      </c>
      <c r="H7660" s="32"/>
      <c r="I7660" s="33"/>
      <c r="J7660" s="34">
        <v>0</v>
      </c>
    </row>
    <row r="7661" spans="1:10" ht="15.75" hidden="1" thickBot="1" x14ac:dyDescent="0.3">
      <c r="A7661" s="257"/>
      <c r="B7661" s="260"/>
      <c r="C7661" s="36"/>
      <c r="D7661" s="36"/>
      <c r="E7661" s="37"/>
      <c r="F7661" s="46" t="s">
        <v>23</v>
      </c>
      <c r="G7661" s="38" t="str">
        <f t="shared" si="221"/>
        <v/>
      </c>
      <c r="H7661" s="39"/>
      <c r="I7661" s="35"/>
      <c r="J7661" s="34">
        <v>0</v>
      </c>
    </row>
    <row r="7662" spans="1:10" ht="26.25" hidden="1" thickBot="1" x14ac:dyDescent="0.3">
      <c r="A7662" s="257"/>
      <c r="B7662" s="260"/>
      <c r="C7662" s="40" t="s">
        <v>4532</v>
      </c>
      <c r="D7662" s="40" t="s">
        <v>291</v>
      </c>
      <c r="E7662" s="41">
        <v>1</v>
      </c>
      <c r="F7662" s="35">
        <v>0.95</v>
      </c>
      <c r="G7662" s="38">
        <f t="shared" si="221"/>
        <v>0.95</v>
      </c>
      <c r="H7662" s="43">
        <f>SUM(G7662:G7662)</f>
        <v>0.95</v>
      </c>
      <c r="I7662" s="44"/>
      <c r="J7662" s="34">
        <v>0</v>
      </c>
    </row>
    <row r="7663" spans="1:10" ht="15.75" hidden="1" thickBot="1" x14ac:dyDescent="0.3">
      <c r="A7663" s="258"/>
      <c r="B7663" s="261"/>
      <c r="C7663" s="60"/>
      <c r="D7663" s="60"/>
      <c r="E7663" s="79"/>
      <c r="F7663" s="87" t="s">
        <v>23</v>
      </c>
      <c r="G7663" s="88" t="str">
        <f t="shared" si="221"/>
        <v/>
      </c>
      <c r="H7663" s="89"/>
      <c r="I7663" s="35"/>
      <c r="J7663" s="34">
        <v>0</v>
      </c>
    </row>
    <row r="7664" spans="1:10" ht="15.75" hidden="1" thickBot="1" x14ac:dyDescent="0.3">
      <c r="A7664" s="256" t="s">
        <v>1846</v>
      </c>
      <c r="B7664" s="259" t="s">
        <v>3556</v>
      </c>
      <c r="C7664" s="28"/>
      <c r="D7664" s="29" t="s">
        <v>28</v>
      </c>
      <c r="E7664" s="30"/>
      <c r="F7664" s="45" t="s">
        <v>23</v>
      </c>
      <c r="G7664" s="31" t="str">
        <f t="shared" si="221"/>
        <v/>
      </c>
      <c r="H7664" s="32"/>
      <c r="I7664" s="33"/>
      <c r="J7664" s="34">
        <v>0</v>
      </c>
    </row>
    <row r="7665" spans="1:10" ht="15.75" hidden="1" thickBot="1" x14ac:dyDescent="0.3">
      <c r="A7665" s="257"/>
      <c r="B7665" s="260"/>
      <c r="C7665" s="36"/>
      <c r="D7665" s="36"/>
      <c r="E7665" s="37"/>
      <c r="F7665" s="46" t="s">
        <v>23</v>
      </c>
      <c r="G7665" s="38" t="str">
        <f t="shared" si="221"/>
        <v/>
      </c>
      <c r="H7665" s="39"/>
      <c r="I7665" s="35"/>
      <c r="J7665" s="34">
        <v>0</v>
      </c>
    </row>
    <row r="7666" spans="1:10" ht="26.25" hidden="1" thickBot="1" x14ac:dyDescent="0.3">
      <c r="A7666" s="257"/>
      <c r="B7666" s="260"/>
      <c r="C7666" s="40" t="s">
        <v>4533</v>
      </c>
      <c r="D7666" s="40" t="s">
        <v>291</v>
      </c>
      <c r="E7666" s="41">
        <v>1</v>
      </c>
      <c r="F7666" s="35">
        <v>1.7859999999999998</v>
      </c>
      <c r="G7666" s="38">
        <f t="shared" si="221"/>
        <v>1.7859999999999998</v>
      </c>
      <c r="H7666" s="43">
        <f>SUM(G7666:G7666)</f>
        <v>1.7859999999999998</v>
      </c>
      <c r="I7666" s="44"/>
      <c r="J7666" s="34">
        <v>0</v>
      </c>
    </row>
    <row r="7667" spans="1:10" ht="15.75" hidden="1" thickBot="1" x14ac:dyDescent="0.3">
      <c r="A7667" s="258"/>
      <c r="B7667" s="261"/>
      <c r="C7667" s="60"/>
      <c r="D7667" s="60"/>
      <c r="E7667" s="79"/>
      <c r="F7667" s="87" t="s">
        <v>23</v>
      </c>
      <c r="G7667" s="88" t="str">
        <f t="shared" si="221"/>
        <v/>
      </c>
      <c r="H7667" s="89"/>
      <c r="I7667" s="35"/>
      <c r="J7667" s="34">
        <v>0</v>
      </c>
    </row>
    <row r="7668" spans="1:10" ht="15.75" hidden="1" thickBot="1" x14ac:dyDescent="0.3">
      <c r="A7668" s="256" t="s">
        <v>1847</v>
      </c>
      <c r="B7668" s="259" t="s">
        <v>3557</v>
      </c>
      <c r="C7668" s="28"/>
      <c r="D7668" s="29" t="s">
        <v>28</v>
      </c>
      <c r="E7668" s="30"/>
      <c r="F7668" s="45" t="s">
        <v>23</v>
      </c>
      <c r="G7668" s="31" t="str">
        <f t="shared" si="221"/>
        <v/>
      </c>
      <c r="H7668" s="32"/>
      <c r="I7668" s="33"/>
      <c r="J7668" s="34">
        <v>0</v>
      </c>
    </row>
    <row r="7669" spans="1:10" ht="15.75" hidden="1" thickBot="1" x14ac:dyDescent="0.3">
      <c r="A7669" s="257"/>
      <c r="B7669" s="260"/>
      <c r="C7669" s="36"/>
      <c r="D7669" s="36"/>
      <c r="E7669" s="37"/>
      <c r="F7669" s="46" t="s">
        <v>23</v>
      </c>
      <c r="G7669" s="38" t="str">
        <f t="shared" si="221"/>
        <v/>
      </c>
      <c r="H7669" s="39"/>
      <c r="I7669" s="35"/>
      <c r="J7669" s="34">
        <v>0</v>
      </c>
    </row>
    <row r="7670" spans="1:10" ht="26.25" hidden="1" thickBot="1" x14ac:dyDescent="0.3">
      <c r="A7670" s="257"/>
      <c r="B7670" s="260"/>
      <c r="C7670" s="40" t="s">
        <v>4534</v>
      </c>
      <c r="D7670" s="40" t="s">
        <v>291</v>
      </c>
      <c r="E7670" s="41">
        <v>1</v>
      </c>
      <c r="F7670" s="35">
        <v>18.524999999999999</v>
      </c>
      <c r="G7670" s="38">
        <f t="shared" si="221"/>
        <v>18.524999999999999</v>
      </c>
      <c r="H7670" s="43">
        <f>SUM(G7670:G7670)</f>
        <v>18.524999999999999</v>
      </c>
      <c r="I7670" s="44"/>
      <c r="J7670" s="34">
        <v>0</v>
      </c>
    </row>
    <row r="7671" spans="1:10" ht="15.75" hidden="1" thickBot="1" x14ac:dyDescent="0.3">
      <c r="A7671" s="258"/>
      <c r="B7671" s="261"/>
      <c r="C7671" s="60"/>
      <c r="D7671" s="60"/>
      <c r="E7671" s="79"/>
      <c r="F7671" s="87" t="s">
        <v>23</v>
      </c>
      <c r="G7671" s="88" t="str">
        <f t="shared" si="221"/>
        <v/>
      </c>
      <c r="H7671" s="89"/>
      <c r="I7671" s="35"/>
      <c r="J7671" s="34">
        <v>0</v>
      </c>
    </row>
    <row r="7672" spans="1:10" ht="15.75" hidden="1" thickBot="1" x14ac:dyDescent="0.3">
      <c r="A7672" s="256" t="s">
        <v>1848</v>
      </c>
      <c r="B7672" s="259" t="s">
        <v>3558</v>
      </c>
      <c r="C7672" s="28"/>
      <c r="D7672" s="29" t="s">
        <v>28</v>
      </c>
      <c r="E7672" s="30"/>
      <c r="F7672" s="45" t="s">
        <v>23</v>
      </c>
      <c r="G7672" s="31" t="str">
        <f t="shared" si="221"/>
        <v/>
      </c>
      <c r="H7672" s="32"/>
      <c r="I7672" s="33"/>
      <c r="J7672" s="34">
        <v>0</v>
      </c>
    </row>
    <row r="7673" spans="1:10" ht="15.75" hidden="1" thickBot="1" x14ac:dyDescent="0.3">
      <c r="A7673" s="257"/>
      <c r="B7673" s="260"/>
      <c r="C7673" s="36"/>
      <c r="D7673" s="36"/>
      <c r="E7673" s="37"/>
      <c r="F7673" s="46" t="s">
        <v>23</v>
      </c>
      <c r="G7673" s="38" t="str">
        <f t="shared" si="221"/>
        <v/>
      </c>
      <c r="H7673" s="39"/>
      <c r="I7673" s="35"/>
      <c r="J7673" s="34">
        <v>0</v>
      </c>
    </row>
    <row r="7674" spans="1:10" ht="26.25" hidden="1" thickBot="1" x14ac:dyDescent="0.3">
      <c r="A7674" s="257"/>
      <c r="B7674" s="260"/>
      <c r="C7674" s="40" t="s">
        <v>4535</v>
      </c>
      <c r="D7674" s="40" t="s">
        <v>291</v>
      </c>
      <c r="E7674" s="41">
        <v>1</v>
      </c>
      <c r="F7674" s="35">
        <v>5.8994999999999997</v>
      </c>
      <c r="G7674" s="38">
        <f t="shared" si="221"/>
        <v>5.8994999999999997</v>
      </c>
      <c r="H7674" s="43">
        <f>SUM(G7674:G7674)</f>
        <v>5.8994999999999997</v>
      </c>
      <c r="I7674" s="44"/>
      <c r="J7674" s="34">
        <v>0</v>
      </c>
    </row>
    <row r="7675" spans="1:10" ht="15.75" hidden="1" thickBot="1" x14ac:dyDescent="0.3">
      <c r="A7675" s="258"/>
      <c r="B7675" s="261"/>
      <c r="C7675" s="60"/>
      <c r="D7675" s="60"/>
      <c r="E7675" s="79"/>
      <c r="F7675" s="87" t="s">
        <v>23</v>
      </c>
      <c r="G7675" s="88" t="str">
        <f t="shared" si="221"/>
        <v/>
      </c>
      <c r="H7675" s="89"/>
      <c r="I7675" s="35"/>
      <c r="J7675" s="34">
        <v>0</v>
      </c>
    </row>
    <row r="7676" spans="1:10" ht="15.75" hidden="1" thickBot="1" x14ac:dyDescent="0.3">
      <c r="A7676" s="256" t="s">
        <v>1849</v>
      </c>
      <c r="B7676" s="259" t="s">
        <v>3559</v>
      </c>
      <c r="C7676" s="28"/>
      <c r="D7676" s="29" t="s">
        <v>28</v>
      </c>
      <c r="E7676" s="30"/>
      <c r="F7676" s="45" t="s">
        <v>23</v>
      </c>
      <c r="G7676" s="31" t="str">
        <f t="shared" si="221"/>
        <v/>
      </c>
      <c r="H7676" s="32"/>
      <c r="I7676" s="33"/>
      <c r="J7676" s="34">
        <v>0</v>
      </c>
    </row>
    <row r="7677" spans="1:10" ht="15.75" hidden="1" thickBot="1" x14ac:dyDescent="0.3">
      <c r="A7677" s="257"/>
      <c r="B7677" s="260"/>
      <c r="C7677" s="36"/>
      <c r="D7677" s="36"/>
      <c r="E7677" s="37"/>
      <c r="F7677" s="46" t="s">
        <v>23</v>
      </c>
      <c r="G7677" s="38" t="str">
        <f t="shared" ref="G7677:G7740" si="222">IF(ISNUMBER(F7677),E7677*F7677,"")</f>
        <v/>
      </c>
      <c r="H7677" s="39"/>
      <c r="I7677" s="35"/>
      <c r="J7677" s="34">
        <v>0</v>
      </c>
    </row>
    <row r="7678" spans="1:10" ht="15.75" hidden="1" thickBot="1" x14ac:dyDescent="0.3">
      <c r="A7678" s="257"/>
      <c r="B7678" s="260"/>
      <c r="C7678" s="40" t="s">
        <v>4536</v>
      </c>
      <c r="D7678" s="40" t="s">
        <v>291</v>
      </c>
      <c r="E7678" s="41">
        <v>1</v>
      </c>
      <c r="F7678" s="35">
        <v>3.9234999999999998</v>
      </c>
      <c r="G7678" s="38">
        <f t="shared" si="222"/>
        <v>3.9234999999999998</v>
      </c>
      <c r="H7678" s="43">
        <f>SUM(G7678:G7678)</f>
        <v>3.9234999999999998</v>
      </c>
      <c r="I7678" s="44"/>
      <c r="J7678" s="34">
        <v>0</v>
      </c>
    </row>
    <row r="7679" spans="1:10" ht="15.75" hidden="1" thickBot="1" x14ac:dyDescent="0.3">
      <c r="A7679" s="258"/>
      <c r="B7679" s="261"/>
      <c r="C7679" s="60"/>
      <c r="D7679" s="60"/>
      <c r="E7679" s="79"/>
      <c r="F7679" s="87" t="s">
        <v>23</v>
      </c>
      <c r="G7679" s="88" t="str">
        <f t="shared" si="222"/>
        <v/>
      </c>
      <c r="H7679" s="89"/>
      <c r="I7679" s="35"/>
      <c r="J7679" s="34">
        <v>0</v>
      </c>
    </row>
    <row r="7680" spans="1:10" ht="15.75" hidden="1" thickBot="1" x14ac:dyDescent="0.3">
      <c r="A7680" s="256" t="s">
        <v>1850</v>
      </c>
      <c r="B7680" s="259" t="s">
        <v>3560</v>
      </c>
      <c r="C7680" s="28"/>
      <c r="D7680" s="29" t="s">
        <v>28</v>
      </c>
      <c r="E7680" s="30"/>
      <c r="F7680" s="45" t="s">
        <v>23</v>
      </c>
      <c r="G7680" s="31" t="str">
        <f t="shared" si="222"/>
        <v/>
      </c>
      <c r="H7680" s="32"/>
      <c r="I7680" s="33"/>
      <c r="J7680" s="34">
        <v>0</v>
      </c>
    </row>
    <row r="7681" spans="1:10" ht="15.75" hidden="1" thickBot="1" x14ac:dyDescent="0.3">
      <c r="A7681" s="257"/>
      <c r="B7681" s="260"/>
      <c r="C7681" s="36"/>
      <c r="D7681" s="36"/>
      <c r="E7681" s="37"/>
      <c r="F7681" s="46" t="s">
        <v>23</v>
      </c>
      <c r="G7681" s="38" t="str">
        <f t="shared" si="222"/>
        <v/>
      </c>
      <c r="H7681" s="39"/>
      <c r="I7681" s="35"/>
      <c r="J7681" s="34">
        <v>0</v>
      </c>
    </row>
    <row r="7682" spans="1:10" ht="26.25" hidden="1" thickBot="1" x14ac:dyDescent="0.3">
      <c r="A7682" s="257"/>
      <c r="B7682" s="260"/>
      <c r="C7682" s="40" t="s">
        <v>4537</v>
      </c>
      <c r="D7682" s="40" t="s">
        <v>291</v>
      </c>
      <c r="E7682" s="41">
        <v>1</v>
      </c>
      <c r="F7682" s="35">
        <v>12.0175</v>
      </c>
      <c r="G7682" s="38">
        <f t="shared" si="222"/>
        <v>12.0175</v>
      </c>
      <c r="H7682" s="43">
        <f>SUM(G7682:G7682)</f>
        <v>12.0175</v>
      </c>
      <c r="I7682" s="44"/>
      <c r="J7682" s="34">
        <v>0</v>
      </c>
    </row>
    <row r="7683" spans="1:10" ht="15.75" hidden="1" thickBot="1" x14ac:dyDescent="0.3">
      <c r="A7683" s="258"/>
      <c r="B7683" s="261"/>
      <c r="C7683" s="60"/>
      <c r="D7683" s="60"/>
      <c r="E7683" s="79"/>
      <c r="F7683" s="87" t="s">
        <v>23</v>
      </c>
      <c r="G7683" s="88" t="str">
        <f t="shared" si="222"/>
        <v/>
      </c>
      <c r="H7683" s="89"/>
      <c r="I7683" s="35"/>
      <c r="J7683" s="34">
        <v>0</v>
      </c>
    </row>
    <row r="7684" spans="1:10" ht="15.75" hidden="1" thickBot="1" x14ac:dyDescent="0.3">
      <c r="A7684" s="256" t="s">
        <v>1851</v>
      </c>
      <c r="B7684" s="259" t="s">
        <v>3561</v>
      </c>
      <c r="C7684" s="28"/>
      <c r="D7684" s="29" t="s">
        <v>28</v>
      </c>
      <c r="E7684" s="30"/>
      <c r="F7684" s="45" t="s">
        <v>23</v>
      </c>
      <c r="G7684" s="31" t="str">
        <f t="shared" si="222"/>
        <v/>
      </c>
      <c r="H7684" s="32"/>
      <c r="I7684" s="33"/>
      <c r="J7684" s="34">
        <v>0</v>
      </c>
    </row>
    <row r="7685" spans="1:10" ht="15.75" hidden="1" thickBot="1" x14ac:dyDescent="0.3">
      <c r="A7685" s="257"/>
      <c r="B7685" s="260"/>
      <c r="C7685" s="36"/>
      <c r="D7685" s="36"/>
      <c r="E7685" s="37"/>
      <c r="F7685" s="46" t="s">
        <v>23</v>
      </c>
      <c r="G7685" s="38" t="str">
        <f t="shared" si="222"/>
        <v/>
      </c>
      <c r="H7685" s="39"/>
      <c r="I7685" s="35"/>
      <c r="J7685" s="34">
        <v>0</v>
      </c>
    </row>
    <row r="7686" spans="1:10" ht="26.25" hidden="1" thickBot="1" x14ac:dyDescent="0.3">
      <c r="A7686" s="257"/>
      <c r="B7686" s="260"/>
      <c r="C7686" s="40" t="s">
        <v>4538</v>
      </c>
      <c r="D7686" s="40" t="s">
        <v>291</v>
      </c>
      <c r="E7686" s="41">
        <v>1</v>
      </c>
      <c r="F7686" s="35">
        <v>5.9564999999999992</v>
      </c>
      <c r="G7686" s="38">
        <f t="shared" si="222"/>
        <v>5.9564999999999992</v>
      </c>
      <c r="H7686" s="43">
        <f>SUM(G7686:G7686)</f>
        <v>5.9564999999999992</v>
      </c>
      <c r="I7686" s="44"/>
      <c r="J7686" s="34">
        <v>0</v>
      </c>
    </row>
    <row r="7687" spans="1:10" ht="15.75" hidden="1" thickBot="1" x14ac:dyDescent="0.3">
      <c r="A7687" s="258"/>
      <c r="B7687" s="261"/>
      <c r="C7687" s="60"/>
      <c r="D7687" s="60"/>
      <c r="E7687" s="79"/>
      <c r="F7687" s="87" t="s">
        <v>23</v>
      </c>
      <c r="G7687" s="88" t="str">
        <f t="shared" si="222"/>
        <v/>
      </c>
      <c r="H7687" s="89"/>
      <c r="I7687" s="35"/>
      <c r="J7687" s="34">
        <v>0</v>
      </c>
    </row>
    <row r="7688" spans="1:10" ht="15.75" hidden="1" thickBot="1" x14ac:dyDescent="0.3">
      <c r="A7688" s="256" t="s">
        <v>1852</v>
      </c>
      <c r="B7688" s="259" t="s">
        <v>3562</v>
      </c>
      <c r="C7688" s="28"/>
      <c r="D7688" s="29" t="s">
        <v>28</v>
      </c>
      <c r="E7688" s="30"/>
      <c r="F7688" s="45" t="s">
        <v>23</v>
      </c>
      <c r="G7688" s="31" t="str">
        <f t="shared" si="222"/>
        <v/>
      </c>
      <c r="H7688" s="32"/>
      <c r="I7688" s="33"/>
      <c r="J7688" s="34">
        <v>0</v>
      </c>
    </row>
    <row r="7689" spans="1:10" ht="15.75" hidden="1" thickBot="1" x14ac:dyDescent="0.3">
      <c r="A7689" s="257"/>
      <c r="B7689" s="260"/>
      <c r="C7689" s="36"/>
      <c r="D7689" s="36"/>
      <c r="E7689" s="37"/>
      <c r="F7689" s="46" t="s">
        <v>23</v>
      </c>
      <c r="G7689" s="38" t="str">
        <f t="shared" si="222"/>
        <v/>
      </c>
      <c r="H7689" s="39"/>
      <c r="I7689" s="35"/>
      <c r="J7689" s="34">
        <v>0</v>
      </c>
    </row>
    <row r="7690" spans="1:10" ht="26.25" hidden="1" thickBot="1" x14ac:dyDescent="0.3">
      <c r="A7690" s="257"/>
      <c r="B7690" s="260"/>
      <c r="C7690" s="40" t="s">
        <v>4539</v>
      </c>
      <c r="D7690" s="40" t="s">
        <v>291</v>
      </c>
      <c r="E7690" s="41">
        <v>1</v>
      </c>
      <c r="F7690" s="35">
        <v>9.2245000000000008</v>
      </c>
      <c r="G7690" s="38">
        <f t="shared" si="222"/>
        <v>9.2245000000000008</v>
      </c>
      <c r="H7690" s="43">
        <f>SUM(G7690:G7690)</f>
        <v>9.2245000000000008</v>
      </c>
      <c r="I7690" s="44"/>
      <c r="J7690" s="34">
        <v>0</v>
      </c>
    </row>
    <row r="7691" spans="1:10" ht="15.75" hidden="1" thickBot="1" x14ac:dyDescent="0.3">
      <c r="A7691" s="258"/>
      <c r="B7691" s="261"/>
      <c r="C7691" s="60"/>
      <c r="D7691" s="60"/>
      <c r="E7691" s="79"/>
      <c r="F7691" s="87" t="s">
        <v>23</v>
      </c>
      <c r="G7691" s="88" t="str">
        <f t="shared" si="222"/>
        <v/>
      </c>
      <c r="H7691" s="89"/>
      <c r="I7691" s="35"/>
      <c r="J7691" s="34">
        <v>0</v>
      </c>
    </row>
    <row r="7692" spans="1:10" ht="15.75" hidden="1" thickBot="1" x14ac:dyDescent="0.3">
      <c r="A7692" s="256" t="s">
        <v>1853</v>
      </c>
      <c r="B7692" s="259" t="s">
        <v>3563</v>
      </c>
      <c r="C7692" s="28"/>
      <c r="D7692" s="29" t="s">
        <v>28</v>
      </c>
      <c r="E7692" s="30"/>
      <c r="F7692" s="45" t="s">
        <v>23</v>
      </c>
      <c r="G7692" s="31" t="str">
        <f t="shared" si="222"/>
        <v/>
      </c>
      <c r="H7692" s="32"/>
      <c r="I7692" s="33"/>
      <c r="J7692" s="34">
        <v>0</v>
      </c>
    </row>
    <row r="7693" spans="1:10" ht="15.75" hidden="1" thickBot="1" x14ac:dyDescent="0.3">
      <c r="A7693" s="257"/>
      <c r="B7693" s="260"/>
      <c r="C7693" s="36"/>
      <c r="D7693" s="36"/>
      <c r="E7693" s="37"/>
      <c r="F7693" s="46" t="s">
        <v>23</v>
      </c>
      <c r="G7693" s="38" t="str">
        <f t="shared" si="222"/>
        <v/>
      </c>
      <c r="H7693" s="39"/>
      <c r="I7693" s="35"/>
      <c r="J7693" s="34">
        <v>0</v>
      </c>
    </row>
    <row r="7694" spans="1:10" ht="15.75" hidden="1" thickBot="1" x14ac:dyDescent="0.3">
      <c r="A7694" s="257"/>
      <c r="B7694" s="260"/>
      <c r="C7694" s="40" t="s">
        <v>4540</v>
      </c>
      <c r="D7694" s="40" t="s">
        <v>291</v>
      </c>
      <c r="E7694" s="41">
        <v>1</v>
      </c>
      <c r="F7694" s="35">
        <v>4.2560000000000002</v>
      </c>
      <c r="G7694" s="38">
        <f t="shared" si="222"/>
        <v>4.2560000000000002</v>
      </c>
      <c r="H7694" s="43">
        <f>SUM(G7694:G7694)</f>
        <v>4.2560000000000002</v>
      </c>
      <c r="I7694" s="44"/>
      <c r="J7694" s="34">
        <v>0</v>
      </c>
    </row>
    <row r="7695" spans="1:10" ht="15.75" hidden="1" thickBot="1" x14ac:dyDescent="0.3">
      <c r="A7695" s="258"/>
      <c r="B7695" s="261"/>
      <c r="C7695" s="60"/>
      <c r="D7695" s="60"/>
      <c r="E7695" s="79"/>
      <c r="F7695" s="87" t="s">
        <v>23</v>
      </c>
      <c r="G7695" s="88" t="str">
        <f t="shared" si="222"/>
        <v/>
      </c>
      <c r="H7695" s="89"/>
      <c r="I7695" s="35"/>
      <c r="J7695" s="34">
        <v>0</v>
      </c>
    </row>
    <row r="7696" spans="1:10" ht="15.75" hidden="1" thickBot="1" x14ac:dyDescent="0.3">
      <c r="A7696" s="256" t="s">
        <v>1854</v>
      </c>
      <c r="B7696" s="259" t="s">
        <v>3564</v>
      </c>
      <c r="C7696" s="28"/>
      <c r="D7696" s="29" t="s">
        <v>28</v>
      </c>
      <c r="E7696" s="30"/>
      <c r="F7696" s="45" t="s">
        <v>23</v>
      </c>
      <c r="G7696" s="31" t="str">
        <f t="shared" si="222"/>
        <v/>
      </c>
      <c r="H7696" s="32"/>
      <c r="I7696" s="33"/>
      <c r="J7696" s="34">
        <v>0</v>
      </c>
    </row>
    <row r="7697" spans="1:10" ht="15.75" hidden="1" thickBot="1" x14ac:dyDescent="0.3">
      <c r="A7697" s="257"/>
      <c r="B7697" s="260"/>
      <c r="C7697" s="36"/>
      <c r="D7697" s="36"/>
      <c r="E7697" s="37"/>
      <c r="F7697" s="46" t="s">
        <v>23</v>
      </c>
      <c r="G7697" s="38" t="str">
        <f t="shared" si="222"/>
        <v/>
      </c>
      <c r="H7697" s="39"/>
      <c r="I7697" s="35"/>
      <c r="J7697" s="34">
        <v>0</v>
      </c>
    </row>
    <row r="7698" spans="1:10" ht="26.25" hidden="1" thickBot="1" x14ac:dyDescent="0.3">
      <c r="A7698" s="257"/>
      <c r="B7698" s="260"/>
      <c r="C7698" s="40" t="s">
        <v>4541</v>
      </c>
      <c r="D7698" s="40" t="s">
        <v>291</v>
      </c>
      <c r="E7698" s="41">
        <v>1</v>
      </c>
      <c r="F7698" s="35">
        <v>28.31</v>
      </c>
      <c r="G7698" s="38">
        <f t="shared" si="222"/>
        <v>28.31</v>
      </c>
      <c r="H7698" s="43">
        <f>SUM(G7698:G7698)</f>
        <v>28.31</v>
      </c>
      <c r="I7698" s="44"/>
      <c r="J7698" s="34">
        <v>0</v>
      </c>
    </row>
    <row r="7699" spans="1:10" ht="15.75" hidden="1" thickBot="1" x14ac:dyDescent="0.3">
      <c r="A7699" s="258"/>
      <c r="B7699" s="261"/>
      <c r="C7699" s="60"/>
      <c r="D7699" s="60"/>
      <c r="E7699" s="79"/>
      <c r="F7699" s="87" t="s">
        <v>23</v>
      </c>
      <c r="G7699" s="88" t="str">
        <f t="shared" si="222"/>
        <v/>
      </c>
      <c r="H7699" s="89"/>
      <c r="I7699" s="35"/>
      <c r="J7699" s="34">
        <v>0</v>
      </c>
    </row>
    <row r="7700" spans="1:10" ht="15.75" hidden="1" thickBot="1" x14ac:dyDescent="0.3">
      <c r="A7700" s="256" t="s">
        <v>1855</v>
      </c>
      <c r="B7700" s="259" t="s">
        <v>3565</v>
      </c>
      <c r="C7700" s="28"/>
      <c r="D7700" s="29" t="s">
        <v>28</v>
      </c>
      <c r="E7700" s="30"/>
      <c r="F7700" s="45" t="s">
        <v>23</v>
      </c>
      <c r="G7700" s="31" t="str">
        <f t="shared" si="222"/>
        <v/>
      </c>
      <c r="H7700" s="32"/>
      <c r="I7700" s="33"/>
      <c r="J7700" s="34">
        <v>0</v>
      </c>
    </row>
    <row r="7701" spans="1:10" ht="15.75" hidden="1" thickBot="1" x14ac:dyDescent="0.3">
      <c r="A7701" s="257"/>
      <c r="B7701" s="260"/>
      <c r="C7701" s="36"/>
      <c r="D7701" s="36"/>
      <c r="E7701" s="37"/>
      <c r="F7701" s="46" t="s">
        <v>23</v>
      </c>
      <c r="G7701" s="38" t="str">
        <f t="shared" si="222"/>
        <v/>
      </c>
      <c r="H7701" s="39"/>
      <c r="I7701" s="35"/>
      <c r="J7701" s="34">
        <v>0</v>
      </c>
    </row>
    <row r="7702" spans="1:10" ht="15.75" hidden="1" thickBot="1" x14ac:dyDescent="0.3">
      <c r="A7702" s="257"/>
      <c r="B7702" s="260"/>
      <c r="C7702" s="40" t="s">
        <v>4542</v>
      </c>
      <c r="D7702" s="40" t="s">
        <v>291</v>
      </c>
      <c r="E7702" s="41">
        <v>1</v>
      </c>
      <c r="F7702" s="35">
        <v>25.868500000000001</v>
      </c>
      <c r="G7702" s="38">
        <f t="shared" si="222"/>
        <v>25.868500000000001</v>
      </c>
      <c r="H7702" s="43">
        <f>SUM(G7702:G7702)</f>
        <v>25.868500000000001</v>
      </c>
      <c r="I7702" s="44"/>
      <c r="J7702" s="34">
        <v>0</v>
      </c>
    </row>
    <row r="7703" spans="1:10" ht="15.75" hidden="1" thickBot="1" x14ac:dyDescent="0.3">
      <c r="A7703" s="258"/>
      <c r="B7703" s="261"/>
      <c r="C7703" s="60"/>
      <c r="D7703" s="60"/>
      <c r="E7703" s="79"/>
      <c r="F7703" s="87" t="s">
        <v>23</v>
      </c>
      <c r="G7703" s="88" t="str">
        <f t="shared" si="222"/>
        <v/>
      </c>
      <c r="H7703" s="89"/>
      <c r="I7703" s="35"/>
      <c r="J7703" s="34">
        <v>0</v>
      </c>
    </row>
    <row r="7704" spans="1:10" ht="15.75" hidden="1" thickBot="1" x14ac:dyDescent="0.3">
      <c r="A7704" s="256" t="s">
        <v>1856</v>
      </c>
      <c r="B7704" s="259" t="s">
        <v>3566</v>
      </c>
      <c r="C7704" s="28"/>
      <c r="D7704" s="29" t="s">
        <v>28</v>
      </c>
      <c r="E7704" s="30"/>
      <c r="F7704" s="45" t="s">
        <v>23</v>
      </c>
      <c r="G7704" s="31" t="str">
        <f t="shared" si="222"/>
        <v/>
      </c>
      <c r="H7704" s="32"/>
      <c r="I7704" s="33"/>
      <c r="J7704" s="34">
        <v>0</v>
      </c>
    </row>
    <row r="7705" spans="1:10" ht="15.75" hidden="1" thickBot="1" x14ac:dyDescent="0.3">
      <c r="A7705" s="257"/>
      <c r="B7705" s="260"/>
      <c r="C7705" s="36"/>
      <c r="D7705" s="36"/>
      <c r="E7705" s="37"/>
      <c r="F7705" s="46" t="s">
        <v>23</v>
      </c>
      <c r="G7705" s="38" t="str">
        <f t="shared" si="222"/>
        <v/>
      </c>
      <c r="H7705" s="39"/>
      <c r="I7705" s="35"/>
      <c r="J7705" s="34">
        <v>0</v>
      </c>
    </row>
    <row r="7706" spans="1:10" ht="26.25" hidden="1" thickBot="1" x14ac:dyDescent="0.3">
      <c r="A7706" s="257"/>
      <c r="B7706" s="260"/>
      <c r="C7706" s="40" t="s">
        <v>4543</v>
      </c>
      <c r="D7706" s="40" t="s">
        <v>291</v>
      </c>
      <c r="E7706" s="41">
        <v>1</v>
      </c>
      <c r="F7706" s="35">
        <v>2.0994999999999999</v>
      </c>
      <c r="G7706" s="38">
        <f t="shared" si="222"/>
        <v>2.0994999999999999</v>
      </c>
      <c r="H7706" s="43">
        <f>SUM(G7706:G7706)</f>
        <v>2.0994999999999999</v>
      </c>
      <c r="I7706" s="44"/>
      <c r="J7706" s="34">
        <v>0</v>
      </c>
    </row>
    <row r="7707" spans="1:10" ht="15.75" hidden="1" thickBot="1" x14ac:dyDescent="0.3">
      <c r="A7707" s="258"/>
      <c r="B7707" s="261"/>
      <c r="C7707" s="60"/>
      <c r="D7707" s="60"/>
      <c r="E7707" s="79"/>
      <c r="F7707" s="87" t="s">
        <v>23</v>
      </c>
      <c r="G7707" s="88" t="str">
        <f t="shared" si="222"/>
        <v/>
      </c>
      <c r="H7707" s="89"/>
      <c r="I7707" s="35"/>
      <c r="J7707" s="34">
        <v>0</v>
      </c>
    </row>
    <row r="7708" spans="1:10" ht="15.75" hidden="1" thickBot="1" x14ac:dyDescent="0.3">
      <c r="A7708" s="256" t="s">
        <v>1857</v>
      </c>
      <c r="B7708" s="259" t="s">
        <v>3567</v>
      </c>
      <c r="C7708" s="28"/>
      <c r="D7708" s="29" t="s">
        <v>28</v>
      </c>
      <c r="E7708" s="30"/>
      <c r="F7708" s="45" t="s">
        <v>23</v>
      </c>
      <c r="G7708" s="31" t="str">
        <f t="shared" si="222"/>
        <v/>
      </c>
      <c r="H7708" s="32"/>
      <c r="I7708" s="33"/>
      <c r="J7708" s="34">
        <v>0</v>
      </c>
    </row>
    <row r="7709" spans="1:10" ht="15.75" hidden="1" thickBot="1" x14ac:dyDescent="0.3">
      <c r="A7709" s="257"/>
      <c r="B7709" s="260"/>
      <c r="C7709" s="36"/>
      <c r="D7709" s="36"/>
      <c r="E7709" s="37"/>
      <c r="F7709" s="46" t="s">
        <v>23</v>
      </c>
      <c r="G7709" s="38" t="str">
        <f t="shared" si="222"/>
        <v/>
      </c>
      <c r="H7709" s="39"/>
      <c r="I7709" s="35"/>
      <c r="J7709" s="34">
        <v>0</v>
      </c>
    </row>
    <row r="7710" spans="1:10" ht="26.25" hidden="1" thickBot="1" x14ac:dyDescent="0.3">
      <c r="A7710" s="257"/>
      <c r="B7710" s="260"/>
      <c r="C7710" s="40" t="s">
        <v>4544</v>
      </c>
      <c r="D7710" s="40" t="s">
        <v>291</v>
      </c>
      <c r="E7710" s="41">
        <v>1</v>
      </c>
      <c r="F7710" s="35">
        <v>3.7049999999999996</v>
      </c>
      <c r="G7710" s="38">
        <f t="shared" si="222"/>
        <v>3.7049999999999996</v>
      </c>
      <c r="H7710" s="43">
        <f>SUM(G7710:G7710)</f>
        <v>3.7049999999999996</v>
      </c>
      <c r="I7710" s="44"/>
      <c r="J7710" s="34">
        <v>0</v>
      </c>
    </row>
    <row r="7711" spans="1:10" ht="15.75" hidden="1" thickBot="1" x14ac:dyDescent="0.3">
      <c r="A7711" s="258"/>
      <c r="B7711" s="261"/>
      <c r="C7711" s="60"/>
      <c r="D7711" s="60"/>
      <c r="E7711" s="79"/>
      <c r="F7711" s="87" t="s">
        <v>23</v>
      </c>
      <c r="G7711" s="88" t="str">
        <f t="shared" si="222"/>
        <v/>
      </c>
      <c r="H7711" s="89"/>
      <c r="I7711" s="35"/>
      <c r="J7711" s="34">
        <v>0</v>
      </c>
    </row>
    <row r="7712" spans="1:10" ht="15.75" hidden="1" thickBot="1" x14ac:dyDescent="0.3">
      <c r="A7712" s="256" t="s">
        <v>1858</v>
      </c>
      <c r="B7712" s="259" t="s">
        <v>3568</v>
      </c>
      <c r="C7712" s="28"/>
      <c r="D7712" s="29" t="s">
        <v>28</v>
      </c>
      <c r="E7712" s="30"/>
      <c r="F7712" s="45" t="s">
        <v>23</v>
      </c>
      <c r="G7712" s="31" t="str">
        <f t="shared" si="222"/>
        <v/>
      </c>
      <c r="H7712" s="32"/>
      <c r="I7712" s="33"/>
      <c r="J7712" s="34">
        <v>0</v>
      </c>
    </row>
    <row r="7713" spans="1:10" ht="15.75" hidden="1" thickBot="1" x14ac:dyDescent="0.3">
      <c r="A7713" s="257"/>
      <c r="B7713" s="260"/>
      <c r="C7713" s="36"/>
      <c r="D7713" s="36"/>
      <c r="E7713" s="37"/>
      <c r="F7713" s="46" t="s">
        <v>23</v>
      </c>
      <c r="G7713" s="38" t="str">
        <f t="shared" si="222"/>
        <v/>
      </c>
      <c r="H7713" s="39"/>
      <c r="I7713" s="35"/>
      <c r="J7713" s="34">
        <v>0</v>
      </c>
    </row>
    <row r="7714" spans="1:10" ht="26.25" hidden="1" thickBot="1" x14ac:dyDescent="0.3">
      <c r="A7714" s="257"/>
      <c r="B7714" s="260"/>
      <c r="C7714" s="40" t="s">
        <v>4545</v>
      </c>
      <c r="D7714" s="40" t="s">
        <v>291</v>
      </c>
      <c r="E7714" s="41">
        <v>1</v>
      </c>
      <c r="F7714" s="35">
        <v>27.74</v>
      </c>
      <c r="G7714" s="38">
        <f t="shared" si="222"/>
        <v>27.74</v>
      </c>
      <c r="H7714" s="43">
        <f>SUM(G7714:G7714)</f>
        <v>27.74</v>
      </c>
      <c r="I7714" s="44"/>
      <c r="J7714" s="34">
        <v>0</v>
      </c>
    </row>
    <row r="7715" spans="1:10" ht="15.75" hidden="1" thickBot="1" x14ac:dyDescent="0.3">
      <c r="A7715" s="258"/>
      <c r="B7715" s="261"/>
      <c r="C7715" s="60"/>
      <c r="D7715" s="60"/>
      <c r="E7715" s="79"/>
      <c r="F7715" s="87" t="s">
        <v>23</v>
      </c>
      <c r="G7715" s="88" t="str">
        <f t="shared" si="222"/>
        <v/>
      </c>
      <c r="H7715" s="89"/>
      <c r="I7715" s="35"/>
      <c r="J7715" s="34">
        <v>0</v>
      </c>
    </row>
    <row r="7716" spans="1:10" ht="15.75" hidden="1" thickBot="1" x14ac:dyDescent="0.3">
      <c r="A7716" s="256" t="s">
        <v>1859</v>
      </c>
      <c r="B7716" s="259" t="s">
        <v>3569</v>
      </c>
      <c r="C7716" s="28"/>
      <c r="D7716" s="29" t="s">
        <v>28</v>
      </c>
      <c r="E7716" s="30"/>
      <c r="F7716" s="45" t="s">
        <v>23</v>
      </c>
      <c r="G7716" s="31" t="str">
        <f t="shared" si="222"/>
        <v/>
      </c>
      <c r="H7716" s="32"/>
      <c r="I7716" s="33"/>
      <c r="J7716" s="34">
        <v>0</v>
      </c>
    </row>
    <row r="7717" spans="1:10" ht="15.75" hidden="1" thickBot="1" x14ac:dyDescent="0.3">
      <c r="A7717" s="257"/>
      <c r="B7717" s="260"/>
      <c r="C7717" s="36"/>
      <c r="D7717" s="36"/>
      <c r="E7717" s="37"/>
      <c r="F7717" s="46" t="s">
        <v>23</v>
      </c>
      <c r="G7717" s="38" t="str">
        <f t="shared" si="222"/>
        <v/>
      </c>
      <c r="H7717" s="39"/>
      <c r="I7717" s="35"/>
      <c r="J7717" s="34">
        <v>0</v>
      </c>
    </row>
    <row r="7718" spans="1:10" ht="26.25" hidden="1" thickBot="1" x14ac:dyDescent="0.3">
      <c r="A7718" s="257"/>
      <c r="B7718" s="260"/>
      <c r="C7718" s="40" t="s">
        <v>4546</v>
      </c>
      <c r="D7718" s="40" t="s">
        <v>291</v>
      </c>
      <c r="E7718" s="41">
        <v>1</v>
      </c>
      <c r="F7718" s="35">
        <v>4.9874999999999998</v>
      </c>
      <c r="G7718" s="38">
        <f t="shared" si="222"/>
        <v>4.9874999999999998</v>
      </c>
      <c r="H7718" s="43">
        <f>SUM(G7718:G7718)</f>
        <v>4.9874999999999998</v>
      </c>
      <c r="I7718" s="44"/>
      <c r="J7718" s="34">
        <v>0</v>
      </c>
    </row>
    <row r="7719" spans="1:10" ht="15.75" hidden="1" thickBot="1" x14ac:dyDescent="0.3">
      <c r="A7719" s="258"/>
      <c r="B7719" s="261"/>
      <c r="C7719" s="60"/>
      <c r="D7719" s="60"/>
      <c r="E7719" s="79"/>
      <c r="F7719" s="87" t="s">
        <v>23</v>
      </c>
      <c r="G7719" s="88" t="str">
        <f t="shared" si="222"/>
        <v/>
      </c>
      <c r="H7719" s="89"/>
      <c r="I7719" s="35"/>
      <c r="J7719" s="34">
        <v>0</v>
      </c>
    </row>
    <row r="7720" spans="1:10" ht="15.75" hidden="1" thickBot="1" x14ac:dyDescent="0.3">
      <c r="A7720" s="256" t="s">
        <v>1860</v>
      </c>
      <c r="B7720" s="259" t="s">
        <v>3570</v>
      </c>
      <c r="C7720" s="28"/>
      <c r="D7720" s="29" t="s">
        <v>28</v>
      </c>
      <c r="E7720" s="30"/>
      <c r="F7720" s="45" t="s">
        <v>23</v>
      </c>
      <c r="G7720" s="31" t="str">
        <f t="shared" si="222"/>
        <v/>
      </c>
      <c r="H7720" s="32"/>
      <c r="I7720" s="33"/>
      <c r="J7720" s="34">
        <v>0</v>
      </c>
    </row>
    <row r="7721" spans="1:10" ht="15.75" hidden="1" thickBot="1" x14ac:dyDescent="0.3">
      <c r="A7721" s="257"/>
      <c r="B7721" s="260"/>
      <c r="C7721" s="36"/>
      <c r="D7721" s="36"/>
      <c r="E7721" s="37"/>
      <c r="F7721" s="46" t="s">
        <v>23</v>
      </c>
      <c r="G7721" s="38" t="str">
        <f t="shared" si="222"/>
        <v/>
      </c>
      <c r="H7721" s="39"/>
      <c r="I7721" s="35"/>
      <c r="J7721" s="34">
        <v>0</v>
      </c>
    </row>
    <row r="7722" spans="1:10" ht="15.75" hidden="1" thickBot="1" x14ac:dyDescent="0.3">
      <c r="A7722" s="257"/>
      <c r="B7722" s="260"/>
      <c r="C7722" s="40" t="s">
        <v>4547</v>
      </c>
      <c r="D7722" s="40" t="s">
        <v>291</v>
      </c>
      <c r="E7722" s="41">
        <v>1</v>
      </c>
      <c r="F7722" s="35">
        <v>7.0964999999999998</v>
      </c>
      <c r="G7722" s="38">
        <f t="shared" si="222"/>
        <v>7.0964999999999998</v>
      </c>
      <c r="H7722" s="43">
        <f>SUM(G7722:G7722)</f>
        <v>7.0964999999999998</v>
      </c>
      <c r="I7722" s="44"/>
      <c r="J7722" s="34">
        <v>0</v>
      </c>
    </row>
    <row r="7723" spans="1:10" ht="15.75" hidden="1" thickBot="1" x14ac:dyDescent="0.3">
      <c r="A7723" s="258"/>
      <c r="B7723" s="261"/>
      <c r="C7723" s="60"/>
      <c r="D7723" s="60"/>
      <c r="E7723" s="79"/>
      <c r="F7723" s="87" t="s">
        <v>23</v>
      </c>
      <c r="G7723" s="88" t="str">
        <f t="shared" si="222"/>
        <v/>
      </c>
      <c r="H7723" s="89"/>
      <c r="I7723" s="35"/>
      <c r="J7723" s="34">
        <v>0</v>
      </c>
    </row>
    <row r="7724" spans="1:10" ht="15.75" hidden="1" thickBot="1" x14ac:dyDescent="0.3">
      <c r="A7724" s="256" t="s">
        <v>1861</v>
      </c>
      <c r="B7724" s="259" t="s">
        <v>3571</v>
      </c>
      <c r="C7724" s="28"/>
      <c r="D7724" s="29" t="s">
        <v>28</v>
      </c>
      <c r="E7724" s="30"/>
      <c r="F7724" s="45" t="s">
        <v>23</v>
      </c>
      <c r="G7724" s="31" t="str">
        <f t="shared" si="222"/>
        <v/>
      </c>
      <c r="H7724" s="32"/>
      <c r="I7724" s="33"/>
      <c r="J7724" s="34">
        <v>0</v>
      </c>
    </row>
    <row r="7725" spans="1:10" ht="15.75" hidden="1" thickBot="1" x14ac:dyDescent="0.3">
      <c r="A7725" s="257"/>
      <c r="B7725" s="260"/>
      <c r="C7725" s="36"/>
      <c r="D7725" s="36"/>
      <c r="E7725" s="37"/>
      <c r="F7725" s="46" t="s">
        <v>23</v>
      </c>
      <c r="G7725" s="38" t="str">
        <f t="shared" si="222"/>
        <v/>
      </c>
      <c r="H7725" s="39"/>
      <c r="I7725" s="35"/>
      <c r="J7725" s="34">
        <v>0</v>
      </c>
    </row>
    <row r="7726" spans="1:10" ht="26.25" hidden="1" thickBot="1" x14ac:dyDescent="0.3">
      <c r="A7726" s="257"/>
      <c r="B7726" s="260"/>
      <c r="C7726" s="40" t="s">
        <v>4548</v>
      </c>
      <c r="D7726" s="40" t="s">
        <v>291</v>
      </c>
      <c r="E7726" s="41">
        <v>1</v>
      </c>
      <c r="F7726" s="35">
        <v>13.0435</v>
      </c>
      <c r="G7726" s="38">
        <f t="shared" si="222"/>
        <v>13.0435</v>
      </c>
      <c r="H7726" s="43">
        <f>SUM(G7726:G7726)</f>
        <v>13.0435</v>
      </c>
      <c r="I7726" s="44"/>
      <c r="J7726" s="34">
        <v>0</v>
      </c>
    </row>
    <row r="7727" spans="1:10" ht="15.75" hidden="1" thickBot="1" x14ac:dyDescent="0.3">
      <c r="A7727" s="258"/>
      <c r="B7727" s="261"/>
      <c r="C7727" s="60"/>
      <c r="D7727" s="60"/>
      <c r="E7727" s="79"/>
      <c r="F7727" s="87" t="s">
        <v>23</v>
      </c>
      <c r="G7727" s="88" t="str">
        <f t="shared" si="222"/>
        <v/>
      </c>
      <c r="H7727" s="89"/>
      <c r="I7727" s="35"/>
      <c r="J7727" s="34">
        <v>0</v>
      </c>
    </row>
    <row r="7728" spans="1:10" ht="15.75" hidden="1" thickBot="1" x14ac:dyDescent="0.3">
      <c r="A7728" s="256" t="s">
        <v>1862</v>
      </c>
      <c r="B7728" s="259" t="s">
        <v>3572</v>
      </c>
      <c r="C7728" s="28"/>
      <c r="D7728" s="29" t="s">
        <v>28</v>
      </c>
      <c r="E7728" s="30"/>
      <c r="F7728" s="45" t="s">
        <v>23</v>
      </c>
      <c r="G7728" s="31" t="str">
        <f t="shared" si="222"/>
        <v/>
      </c>
      <c r="H7728" s="32"/>
      <c r="I7728" s="33"/>
      <c r="J7728" s="34">
        <v>0</v>
      </c>
    </row>
    <row r="7729" spans="1:10" ht="15.75" hidden="1" thickBot="1" x14ac:dyDescent="0.3">
      <c r="A7729" s="257"/>
      <c r="B7729" s="260"/>
      <c r="C7729" s="36"/>
      <c r="D7729" s="36"/>
      <c r="E7729" s="37"/>
      <c r="F7729" s="46" t="s">
        <v>23</v>
      </c>
      <c r="G7729" s="38" t="str">
        <f t="shared" si="222"/>
        <v/>
      </c>
      <c r="H7729" s="39"/>
      <c r="I7729" s="35"/>
      <c r="J7729" s="34">
        <v>0</v>
      </c>
    </row>
    <row r="7730" spans="1:10" ht="26.25" hidden="1" thickBot="1" x14ac:dyDescent="0.3">
      <c r="A7730" s="257"/>
      <c r="B7730" s="260"/>
      <c r="C7730" s="40" t="s">
        <v>4549</v>
      </c>
      <c r="D7730" s="40" t="s">
        <v>291</v>
      </c>
      <c r="E7730" s="41">
        <v>1</v>
      </c>
      <c r="F7730" s="35">
        <v>7.4859999999999998</v>
      </c>
      <c r="G7730" s="38">
        <f t="shared" si="222"/>
        <v>7.4859999999999998</v>
      </c>
      <c r="H7730" s="43">
        <f>SUM(G7730:G7730)</f>
        <v>7.4859999999999998</v>
      </c>
      <c r="I7730" s="44"/>
      <c r="J7730" s="34">
        <v>0</v>
      </c>
    </row>
    <row r="7731" spans="1:10" ht="15.75" hidden="1" thickBot="1" x14ac:dyDescent="0.3">
      <c r="A7731" s="258"/>
      <c r="B7731" s="261"/>
      <c r="C7731" s="60"/>
      <c r="D7731" s="60"/>
      <c r="E7731" s="79"/>
      <c r="F7731" s="87" t="s">
        <v>23</v>
      </c>
      <c r="G7731" s="88" t="str">
        <f t="shared" si="222"/>
        <v/>
      </c>
      <c r="H7731" s="89"/>
      <c r="I7731" s="35"/>
      <c r="J7731" s="34">
        <v>0</v>
      </c>
    </row>
    <row r="7732" spans="1:10" ht="15.75" hidden="1" thickBot="1" x14ac:dyDescent="0.3">
      <c r="A7732" s="256" t="s">
        <v>1863</v>
      </c>
      <c r="B7732" s="259" t="s">
        <v>3573</v>
      </c>
      <c r="C7732" s="28"/>
      <c r="D7732" s="29" t="s">
        <v>28</v>
      </c>
      <c r="E7732" s="30"/>
      <c r="F7732" s="45" t="s">
        <v>23</v>
      </c>
      <c r="G7732" s="31" t="str">
        <f t="shared" si="222"/>
        <v/>
      </c>
      <c r="H7732" s="32"/>
      <c r="I7732" s="33"/>
      <c r="J7732" s="34">
        <v>0</v>
      </c>
    </row>
    <row r="7733" spans="1:10" ht="15.75" hidden="1" thickBot="1" x14ac:dyDescent="0.3">
      <c r="A7733" s="257"/>
      <c r="B7733" s="260"/>
      <c r="C7733" s="36"/>
      <c r="D7733" s="36"/>
      <c r="E7733" s="37"/>
      <c r="F7733" s="46" t="s">
        <v>23</v>
      </c>
      <c r="G7733" s="38" t="str">
        <f t="shared" si="222"/>
        <v/>
      </c>
      <c r="H7733" s="39"/>
      <c r="I7733" s="35"/>
      <c r="J7733" s="34">
        <v>0</v>
      </c>
    </row>
    <row r="7734" spans="1:10" ht="26.25" hidden="1" thickBot="1" x14ac:dyDescent="0.3">
      <c r="A7734" s="257"/>
      <c r="B7734" s="260"/>
      <c r="C7734" s="40" t="s">
        <v>4550</v>
      </c>
      <c r="D7734" s="40" t="s">
        <v>291</v>
      </c>
      <c r="E7734" s="41">
        <v>1</v>
      </c>
      <c r="F7734" s="35">
        <v>9.6425000000000001</v>
      </c>
      <c r="G7734" s="38">
        <f t="shared" si="222"/>
        <v>9.6425000000000001</v>
      </c>
      <c r="H7734" s="43">
        <f>SUM(G7734:G7734)</f>
        <v>9.6425000000000001</v>
      </c>
      <c r="I7734" s="44"/>
      <c r="J7734" s="34">
        <v>0</v>
      </c>
    </row>
    <row r="7735" spans="1:10" ht="15.75" hidden="1" thickBot="1" x14ac:dyDescent="0.3">
      <c r="A7735" s="258"/>
      <c r="B7735" s="261"/>
      <c r="C7735" s="60"/>
      <c r="D7735" s="60"/>
      <c r="E7735" s="79"/>
      <c r="F7735" s="87" t="s">
        <v>23</v>
      </c>
      <c r="G7735" s="88" t="str">
        <f t="shared" si="222"/>
        <v/>
      </c>
      <c r="H7735" s="89"/>
      <c r="I7735" s="35"/>
      <c r="J7735" s="34">
        <v>0</v>
      </c>
    </row>
    <row r="7736" spans="1:10" ht="15.75" hidden="1" thickBot="1" x14ac:dyDescent="0.3">
      <c r="A7736" s="256" t="s">
        <v>1864</v>
      </c>
      <c r="B7736" s="259" t="s">
        <v>3574</v>
      </c>
      <c r="C7736" s="28"/>
      <c r="D7736" s="29" t="s">
        <v>28</v>
      </c>
      <c r="E7736" s="30"/>
      <c r="F7736" s="45" t="s">
        <v>23</v>
      </c>
      <c r="G7736" s="31" t="str">
        <f t="shared" si="222"/>
        <v/>
      </c>
      <c r="H7736" s="32"/>
      <c r="I7736" s="33"/>
      <c r="J7736" s="34">
        <v>0</v>
      </c>
    </row>
    <row r="7737" spans="1:10" ht="15.75" hidden="1" thickBot="1" x14ac:dyDescent="0.3">
      <c r="A7737" s="257"/>
      <c r="B7737" s="260"/>
      <c r="C7737" s="36"/>
      <c r="D7737" s="36"/>
      <c r="E7737" s="37"/>
      <c r="F7737" s="46" t="s">
        <v>23</v>
      </c>
      <c r="G7737" s="38" t="str">
        <f t="shared" si="222"/>
        <v/>
      </c>
      <c r="H7737" s="39"/>
      <c r="I7737" s="35"/>
      <c r="J7737" s="34">
        <v>0</v>
      </c>
    </row>
    <row r="7738" spans="1:10" ht="15.75" hidden="1" thickBot="1" x14ac:dyDescent="0.3">
      <c r="A7738" s="257"/>
      <c r="B7738" s="260"/>
      <c r="C7738" s="40" t="s">
        <v>4551</v>
      </c>
      <c r="D7738" s="40" t="s">
        <v>291</v>
      </c>
      <c r="E7738" s="41">
        <v>1</v>
      </c>
      <c r="F7738" s="35">
        <v>4.3605</v>
      </c>
      <c r="G7738" s="38">
        <f t="shared" si="222"/>
        <v>4.3605</v>
      </c>
      <c r="H7738" s="43">
        <f>SUM(G7738:G7738)</f>
        <v>4.3605</v>
      </c>
      <c r="I7738" s="44"/>
      <c r="J7738" s="34">
        <v>0</v>
      </c>
    </row>
    <row r="7739" spans="1:10" ht="15.75" hidden="1" thickBot="1" x14ac:dyDescent="0.3">
      <c r="A7739" s="258"/>
      <c r="B7739" s="261"/>
      <c r="C7739" s="60"/>
      <c r="D7739" s="60"/>
      <c r="E7739" s="79"/>
      <c r="F7739" s="87" t="s">
        <v>23</v>
      </c>
      <c r="G7739" s="88" t="str">
        <f t="shared" si="222"/>
        <v/>
      </c>
      <c r="H7739" s="89"/>
      <c r="I7739" s="35"/>
      <c r="J7739" s="34">
        <v>0</v>
      </c>
    </row>
    <row r="7740" spans="1:10" ht="15.75" hidden="1" thickBot="1" x14ac:dyDescent="0.3">
      <c r="A7740" s="256" t="s">
        <v>1865</v>
      </c>
      <c r="B7740" s="259" t="s">
        <v>3575</v>
      </c>
      <c r="C7740" s="28"/>
      <c r="D7740" s="29" t="s">
        <v>28</v>
      </c>
      <c r="E7740" s="30"/>
      <c r="F7740" s="45" t="s">
        <v>23</v>
      </c>
      <c r="G7740" s="31" t="str">
        <f t="shared" si="222"/>
        <v/>
      </c>
      <c r="H7740" s="32"/>
      <c r="I7740" s="33"/>
      <c r="J7740" s="34">
        <v>0</v>
      </c>
    </row>
    <row r="7741" spans="1:10" ht="15.75" hidden="1" thickBot="1" x14ac:dyDescent="0.3">
      <c r="A7741" s="257"/>
      <c r="B7741" s="260"/>
      <c r="C7741" s="36"/>
      <c r="D7741" s="36"/>
      <c r="E7741" s="37"/>
      <c r="F7741" s="46" t="s">
        <v>23</v>
      </c>
      <c r="G7741" s="38" t="str">
        <f t="shared" ref="G7741:G7804" si="223">IF(ISNUMBER(F7741),E7741*F7741,"")</f>
        <v/>
      </c>
      <c r="H7741" s="39"/>
      <c r="I7741" s="35"/>
      <c r="J7741" s="34">
        <v>0</v>
      </c>
    </row>
    <row r="7742" spans="1:10" ht="26.25" hidden="1" thickBot="1" x14ac:dyDescent="0.3">
      <c r="A7742" s="257"/>
      <c r="B7742" s="260"/>
      <c r="C7742" s="40" t="s">
        <v>4552</v>
      </c>
      <c r="D7742" s="40" t="s">
        <v>291</v>
      </c>
      <c r="E7742" s="41">
        <v>1</v>
      </c>
      <c r="F7742" s="35">
        <v>28.547499999999999</v>
      </c>
      <c r="G7742" s="38">
        <f t="shared" si="223"/>
        <v>28.547499999999999</v>
      </c>
      <c r="H7742" s="43">
        <f>SUM(G7742:G7742)</f>
        <v>28.547499999999999</v>
      </c>
      <c r="I7742" s="44"/>
      <c r="J7742" s="34">
        <v>0</v>
      </c>
    </row>
    <row r="7743" spans="1:10" ht="15.75" hidden="1" thickBot="1" x14ac:dyDescent="0.3">
      <c r="A7743" s="258"/>
      <c r="B7743" s="261"/>
      <c r="C7743" s="60"/>
      <c r="D7743" s="60"/>
      <c r="E7743" s="79"/>
      <c r="F7743" s="87" t="s">
        <v>23</v>
      </c>
      <c r="G7743" s="88" t="str">
        <f t="shared" si="223"/>
        <v/>
      </c>
      <c r="H7743" s="89"/>
      <c r="I7743" s="35"/>
      <c r="J7743" s="34">
        <v>0</v>
      </c>
    </row>
    <row r="7744" spans="1:10" ht="15.75" hidden="1" thickBot="1" x14ac:dyDescent="0.3">
      <c r="A7744" s="256" t="s">
        <v>1866</v>
      </c>
      <c r="B7744" s="259" t="s">
        <v>3576</v>
      </c>
      <c r="C7744" s="28"/>
      <c r="D7744" s="29" t="s">
        <v>28</v>
      </c>
      <c r="E7744" s="30"/>
      <c r="F7744" s="45" t="s">
        <v>23</v>
      </c>
      <c r="G7744" s="31" t="str">
        <f t="shared" si="223"/>
        <v/>
      </c>
      <c r="H7744" s="32"/>
      <c r="I7744" s="33"/>
      <c r="J7744" s="34">
        <v>0</v>
      </c>
    </row>
    <row r="7745" spans="1:10" ht="15.75" hidden="1" thickBot="1" x14ac:dyDescent="0.3">
      <c r="A7745" s="257"/>
      <c r="B7745" s="260"/>
      <c r="C7745" s="36"/>
      <c r="D7745" s="36"/>
      <c r="E7745" s="37"/>
      <c r="F7745" s="46" t="s">
        <v>23</v>
      </c>
      <c r="G7745" s="38" t="str">
        <f t="shared" si="223"/>
        <v/>
      </c>
      <c r="H7745" s="39"/>
      <c r="I7745" s="35"/>
      <c r="J7745" s="34">
        <v>0</v>
      </c>
    </row>
    <row r="7746" spans="1:10" ht="15.75" hidden="1" thickBot="1" x14ac:dyDescent="0.3">
      <c r="A7746" s="257"/>
      <c r="B7746" s="260"/>
      <c r="C7746" s="40" t="s">
        <v>4553</v>
      </c>
      <c r="D7746" s="40" t="s">
        <v>291</v>
      </c>
      <c r="E7746" s="41">
        <v>1</v>
      </c>
      <c r="F7746" s="35">
        <v>27.625999999999998</v>
      </c>
      <c r="G7746" s="38">
        <f t="shared" si="223"/>
        <v>27.625999999999998</v>
      </c>
      <c r="H7746" s="43">
        <f>SUM(G7746:G7746)</f>
        <v>27.625999999999998</v>
      </c>
      <c r="I7746" s="44"/>
      <c r="J7746" s="34">
        <v>0</v>
      </c>
    </row>
    <row r="7747" spans="1:10" ht="15.75" hidden="1" thickBot="1" x14ac:dyDescent="0.3">
      <c r="A7747" s="258"/>
      <c r="B7747" s="261"/>
      <c r="C7747" s="60"/>
      <c r="D7747" s="60"/>
      <c r="E7747" s="79"/>
      <c r="F7747" s="87" t="s">
        <v>23</v>
      </c>
      <c r="G7747" s="88" t="str">
        <f t="shared" si="223"/>
        <v/>
      </c>
      <c r="H7747" s="89"/>
      <c r="I7747" s="35"/>
      <c r="J7747" s="34">
        <v>0</v>
      </c>
    </row>
    <row r="7748" spans="1:10" ht="15.75" hidden="1" thickBot="1" x14ac:dyDescent="0.3">
      <c r="A7748" s="256" t="s">
        <v>1867</v>
      </c>
      <c r="B7748" s="259" t="s">
        <v>3577</v>
      </c>
      <c r="C7748" s="28"/>
      <c r="D7748" s="29" t="s">
        <v>28</v>
      </c>
      <c r="E7748" s="30"/>
      <c r="F7748" s="45" t="s">
        <v>23</v>
      </c>
      <c r="G7748" s="31" t="str">
        <f t="shared" si="223"/>
        <v/>
      </c>
      <c r="H7748" s="32"/>
      <c r="I7748" s="33"/>
      <c r="J7748" s="34">
        <v>0</v>
      </c>
    </row>
    <row r="7749" spans="1:10" ht="15.75" hidden="1" thickBot="1" x14ac:dyDescent="0.3">
      <c r="A7749" s="257"/>
      <c r="B7749" s="260"/>
      <c r="C7749" s="36"/>
      <c r="D7749" s="36"/>
      <c r="E7749" s="37"/>
      <c r="F7749" s="46" t="s">
        <v>23</v>
      </c>
      <c r="G7749" s="38" t="str">
        <f t="shared" si="223"/>
        <v/>
      </c>
      <c r="H7749" s="39"/>
      <c r="I7749" s="35"/>
      <c r="J7749" s="34">
        <v>0</v>
      </c>
    </row>
    <row r="7750" spans="1:10" ht="26.25" hidden="1" thickBot="1" x14ac:dyDescent="0.3">
      <c r="A7750" s="257"/>
      <c r="B7750" s="260"/>
      <c r="C7750" s="40" t="s">
        <v>4554</v>
      </c>
      <c r="D7750" s="40" t="s">
        <v>291</v>
      </c>
      <c r="E7750" s="41">
        <v>1</v>
      </c>
      <c r="F7750" s="35">
        <v>3.6479999999999997</v>
      </c>
      <c r="G7750" s="38">
        <f t="shared" si="223"/>
        <v>3.6479999999999997</v>
      </c>
      <c r="H7750" s="43">
        <f>SUM(G7750:G7750)</f>
        <v>3.6479999999999997</v>
      </c>
      <c r="I7750" s="44"/>
      <c r="J7750" s="34">
        <v>0</v>
      </c>
    </row>
    <row r="7751" spans="1:10" ht="15.75" hidden="1" thickBot="1" x14ac:dyDescent="0.3">
      <c r="A7751" s="258"/>
      <c r="B7751" s="261"/>
      <c r="C7751" s="60"/>
      <c r="D7751" s="60"/>
      <c r="E7751" s="79"/>
      <c r="F7751" s="87" t="s">
        <v>23</v>
      </c>
      <c r="G7751" s="88" t="str">
        <f t="shared" si="223"/>
        <v/>
      </c>
      <c r="H7751" s="89"/>
      <c r="I7751" s="35"/>
      <c r="J7751" s="34">
        <v>0</v>
      </c>
    </row>
    <row r="7752" spans="1:10" ht="15.75" hidden="1" thickBot="1" x14ac:dyDescent="0.3">
      <c r="A7752" s="256" t="s">
        <v>1868</v>
      </c>
      <c r="B7752" s="259" t="s">
        <v>3578</v>
      </c>
      <c r="C7752" s="28"/>
      <c r="D7752" s="29" t="s">
        <v>28</v>
      </c>
      <c r="E7752" s="30"/>
      <c r="F7752" s="45" t="s">
        <v>23</v>
      </c>
      <c r="G7752" s="31" t="str">
        <f t="shared" si="223"/>
        <v/>
      </c>
      <c r="H7752" s="32"/>
      <c r="I7752" s="33"/>
      <c r="J7752" s="34">
        <v>0</v>
      </c>
    </row>
    <row r="7753" spans="1:10" ht="15.75" hidden="1" thickBot="1" x14ac:dyDescent="0.3">
      <c r="A7753" s="257"/>
      <c r="B7753" s="260"/>
      <c r="C7753" s="36"/>
      <c r="D7753" s="36"/>
      <c r="E7753" s="37"/>
      <c r="F7753" s="46" t="s">
        <v>23</v>
      </c>
      <c r="G7753" s="38" t="str">
        <f t="shared" si="223"/>
        <v/>
      </c>
      <c r="H7753" s="39"/>
      <c r="I7753" s="35"/>
      <c r="J7753" s="34">
        <v>0</v>
      </c>
    </row>
    <row r="7754" spans="1:10" ht="26.25" hidden="1" thickBot="1" x14ac:dyDescent="0.3">
      <c r="A7754" s="257"/>
      <c r="B7754" s="260"/>
      <c r="C7754" s="40" t="s">
        <v>4555</v>
      </c>
      <c r="D7754" s="40" t="s">
        <v>291</v>
      </c>
      <c r="E7754" s="41">
        <v>1</v>
      </c>
      <c r="F7754" s="35">
        <v>4.4554999999999998</v>
      </c>
      <c r="G7754" s="38">
        <f t="shared" si="223"/>
        <v>4.4554999999999998</v>
      </c>
      <c r="H7754" s="43">
        <f>SUM(G7754:G7754)</f>
        <v>4.4554999999999998</v>
      </c>
      <c r="I7754" s="44"/>
      <c r="J7754" s="34">
        <v>0</v>
      </c>
    </row>
    <row r="7755" spans="1:10" ht="15.75" hidden="1" thickBot="1" x14ac:dyDescent="0.3">
      <c r="A7755" s="258"/>
      <c r="B7755" s="261"/>
      <c r="C7755" s="60"/>
      <c r="D7755" s="60"/>
      <c r="E7755" s="79"/>
      <c r="F7755" s="87" t="s">
        <v>23</v>
      </c>
      <c r="G7755" s="88" t="str">
        <f t="shared" si="223"/>
        <v/>
      </c>
      <c r="H7755" s="89"/>
      <c r="I7755" s="35"/>
      <c r="J7755" s="34">
        <v>0</v>
      </c>
    </row>
    <row r="7756" spans="1:10" ht="15.75" hidden="1" thickBot="1" x14ac:dyDescent="0.3">
      <c r="A7756" s="256" t="s">
        <v>1869</v>
      </c>
      <c r="B7756" s="259" t="s">
        <v>3579</v>
      </c>
      <c r="C7756" s="28"/>
      <c r="D7756" s="29" t="s">
        <v>28</v>
      </c>
      <c r="E7756" s="30"/>
      <c r="F7756" s="45" t="s">
        <v>23</v>
      </c>
      <c r="G7756" s="31" t="str">
        <f t="shared" si="223"/>
        <v/>
      </c>
      <c r="H7756" s="32"/>
      <c r="I7756" s="33"/>
      <c r="J7756" s="34">
        <v>0</v>
      </c>
    </row>
    <row r="7757" spans="1:10" ht="15.75" hidden="1" thickBot="1" x14ac:dyDescent="0.3">
      <c r="A7757" s="257"/>
      <c r="B7757" s="260"/>
      <c r="C7757" s="36"/>
      <c r="D7757" s="36"/>
      <c r="E7757" s="37"/>
      <c r="F7757" s="46" t="s">
        <v>23</v>
      </c>
      <c r="G7757" s="38" t="str">
        <f t="shared" si="223"/>
        <v/>
      </c>
      <c r="H7757" s="39"/>
      <c r="I7757" s="35"/>
      <c r="J7757" s="34">
        <v>0</v>
      </c>
    </row>
    <row r="7758" spans="1:10" ht="26.25" hidden="1" thickBot="1" x14ac:dyDescent="0.3">
      <c r="A7758" s="257"/>
      <c r="B7758" s="260"/>
      <c r="C7758" s="40" t="s">
        <v>4556</v>
      </c>
      <c r="D7758" s="40" t="s">
        <v>291</v>
      </c>
      <c r="E7758" s="41">
        <v>1</v>
      </c>
      <c r="F7758" s="35">
        <v>26.2105</v>
      </c>
      <c r="G7758" s="38">
        <f t="shared" si="223"/>
        <v>26.2105</v>
      </c>
      <c r="H7758" s="43">
        <f>SUM(G7758:G7758)</f>
        <v>26.2105</v>
      </c>
      <c r="I7758" s="44"/>
      <c r="J7758" s="34">
        <v>0</v>
      </c>
    </row>
    <row r="7759" spans="1:10" ht="15.75" hidden="1" thickBot="1" x14ac:dyDescent="0.3">
      <c r="A7759" s="258"/>
      <c r="B7759" s="261"/>
      <c r="C7759" s="60"/>
      <c r="D7759" s="60"/>
      <c r="E7759" s="79"/>
      <c r="F7759" s="87" t="s">
        <v>23</v>
      </c>
      <c r="G7759" s="88" t="str">
        <f t="shared" si="223"/>
        <v/>
      </c>
      <c r="H7759" s="89"/>
      <c r="I7759" s="35"/>
      <c r="J7759" s="34">
        <v>0</v>
      </c>
    </row>
    <row r="7760" spans="1:10" ht="15.75" hidden="1" thickBot="1" x14ac:dyDescent="0.3">
      <c r="A7760" s="256" t="s">
        <v>1870</v>
      </c>
      <c r="B7760" s="259" t="s">
        <v>3580</v>
      </c>
      <c r="C7760" s="28"/>
      <c r="D7760" s="29" t="s">
        <v>28</v>
      </c>
      <c r="E7760" s="30"/>
      <c r="F7760" s="45" t="s">
        <v>23</v>
      </c>
      <c r="G7760" s="31" t="str">
        <f t="shared" si="223"/>
        <v/>
      </c>
      <c r="H7760" s="32"/>
      <c r="I7760" s="33"/>
      <c r="J7760" s="34">
        <v>0</v>
      </c>
    </row>
    <row r="7761" spans="1:10" ht="15.75" hidden="1" thickBot="1" x14ac:dyDescent="0.3">
      <c r="A7761" s="257"/>
      <c r="B7761" s="260"/>
      <c r="C7761" s="36"/>
      <c r="D7761" s="36"/>
      <c r="E7761" s="37"/>
      <c r="F7761" s="46" t="s">
        <v>23</v>
      </c>
      <c r="G7761" s="38" t="str">
        <f t="shared" si="223"/>
        <v/>
      </c>
      <c r="H7761" s="39"/>
      <c r="I7761" s="35"/>
      <c r="J7761" s="34">
        <v>0</v>
      </c>
    </row>
    <row r="7762" spans="1:10" ht="26.25" hidden="1" thickBot="1" x14ac:dyDescent="0.3">
      <c r="A7762" s="257"/>
      <c r="B7762" s="260"/>
      <c r="C7762" s="40" t="s">
        <v>4557</v>
      </c>
      <c r="D7762" s="40" t="s">
        <v>291</v>
      </c>
      <c r="E7762" s="41">
        <v>1</v>
      </c>
      <c r="F7762" s="35">
        <v>34.076499999999996</v>
      </c>
      <c r="G7762" s="38">
        <f t="shared" si="223"/>
        <v>34.076499999999996</v>
      </c>
      <c r="H7762" s="43">
        <f>SUM(G7762:G7762)</f>
        <v>34.076499999999996</v>
      </c>
      <c r="I7762" s="44"/>
      <c r="J7762" s="34">
        <v>0</v>
      </c>
    </row>
    <row r="7763" spans="1:10" ht="15.75" hidden="1" thickBot="1" x14ac:dyDescent="0.3">
      <c r="A7763" s="258"/>
      <c r="B7763" s="261"/>
      <c r="C7763" s="60"/>
      <c r="D7763" s="60"/>
      <c r="E7763" s="79"/>
      <c r="F7763" s="87" t="s">
        <v>23</v>
      </c>
      <c r="G7763" s="88" t="str">
        <f t="shared" si="223"/>
        <v/>
      </c>
      <c r="H7763" s="89"/>
      <c r="I7763" s="35"/>
      <c r="J7763" s="34">
        <v>0</v>
      </c>
    </row>
    <row r="7764" spans="1:10" ht="15.75" hidden="1" thickBot="1" x14ac:dyDescent="0.3">
      <c r="A7764" s="256" t="s">
        <v>1871</v>
      </c>
      <c r="B7764" s="259" t="s">
        <v>3581</v>
      </c>
      <c r="C7764" s="28"/>
      <c r="D7764" s="29" t="s">
        <v>28</v>
      </c>
      <c r="E7764" s="30"/>
      <c r="F7764" s="45" t="s">
        <v>23</v>
      </c>
      <c r="G7764" s="31" t="str">
        <f t="shared" si="223"/>
        <v/>
      </c>
      <c r="H7764" s="32"/>
      <c r="I7764" s="33"/>
      <c r="J7764" s="34">
        <v>0</v>
      </c>
    </row>
    <row r="7765" spans="1:10" ht="15.75" hidden="1" thickBot="1" x14ac:dyDescent="0.3">
      <c r="A7765" s="257"/>
      <c r="B7765" s="260"/>
      <c r="C7765" s="36"/>
      <c r="D7765" s="36"/>
      <c r="E7765" s="37"/>
      <c r="F7765" s="46" t="s">
        <v>23</v>
      </c>
      <c r="G7765" s="38" t="str">
        <f t="shared" si="223"/>
        <v/>
      </c>
      <c r="H7765" s="39"/>
      <c r="I7765" s="35"/>
      <c r="J7765" s="34">
        <v>0</v>
      </c>
    </row>
    <row r="7766" spans="1:10" ht="26.25" hidden="1" thickBot="1" x14ac:dyDescent="0.3">
      <c r="A7766" s="257"/>
      <c r="B7766" s="260"/>
      <c r="C7766" s="40" t="s">
        <v>4558</v>
      </c>
      <c r="D7766" s="40" t="s">
        <v>291</v>
      </c>
      <c r="E7766" s="41">
        <v>1</v>
      </c>
      <c r="F7766" s="35">
        <v>39.234999999999992</v>
      </c>
      <c r="G7766" s="38">
        <f t="shared" si="223"/>
        <v>39.234999999999992</v>
      </c>
      <c r="H7766" s="43">
        <f>SUM(G7766:G7766)</f>
        <v>39.234999999999992</v>
      </c>
      <c r="I7766" s="44"/>
      <c r="J7766" s="34">
        <v>0</v>
      </c>
    </row>
    <row r="7767" spans="1:10" ht="15.75" hidden="1" thickBot="1" x14ac:dyDescent="0.3">
      <c r="A7767" s="258"/>
      <c r="B7767" s="261"/>
      <c r="C7767" s="60"/>
      <c r="D7767" s="60"/>
      <c r="E7767" s="79"/>
      <c r="F7767" s="87" t="s">
        <v>23</v>
      </c>
      <c r="G7767" s="88" t="str">
        <f t="shared" si="223"/>
        <v/>
      </c>
      <c r="H7767" s="89"/>
      <c r="I7767" s="35"/>
      <c r="J7767" s="34">
        <v>0</v>
      </c>
    </row>
    <row r="7768" spans="1:10" ht="15.75" hidden="1" thickBot="1" x14ac:dyDescent="0.3">
      <c r="A7768" s="256" t="s">
        <v>1872</v>
      </c>
      <c r="B7768" s="259" t="s">
        <v>3582</v>
      </c>
      <c r="C7768" s="28"/>
      <c r="D7768" s="29" t="s">
        <v>28</v>
      </c>
      <c r="E7768" s="30"/>
      <c r="F7768" s="45" t="s">
        <v>23</v>
      </c>
      <c r="G7768" s="31" t="str">
        <f t="shared" si="223"/>
        <v/>
      </c>
      <c r="H7768" s="32"/>
      <c r="I7768" s="33"/>
      <c r="J7768" s="34">
        <v>0</v>
      </c>
    </row>
    <row r="7769" spans="1:10" ht="15.75" hidden="1" thickBot="1" x14ac:dyDescent="0.3">
      <c r="A7769" s="257"/>
      <c r="B7769" s="260"/>
      <c r="C7769" s="36"/>
      <c r="D7769" s="36"/>
      <c r="E7769" s="37"/>
      <c r="F7769" s="46" t="s">
        <v>23</v>
      </c>
      <c r="G7769" s="38" t="str">
        <f t="shared" si="223"/>
        <v/>
      </c>
      <c r="H7769" s="39"/>
      <c r="I7769" s="35"/>
      <c r="J7769" s="34">
        <v>0</v>
      </c>
    </row>
    <row r="7770" spans="1:10" ht="26.25" hidden="1" thickBot="1" x14ac:dyDescent="0.3">
      <c r="A7770" s="257"/>
      <c r="B7770" s="260"/>
      <c r="C7770" s="40" t="s">
        <v>4559</v>
      </c>
      <c r="D7770" s="40" t="s">
        <v>291</v>
      </c>
      <c r="E7770" s="41">
        <v>1</v>
      </c>
      <c r="F7770" s="35">
        <v>6.8114999999999997</v>
      </c>
      <c r="G7770" s="38">
        <f t="shared" si="223"/>
        <v>6.8114999999999997</v>
      </c>
      <c r="H7770" s="43">
        <f>SUM(G7770:G7770)</f>
        <v>6.8114999999999997</v>
      </c>
      <c r="I7770" s="44"/>
      <c r="J7770" s="34">
        <v>0</v>
      </c>
    </row>
    <row r="7771" spans="1:10" ht="15.75" hidden="1" thickBot="1" x14ac:dyDescent="0.3">
      <c r="A7771" s="258"/>
      <c r="B7771" s="261"/>
      <c r="C7771" s="60"/>
      <c r="D7771" s="60"/>
      <c r="E7771" s="79"/>
      <c r="F7771" s="87" t="s">
        <v>23</v>
      </c>
      <c r="G7771" s="88" t="str">
        <f t="shared" si="223"/>
        <v/>
      </c>
      <c r="H7771" s="89"/>
      <c r="I7771" s="35"/>
      <c r="J7771" s="34">
        <v>0</v>
      </c>
    </row>
    <row r="7772" spans="1:10" ht="15.75" hidden="1" thickBot="1" x14ac:dyDescent="0.3">
      <c r="A7772" s="256" t="s">
        <v>1873</v>
      </c>
      <c r="B7772" s="259" t="s">
        <v>3583</v>
      </c>
      <c r="C7772" s="28"/>
      <c r="D7772" s="29" t="s">
        <v>28</v>
      </c>
      <c r="E7772" s="30"/>
      <c r="F7772" s="45" t="s">
        <v>23</v>
      </c>
      <c r="G7772" s="31" t="str">
        <f t="shared" si="223"/>
        <v/>
      </c>
      <c r="H7772" s="32"/>
      <c r="I7772" s="33"/>
      <c r="J7772" s="34">
        <v>0</v>
      </c>
    </row>
    <row r="7773" spans="1:10" ht="15.75" hidden="1" thickBot="1" x14ac:dyDescent="0.3">
      <c r="A7773" s="257"/>
      <c r="B7773" s="260"/>
      <c r="C7773" s="36"/>
      <c r="D7773" s="36"/>
      <c r="E7773" s="37"/>
      <c r="F7773" s="46" t="s">
        <v>23</v>
      </c>
      <c r="G7773" s="38" t="str">
        <f t="shared" si="223"/>
        <v/>
      </c>
      <c r="H7773" s="39"/>
      <c r="I7773" s="35"/>
      <c r="J7773" s="34">
        <v>0</v>
      </c>
    </row>
    <row r="7774" spans="1:10" ht="26.25" hidden="1" thickBot="1" x14ac:dyDescent="0.3">
      <c r="A7774" s="257"/>
      <c r="B7774" s="260"/>
      <c r="C7774" s="40" t="s">
        <v>4440</v>
      </c>
      <c r="D7774" s="40" t="s">
        <v>291</v>
      </c>
      <c r="E7774" s="41">
        <v>1</v>
      </c>
      <c r="F7774" s="35">
        <v>45.799500000000002</v>
      </c>
      <c r="G7774" s="38">
        <f t="shared" si="223"/>
        <v>45.799500000000002</v>
      </c>
      <c r="H7774" s="43">
        <f>SUM(G7774:G7774)</f>
        <v>45.799500000000002</v>
      </c>
      <c r="I7774" s="44"/>
      <c r="J7774" s="34">
        <v>0</v>
      </c>
    </row>
    <row r="7775" spans="1:10" ht="15.75" hidden="1" thickBot="1" x14ac:dyDescent="0.3">
      <c r="A7775" s="258"/>
      <c r="B7775" s="261"/>
      <c r="C7775" s="60"/>
      <c r="D7775" s="60"/>
      <c r="E7775" s="79"/>
      <c r="F7775" s="87" t="s">
        <v>23</v>
      </c>
      <c r="G7775" s="88" t="str">
        <f t="shared" si="223"/>
        <v/>
      </c>
      <c r="H7775" s="89"/>
      <c r="I7775" s="35"/>
      <c r="J7775" s="34">
        <v>0</v>
      </c>
    </row>
    <row r="7776" spans="1:10" ht="15.75" hidden="1" thickBot="1" x14ac:dyDescent="0.3">
      <c r="A7776" s="256" t="s">
        <v>1874</v>
      </c>
      <c r="B7776" s="259" t="s">
        <v>3584</v>
      </c>
      <c r="C7776" s="28"/>
      <c r="D7776" s="29" t="s">
        <v>28</v>
      </c>
      <c r="E7776" s="30"/>
      <c r="F7776" s="45" t="s">
        <v>23</v>
      </c>
      <c r="G7776" s="31" t="str">
        <f t="shared" si="223"/>
        <v/>
      </c>
      <c r="H7776" s="32"/>
      <c r="I7776" s="33"/>
      <c r="J7776" s="34">
        <v>0</v>
      </c>
    </row>
    <row r="7777" spans="1:10" ht="15.75" hidden="1" thickBot="1" x14ac:dyDescent="0.3">
      <c r="A7777" s="257"/>
      <c r="B7777" s="260"/>
      <c r="C7777" s="36"/>
      <c r="D7777" s="36"/>
      <c r="E7777" s="37"/>
      <c r="F7777" s="46" t="s">
        <v>23</v>
      </c>
      <c r="G7777" s="38" t="str">
        <f t="shared" si="223"/>
        <v/>
      </c>
      <c r="H7777" s="39"/>
      <c r="I7777" s="35"/>
      <c r="J7777" s="34">
        <v>0</v>
      </c>
    </row>
    <row r="7778" spans="1:10" ht="26.25" hidden="1" thickBot="1" x14ac:dyDescent="0.3">
      <c r="A7778" s="257"/>
      <c r="B7778" s="260"/>
      <c r="C7778" s="40" t="s">
        <v>4560</v>
      </c>
      <c r="D7778" s="40" t="s">
        <v>291</v>
      </c>
      <c r="E7778" s="41">
        <v>1</v>
      </c>
      <c r="F7778" s="35">
        <v>85.338499999999996</v>
      </c>
      <c r="G7778" s="38">
        <f t="shared" si="223"/>
        <v>85.338499999999996</v>
      </c>
      <c r="H7778" s="43">
        <f>SUM(G7778:G7778)</f>
        <v>85.338499999999996</v>
      </c>
      <c r="I7778" s="44"/>
      <c r="J7778" s="34">
        <v>0</v>
      </c>
    </row>
    <row r="7779" spans="1:10" ht="15.75" hidden="1" thickBot="1" x14ac:dyDescent="0.3">
      <c r="A7779" s="258"/>
      <c r="B7779" s="261"/>
      <c r="C7779" s="60"/>
      <c r="D7779" s="60"/>
      <c r="E7779" s="79"/>
      <c r="F7779" s="87" t="s">
        <v>23</v>
      </c>
      <c r="G7779" s="88" t="str">
        <f t="shared" si="223"/>
        <v/>
      </c>
      <c r="H7779" s="89"/>
      <c r="I7779" s="35"/>
      <c r="J7779" s="34">
        <v>0</v>
      </c>
    </row>
    <row r="7780" spans="1:10" ht="15.75" hidden="1" thickBot="1" x14ac:dyDescent="0.3">
      <c r="A7780" s="256" t="s">
        <v>1875</v>
      </c>
      <c r="B7780" s="259" t="s">
        <v>3585</v>
      </c>
      <c r="C7780" s="28"/>
      <c r="D7780" s="29" t="s">
        <v>28</v>
      </c>
      <c r="E7780" s="30"/>
      <c r="F7780" s="45" t="s">
        <v>23</v>
      </c>
      <c r="G7780" s="31" t="str">
        <f t="shared" si="223"/>
        <v/>
      </c>
      <c r="H7780" s="32"/>
      <c r="I7780" s="33"/>
      <c r="J7780" s="34">
        <v>0</v>
      </c>
    </row>
    <row r="7781" spans="1:10" ht="15.75" hidden="1" thickBot="1" x14ac:dyDescent="0.3">
      <c r="A7781" s="257"/>
      <c r="B7781" s="260"/>
      <c r="C7781" s="36"/>
      <c r="D7781" s="36"/>
      <c r="E7781" s="37"/>
      <c r="F7781" s="46" t="s">
        <v>23</v>
      </c>
      <c r="G7781" s="38" t="str">
        <f t="shared" si="223"/>
        <v/>
      </c>
      <c r="H7781" s="39"/>
      <c r="I7781" s="35"/>
      <c r="J7781" s="34">
        <v>0</v>
      </c>
    </row>
    <row r="7782" spans="1:10" ht="15.75" hidden="1" thickBot="1" x14ac:dyDescent="0.3">
      <c r="A7782" s="257"/>
      <c r="B7782" s="260"/>
      <c r="C7782" s="40" t="s">
        <v>4561</v>
      </c>
      <c r="D7782" s="40" t="s">
        <v>291</v>
      </c>
      <c r="E7782" s="41">
        <v>1</v>
      </c>
      <c r="F7782" s="35">
        <v>20.881</v>
      </c>
      <c r="G7782" s="38">
        <f t="shared" si="223"/>
        <v>20.881</v>
      </c>
      <c r="H7782" s="43">
        <f>SUM(G7782:G7782)</f>
        <v>20.881</v>
      </c>
      <c r="I7782" s="44"/>
      <c r="J7782" s="34">
        <v>0</v>
      </c>
    </row>
    <row r="7783" spans="1:10" ht="15.75" hidden="1" thickBot="1" x14ac:dyDescent="0.3">
      <c r="A7783" s="258"/>
      <c r="B7783" s="261"/>
      <c r="C7783" s="60"/>
      <c r="D7783" s="60"/>
      <c r="E7783" s="79"/>
      <c r="F7783" s="87" t="s">
        <v>23</v>
      </c>
      <c r="G7783" s="88" t="str">
        <f t="shared" si="223"/>
        <v/>
      </c>
      <c r="H7783" s="89"/>
      <c r="I7783" s="35"/>
      <c r="J7783" s="34">
        <v>0</v>
      </c>
    </row>
    <row r="7784" spans="1:10" ht="15.75" hidden="1" thickBot="1" x14ac:dyDescent="0.3">
      <c r="A7784" s="256" t="s">
        <v>1876</v>
      </c>
      <c r="B7784" s="259" t="s">
        <v>3586</v>
      </c>
      <c r="C7784" s="28"/>
      <c r="D7784" s="29" t="s">
        <v>28</v>
      </c>
      <c r="E7784" s="30"/>
      <c r="F7784" s="45" t="s">
        <v>23</v>
      </c>
      <c r="G7784" s="31" t="str">
        <f t="shared" si="223"/>
        <v/>
      </c>
      <c r="H7784" s="32"/>
      <c r="I7784" s="33"/>
      <c r="J7784" s="34">
        <v>0</v>
      </c>
    </row>
    <row r="7785" spans="1:10" ht="15.75" hidden="1" thickBot="1" x14ac:dyDescent="0.3">
      <c r="A7785" s="257"/>
      <c r="B7785" s="260"/>
      <c r="C7785" s="36"/>
      <c r="D7785" s="36"/>
      <c r="E7785" s="37"/>
      <c r="F7785" s="46" t="s">
        <v>23</v>
      </c>
      <c r="G7785" s="38" t="str">
        <f t="shared" si="223"/>
        <v/>
      </c>
      <c r="H7785" s="39"/>
      <c r="I7785" s="35"/>
      <c r="J7785" s="34">
        <v>0</v>
      </c>
    </row>
    <row r="7786" spans="1:10" ht="26.25" hidden="1" thickBot="1" x14ac:dyDescent="0.3">
      <c r="A7786" s="257"/>
      <c r="B7786" s="260"/>
      <c r="C7786" s="40" t="s">
        <v>4562</v>
      </c>
      <c r="D7786" s="40" t="s">
        <v>291</v>
      </c>
      <c r="E7786" s="41">
        <v>1</v>
      </c>
      <c r="F7786" s="35">
        <v>65.189000000000007</v>
      </c>
      <c r="G7786" s="38">
        <f t="shared" si="223"/>
        <v>65.189000000000007</v>
      </c>
      <c r="H7786" s="43">
        <f>SUM(G7786:G7786)</f>
        <v>65.189000000000007</v>
      </c>
      <c r="I7786" s="44"/>
      <c r="J7786" s="34">
        <v>0</v>
      </c>
    </row>
    <row r="7787" spans="1:10" ht="15.75" hidden="1" thickBot="1" x14ac:dyDescent="0.3">
      <c r="A7787" s="258"/>
      <c r="B7787" s="261"/>
      <c r="C7787" s="60"/>
      <c r="D7787" s="60"/>
      <c r="E7787" s="79"/>
      <c r="F7787" s="87" t="s">
        <v>23</v>
      </c>
      <c r="G7787" s="88" t="str">
        <f t="shared" si="223"/>
        <v/>
      </c>
      <c r="H7787" s="89"/>
      <c r="I7787" s="35"/>
      <c r="J7787" s="34">
        <v>0</v>
      </c>
    </row>
    <row r="7788" spans="1:10" ht="15.75" hidden="1" thickBot="1" x14ac:dyDescent="0.3">
      <c r="A7788" s="256" t="s">
        <v>1877</v>
      </c>
      <c r="B7788" s="259" t="s">
        <v>3587</v>
      </c>
      <c r="C7788" s="28"/>
      <c r="D7788" s="29" t="s">
        <v>28</v>
      </c>
      <c r="E7788" s="30"/>
      <c r="F7788" s="45" t="s">
        <v>23</v>
      </c>
      <c r="G7788" s="31" t="str">
        <f t="shared" si="223"/>
        <v/>
      </c>
      <c r="H7788" s="32"/>
      <c r="I7788" s="33"/>
      <c r="J7788" s="34">
        <v>0</v>
      </c>
    </row>
    <row r="7789" spans="1:10" ht="15.75" hidden="1" thickBot="1" x14ac:dyDescent="0.3">
      <c r="A7789" s="257"/>
      <c r="B7789" s="260"/>
      <c r="C7789" s="36"/>
      <c r="D7789" s="36"/>
      <c r="E7789" s="37"/>
      <c r="F7789" s="46" t="s">
        <v>23</v>
      </c>
      <c r="G7789" s="38" t="str">
        <f t="shared" si="223"/>
        <v/>
      </c>
      <c r="H7789" s="39"/>
      <c r="I7789" s="35"/>
      <c r="J7789" s="34">
        <v>0</v>
      </c>
    </row>
    <row r="7790" spans="1:10" ht="26.25" hidden="1" thickBot="1" x14ac:dyDescent="0.3">
      <c r="A7790" s="257"/>
      <c r="B7790" s="260"/>
      <c r="C7790" s="40" t="s">
        <v>4563</v>
      </c>
      <c r="D7790" s="40" t="s">
        <v>291</v>
      </c>
      <c r="E7790" s="41">
        <v>1</v>
      </c>
      <c r="F7790" s="35">
        <v>52.335500000000003</v>
      </c>
      <c r="G7790" s="38">
        <f t="shared" si="223"/>
        <v>52.335500000000003</v>
      </c>
      <c r="H7790" s="43">
        <f>SUM(G7790:G7790)</f>
        <v>52.335500000000003</v>
      </c>
      <c r="I7790" s="44"/>
      <c r="J7790" s="34">
        <v>0</v>
      </c>
    </row>
    <row r="7791" spans="1:10" ht="15.75" hidden="1" thickBot="1" x14ac:dyDescent="0.3">
      <c r="A7791" s="258"/>
      <c r="B7791" s="261"/>
      <c r="C7791" s="60"/>
      <c r="D7791" s="60"/>
      <c r="E7791" s="79"/>
      <c r="F7791" s="87" t="s">
        <v>23</v>
      </c>
      <c r="G7791" s="88" t="str">
        <f t="shared" si="223"/>
        <v/>
      </c>
      <c r="H7791" s="89"/>
      <c r="I7791" s="35"/>
      <c r="J7791" s="34">
        <v>0</v>
      </c>
    </row>
    <row r="7792" spans="1:10" ht="15.75" hidden="1" thickBot="1" x14ac:dyDescent="0.3">
      <c r="A7792" s="256" t="s">
        <v>1878</v>
      </c>
      <c r="B7792" s="259" t="s">
        <v>3588</v>
      </c>
      <c r="C7792" s="28"/>
      <c r="D7792" s="29" t="s">
        <v>28</v>
      </c>
      <c r="E7792" s="30"/>
      <c r="F7792" s="45" t="s">
        <v>23</v>
      </c>
      <c r="G7792" s="31" t="str">
        <f t="shared" si="223"/>
        <v/>
      </c>
      <c r="H7792" s="32"/>
      <c r="I7792" s="33"/>
      <c r="J7792" s="34">
        <v>0</v>
      </c>
    </row>
    <row r="7793" spans="1:10" ht="15.75" hidden="1" thickBot="1" x14ac:dyDescent="0.3">
      <c r="A7793" s="257"/>
      <c r="B7793" s="260"/>
      <c r="C7793" s="36"/>
      <c r="D7793" s="36"/>
      <c r="E7793" s="37"/>
      <c r="F7793" s="46" t="s">
        <v>23</v>
      </c>
      <c r="G7793" s="38" t="str">
        <f t="shared" si="223"/>
        <v/>
      </c>
      <c r="H7793" s="39"/>
      <c r="I7793" s="35"/>
      <c r="J7793" s="34">
        <v>0</v>
      </c>
    </row>
    <row r="7794" spans="1:10" ht="26.25" hidden="1" thickBot="1" x14ac:dyDescent="0.3">
      <c r="A7794" s="257"/>
      <c r="B7794" s="260"/>
      <c r="C7794" s="40" t="s">
        <v>4564</v>
      </c>
      <c r="D7794" s="40" t="s">
        <v>291</v>
      </c>
      <c r="E7794" s="41">
        <v>1</v>
      </c>
      <c r="F7794" s="35">
        <v>57.408499999999997</v>
      </c>
      <c r="G7794" s="38">
        <f t="shared" si="223"/>
        <v>57.408499999999997</v>
      </c>
      <c r="H7794" s="43">
        <f>SUM(G7794:G7794)</f>
        <v>57.408499999999997</v>
      </c>
      <c r="I7794" s="44"/>
      <c r="J7794" s="34">
        <v>0</v>
      </c>
    </row>
    <row r="7795" spans="1:10" ht="15.75" hidden="1" thickBot="1" x14ac:dyDescent="0.3">
      <c r="A7795" s="258"/>
      <c r="B7795" s="261"/>
      <c r="C7795" s="60"/>
      <c r="D7795" s="60"/>
      <c r="E7795" s="79"/>
      <c r="F7795" s="87" t="s">
        <v>23</v>
      </c>
      <c r="G7795" s="88" t="str">
        <f t="shared" si="223"/>
        <v/>
      </c>
      <c r="H7795" s="89"/>
      <c r="I7795" s="35"/>
      <c r="J7795" s="34">
        <v>0</v>
      </c>
    </row>
    <row r="7796" spans="1:10" ht="15.75" hidden="1" thickBot="1" x14ac:dyDescent="0.3">
      <c r="A7796" s="256" t="s">
        <v>1879</v>
      </c>
      <c r="B7796" s="259" t="s">
        <v>3589</v>
      </c>
      <c r="C7796" s="28"/>
      <c r="D7796" s="29" t="s">
        <v>28</v>
      </c>
      <c r="E7796" s="30"/>
      <c r="F7796" s="45" t="s">
        <v>23</v>
      </c>
      <c r="G7796" s="31" t="str">
        <f t="shared" si="223"/>
        <v/>
      </c>
      <c r="H7796" s="32"/>
      <c r="I7796" s="33"/>
      <c r="J7796" s="34">
        <v>0</v>
      </c>
    </row>
    <row r="7797" spans="1:10" ht="15.75" hidden="1" thickBot="1" x14ac:dyDescent="0.3">
      <c r="A7797" s="257"/>
      <c r="B7797" s="260"/>
      <c r="C7797" s="36"/>
      <c r="D7797" s="36"/>
      <c r="E7797" s="37"/>
      <c r="F7797" s="46" t="s">
        <v>23</v>
      </c>
      <c r="G7797" s="38" t="str">
        <f t="shared" si="223"/>
        <v/>
      </c>
      <c r="H7797" s="39"/>
      <c r="I7797" s="35"/>
      <c r="J7797" s="34">
        <v>0</v>
      </c>
    </row>
    <row r="7798" spans="1:10" ht="15.75" hidden="1" thickBot="1" x14ac:dyDescent="0.3">
      <c r="A7798" s="257"/>
      <c r="B7798" s="260"/>
      <c r="C7798" s="40" t="s">
        <v>4565</v>
      </c>
      <c r="D7798" s="40" t="s">
        <v>291</v>
      </c>
      <c r="E7798" s="41">
        <v>1</v>
      </c>
      <c r="F7798" s="35">
        <v>19.522500000000001</v>
      </c>
      <c r="G7798" s="38">
        <f t="shared" si="223"/>
        <v>19.522500000000001</v>
      </c>
      <c r="H7798" s="43">
        <f>SUM(G7798:G7798)</f>
        <v>19.522500000000001</v>
      </c>
      <c r="I7798" s="44"/>
      <c r="J7798" s="34">
        <v>0</v>
      </c>
    </row>
    <row r="7799" spans="1:10" ht="15.75" hidden="1" thickBot="1" x14ac:dyDescent="0.3">
      <c r="A7799" s="258"/>
      <c r="B7799" s="261"/>
      <c r="C7799" s="60"/>
      <c r="D7799" s="60"/>
      <c r="E7799" s="79"/>
      <c r="F7799" s="87" t="s">
        <v>23</v>
      </c>
      <c r="G7799" s="88" t="str">
        <f t="shared" si="223"/>
        <v/>
      </c>
      <c r="H7799" s="89"/>
      <c r="I7799" s="35"/>
      <c r="J7799" s="34">
        <v>0</v>
      </c>
    </row>
    <row r="7800" spans="1:10" ht="15.75" hidden="1" thickBot="1" x14ac:dyDescent="0.3">
      <c r="A7800" s="256" t="s">
        <v>1880</v>
      </c>
      <c r="B7800" s="259" t="s">
        <v>3590</v>
      </c>
      <c r="C7800" s="28"/>
      <c r="D7800" s="29" t="s">
        <v>28</v>
      </c>
      <c r="E7800" s="30"/>
      <c r="F7800" s="45" t="s">
        <v>23</v>
      </c>
      <c r="G7800" s="31" t="str">
        <f t="shared" si="223"/>
        <v/>
      </c>
      <c r="H7800" s="32"/>
      <c r="I7800" s="33"/>
      <c r="J7800" s="34">
        <v>0</v>
      </c>
    </row>
    <row r="7801" spans="1:10" ht="15.75" hidden="1" thickBot="1" x14ac:dyDescent="0.3">
      <c r="A7801" s="257"/>
      <c r="B7801" s="260"/>
      <c r="C7801" s="36"/>
      <c r="D7801" s="36"/>
      <c r="E7801" s="37"/>
      <c r="F7801" s="46" t="s">
        <v>23</v>
      </c>
      <c r="G7801" s="38" t="str">
        <f t="shared" si="223"/>
        <v/>
      </c>
      <c r="H7801" s="39"/>
      <c r="I7801" s="35"/>
      <c r="J7801" s="34">
        <v>0</v>
      </c>
    </row>
    <row r="7802" spans="1:10" ht="26.25" hidden="1" thickBot="1" x14ac:dyDescent="0.3">
      <c r="A7802" s="257"/>
      <c r="B7802" s="260"/>
      <c r="C7802" s="40" t="s">
        <v>4566</v>
      </c>
      <c r="D7802" s="40" t="s">
        <v>291</v>
      </c>
      <c r="E7802" s="41">
        <v>1</v>
      </c>
      <c r="F7802" s="35">
        <v>35.9955</v>
      </c>
      <c r="G7802" s="38">
        <f t="shared" si="223"/>
        <v>35.9955</v>
      </c>
      <c r="H7802" s="43">
        <f>SUM(G7802:G7802)</f>
        <v>35.9955</v>
      </c>
      <c r="I7802" s="44"/>
      <c r="J7802" s="34">
        <v>0</v>
      </c>
    </row>
    <row r="7803" spans="1:10" ht="15.75" hidden="1" thickBot="1" x14ac:dyDescent="0.3">
      <c r="A7803" s="258"/>
      <c r="B7803" s="261"/>
      <c r="C7803" s="60"/>
      <c r="D7803" s="60"/>
      <c r="E7803" s="79"/>
      <c r="F7803" s="87" t="s">
        <v>23</v>
      </c>
      <c r="G7803" s="88" t="str">
        <f t="shared" si="223"/>
        <v/>
      </c>
      <c r="H7803" s="89"/>
      <c r="I7803" s="35"/>
      <c r="J7803" s="34">
        <v>0</v>
      </c>
    </row>
    <row r="7804" spans="1:10" ht="15.75" hidden="1" thickBot="1" x14ac:dyDescent="0.3">
      <c r="A7804" s="256" t="s">
        <v>1881</v>
      </c>
      <c r="B7804" s="259" t="s">
        <v>3591</v>
      </c>
      <c r="C7804" s="28"/>
      <c r="D7804" s="29" t="s">
        <v>28</v>
      </c>
      <c r="E7804" s="30"/>
      <c r="F7804" s="45" t="s">
        <v>23</v>
      </c>
      <c r="G7804" s="31" t="str">
        <f t="shared" si="223"/>
        <v/>
      </c>
      <c r="H7804" s="32"/>
      <c r="I7804" s="33"/>
      <c r="J7804" s="34">
        <v>0</v>
      </c>
    </row>
    <row r="7805" spans="1:10" ht="15.75" hidden="1" thickBot="1" x14ac:dyDescent="0.3">
      <c r="A7805" s="257"/>
      <c r="B7805" s="260"/>
      <c r="C7805" s="36"/>
      <c r="D7805" s="36"/>
      <c r="E7805" s="37"/>
      <c r="F7805" s="46" t="s">
        <v>23</v>
      </c>
      <c r="G7805" s="38" t="str">
        <f t="shared" ref="G7805:G7868" si="224">IF(ISNUMBER(F7805),E7805*F7805,"")</f>
        <v/>
      </c>
      <c r="H7805" s="39"/>
      <c r="I7805" s="35"/>
      <c r="J7805" s="34">
        <v>0</v>
      </c>
    </row>
    <row r="7806" spans="1:10" ht="15.75" hidden="1" thickBot="1" x14ac:dyDescent="0.3">
      <c r="A7806" s="257"/>
      <c r="B7806" s="260"/>
      <c r="C7806" s="40" t="s">
        <v>4567</v>
      </c>
      <c r="D7806" s="40" t="s">
        <v>291</v>
      </c>
      <c r="E7806" s="41">
        <v>1</v>
      </c>
      <c r="F7806" s="35">
        <v>146.36649999999997</v>
      </c>
      <c r="G7806" s="38">
        <f t="shared" si="224"/>
        <v>146.36649999999997</v>
      </c>
      <c r="H7806" s="43">
        <f>SUM(G7806:G7806)</f>
        <v>146.36649999999997</v>
      </c>
      <c r="I7806" s="44"/>
      <c r="J7806" s="34">
        <v>0</v>
      </c>
    </row>
    <row r="7807" spans="1:10" ht="15.75" hidden="1" thickBot="1" x14ac:dyDescent="0.3">
      <c r="A7807" s="258"/>
      <c r="B7807" s="261"/>
      <c r="C7807" s="60"/>
      <c r="D7807" s="60"/>
      <c r="E7807" s="79"/>
      <c r="F7807" s="87" t="s">
        <v>23</v>
      </c>
      <c r="G7807" s="88" t="str">
        <f t="shared" si="224"/>
        <v/>
      </c>
      <c r="H7807" s="89"/>
      <c r="I7807" s="35"/>
      <c r="J7807" s="34">
        <v>0</v>
      </c>
    </row>
    <row r="7808" spans="1:10" ht="15.75" hidden="1" thickBot="1" x14ac:dyDescent="0.3">
      <c r="A7808" s="256" t="s">
        <v>1882</v>
      </c>
      <c r="B7808" s="259" t="s">
        <v>3592</v>
      </c>
      <c r="C7808" s="28"/>
      <c r="D7808" s="29" t="s">
        <v>28</v>
      </c>
      <c r="E7808" s="30"/>
      <c r="F7808" s="45" t="s">
        <v>23</v>
      </c>
      <c r="G7808" s="31" t="str">
        <f t="shared" si="224"/>
        <v/>
      </c>
      <c r="H7808" s="32"/>
      <c r="I7808" s="33"/>
      <c r="J7808" s="34">
        <v>0</v>
      </c>
    </row>
    <row r="7809" spans="1:10" ht="15.75" hidden="1" thickBot="1" x14ac:dyDescent="0.3">
      <c r="A7809" s="257"/>
      <c r="B7809" s="260"/>
      <c r="C7809" s="36"/>
      <c r="D7809" s="36"/>
      <c r="E7809" s="37"/>
      <c r="F7809" s="46" t="s">
        <v>23</v>
      </c>
      <c r="G7809" s="38" t="str">
        <f t="shared" si="224"/>
        <v/>
      </c>
      <c r="H7809" s="39"/>
      <c r="I7809" s="35"/>
      <c r="J7809" s="34">
        <v>0</v>
      </c>
    </row>
    <row r="7810" spans="1:10" ht="15.75" hidden="1" thickBot="1" x14ac:dyDescent="0.3">
      <c r="A7810" s="257"/>
      <c r="B7810" s="260"/>
      <c r="C7810" s="40" t="s">
        <v>1883</v>
      </c>
      <c r="D7810" s="40" t="s">
        <v>28</v>
      </c>
      <c r="E7810" s="41">
        <v>1</v>
      </c>
      <c r="F7810" s="35">
        <v>0</v>
      </c>
      <c r="G7810" s="38">
        <f t="shared" si="224"/>
        <v>0</v>
      </c>
      <c r="H7810" s="43">
        <f>SUM(G7810:G7810)</f>
        <v>0</v>
      </c>
      <c r="I7810" s="44"/>
      <c r="J7810" s="34">
        <v>0</v>
      </c>
    </row>
    <row r="7811" spans="1:10" ht="15.75" hidden="1" thickBot="1" x14ac:dyDescent="0.3">
      <c r="A7811" s="258"/>
      <c r="B7811" s="261"/>
      <c r="C7811" s="60"/>
      <c r="D7811" s="60"/>
      <c r="E7811" s="79"/>
      <c r="F7811" s="87" t="s">
        <v>23</v>
      </c>
      <c r="G7811" s="88" t="str">
        <f t="shared" si="224"/>
        <v/>
      </c>
      <c r="H7811" s="89"/>
      <c r="I7811" s="35"/>
      <c r="J7811" s="34">
        <v>0</v>
      </c>
    </row>
    <row r="7812" spans="1:10" ht="15.75" hidden="1" thickBot="1" x14ac:dyDescent="0.3">
      <c r="A7812" s="256" t="s">
        <v>1884</v>
      </c>
      <c r="B7812" s="259" t="s">
        <v>3593</v>
      </c>
      <c r="C7812" s="28"/>
      <c r="D7812" s="29" t="s">
        <v>28</v>
      </c>
      <c r="E7812" s="30"/>
      <c r="F7812" s="45" t="s">
        <v>23</v>
      </c>
      <c r="G7812" s="31" t="str">
        <f t="shared" si="224"/>
        <v/>
      </c>
      <c r="H7812" s="32"/>
      <c r="I7812" s="33"/>
      <c r="J7812" s="34">
        <v>0</v>
      </c>
    </row>
    <row r="7813" spans="1:10" ht="15.75" hidden="1" thickBot="1" x14ac:dyDescent="0.3">
      <c r="A7813" s="257"/>
      <c r="B7813" s="260"/>
      <c r="C7813" s="36"/>
      <c r="D7813" s="36"/>
      <c r="E7813" s="37"/>
      <c r="F7813" s="46" t="s">
        <v>23</v>
      </c>
      <c r="G7813" s="38" t="str">
        <f t="shared" si="224"/>
        <v/>
      </c>
      <c r="H7813" s="39"/>
      <c r="I7813" s="35"/>
      <c r="J7813" s="34">
        <v>0</v>
      </c>
    </row>
    <row r="7814" spans="1:10" ht="26.25" hidden="1" thickBot="1" x14ac:dyDescent="0.3">
      <c r="A7814" s="257"/>
      <c r="B7814" s="260"/>
      <c r="C7814" s="40" t="s">
        <v>4568</v>
      </c>
      <c r="D7814" s="40" t="s">
        <v>291</v>
      </c>
      <c r="E7814" s="41">
        <v>1</v>
      </c>
      <c r="F7814" s="35">
        <v>19.437000000000001</v>
      </c>
      <c r="G7814" s="38">
        <f t="shared" si="224"/>
        <v>19.437000000000001</v>
      </c>
      <c r="H7814" s="43">
        <f>SUM(G7814:G7814)</f>
        <v>19.437000000000001</v>
      </c>
      <c r="I7814" s="44"/>
      <c r="J7814" s="34">
        <v>0</v>
      </c>
    </row>
    <row r="7815" spans="1:10" ht="15.75" hidden="1" thickBot="1" x14ac:dyDescent="0.3">
      <c r="A7815" s="258"/>
      <c r="B7815" s="261"/>
      <c r="C7815" s="60"/>
      <c r="D7815" s="60"/>
      <c r="E7815" s="79"/>
      <c r="F7815" s="87" t="s">
        <v>23</v>
      </c>
      <c r="G7815" s="88" t="str">
        <f t="shared" si="224"/>
        <v/>
      </c>
      <c r="H7815" s="89"/>
      <c r="I7815" s="35"/>
      <c r="J7815" s="34">
        <v>0</v>
      </c>
    </row>
    <row r="7816" spans="1:10" ht="15.75" hidden="1" thickBot="1" x14ac:dyDescent="0.3">
      <c r="A7816" s="256" t="s">
        <v>1885</v>
      </c>
      <c r="B7816" s="259" t="s">
        <v>3594</v>
      </c>
      <c r="C7816" s="28"/>
      <c r="D7816" s="29" t="s">
        <v>28</v>
      </c>
      <c r="E7816" s="30"/>
      <c r="F7816" s="45" t="s">
        <v>23</v>
      </c>
      <c r="G7816" s="31" t="str">
        <f t="shared" si="224"/>
        <v/>
      </c>
      <c r="H7816" s="32"/>
      <c r="I7816" s="33"/>
      <c r="J7816" s="34">
        <v>0</v>
      </c>
    </row>
    <row r="7817" spans="1:10" ht="15.75" hidden="1" thickBot="1" x14ac:dyDescent="0.3">
      <c r="A7817" s="257"/>
      <c r="B7817" s="260"/>
      <c r="C7817" s="36"/>
      <c r="D7817" s="36"/>
      <c r="E7817" s="37"/>
      <c r="F7817" s="46" t="s">
        <v>23</v>
      </c>
      <c r="G7817" s="38" t="str">
        <f t="shared" si="224"/>
        <v/>
      </c>
      <c r="H7817" s="39"/>
      <c r="I7817" s="35"/>
      <c r="J7817" s="34">
        <v>0</v>
      </c>
    </row>
    <row r="7818" spans="1:10" ht="26.25" hidden="1" thickBot="1" x14ac:dyDescent="0.3">
      <c r="A7818" s="257"/>
      <c r="B7818" s="260"/>
      <c r="C7818" s="40" t="s">
        <v>4569</v>
      </c>
      <c r="D7818" s="40" t="s">
        <v>291</v>
      </c>
      <c r="E7818" s="41">
        <v>1</v>
      </c>
      <c r="F7818" s="35">
        <v>213.47450000000001</v>
      </c>
      <c r="G7818" s="38">
        <f t="shared" si="224"/>
        <v>213.47450000000001</v>
      </c>
      <c r="H7818" s="43">
        <f>SUM(G7818:G7818)</f>
        <v>213.47450000000001</v>
      </c>
      <c r="I7818" s="44"/>
      <c r="J7818" s="34">
        <v>0</v>
      </c>
    </row>
    <row r="7819" spans="1:10" ht="15.75" hidden="1" thickBot="1" x14ac:dyDescent="0.3">
      <c r="A7819" s="258"/>
      <c r="B7819" s="261"/>
      <c r="C7819" s="60"/>
      <c r="D7819" s="60"/>
      <c r="E7819" s="79"/>
      <c r="F7819" s="87" t="s">
        <v>23</v>
      </c>
      <c r="G7819" s="88" t="str">
        <f t="shared" si="224"/>
        <v/>
      </c>
      <c r="H7819" s="89"/>
      <c r="I7819" s="35"/>
      <c r="J7819" s="34">
        <v>0</v>
      </c>
    </row>
    <row r="7820" spans="1:10" ht="15.75" hidden="1" thickBot="1" x14ac:dyDescent="0.3">
      <c r="A7820" s="256" t="s">
        <v>1886</v>
      </c>
      <c r="B7820" s="259" t="s">
        <v>3595</v>
      </c>
      <c r="C7820" s="28"/>
      <c r="D7820" s="29" t="s">
        <v>28</v>
      </c>
      <c r="E7820" s="30"/>
      <c r="F7820" s="45" t="s">
        <v>23</v>
      </c>
      <c r="G7820" s="31" t="str">
        <f t="shared" si="224"/>
        <v/>
      </c>
      <c r="H7820" s="32"/>
      <c r="I7820" s="33"/>
      <c r="J7820" s="34">
        <v>0</v>
      </c>
    </row>
    <row r="7821" spans="1:10" ht="15.75" hidden="1" thickBot="1" x14ac:dyDescent="0.3">
      <c r="A7821" s="257"/>
      <c r="B7821" s="260"/>
      <c r="C7821" s="36"/>
      <c r="D7821" s="36"/>
      <c r="E7821" s="37"/>
      <c r="F7821" s="46" t="s">
        <v>23</v>
      </c>
      <c r="G7821" s="38" t="str">
        <f t="shared" si="224"/>
        <v/>
      </c>
      <c r="H7821" s="39"/>
      <c r="I7821" s="35"/>
      <c r="J7821" s="34">
        <v>0</v>
      </c>
    </row>
    <row r="7822" spans="1:10" ht="26.25" hidden="1" thickBot="1" x14ac:dyDescent="0.3">
      <c r="A7822" s="257"/>
      <c r="B7822" s="260"/>
      <c r="C7822" s="40" t="s">
        <v>4570</v>
      </c>
      <c r="D7822" s="40" t="s">
        <v>291</v>
      </c>
      <c r="E7822" s="41">
        <v>1</v>
      </c>
      <c r="F7822" s="35">
        <v>102.03</v>
      </c>
      <c r="G7822" s="38">
        <f t="shared" si="224"/>
        <v>102.03</v>
      </c>
      <c r="H7822" s="43">
        <f>SUM(G7822:G7822)</f>
        <v>102.03</v>
      </c>
      <c r="I7822" s="44"/>
      <c r="J7822" s="34">
        <v>0</v>
      </c>
    </row>
    <row r="7823" spans="1:10" ht="15.75" hidden="1" thickBot="1" x14ac:dyDescent="0.3">
      <c r="A7823" s="258"/>
      <c r="B7823" s="261"/>
      <c r="C7823" s="60"/>
      <c r="D7823" s="60"/>
      <c r="E7823" s="79"/>
      <c r="F7823" s="87" t="s">
        <v>23</v>
      </c>
      <c r="G7823" s="88" t="str">
        <f t="shared" si="224"/>
        <v/>
      </c>
      <c r="H7823" s="89"/>
      <c r="I7823" s="35"/>
      <c r="J7823" s="34">
        <v>0</v>
      </c>
    </row>
    <row r="7824" spans="1:10" ht="15.75" hidden="1" thickBot="1" x14ac:dyDescent="0.3">
      <c r="A7824" s="256" t="s">
        <v>1887</v>
      </c>
      <c r="B7824" s="259" t="s">
        <v>3596</v>
      </c>
      <c r="C7824" s="28"/>
      <c r="D7824" s="29" t="s">
        <v>28</v>
      </c>
      <c r="E7824" s="30"/>
      <c r="F7824" s="45" t="s">
        <v>23</v>
      </c>
      <c r="G7824" s="31" t="str">
        <f t="shared" si="224"/>
        <v/>
      </c>
      <c r="H7824" s="32"/>
      <c r="I7824" s="33"/>
      <c r="J7824" s="34">
        <v>0</v>
      </c>
    </row>
    <row r="7825" spans="1:10" ht="15.75" hidden="1" thickBot="1" x14ac:dyDescent="0.3">
      <c r="A7825" s="257"/>
      <c r="B7825" s="260"/>
      <c r="C7825" s="36"/>
      <c r="D7825" s="36"/>
      <c r="E7825" s="37"/>
      <c r="F7825" s="46" t="s">
        <v>23</v>
      </c>
      <c r="G7825" s="38" t="str">
        <f t="shared" si="224"/>
        <v/>
      </c>
      <c r="H7825" s="39"/>
      <c r="I7825" s="35"/>
      <c r="J7825" s="34">
        <v>0</v>
      </c>
    </row>
    <row r="7826" spans="1:10" ht="26.25" hidden="1" thickBot="1" x14ac:dyDescent="0.3">
      <c r="A7826" s="257"/>
      <c r="B7826" s="260"/>
      <c r="C7826" s="40" t="s">
        <v>4571</v>
      </c>
      <c r="D7826" s="40" t="s">
        <v>291</v>
      </c>
      <c r="E7826" s="41">
        <v>1</v>
      </c>
      <c r="F7826" s="35">
        <v>23.360499999999998</v>
      </c>
      <c r="G7826" s="38">
        <f t="shared" si="224"/>
        <v>23.360499999999998</v>
      </c>
      <c r="H7826" s="43">
        <f>SUM(G7826:G7826)</f>
        <v>23.360499999999998</v>
      </c>
      <c r="I7826" s="44"/>
      <c r="J7826" s="34">
        <v>0</v>
      </c>
    </row>
    <row r="7827" spans="1:10" ht="15.75" hidden="1" thickBot="1" x14ac:dyDescent="0.3">
      <c r="A7827" s="258"/>
      <c r="B7827" s="261"/>
      <c r="C7827" s="60"/>
      <c r="D7827" s="60"/>
      <c r="E7827" s="79"/>
      <c r="F7827" s="87" t="s">
        <v>23</v>
      </c>
      <c r="G7827" s="88" t="str">
        <f t="shared" si="224"/>
        <v/>
      </c>
      <c r="H7827" s="89"/>
      <c r="I7827" s="35"/>
      <c r="J7827" s="34">
        <v>0</v>
      </c>
    </row>
    <row r="7828" spans="1:10" ht="15.75" hidden="1" thickBot="1" x14ac:dyDescent="0.3">
      <c r="A7828" s="256" t="s">
        <v>1888</v>
      </c>
      <c r="B7828" s="259" t="s">
        <v>3597</v>
      </c>
      <c r="C7828" s="28"/>
      <c r="D7828" s="29" t="s">
        <v>28</v>
      </c>
      <c r="E7828" s="30"/>
      <c r="F7828" s="45" t="s">
        <v>23</v>
      </c>
      <c r="G7828" s="31" t="str">
        <f t="shared" si="224"/>
        <v/>
      </c>
      <c r="H7828" s="32"/>
      <c r="I7828" s="33"/>
      <c r="J7828" s="34">
        <v>0</v>
      </c>
    </row>
    <row r="7829" spans="1:10" ht="15.75" hidden="1" thickBot="1" x14ac:dyDescent="0.3">
      <c r="A7829" s="257"/>
      <c r="B7829" s="260"/>
      <c r="C7829" s="36"/>
      <c r="D7829" s="36"/>
      <c r="E7829" s="37"/>
      <c r="F7829" s="46" t="s">
        <v>23</v>
      </c>
      <c r="G7829" s="38" t="str">
        <f t="shared" si="224"/>
        <v/>
      </c>
      <c r="H7829" s="39"/>
      <c r="I7829" s="35"/>
      <c r="J7829" s="34">
        <v>0</v>
      </c>
    </row>
    <row r="7830" spans="1:10" ht="26.25" hidden="1" thickBot="1" x14ac:dyDescent="0.3">
      <c r="A7830" s="257"/>
      <c r="B7830" s="260"/>
      <c r="C7830" s="40" t="s">
        <v>4572</v>
      </c>
      <c r="D7830" s="40" t="s">
        <v>291</v>
      </c>
      <c r="E7830" s="41">
        <v>1</v>
      </c>
      <c r="F7830" s="35">
        <v>80.455500000000001</v>
      </c>
      <c r="G7830" s="38">
        <f t="shared" si="224"/>
        <v>80.455500000000001</v>
      </c>
      <c r="H7830" s="43">
        <f>SUM(G7830:G7830)</f>
        <v>80.455500000000001</v>
      </c>
      <c r="I7830" s="44"/>
      <c r="J7830" s="34">
        <v>0</v>
      </c>
    </row>
    <row r="7831" spans="1:10" ht="15.75" hidden="1" thickBot="1" x14ac:dyDescent="0.3">
      <c r="A7831" s="258"/>
      <c r="B7831" s="261"/>
      <c r="C7831" s="60"/>
      <c r="D7831" s="60"/>
      <c r="E7831" s="79"/>
      <c r="F7831" s="87" t="s">
        <v>23</v>
      </c>
      <c r="G7831" s="88" t="str">
        <f t="shared" si="224"/>
        <v/>
      </c>
      <c r="H7831" s="89"/>
      <c r="I7831" s="35"/>
      <c r="J7831" s="34">
        <v>0</v>
      </c>
    </row>
    <row r="7832" spans="1:10" ht="15.75" hidden="1" thickBot="1" x14ac:dyDescent="0.3">
      <c r="A7832" s="256" t="s">
        <v>1889</v>
      </c>
      <c r="B7832" s="259" t="s">
        <v>3598</v>
      </c>
      <c r="C7832" s="28"/>
      <c r="D7832" s="29" t="s">
        <v>28</v>
      </c>
      <c r="E7832" s="30"/>
      <c r="F7832" s="45" t="s">
        <v>23</v>
      </c>
      <c r="G7832" s="31" t="str">
        <f t="shared" si="224"/>
        <v/>
      </c>
      <c r="H7832" s="32"/>
      <c r="I7832" s="33"/>
      <c r="J7832" s="34">
        <v>0</v>
      </c>
    </row>
    <row r="7833" spans="1:10" ht="15.75" hidden="1" thickBot="1" x14ac:dyDescent="0.3">
      <c r="A7833" s="257"/>
      <c r="B7833" s="260"/>
      <c r="C7833" s="36"/>
      <c r="D7833" s="36"/>
      <c r="E7833" s="37"/>
      <c r="F7833" s="46" t="s">
        <v>23</v>
      </c>
      <c r="G7833" s="38" t="str">
        <f t="shared" si="224"/>
        <v/>
      </c>
      <c r="H7833" s="39"/>
      <c r="I7833" s="35"/>
      <c r="J7833" s="34">
        <v>0</v>
      </c>
    </row>
    <row r="7834" spans="1:10" ht="26.25" hidden="1" thickBot="1" x14ac:dyDescent="0.3">
      <c r="A7834" s="257"/>
      <c r="B7834" s="260"/>
      <c r="C7834" s="40" t="s">
        <v>4573</v>
      </c>
      <c r="D7834" s="40" t="s">
        <v>291</v>
      </c>
      <c r="E7834" s="41">
        <v>1</v>
      </c>
      <c r="F7834" s="35">
        <v>67.041499999999985</v>
      </c>
      <c r="G7834" s="38">
        <f t="shared" si="224"/>
        <v>67.041499999999985</v>
      </c>
      <c r="H7834" s="43">
        <f>SUM(G7834:G7834)</f>
        <v>67.041499999999985</v>
      </c>
      <c r="I7834" s="44"/>
      <c r="J7834" s="34">
        <v>0</v>
      </c>
    </row>
    <row r="7835" spans="1:10" ht="15.75" hidden="1" thickBot="1" x14ac:dyDescent="0.3">
      <c r="A7835" s="258"/>
      <c r="B7835" s="261"/>
      <c r="C7835" s="60"/>
      <c r="D7835" s="60"/>
      <c r="E7835" s="79"/>
      <c r="F7835" s="87" t="s">
        <v>23</v>
      </c>
      <c r="G7835" s="88" t="str">
        <f t="shared" si="224"/>
        <v/>
      </c>
      <c r="H7835" s="89"/>
      <c r="I7835" s="35"/>
      <c r="J7835" s="34">
        <v>0</v>
      </c>
    </row>
    <row r="7836" spans="1:10" ht="15.75" hidden="1" thickBot="1" x14ac:dyDescent="0.3">
      <c r="A7836" s="256" t="s">
        <v>1890</v>
      </c>
      <c r="B7836" s="259" t="s">
        <v>3599</v>
      </c>
      <c r="C7836" s="28"/>
      <c r="D7836" s="29" t="s">
        <v>28</v>
      </c>
      <c r="E7836" s="30"/>
      <c r="F7836" s="45" t="s">
        <v>23</v>
      </c>
      <c r="G7836" s="31" t="str">
        <f t="shared" si="224"/>
        <v/>
      </c>
      <c r="H7836" s="32"/>
      <c r="I7836" s="33"/>
      <c r="J7836" s="34">
        <v>0</v>
      </c>
    </row>
    <row r="7837" spans="1:10" ht="15.75" hidden="1" thickBot="1" x14ac:dyDescent="0.3">
      <c r="A7837" s="257"/>
      <c r="B7837" s="260"/>
      <c r="C7837" s="36"/>
      <c r="D7837" s="36"/>
      <c r="E7837" s="37"/>
      <c r="F7837" s="46" t="s">
        <v>23</v>
      </c>
      <c r="G7837" s="38" t="str">
        <f t="shared" si="224"/>
        <v/>
      </c>
      <c r="H7837" s="39"/>
      <c r="I7837" s="35"/>
      <c r="J7837" s="34">
        <v>0</v>
      </c>
    </row>
    <row r="7838" spans="1:10" ht="26.25" hidden="1" thickBot="1" x14ac:dyDescent="0.3">
      <c r="A7838" s="257"/>
      <c r="B7838" s="260"/>
      <c r="C7838" s="40" t="s">
        <v>4574</v>
      </c>
      <c r="D7838" s="40" t="s">
        <v>291</v>
      </c>
      <c r="E7838" s="41">
        <v>1</v>
      </c>
      <c r="F7838" s="35">
        <v>78.061499999999995</v>
      </c>
      <c r="G7838" s="38">
        <f t="shared" si="224"/>
        <v>78.061499999999995</v>
      </c>
      <c r="H7838" s="43">
        <f>SUM(G7838:G7838)</f>
        <v>78.061499999999995</v>
      </c>
      <c r="I7838" s="44"/>
      <c r="J7838" s="34">
        <v>0</v>
      </c>
    </row>
    <row r="7839" spans="1:10" ht="15.75" hidden="1" thickBot="1" x14ac:dyDescent="0.3">
      <c r="A7839" s="258"/>
      <c r="B7839" s="261"/>
      <c r="C7839" s="60"/>
      <c r="D7839" s="60"/>
      <c r="E7839" s="79"/>
      <c r="F7839" s="87" t="s">
        <v>23</v>
      </c>
      <c r="G7839" s="88" t="str">
        <f t="shared" si="224"/>
        <v/>
      </c>
      <c r="H7839" s="89"/>
      <c r="I7839" s="35"/>
      <c r="J7839" s="34">
        <v>0</v>
      </c>
    </row>
    <row r="7840" spans="1:10" ht="15.75" hidden="1" thickBot="1" x14ac:dyDescent="0.3">
      <c r="A7840" s="256" t="s">
        <v>1891</v>
      </c>
      <c r="B7840" s="259" t="s">
        <v>3600</v>
      </c>
      <c r="C7840" s="28"/>
      <c r="D7840" s="29" t="s">
        <v>28</v>
      </c>
      <c r="E7840" s="30"/>
      <c r="F7840" s="45" t="s">
        <v>23</v>
      </c>
      <c r="G7840" s="31" t="str">
        <f t="shared" si="224"/>
        <v/>
      </c>
      <c r="H7840" s="32"/>
      <c r="I7840" s="33"/>
      <c r="J7840" s="34">
        <v>0</v>
      </c>
    </row>
    <row r="7841" spans="1:10" ht="15.75" hidden="1" thickBot="1" x14ac:dyDescent="0.3">
      <c r="A7841" s="257"/>
      <c r="B7841" s="260"/>
      <c r="C7841" s="36"/>
      <c r="D7841" s="36"/>
      <c r="E7841" s="37"/>
      <c r="F7841" s="46" t="s">
        <v>23</v>
      </c>
      <c r="G7841" s="38" t="str">
        <f t="shared" si="224"/>
        <v/>
      </c>
      <c r="H7841" s="39"/>
      <c r="I7841" s="35"/>
      <c r="J7841" s="34">
        <v>0</v>
      </c>
    </row>
    <row r="7842" spans="1:10" ht="15.75" hidden="1" thickBot="1" x14ac:dyDescent="0.3">
      <c r="A7842" s="257"/>
      <c r="B7842" s="260"/>
      <c r="C7842" s="40" t="s">
        <v>4575</v>
      </c>
      <c r="D7842" s="40" t="s">
        <v>291</v>
      </c>
      <c r="E7842" s="41">
        <v>1</v>
      </c>
      <c r="F7842" s="35">
        <v>43.842499999999994</v>
      </c>
      <c r="G7842" s="38">
        <f t="shared" si="224"/>
        <v>43.842499999999994</v>
      </c>
      <c r="H7842" s="43">
        <f>SUM(G7842:G7842)</f>
        <v>43.842499999999994</v>
      </c>
      <c r="I7842" s="44"/>
      <c r="J7842" s="34">
        <v>0</v>
      </c>
    </row>
    <row r="7843" spans="1:10" ht="15.75" hidden="1" thickBot="1" x14ac:dyDescent="0.3">
      <c r="A7843" s="258"/>
      <c r="B7843" s="261"/>
      <c r="C7843" s="60"/>
      <c r="D7843" s="60"/>
      <c r="E7843" s="79"/>
      <c r="F7843" s="87" t="s">
        <v>23</v>
      </c>
      <c r="G7843" s="88" t="str">
        <f t="shared" si="224"/>
        <v/>
      </c>
      <c r="H7843" s="89"/>
      <c r="I7843" s="35"/>
      <c r="J7843" s="34">
        <v>0</v>
      </c>
    </row>
    <row r="7844" spans="1:10" ht="15.75" hidden="1" thickBot="1" x14ac:dyDescent="0.3">
      <c r="A7844" s="256" t="s">
        <v>1892</v>
      </c>
      <c r="B7844" s="259" t="s">
        <v>3601</v>
      </c>
      <c r="C7844" s="28"/>
      <c r="D7844" s="29" t="s">
        <v>28</v>
      </c>
      <c r="E7844" s="30"/>
      <c r="F7844" s="45" t="s">
        <v>23</v>
      </c>
      <c r="G7844" s="31" t="str">
        <f t="shared" si="224"/>
        <v/>
      </c>
      <c r="H7844" s="32"/>
      <c r="I7844" s="33"/>
      <c r="J7844" s="34">
        <v>0</v>
      </c>
    </row>
    <row r="7845" spans="1:10" ht="15.75" hidden="1" thickBot="1" x14ac:dyDescent="0.3">
      <c r="A7845" s="257"/>
      <c r="B7845" s="260"/>
      <c r="C7845" s="36"/>
      <c r="D7845" s="36"/>
      <c r="E7845" s="37"/>
      <c r="F7845" s="46" t="s">
        <v>23</v>
      </c>
      <c r="G7845" s="38" t="str">
        <f t="shared" si="224"/>
        <v/>
      </c>
      <c r="H7845" s="39"/>
      <c r="I7845" s="35"/>
      <c r="J7845" s="34">
        <v>0</v>
      </c>
    </row>
    <row r="7846" spans="1:10" ht="26.25" hidden="1" thickBot="1" x14ac:dyDescent="0.3">
      <c r="A7846" s="257"/>
      <c r="B7846" s="260"/>
      <c r="C7846" s="40" t="s">
        <v>4566</v>
      </c>
      <c r="D7846" s="40" t="s">
        <v>291</v>
      </c>
      <c r="E7846" s="41">
        <v>1</v>
      </c>
      <c r="F7846" s="35">
        <v>35.9955</v>
      </c>
      <c r="G7846" s="38">
        <f t="shared" si="224"/>
        <v>35.9955</v>
      </c>
      <c r="H7846" s="43">
        <f>SUM(G7846:G7846)</f>
        <v>35.9955</v>
      </c>
      <c r="I7846" s="44"/>
      <c r="J7846" s="34">
        <v>0</v>
      </c>
    </row>
    <row r="7847" spans="1:10" ht="15.75" hidden="1" thickBot="1" x14ac:dyDescent="0.3">
      <c r="A7847" s="258"/>
      <c r="B7847" s="261"/>
      <c r="C7847" s="60"/>
      <c r="D7847" s="60"/>
      <c r="E7847" s="79"/>
      <c r="F7847" s="87" t="s">
        <v>23</v>
      </c>
      <c r="G7847" s="88" t="str">
        <f t="shared" si="224"/>
        <v/>
      </c>
      <c r="H7847" s="89"/>
      <c r="I7847" s="35"/>
      <c r="J7847" s="34">
        <v>0</v>
      </c>
    </row>
    <row r="7848" spans="1:10" ht="15.75" hidden="1" thickBot="1" x14ac:dyDescent="0.3">
      <c r="A7848" s="256" t="s">
        <v>1893</v>
      </c>
      <c r="B7848" s="259" t="s">
        <v>3602</v>
      </c>
      <c r="C7848" s="28"/>
      <c r="D7848" s="29" t="s">
        <v>28</v>
      </c>
      <c r="E7848" s="30"/>
      <c r="F7848" s="45" t="s">
        <v>23</v>
      </c>
      <c r="G7848" s="31" t="str">
        <f t="shared" si="224"/>
        <v/>
      </c>
      <c r="H7848" s="32"/>
      <c r="I7848" s="33"/>
      <c r="J7848" s="34">
        <v>0</v>
      </c>
    </row>
    <row r="7849" spans="1:10" ht="15.75" hidden="1" thickBot="1" x14ac:dyDescent="0.3">
      <c r="A7849" s="257"/>
      <c r="B7849" s="260"/>
      <c r="C7849" s="36"/>
      <c r="D7849" s="36"/>
      <c r="E7849" s="37"/>
      <c r="F7849" s="46" t="s">
        <v>23</v>
      </c>
      <c r="G7849" s="38" t="str">
        <f t="shared" si="224"/>
        <v/>
      </c>
      <c r="H7849" s="39"/>
      <c r="I7849" s="35"/>
      <c r="J7849" s="34">
        <v>0</v>
      </c>
    </row>
    <row r="7850" spans="1:10" ht="15.75" hidden="1" thickBot="1" x14ac:dyDescent="0.3">
      <c r="A7850" s="257"/>
      <c r="B7850" s="260"/>
      <c r="C7850" s="40" t="s">
        <v>1894</v>
      </c>
      <c r="D7850" s="40" t="s">
        <v>28</v>
      </c>
      <c r="E7850" s="41">
        <v>1</v>
      </c>
      <c r="F7850" s="35">
        <v>0</v>
      </c>
      <c r="G7850" s="38">
        <f t="shared" si="224"/>
        <v>0</v>
      </c>
      <c r="H7850" s="43">
        <f>SUM(G7850:G7850)</f>
        <v>0</v>
      </c>
      <c r="I7850" s="44"/>
      <c r="J7850" s="34">
        <v>0</v>
      </c>
    </row>
    <row r="7851" spans="1:10" ht="15.75" hidden="1" thickBot="1" x14ac:dyDescent="0.3">
      <c r="A7851" s="258"/>
      <c r="B7851" s="261"/>
      <c r="C7851" s="60"/>
      <c r="D7851" s="60"/>
      <c r="E7851" s="79"/>
      <c r="F7851" s="87" t="s">
        <v>23</v>
      </c>
      <c r="G7851" s="88" t="str">
        <f t="shared" si="224"/>
        <v/>
      </c>
      <c r="H7851" s="89"/>
      <c r="I7851" s="35"/>
      <c r="J7851" s="34">
        <v>0</v>
      </c>
    </row>
    <row r="7852" spans="1:10" ht="15.75" hidden="1" thickBot="1" x14ac:dyDescent="0.3">
      <c r="A7852" s="256" t="s">
        <v>1895</v>
      </c>
      <c r="B7852" s="259" t="s">
        <v>3603</v>
      </c>
      <c r="C7852" s="28"/>
      <c r="D7852" s="29" t="s">
        <v>28</v>
      </c>
      <c r="E7852" s="30"/>
      <c r="F7852" s="45" t="s">
        <v>23</v>
      </c>
      <c r="G7852" s="31" t="str">
        <f t="shared" si="224"/>
        <v/>
      </c>
      <c r="H7852" s="32"/>
      <c r="I7852" s="33"/>
      <c r="J7852" s="34">
        <v>0</v>
      </c>
    </row>
    <row r="7853" spans="1:10" ht="15.75" hidden="1" thickBot="1" x14ac:dyDescent="0.3">
      <c r="A7853" s="257"/>
      <c r="B7853" s="260"/>
      <c r="C7853" s="36"/>
      <c r="D7853" s="36"/>
      <c r="E7853" s="37"/>
      <c r="F7853" s="46" t="s">
        <v>23</v>
      </c>
      <c r="G7853" s="38" t="str">
        <f t="shared" si="224"/>
        <v/>
      </c>
      <c r="H7853" s="39"/>
      <c r="I7853" s="35"/>
      <c r="J7853" s="34">
        <v>0</v>
      </c>
    </row>
    <row r="7854" spans="1:10" ht="26.25" hidden="1" thickBot="1" x14ac:dyDescent="0.3">
      <c r="A7854" s="257"/>
      <c r="B7854" s="260"/>
      <c r="C7854" s="40" t="s">
        <v>4576</v>
      </c>
      <c r="D7854" s="40" t="s">
        <v>291</v>
      </c>
      <c r="E7854" s="41">
        <v>1</v>
      </c>
      <c r="F7854" s="35">
        <v>26.79</v>
      </c>
      <c r="G7854" s="38">
        <f t="shared" si="224"/>
        <v>26.79</v>
      </c>
      <c r="H7854" s="43">
        <f>SUM(G7854:G7854)</f>
        <v>26.79</v>
      </c>
      <c r="I7854" s="44"/>
      <c r="J7854" s="34">
        <v>0</v>
      </c>
    </row>
    <row r="7855" spans="1:10" ht="15.75" hidden="1" thickBot="1" x14ac:dyDescent="0.3">
      <c r="A7855" s="258"/>
      <c r="B7855" s="261"/>
      <c r="C7855" s="60"/>
      <c r="D7855" s="60"/>
      <c r="E7855" s="79"/>
      <c r="F7855" s="87" t="s">
        <v>23</v>
      </c>
      <c r="G7855" s="88" t="str">
        <f t="shared" si="224"/>
        <v/>
      </c>
      <c r="H7855" s="89"/>
      <c r="I7855" s="35"/>
      <c r="J7855" s="34">
        <v>0</v>
      </c>
    </row>
    <row r="7856" spans="1:10" ht="15.75" hidden="1" thickBot="1" x14ac:dyDescent="0.3">
      <c r="A7856" s="256" t="s">
        <v>1896</v>
      </c>
      <c r="B7856" s="259" t="s">
        <v>3604</v>
      </c>
      <c r="C7856" s="28"/>
      <c r="D7856" s="29" t="s">
        <v>28</v>
      </c>
      <c r="E7856" s="30"/>
      <c r="F7856" s="45" t="s">
        <v>23</v>
      </c>
      <c r="G7856" s="31" t="str">
        <f t="shared" si="224"/>
        <v/>
      </c>
      <c r="H7856" s="32"/>
      <c r="I7856" s="33"/>
      <c r="J7856" s="34">
        <v>0</v>
      </c>
    </row>
    <row r="7857" spans="1:10" ht="15.75" hidden="1" thickBot="1" x14ac:dyDescent="0.3">
      <c r="A7857" s="257"/>
      <c r="B7857" s="260"/>
      <c r="C7857" s="36"/>
      <c r="D7857" s="36"/>
      <c r="E7857" s="37"/>
      <c r="F7857" s="46" t="s">
        <v>23</v>
      </c>
      <c r="G7857" s="38" t="str">
        <f t="shared" si="224"/>
        <v/>
      </c>
      <c r="H7857" s="39"/>
      <c r="I7857" s="35"/>
      <c r="J7857" s="34">
        <v>0</v>
      </c>
    </row>
    <row r="7858" spans="1:10" ht="26.25" hidden="1" thickBot="1" x14ac:dyDescent="0.3">
      <c r="A7858" s="257"/>
      <c r="B7858" s="260"/>
      <c r="C7858" s="40" t="s">
        <v>4577</v>
      </c>
      <c r="D7858" s="40" t="s">
        <v>291</v>
      </c>
      <c r="E7858" s="41">
        <v>1</v>
      </c>
      <c r="F7858" s="35">
        <v>206.739</v>
      </c>
      <c r="G7858" s="38">
        <f t="shared" si="224"/>
        <v>206.739</v>
      </c>
      <c r="H7858" s="43">
        <f>SUM(G7858:G7858)</f>
        <v>206.739</v>
      </c>
      <c r="I7858" s="44"/>
      <c r="J7858" s="34">
        <v>0</v>
      </c>
    </row>
    <row r="7859" spans="1:10" ht="15.75" hidden="1" thickBot="1" x14ac:dyDescent="0.3">
      <c r="A7859" s="258"/>
      <c r="B7859" s="261"/>
      <c r="C7859" s="60"/>
      <c r="D7859" s="60"/>
      <c r="E7859" s="79"/>
      <c r="F7859" s="87" t="s">
        <v>23</v>
      </c>
      <c r="G7859" s="88" t="str">
        <f t="shared" si="224"/>
        <v/>
      </c>
      <c r="H7859" s="89"/>
      <c r="I7859" s="35"/>
      <c r="J7859" s="34">
        <v>0</v>
      </c>
    </row>
    <row r="7860" spans="1:10" ht="15.75" hidden="1" thickBot="1" x14ac:dyDescent="0.3">
      <c r="A7860" s="256" t="s">
        <v>1897</v>
      </c>
      <c r="B7860" s="259" t="s">
        <v>3605</v>
      </c>
      <c r="C7860" s="28"/>
      <c r="D7860" s="29" t="s">
        <v>28</v>
      </c>
      <c r="E7860" s="30"/>
      <c r="F7860" s="45" t="s">
        <v>23</v>
      </c>
      <c r="G7860" s="31" t="str">
        <f t="shared" si="224"/>
        <v/>
      </c>
      <c r="H7860" s="32"/>
      <c r="I7860" s="33"/>
      <c r="J7860" s="34">
        <v>0</v>
      </c>
    </row>
    <row r="7861" spans="1:10" ht="15.75" hidden="1" thickBot="1" x14ac:dyDescent="0.3">
      <c r="A7861" s="257"/>
      <c r="B7861" s="260"/>
      <c r="C7861" s="36"/>
      <c r="D7861" s="36"/>
      <c r="E7861" s="37"/>
      <c r="F7861" s="46" t="s">
        <v>23</v>
      </c>
      <c r="G7861" s="38" t="str">
        <f t="shared" si="224"/>
        <v/>
      </c>
      <c r="H7861" s="39"/>
      <c r="I7861" s="35"/>
      <c r="J7861" s="34">
        <v>0</v>
      </c>
    </row>
    <row r="7862" spans="1:10" ht="15.75" hidden="1" thickBot="1" x14ac:dyDescent="0.3">
      <c r="A7862" s="257"/>
      <c r="B7862" s="260"/>
      <c r="C7862" s="40" t="s">
        <v>1898</v>
      </c>
      <c r="D7862" s="40" t="s">
        <v>28</v>
      </c>
      <c r="E7862" s="41">
        <v>1</v>
      </c>
      <c r="F7862" s="35">
        <v>0</v>
      </c>
      <c r="G7862" s="38">
        <f t="shared" si="224"/>
        <v>0</v>
      </c>
      <c r="H7862" s="43">
        <f>SUM(G7862:G7862)</f>
        <v>0</v>
      </c>
      <c r="I7862" s="44"/>
      <c r="J7862" s="34">
        <v>0</v>
      </c>
    </row>
    <row r="7863" spans="1:10" ht="15.75" hidden="1" thickBot="1" x14ac:dyDescent="0.3">
      <c r="A7863" s="258"/>
      <c r="B7863" s="261"/>
      <c r="C7863" s="60"/>
      <c r="D7863" s="60"/>
      <c r="E7863" s="79"/>
      <c r="F7863" s="87" t="s">
        <v>23</v>
      </c>
      <c r="G7863" s="88" t="str">
        <f t="shared" si="224"/>
        <v/>
      </c>
      <c r="H7863" s="89"/>
      <c r="I7863" s="35"/>
      <c r="J7863" s="34">
        <v>0</v>
      </c>
    </row>
    <row r="7864" spans="1:10" ht="15.75" hidden="1" thickBot="1" x14ac:dyDescent="0.3">
      <c r="A7864" s="256" t="s">
        <v>1899</v>
      </c>
      <c r="B7864" s="259" t="s">
        <v>3606</v>
      </c>
      <c r="C7864" s="28"/>
      <c r="D7864" s="29" t="s">
        <v>28</v>
      </c>
      <c r="E7864" s="30"/>
      <c r="F7864" s="45" t="s">
        <v>23</v>
      </c>
      <c r="G7864" s="31" t="str">
        <f t="shared" si="224"/>
        <v/>
      </c>
      <c r="H7864" s="32"/>
      <c r="I7864" s="33"/>
      <c r="J7864" s="34">
        <v>0</v>
      </c>
    </row>
    <row r="7865" spans="1:10" ht="15.75" hidden="1" thickBot="1" x14ac:dyDescent="0.3">
      <c r="A7865" s="257"/>
      <c r="B7865" s="260"/>
      <c r="C7865" s="36"/>
      <c r="D7865" s="36"/>
      <c r="E7865" s="37"/>
      <c r="F7865" s="46" t="s">
        <v>23</v>
      </c>
      <c r="G7865" s="38" t="str">
        <f t="shared" si="224"/>
        <v/>
      </c>
      <c r="H7865" s="39"/>
      <c r="I7865" s="35"/>
      <c r="J7865" s="34">
        <v>0</v>
      </c>
    </row>
    <row r="7866" spans="1:10" ht="26.25" hidden="1" thickBot="1" x14ac:dyDescent="0.3">
      <c r="A7866" s="257"/>
      <c r="B7866" s="260"/>
      <c r="C7866" s="40" t="s">
        <v>4578</v>
      </c>
      <c r="D7866" s="40" t="s">
        <v>291</v>
      </c>
      <c r="E7866" s="41">
        <v>1</v>
      </c>
      <c r="F7866" s="35">
        <v>35.776999999999994</v>
      </c>
      <c r="G7866" s="38">
        <f t="shared" si="224"/>
        <v>35.776999999999994</v>
      </c>
      <c r="H7866" s="43">
        <f>SUM(G7866:G7866)</f>
        <v>35.776999999999994</v>
      </c>
      <c r="I7866" s="44"/>
      <c r="J7866" s="34">
        <v>0</v>
      </c>
    </row>
    <row r="7867" spans="1:10" ht="15.75" hidden="1" thickBot="1" x14ac:dyDescent="0.3">
      <c r="A7867" s="258"/>
      <c r="B7867" s="261"/>
      <c r="C7867" s="60"/>
      <c r="D7867" s="60"/>
      <c r="E7867" s="79"/>
      <c r="F7867" s="87" t="s">
        <v>23</v>
      </c>
      <c r="G7867" s="88" t="str">
        <f t="shared" si="224"/>
        <v/>
      </c>
      <c r="H7867" s="89"/>
      <c r="I7867" s="35"/>
      <c r="J7867" s="34">
        <v>0</v>
      </c>
    </row>
    <row r="7868" spans="1:10" ht="15.75" hidden="1" thickBot="1" x14ac:dyDescent="0.3">
      <c r="A7868" s="256" t="s">
        <v>1900</v>
      </c>
      <c r="B7868" s="259" t="s">
        <v>3607</v>
      </c>
      <c r="C7868" s="28"/>
      <c r="D7868" s="29" t="s">
        <v>28</v>
      </c>
      <c r="E7868" s="30"/>
      <c r="F7868" s="45" t="s">
        <v>23</v>
      </c>
      <c r="G7868" s="31" t="str">
        <f t="shared" si="224"/>
        <v/>
      </c>
      <c r="H7868" s="32"/>
      <c r="I7868" s="33"/>
      <c r="J7868" s="34">
        <v>0</v>
      </c>
    </row>
    <row r="7869" spans="1:10" ht="15.75" hidden="1" thickBot="1" x14ac:dyDescent="0.3">
      <c r="A7869" s="257"/>
      <c r="B7869" s="260"/>
      <c r="C7869" s="36"/>
      <c r="D7869" s="36"/>
      <c r="E7869" s="37"/>
      <c r="F7869" s="46" t="s">
        <v>23</v>
      </c>
      <c r="G7869" s="38" t="str">
        <f t="shared" ref="G7869:G7932" si="225">IF(ISNUMBER(F7869),E7869*F7869,"")</f>
        <v/>
      </c>
      <c r="H7869" s="39"/>
      <c r="I7869" s="35"/>
      <c r="J7869" s="34">
        <v>0</v>
      </c>
    </row>
    <row r="7870" spans="1:10" ht="26.25" hidden="1" thickBot="1" x14ac:dyDescent="0.3">
      <c r="A7870" s="257"/>
      <c r="B7870" s="260"/>
      <c r="C7870" s="40" t="s">
        <v>4579</v>
      </c>
      <c r="D7870" s="40" t="s">
        <v>291</v>
      </c>
      <c r="E7870" s="41">
        <v>1</v>
      </c>
      <c r="F7870" s="35">
        <v>182.21</v>
      </c>
      <c r="G7870" s="38">
        <f t="shared" si="225"/>
        <v>182.21</v>
      </c>
      <c r="H7870" s="43">
        <f>SUM(G7870:G7870)</f>
        <v>182.21</v>
      </c>
      <c r="I7870" s="44"/>
      <c r="J7870" s="34">
        <v>0</v>
      </c>
    </row>
    <row r="7871" spans="1:10" ht="15.75" hidden="1" thickBot="1" x14ac:dyDescent="0.3">
      <c r="A7871" s="258"/>
      <c r="B7871" s="261"/>
      <c r="C7871" s="60"/>
      <c r="D7871" s="60"/>
      <c r="E7871" s="79"/>
      <c r="F7871" s="87" t="s">
        <v>23</v>
      </c>
      <c r="G7871" s="88" t="str">
        <f t="shared" si="225"/>
        <v/>
      </c>
      <c r="H7871" s="89"/>
      <c r="I7871" s="35"/>
      <c r="J7871" s="34">
        <v>0</v>
      </c>
    </row>
    <row r="7872" spans="1:10" ht="15.75" hidden="1" thickBot="1" x14ac:dyDescent="0.3">
      <c r="A7872" s="256" t="s">
        <v>1901</v>
      </c>
      <c r="B7872" s="259" t="s">
        <v>3608</v>
      </c>
      <c r="C7872" s="28"/>
      <c r="D7872" s="29" t="s">
        <v>28</v>
      </c>
      <c r="E7872" s="30"/>
      <c r="F7872" s="45" t="s">
        <v>23</v>
      </c>
      <c r="G7872" s="31" t="str">
        <f t="shared" si="225"/>
        <v/>
      </c>
      <c r="H7872" s="32"/>
      <c r="I7872" s="33"/>
      <c r="J7872" s="34">
        <v>0</v>
      </c>
    </row>
    <row r="7873" spans="1:10" ht="15.75" hidden="1" thickBot="1" x14ac:dyDescent="0.3">
      <c r="A7873" s="257"/>
      <c r="B7873" s="260"/>
      <c r="C7873" s="36"/>
      <c r="D7873" s="36"/>
      <c r="E7873" s="37"/>
      <c r="F7873" s="46" t="s">
        <v>23</v>
      </c>
      <c r="G7873" s="38" t="str">
        <f t="shared" si="225"/>
        <v/>
      </c>
      <c r="H7873" s="39"/>
      <c r="I7873" s="35"/>
      <c r="J7873" s="34">
        <v>0</v>
      </c>
    </row>
    <row r="7874" spans="1:10" ht="15.75" hidden="1" thickBot="1" x14ac:dyDescent="0.3">
      <c r="A7874" s="257"/>
      <c r="B7874" s="260"/>
      <c r="C7874" s="40" t="s">
        <v>4580</v>
      </c>
      <c r="D7874" s="40" t="s">
        <v>291</v>
      </c>
      <c r="E7874" s="41">
        <v>1</v>
      </c>
      <c r="F7874" s="35">
        <v>74.441999999999993</v>
      </c>
      <c r="G7874" s="38">
        <f t="shared" si="225"/>
        <v>74.441999999999993</v>
      </c>
      <c r="H7874" s="43">
        <f>SUM(G7874:G7874)</f>
        <v>74.441999999999993</v>
      </c>
      <c r="I7874" s="44"/>
      <c r="J7874" s="34">
        <v>0</v>
      </c>
    </row>
    <row r="7875" spans="1:10" ht="15.75" hidden="1" thickBot="1" x14ac:dyDescent="0.3">
      <c r="A7875" s="258"/>
      <c r="B7875" s="261"/>
      <c r="C7875" s="60"/>
      <c r="D7875" s="60"/>
      <c r="E7875" s="79"/>
      <c r="F7875" s="87" t="s">
        <v>23</v>
      </c>
      <c r="G7875" s="88" t="str">
        <f t="shared" si="225"/>
        <v/>
      </c>
      <c r="H7875" s="89"/>
      <c r="I7875" s="35"/>
      <c r="J7875" s="34">
        <v>0</v>
      </c>
    </row>
    <row r="7876" spans="1:10" ht="15.75" hidden="1" thickBot="1" x14ac:dyDescent="0.3">
      <c r="A7876" s="256" t="str">
        <f>[2]AUX!A3375</f>
        <v>SF-03370</v>
      </c>
      <c r="B7876" s="259" t="s">
        <v>3609</v>
      </c>
      <c r="C7876" s="28"/>
      <c r="D7876" s="29" t="s">
        <v>28</v>
      </c>
      <c r="E7876" s="30"/>
      <c r="F7876" s="45" t="s">
        <v>23</v>
      </c>
      <c r="G7876" s="31" t="str">
        <f t="shared" si="225"/>
        <v/>
      </c>
      <c r="H7876" s="32"/>
      <c r="I7876" s="33"/>
      <c r="J7876" s="34">
        <v>0</v>
      </c>
    </row>
    <row r="7877" spans="1:10" ht="15.75" hidden="1" thickBot="1" x14ac:dyDescent="0.3">
      <c r="A7877" s="264"/>
      <c r="B7877" s="260"/>
      <c r="C7877" s="36"/>
      <c r="D7877" s="36"/>
      <c r="E7877" s="37"/>
      <c r="F7877" s="46" t="s">
        <v>23</v>
      </c>
      <c r="G7877" s="38" t="str">
        <f t="shared" si="225"/>
        <v/>
      </c>
      <c r="H7877" s="39"/>
      <c r="I7877" s="35"/>
      <c r="J7877" s="34">
        <v>0</v>
      </c>
    </row>
    <row r="7878" spans="1:10" ht="26.25" hidden="1" thickBot="1" x14ac:dyDescent="0.3">
      <c r="A7878" s="264"/>
      <c r="B7878" s="260"/>
      <c r="C7878" s="40" t="s">
        <v>4581</v>
      </c>
      <c r="D7878" s="40" t="s">
        <v>291</v>
      </c>
      <c r="E7878" s="41">
        <v>1</v>
      </c>
      <c r="F7878" s="35">
        <v>57.284999999999997</v>
      </c>
      <c r="G7878" s="38">
        <f t="shared" si="225"/>
        <v>57.284999999999997</v>
      </c>
      <c r="H7878" s="43">
        <f>SUM(G7878:G7878)</f>
        <v>57.284999999999997</v>
      </c>
      <c r="I7878" s="44"/>
      <c r="J7878" s="34">
        <v>0</v>
      </c>
    </row>
    <row r="7879" spans="1:10" ht="15.75" hidden="1" thickBot="1" x14ac:dyDescent="0.3">
      <c r="A7879" s="265"/>
      <c r="B7879" s="261"/>
      <c r="C7879" s="60"/>
      <c r="D7879" s="60"/>
      <c r="E7879" s="79"/>
      <c r="F7879" s="87" t="s">
        <v>23</v>
      </c>
      <c r="G7879" s="88" t="str">
        <f t="shared" si="225"/>
        <v/>
      </c>
      <c r="H7879" s="89"/>
      <c r="I7879" s="35"/>
      <c r="J7879" s="34">
        <v>0</v>
      </c>
    </row>
    <row r="7880" spans="1:10" ht="15.75" hidden="1" thickBot="1" x14ac:dyDescent="0.3">
      <c r="A7880" s="256" t="str">
        <f>[2]AUX!A3376</f>
        <v>SF-03371</v>
      </c>
      <c r="B7880" s="259" t="s">
        <v>3610</v>
      </c>
      <c r="C7880" s="28"/>
      <c r="D7880" s="29" t="s">
        <v>28</v>
      </c>
      <c r="E7880" s="30"/>
      <c r="F7880" s="45" t="s">
        <v>23</v>
      </c>
      <c r="G7880" s="31" t="str">
        <f t="shared" si="225"/>
        <v/>
      </c>
      <c r="H7880" s="32"/>
      <c r="I7880" s="33"/>
      <c r="J7880" s="34">
        <v>0</v>
      </c>
    </row>
    <row r="7881" spans="1:10" ht="15.75" hidden="1" thickBot="1" x14ac:dyDescent="0.3">
      <c r="A7881" s="264"/>
      <c r="B7881" s="260"/>
      <c r="C7881" s="36"/>
      <c r="D7881" s="36"/>
      <c r="E7881" s="37"/>
      <c r="F7881" s="46" t="s">
        <v>23</v>
      </c>
      <c r="G7881" s="38" t="str">
        <f t="shared" si="225"/>
        <v/>
      </c>
      <c r="H7881" s="39"/>
      <c r="I7881" s="35"/>
      <c r="J7881" s="34">
        <v>0</v>
      </c>
    </row>
    <row r="7882" spans="1:10" ht="15.75" hidden="1" thickBot="1" x14ac:dyDescent="0.3">
      <c r="A7882" s="264"/>
      <c r="B7882" s="260"/>
      <c r="C7882" s="40" t="s">
        <v>4582</v>
      </c>
      <c r="D7882" s="40" t="s">
        <v>291</v>
      </c>
      <c r="E7882" s="41">
        <v>1</v>
      </c>
      <c r="F7882" s="35">
        <v>380.75049999999999</v>
      </c>
      <c r="G7882" s="38">
        <f t="shared" si="225"/>
        <v>380.75049999999999</v>
      </c>
      <c r="H7882" s="43">
        <f>SUM(G7882:G7882)</f>
        <v>380.75049999999999</v>
      </c>
      <c r="I7882" s="44"/>
      <c r="J7882" s="34">
        <v>0</v>
      </c>
    </row>
    <row r="7883" spans="1:10" ht="15.75" hidden="1" thickBot="1" x14ac:dyDescent="0.3">
      <c r="A7883" s="265"/>
      <c r="B7883" s="261"/>
      <c r="C7883" s="60"/>
      <c r="D7883" s="60"/>
      <c r="E7883" s="79"/>
      <c r="F7883" s="87" t="s">
        <v>23</v>
      </c>
      <c r="G7883" s="88" t="str">
        <f t="shared" si="225"/>
        <v/>
      </c>
      <c r="H7883" s="89"/>
      <c r="I7883" s="35"/>
      <c r="J7883" s="34">
        <v>0</v>
      </c>
    </row>
    <row r="7884" spans="1:10" ht="15.75" hidden="1" thickBot="1" x14ac:dyDescent="0.3">
      <c r="A7884" s="256" t="s">
        <v>1902</v>
      </c>
      <c r="B7884" s="259" t="s">
        <v>3611</v>
      </c>
      <c r="C7884" s="28"/>
      <c r="D7884" s="29" t="s">
        <v>28</v>
      </c>
      <c r="E7884" s="30"/>
      <c r="F7884" s="45" t="s">
        <v>23</v>
      </c>
      <c r="G7884" s="31" t="str">
        <f t="shared" si="225"/>
        <v/>
      </c>
      <c r="H7884" s="32"/>
      <c r="I7884" s="33"/>
      <c r="J7884" s="34">
        <v>0</v>
      </c>
    </row>
    <row r="7885" spans="1:10" ht="15.75" hidden="1" thickBot="1" x14ac:dyDescent="0.3">
      <c r="A7885" s="264"/>
      <c r="B7885" s="260"/>
      <c r="C7885" s="36"/>
      <c r="D7885" s="36"/>
      <c r="E7885" s="37"/>
      <c r="F7885" s="46" t="s">
        <v>23</v>
      </c>
      <c r="G7885" s="38" t="str">
        <f t="shared" si="225"/>
        <v/>
      </c>
      <c r="H7885" s="39"/>
      <c r="I7885" s="35"/>
      <c r="J7885" s="34">
        <v>0</v>
      </c>
    </row>
    <row r="7886" spans="1:10" ht="26.25" hidden="1" thickBot="1" x14ac:dyDescent="0.3">
      <c r="A7886" s="264"/>
      <c r="B7886" s="260"/>
      <c r="C7886" s="40" t="s">
        <v>4583</v>
      </c>
      <c r="D7886" s="40" t="s">
        <v>291</v>
      </c>
      <c r="E7886" s="41">
        <v>1</v>
      </c>
      <c r="F7886" s="35">
        <v>43.234499999999997</v>
      </c>
      <c r="G7886" s="38">
        <f t="shared" si="225"/>
        <v>43.234499999999997</v>
      </c>
      <c r="H7886" s="43">
        <f>SUM(G7886:G7886)</f>
        <v>43.234499999999997</v>
      </c>
      <c r="I7886" s="44"/>
      <c r="J7886" s="34">
        <v>0</v>
      </c>
    </row>
    <row r="7887" spans="1:10" ht="15.75" hidden="1" thickBot="1" x14ac:dyDescent="0.3">
      <c r="A7887" s="265"/>
      <c r="B7887" s="261"/>
      <c r="C7887" s="60"/>
      <c r="D7887" s="60"/>
      <c r="E7887" s="79"/>
      <c r="F7887" s="87" t="s">
        <v>23</v>
      </c>
      <c r="G7887" s="88" t="str">
        <f t="shared" si="225"/>
        <v/>
      </c>
      <c r="H7887" s="89"/>
      <c r="I7887" s="35"/>
      <c r="J7887" s="34">
        <v>0</v>
      </c>
    </row>
    <row r="7888" spans="1:10" ht="15.75" hidden="1" thickBot="1" x14ac:dyDescent="0.3">
      <c r="A7888" s="256" t="s">
        <v>1903</v>
      </c>
      <c r="B7888" s="259" t="s">
        <v>3612</v>
      </c>
      <c r="C7888" s="28"/>
      <c r="D7888" s="29" t="s">
        <v>28</v>
      </c>
      <c r="E7888" s="30"/>
      <c r="F7888" s="45" t="s">
        <v>23</v>
      </c>
      <c r="G7888" s="31" t="str">
        <f t="shared" si="225"/>
        <v/>
      </c>
      <c r="H7888" s="32"/>
      <c r="I7888" s="33"/>
      <c r="J7888" s="34">
        <v>0</v>
      </c>
    </row>
    <row r="7889" spans="1:10" ht="15.75" hidden="1" thickBot="1" x14ac:dyDescent="0.3">
      <c r="A7889" s="264"/>
      <c r="B7889" s="260"/>
      <c r="C7889" s="36"/>
      <c r="D7889" s="36"/>
      <c r="E7889" s="37"/>
      <c r="F7889" s="46" t="s">
        <v>23</v>
      </c>
      <c r="G7889" s="38" t="str">
        <f t="shared" si="225"/>
        <v/>
      </c>
      <c r="H7889" s="39"/>
      <c r="I7889" s="35"/>
      <c r="J7889" s="34">
        <v>0</v>
      </c>
    </row>
    <row r="7890" spans="1:10" ht="26.25" hidden="1" thickBot="1" x14ac:dyDescent="0.3">
      <c r="A7890" s="264"/>
      <c r="B7890" s="260"/>
      <c r="C7890" s="40" t="s">
        <v>4584</v>
      </c>
      <c r="D7890" s="40" t="s">
        <v>291</v>
      </c>
      <c r="E7890" s="41">
        <v>1</v>
      </c>
      <c r="F7890" s="35">
        <v>267.02599999999995</v>
      </c>
      <c r="G7890" s="38">
        <f t="shared" si="225"/>
        <v>267.02599999999995</v>
      </c>
      <c r="H7890" s="43">
        <f>SUM(G7890:G7890)</f>
        <v>267.02599999999995</v>
      </c>
      <c r="I7890" s="44"/>
      <c r="J7890" s="34">
        <v>0</v>
      </c>
    </row>
    <row r="7891" spans="1:10" ht="15.75" hidden="1" thickBot="1" x14ac:dyDescent="0.3">
      <c r="A7891" s="265"/>
      <c r="B7891" s="261"/>
      <c r="C7891" s="60"/>
      <c r="D7891" s="60"/>
      <c r="E7891" s="79"/>
      <c r="F7891" s="87" t="s">
        <v>23</v>
      </c>
      <c r="G7891" s="88" t="str">
        <f t="shared" si="225"/>
        <v/>
      </c>
      <c r="H7891" s="89"/>
      <c r="I7891" s="35"/>
      <c r="J7891" s="34">
        <v>0</v>
      </c>
    </row>
    <row r="7892" spans="1:10" ht="15.75" hidden="1" thickBot="1" x14ac:dyDescent="0.3">
      <c r="A7892" s="256" t="s">
        <v>1904</v>
      </c>
      <c r="B7892" s="259" t="s">
        <v>3613</v>
      </c>
      <c r="C7892" s="28"/>
      <c r="D7892" s="29" t="s">
        <v>28</v>
      </c>
      <c r="E7892" s="30"/>
      <c r="F7892" s="45" t="s">
        <v>23</v>
      </c>
      <c r="G7892" s="31" t="str">
        <f t="shared" si="225"/>
        <v/>
      </c>
      <c r="H7892" s="32"/>
      <c r="I7892" s="33"/>
      <c r="J7892" s="34">
        <v>0</v>
      </c>
    </row>
    <row r="7893" spans="1:10" ht="15.75" hidden="1" thickBot="1" x14ac:dyDescent="0.3">
      <c r="A7893" s="264"/>
      <c r="B7893" s="260"/>
      <c r="C7893" s="36"/>
      <c r="D7893" s="36"/>
      <c r="E7893" s="37"/>
      <c r="F7893" s="46" t="s">
        <v>23</v>
      </c>
      <c r="G7893" s="38" t="str">
        <f t="shared" si="225"/>
        <v/>
      </c>
      <c r="H7893" s="39"/>
      <c r="I7893" s="35"/>
      <c r="J7893" s="34">
        <v>0</v>
      </c>
    </row>
    <row r="7894" spans="1:10" ht="15.75" hidden="1" thickBot="1" x14ac:dyDescent="0.3">
      <c r="A7894" s="264"/>
      <c r="B7894" s="260"/>
      <c r="C7894" s="40" t="s">
        <v>4540</v>
      </c>
      <c r="D7894" s="40" t="s">
        <v>291</v>
      </c>
      <c r="E7894" s="41">
        <v>1</v>
      </c>
      <c r="F7894" s="35">
        <v>4.2560000000000002</v>
      </c>
      <c r="G7894" s="38">
        <f t="shared" si="225"/>
        <v>4.2560000000000002</v>
      </c>
      <c r="H7894" s="43">
        <f>SUM(G7894:G7894)</f>
        <v>4.2560000000000002</v>
      </c>
      <c r="I7894" s="44"/>
      <c r="J7894" s="34">
        <v>0</v>
      </c>
    </row>
    <row r="7895" spans="1:10" ht="15.75" hidden="1" thickBot="1" x14ac:dyDescent="0.3">
      <c r="A7895" s="265"/>
      <c r="B7895" s="261"/>
      <c r="C7895" s="60"/>
      <c r="D7895" s="60"/>
      <c r="E7895" s="79"/>
      <c r="F7895" s="87" t="s">
        <v>23</v>
      </c>
      <c r="G7895" s="88" t="str">
        <f t="shared" si="225"/>
        <v/>
      </c>
      <c r="H7895" s="89"/>
      <c r="I7895" s="35"/>
      <c r="J7895" s="34">
        <v>0</v>
      </c>
    </row>
    <row r="7896" spans="1:10" ht="15.75" hidden="1" thickBot="1" x14ac:dyDescent="0.3">
      <c r="A7896" s="256" t="s">
        <v>1905</v>
      </c>
      <c r="B7896" s="259" t="s">
        <v>1906</v>
      </c>
      <c r="C7896" s="28"/>
      <c r="D7896" s="29" t="s">
        <v>28</v>
      </c>
      <c r="E7896" s="30"/>
      <c r="F7896" s="45" t="s">
        <v>23</v>
      </c>
      <c r="G7896" s="31" t="str">
        <f t="shared" si="225"/>
        <v/>
      </c>
      <c r="H7896" s="32"/>
      <c r="I7896" s="33"/>
      <c r="J7896" s="34">
        <v>0</v>
      </c>
    </row>
    <row r="7897" spans="1:10" ht="15.75" hidden="1" thickBot="1" x14ac:dyDescent="0.3">
      <c r="A7897" s="264"/>
      <c r="B7897" s="260"/>
      <c r="C7897" s="36"/>
      <c r="D7897" s="36"/>
      <c r="E7897" s="37"/>
      <c r="F7897" s="46" t="s">
        <v>23</v>
      </c>
      <c r="G7897" s="38" t="str">
        <f t="shared" si="225"/>
        <v/>
      </c>
      <c r="H7897" s="39"/>
      <c r="I7897" s="35"/>
      <c r="J7897" s="34">
        <v>0</v>
      </c>
    </row>
    <row r="7898" spans="1:10" ht="15.75" hidden="1" thickBot="1" x14ac:dyDescent="0.3">
      <c r="A7898" s="264"/>
      <c r="B7898" s="260"/>
      <c r="C7898" s="40" t="s">
        <v>1906</v>
      </c>
      <c r="D7898" s="40" t="s">
        <v>28</v>
      </c>
      <c r="E7898" s="41">
        <v>1</v>
      </c>
      <c r="F7898" s="35">
        <v>0</v>
      </c>
      <c r="G7898" s="38">
        <f t="shared" si="225"/>
        <v>0</v>
      </c>
      <c r="H7898" s="43">
        <f>SUM(G7898:G7898)</f>
        <v>0</v>
      </c>
      <c r="I7898" s="44"/>
      <c r="J7898" s="34">
        <v>0</v>
      </c>
    </row>
    <row r="7899" spans="1:10" ht="15.75" hidden="1" thickBot="1" x14ac:dyDescent="0.3">
      <c r="A7899" s="265"/>
      <c r="B7899" s="261"/>
      <c r="C7899" s="60"/>
      <c r="D7899" s="60"/>
      <c r="E7899" s="79"/>
      <c r="F7899" s="87" t="s">
        <v>23</v>
      </c>
      <c r="G7899" s="88" t="str">
        <f t="shared" si="225"/>
        <v/>
      </c>
      <c r="H7899" s="89"/>
      <c r="I7899" s="35"/>
      <c r="J7899" s="34">
        <v>0</v>
      </c>
    </row>
    <row r="7900" spans="1:10" ht="15.75" hidden="1" thickBot="1" x14ac:dyDescent="0.3">
      <c r="A7900" s="256" t="s">
        <v>1907</v>
      </c>
      <c r="B7900" s="259" t="s">
        <v>3614</v>
      </c>
      <c r="C7900" s="28"/>
      <c r="D7900" s="29" t="s">
        <v>28</v>
      </c>
      <c r="E7900" s="30"/>
      <c r="F7900" s="45" t="s">
        <v>23</v>
      </c>
      <c r="G7900" s="31" t="str">
        <f t="shared" si="225"/>
        <v/>
      </c>
      <c r="H7900" s="32"/>
      <c r="I7900" s="33"/>
      <c r="J7900" s="34">
        <v>0</v>
      </c>
    </row>
    <row r="7901" spans="1:10" ht="15.75" hidden="1" thickBot="1" x14ac:dyDescent="0.3">
      <c r="A7901" s="264"/>
      <c r="B7901" s="260"/>
      <c r="C7901" s="36"/>
      <c r="D7901" s="36"/>
      <c r="E7901" s="37"/>
      <c r="F7901" s="46" t="s">
        <v>23</v>
      </c>
      <c r="G7901" s="38" t="str">
        <f t="shared" si="225"/>
        <v/>
      </c>
      <c r="H7901" s="39"/>
      <c r="I7901" s="35"/>
      <c r="J7901" s="34">
        <v>0</v>
      </c>
    </row>
    <row r="7902" spans="1:10" ht="26.25" hidden="1" thickBot="1" x14ac:dyDescent="0.3">
      <c r="A7902" s="264"/>
      <c r="B7902" s="260"/>
      <c r="C7902" s="40" t="s">
        <v>4585</v>
      </c>
      <c r="D7902" s="40" t="s">
        <v>291</v>
      </c>
      <c r="E7902" s="41">
        <v>1</v>
      </c>
      <c r="F7902" s="35">
        <v>3.6574999999999998</v>
      </c>
      <c r="G7902" s="38">
        <f t="shared" si="225"/>
        <v>3.6574999999999998</v>
      </c>
      <c r="H7902" s="43">
        <f>SUM(G7902:G7902)</f>
        <v>3.6574999999999998</v>
      </c>
      <c r="I7902" s="44"/>
      <c r="J7902" s="34">
        <v>0</v>
      </c>
    </row>
    <row r="7903" spans="1:10" ht="15.75" hidden="1" thickBot="1" x14ac:dyDescent="0.3">
      <c r="A7903" s="265"/>
      <c r="B7903" s="261"/>
      <c r="C7903" s="60"/>
      <c r="D7903" s="60"/>
      <c r="E7903" s="79"/>
      <c r="F7903" s="87" t="s">
        <v>23</v>
      </c>
      <c r="G7903" s="88" t="str">
        <f t="shared" si="225"/>
        <v/>
      </c>
      <c r="H7903" s="89"/>
      <c r="I7903" s="35"/>
      <c r="J7903" s="34">
        <v>0</v>
      </c>
    </row>
    <row r="7904" spans="1:10" ht="15.75" hidden="1" thickBot="1" x14ac:dyDescent="0.3">
      <c r="A7904" s="256" t="s">
        <v>1908</v>
      </c>
      <c r="B7904" s="259" t="s">
        <v>3615</v>
      </c>
      <c r="C7904" s="28"/>
      <c r="D7904" s="29" t="s">
        <v>28</v>
      </c>
      <c r="E7904" s="30"/>
      <c r="F7904" s="45" t="s">
        <v>23</v>
      </c>
      <c r="G7904" s="31" t="str">
        <f t="shared" si="225"/>
        <v/>
      </c>
      <c r="H7904" s="32"/>
      <c r="I7904" s="33"/>
      <c r="J7904" s="34">
        <v>0</v>
      </c>
    </row>
    <row r="7905" spans="1:10" ht="15.75" hidden="1" thickBot="1" x14ac:dyDescent="0.3">
      <c r="A7905" s="264"/>
      <c r="B7905" s="260"/>
      <c r="C7905" s="36"/>
      <c r="D7905" s="36"/>
      <c r="E7905" s="37"/>
      <c r="F7905" s="46" t="s">
        <v>23</v>
      </c>
      <c r="G7905" s="38" t="str">
        <f t="shared" si="225"/>
        <v/>
      </c>
      <c r="H7905" s="39"/>
      <c r="I7905" s="35"/>
      <c r="J7905" s="34">
        <v>0</v>
      </c>
    </row>
    <row r="7906" spans="1:10" ht="26.25" hidden="1" thickBot="1" x14ac:dyDescent="0.3">
      <c r="A7906" s="264"/>
      <c r="B7906" s="260"/>
      <c r="C7906" s="40" t="s">
        <v>4586</v>
      </c>
      <c r="D7906" s="40" t="s">
        <v>291</v>
      </c>
      <c r="E7906" s="41">
        <v>1</v>
      </c>
      <c r="F7906" s="35">
        <v>3.5625</v>
      </c>
      <c r="G7906" s="38">
        <f t="shared" si="225"/>
        <v>3.5625</v>
      </c>
      <c r="H7906" s="43">
        <f>SUM(G7906:G7906)</f>
        <v>3.5625</v>
      </c>
      <c r="I7906" s="44"/>
      <c r="J7906" s="34">
        <v>0</v>
      </c>
    </row>
    <row r="7907" spans="1:10" ht="15.75" hidden="1" thickBot="1" x14ac:dyDescent="0.3">
      <c r="A7907" s="265"/>
      <c r="B7907" s="261"/>
      <c r="C7907" s="60"/>
      <c r="D7907" s="60"/>
      <c r="E7907" s="79"/>
      <c r="F7907" s="87" t="s">
        <v>23</v>
      </c>
      <c r="G7907" s="88" t="str">
        <f t="shared" si="225"/>
        <v/>
      </c>
      <c r="H7907" s="89"/>
      <c r="I7907" s="35"/>
      <c r="J7907" s="34">
        <v>0</v>
      </c>
    </row>
    <row r="7908" spans="1:10" ht="15.75" hidden="1" thickBot="1" x14ac:dyDescent="0.3">
      <c r="A7908" s="256" t="s">
        <v>1909</v>
      </c>
      <c r="B7908" s="259" t="s">
        <v>3616</v>
      </c>
      <c r="C7908" s="28"/>
      <c r="D7908" s="29" t="s">
        <v>28</v>
      </c>
      <c r="E7908" s="30"/>
      <c r="F7908" s="45" t="s">
        <v>23</v>
      </c>
      <c r="G7908" s="31" t="str">
        <f t="shared" si="225"/>
        <v/>
      </c>
      <c r="H7908" s="32"/>
      <c r="I7908" s="33"/>
      <c r="J7908" s="34">
        <v>0</v>
      </c>
    </row>
    <row r="7909" spans="1:10" ht="15.75" hidden="1" thickBot="1" x14ac:dyDescent="0.3">
      <c r="A7909" s="264"/>
      <c r="B7909" s="260"/>
      <c r="C7909" s="36"/>
      <c r="D7909" s="36"/>
      <c r="E7909" s="37"/>
      <c r="F7909" s="46" t="s">
        <v>23</v>
      </c>
      <c r="G7909" s="38" t="str">
        <f t="shared" si="225"/>
        <v/>
      </c>
      <c r="H7909" s="39"/>
      <c r="I7909" s="35"/>
      <c r="J7909" s="34">
        <v>0</v>
      </c>
    </row>
    <row r="7910" spans="1:10" ht="15.75" hidden="1" thickBot="1" x14ac:dyDescent="0.3">
      <c r="A7910" s="264"/>
      <c r="B7910" s="260"/>
      <c r="C7910" s="40" t="s">
        <v>4536</v>
      </c>
      <c r="D7910" s="40" t="s">
        <v>291</v>
      </c>
      <c r="E7910" s="41">
        <v>1</v>
      </c>
      <c r="F7910" s="35">
        <v>3.9234999999999998</v>
      </c>
      <c r="G7910" s="38">
        <f t="shared" si="225"/>
        <v>3.9234999999999998</v>
      </c>
      <c r="H7910" s="43">
        <f>SUM(G7910:G7910)</f>
        <v>3.9234999999999998</v>
      </c>
      <c r="I7910" s="44"/>
      <c r="J7910" s="34">
        <v>0</v>
      </c>
    </row>
    <row r="7911" spans="1:10" ht="15.75" hidden="1" thickBot="1" x14ac:dyDescent="0.3">
      <c r="A7911" s="265"/>
      <c r="B7911" s="261"/>
      <c r="C7911" s="60"/>
      <c r="D7911" s="60"/>
      <c r="E7911" s="79"/>
      <c r="F7911" s="87" t="s">
        <v>23</v>
      </c>
      <c r="G7911" s="88" t="str">
        <f t="shared" si="225"/>
        <v/>
      </c>
      <c r="H7911" s="89"/>
      <c r="I7911" s="35"/>
      <c r="J7911" s="34">
        <v>0</v>
      </c>
    </row>
    <row r="7912" spans="1:10" ht="15.75" hidden="1" thickBot="1" x14ac:dyDescent="0.3">
      <c r="A7912" s="256" t="s">
        <v>1910</v>
      </c>
      <c r="B7912" s="259" t="s">
        <v>3617</v>
      </c>
      <c r="C7912" s="28"/>
      <c r="D7912" s="29" t="s">
        <v>28</v>
      </c>
      <c r="E7912" s="30"/>
      <c r="F7912" s="45" t="s">
        <v>23</v>
      </c>
      <c r="G7912" s="31" t="str">
        <f t="shared" si="225"/>
        <v/>
      </c>
      <c r="H7912" s="32"/>
      <c r="I7912" s="33"/>
      <c r="J7912" s="34">
        <v>0</v>
      </c>
    </row>
    <row r="7913" spans="1:10" ht="15.75" hidden="1" thickBot="1" x14ac:dyDescent="0.3">
      <c r="A7913" s="264"/>
      <c r="B7913" s="260"/>
      <c r="C7913" s="36"/>
      <c r="D7913" s="36"/>
      <c r="E7913" s="37"/>
      <c r="F7913" s="46" t="s">
        <v>23</v>
      </c>
      <c r="G7913" s="38" t="str">
        <f t="shared" si="225"/>
        <v/>
      </c>
      <c r="H7913" s="39"/>
      <c r="I7913" s="35"/>
      <c r="J7913" s="34">
        <v>0</v>
      </c>
    </row>
    <row r="7914" spans="1:10" ht="26.25" hidden="1" thickBot="1" x14ac:dyDescent="0.3">
      <c r="A7914" s="264"/>
      <c r="B7914" s="260"/>
      <c r="C7914" s="40" t="s">
        <v>4587</v>
      </c>
      <c r="D7914" s="40" t="s">
        <v>291</v>
      </c>
      <c r="E7914" s="41">
        <v>1</v>
      </c>
      <c r="F7914" s="35">
        <v>5.4909999999999997</v>
      </c>
      <c r="G7914" s="38">
        <f t="shared" si="225"/>
        <v>5.4909999999999997</v>
      </c>
      <c r="H7914" s="43">
        <f>SUM(G7914:G7914)</f>
        <v>5.4909999999999997</v>
      </c>
      <c r="I7914" s="44"/>
      <c r="J7914" s="34">
        <v>0</v>
      </c>
    </row>
    <row r="7915" spans="1:10" ht="15.75" hidden="1" thickBot="1" x14ac:dyDescent="0.3">
      <c r="A7915" s="265"/>
      <c r="B7915" s="261"/>
      <c r="C7915" s="60"/>
      <c r="D7915" s="60"/>
      <c r="E7915" s="79"/>
      <c r="F7915" s="87" t="s">
        <v>23</v>
      </c>
      <c r="G7915" s="88" t="str">
        <f t="shared" si="225"/>
        <v/>
      </c>
      <c r="H7915" s="89"/>
      <c r="I7915" s="35"/>
      <c r="J7915" s="34">
        <v>0</v>
      </c>
    </row>
    <row r="7916" spans="1:10" ht="15.75" hidden="1" thickBot="1" x14ac:dyDescent="0.3">
      <c r="A7916" s="256" t="s">
        <v>1911</v>
      </c>
      <c r="B7916" s="259" t="s">
        <v>3618</v>
      </c>
      <c r="C7916" s="28"/>
      <c r="D7916" s="29" t="s">
        <v>28</v>
      </c>
      <c r="E7916" s="30"/>
      <c r="F7916" s="45" t="s">
        <v>23</v>
      </c>
      <c r="G7916" s="31" t="str">
        <f t="shared" si="225"/>
        <v/>
      </c>
      <c r="H7916" s="32"/>
      <c r="I7916" s="33"/>
      <c r="J7916" s="34">
        <v>0</v>
      </c>
    </row>
    <row r="7917" spans="1:10" ht="15.75" hidden="1" thickBot="1" x14ac:dyDescent="0.3">
      <c r="A7917" s="264"/>
      <c r="B7917" s="260"/>
      <c r="C7917" s="36"/>
      <c r="D7917" s="36"/>
      <c r="E7917" s="37"/>
      <c r="F7917" s="46" t="s">
        <v>23</v>
      </c>
      <c r="G7917" s="38" t="str">
        <f t="shared" si="225"/>
        <v/>
      </c>
      <c r="H7917" s="39"/>
      <c r="I7917" s="35"/>
      <c r="J7917" s="34">
        <v>0</v>
      </c>
    </row>
    <row r="7918" spans="1:10" ht="26.25" hidden="1" thickBot="1" x14ac:dyDescent="0.3">
      <c r="A7918" s="264"/>
      <c r="B7918" s="260"/>
      <c r="C7918" s="40" t="s">
        <v>4588</v>
      </c>
      <c r="D7918" s="40" t="s">
        <v>291</v>
      </c>
      <c r="E7918" s="41">
        <v>1</v>
      </c>
      <c r="F7918" s="35">
        <v>2.1564999999999999</v>
      </c>
      <c r="G7918" s="38">
        <f t="shared" si="225"/>
        <v>2.1564999999999999</v>
      </c>
      <c r="H7918" s="43">
        <f>SUM(G7918:G7918)</f>
        <v>2.1564999999999999</v>
      </c>
      <c r="I7918" s="44"/>
      <c r="J7918" s="34">
        <v>0</v>
      </c>
    </row>
    <row r="7919" spans="1:10" ht="15.75" hidden="1" thickBot="1" x14ac:dyDescent="0.3">
      <c r="A7919" s="265"/>
      <c r="B7919" s="261"/>
      <c r="C7919" s="60"/>
      <c r="D7919" s="60"/>
      <c r="E7919" s="79"/>
      <c r="F7919" s="87" t="s">
        <v>23</v>
      </c>
      <c r="G7919" s="88" t="str">
        <f t="shared" si="225"/>
        <v/>
      </c>
      <c r="H7919" s="89"/>
      <c r="I7919" s="35"/>
      <c r="J7919" s="34">
        <v>0</v>
      </c>
    </row>
    <row r="7920" spans="1:10" ht="15.75" hidden="1" thickBot="1" x14ac:dyDescent="0.3">
      <c r="A7920" s="256" t="s">
        <v>1912</v>
      </c>
      <c r="B7920" s="259" t="s">
        <v>3619</v>
      </c>
      <c r="C7920" s="28"/>
      <c r="D7920" s="29" t="s">
        <v>28</v>
      </c>
      <c r="E7920" s="30"/>
      <c r="F7920" s="45" t="s">
        <v>23</v>
      </c>
      <c r="G7920" s="31" t="str">
        <f t="shared" si="225"/>
        <v/>
      </c>
      <c r="H7920" s="32"/>
      <c r="I7920" s="33"/>
      <c r="J7920" s="34">
        <v>0</v>
      </c>
    </row>
    <row r="7921" spans="1:10" ht="15.75" hidden="1" thickBot="1" x14ac:dyDescent="0.3">
      <c r="A7921" s="264"/>
      <c r="B7921" s="260"/>
      <c r="C7921" s="36"/>
      <c r="D7921" s="36"/>
      <c r="E7921" s="37"/>
      <c r="F7921" s="46" t="s">
        <v>23</v>
      </c>
      <c r="G7921" s="38" t="str">
        <f t="shared" si="225"/>
        <v/>
      </c>
      <c r="H7921" s="39"/>
      <c r="I7921" s="35"/>
      <c r="J7921" s="34">
        <v>0</v>
      </c>
    </row>
    <row r="7922" spans="1:10" ht="26.25" hidden="1" thickBot="1" x14ac:dyDescent="0.3">
      <c r="A7922" s="264"/>
      <c r="B7922" s="260"/>
      <c r="C7922" s="40" t="s">
        <v>4589</v>
      </c>
      <c r="D7922" s="40" t="s">
        <v>291</v>
      </c>
      <c r="E7922" s="41">
        <v>1</v>
      </c>
      <c r="F7922" s="35">
        <v>2.3844999999999996</v>
      </c>
      <c r="G7922" s="38">
        <f t="shared" si="225"/>
        <v>2.3844999999999996</v>
      </c>
      <c r="H7922" s="43">
        <f>SUM(G7922:G7922)</f>
        <v>2.3844999999999996</v>
      </c>
      <c r="I7922" s="44"/>
      <c r="J7922" s="34">
        <v>0</v>
      </c>
    </row>
    <row r="7923" spans="1:10" ht="15.75" hidden="1" thickBot="1" x14ac:dyDescent="0.3">
      <c r="A7923" s="265"/>
      <c r="B7923" s="261"/>
      <c r="C7923" s="60"/>
      <c r="D7923" s="60"/>
      <c r="E7923" s="79"/>
      <c r="F7923" s="87" t="s">
        <v>23</v>
      </c>
      <c r="G7923" s="88" t="str">
        <f t="shared" si="225"/>
        <v/>
      </c>
      <c r="H7923" s="89"/>
      <c r="I7923" s="35"/>
      <c r="J7923" s="34">
        <v>0</v>
      </c>
    </row>
    <row r="7924" spans="1:10" ht="15.75" hidden="1" thickBot="1" x14ac:dyDescent="0.3">
      <c r="A7924" s="256" t="s">
        <v>1913</v>
      </c>
      <c r="B7924" s="259" t="s">
        <v>3620</v>
      </c>
      <c r="C7924" s="28"/>
      <c r="D7924" s="29" t="s">
        <v>28</v>
      </c>
      <c r="E7924" s="30"/>
      <c r="F7924" s="45" t="s">
        <v>23</v>
      </c>
      <c r="G7924" s="31" t="str">
        <f t="shared" si="225"/>
        <v/>
      </c>
      <c r="H7924" s="32"/>
      <c r="I7924" s="33"/>
      <c r="J7924" s="34">
        <v>0</v>
      </c>
    </row>
    <row r="7925" spans="1:10" ht="15.75" hidden="1" thickBot="1" x14ac:dyDescent="0.3">
      <c r="A7925" s="264"/>
      <c r="B7925" s="260"/>
      <c r="C7925" s="36"/>
      <c r="D7925" s="36"/>
      <c r="E7925" s="37"/>
      <c r="F7925" s="46" t="s">
        <v>23</v>
      </c>
      <c r="G7925" s="38" t="str">
        <f t="shared" si="225"/>
        <v/>
      </c>
      <c r="H7925" s="39"/>
      <c r="I7925" s="35"/>
      <c r="J7925" s="34">
        <v>0</v>
      </c>
    </row>
    <row r="7926" spans="1:10" ht="15.75" hidden="1" thickBot="1" x14ac:dyDescent="0.3">
      <c r="A7926" s="264"/>
      <c r="B7926" s="260"/>
      <c r="C7926" s="40" t="s">
        <v>4590</v>
      </c>
      <c r="D7926" s="40" t="s">
        <v>291</v>
      </c>
      <c r="E7926" s="41">
        <v>1</v>
      </c>
      <c r="F7926" s="35">
        <v>6.706999999999999</v>
      </c>
      <c r="G7926" s="38">
        <f t="shared" si="225"/>
        <v>6.706999999999999</v>
      </c>
      <c r="H7926" s="43">
        <f>SUM(G7926:G7926)</f>
        <v>6.706999999999999</v>
      </c>
      <c r="I7926" s="44"/>
      <c r="J7926" s="34">
        <v>0</v>
      </c>
    </row>
    <row r="7927" spans="1:10" ht="15.75" hidden="1" thickBot="1" x14ac:dyDescent="0.3">
      <c r="A7927" s="265"/>
      <c r="B7927" s="261"/>
      <c r="C7927" s="60"/>
      <c r="D7927" s="60"/>
      <c r="E7927" s="79"/>
      <c r="F7927" s="87" t="s">
        <v>23</v>
      </c>
      <c r="G7927" s="88" t="str">
        <f t="shared" si="225"/>
        <v/>
      </c>
      <c r="H7927" s="89"/>
      <c r="I7927" s="35"/>
      <c r="J7927" s="34">
        <v>0</v>
      </c>
    </row>
    <row r="7928" spans="1:10" ht="15.75" hidden="1" thickBot="1" x14ac:dyDescent="0.3">
      <c r="A7928" s="256" t="s">
        <v>1914</v>
      </c>
      <c r="B7928" s="259" t="s">
        <v>3621</v>
      </c>
      <c r="C7928" s="28"/>
      <c r="D7928" s="29" t="s">
        <v>28</v>
      </c>
      <c r="E7928" s="30"/>
      <c r="F7928" s="45" t="s">
        <v>23</v>
      </c>
      <c r="G7928" s="31" t="str">
        <f t="shared" si="225"/>
        <v/>
      </c>
      <c r="H7928" s="32"/>
      <c r="I7928" s="33"/>
      <c r="J7928" s="34">
        <v>0</v>
      </c>
    </row>
    <row r="7929" spans="1:10" ht="15.75" hidden="1" thickBot="1" x14ac:dyDescent="0.3">
      <c r="A7929" s="264"/>
      <c r="B7929" s="260"/>
      <c r="C7929" s="36"/>
      <c r="D7929" s="36"/>
      <c r="E7929" s="37"/>
      <c r="F7929" s="46" t="s">
        <v>23</v>
      </c>
      <c r="G7929" s="38" t="str">
        <f t="shared" si="225"/>
        <v/>
      </c>
      <c r="H7929" s="39"/>
      <c r="I7929" s="35"/>
      <c r="J7929" s="34">
        <v>0</v>
      </c>
    </row>
    <row r="7930" spans="1:10" ht="26.25" hidden="1" thickBot="1" x14ac:dyDescent="0.3">
      <c r="A7930" s="264"/>
      <c r="B7930" s="260"/>
      <c r="C7930" s="40" t="s">
        <v>4591</v>
      </c>
      <c r="D7930" s="40" t="s">
        <v>291</v>
      </c>
      <c r="E7930" s="41">
        <v>1</v>
      </c>
      <c r="F7930" s="35">
        <v>3.2014999999999998</v>
      </c>
      <c r="G7930" s="38">
        <f t="shared" si="225"/>
        <v>3.2014999999999998</v>
      </c>
      <c r="H7930" s="43">
        <f>SUM(G7930:G7930)</f>
        <v>3.2014999999999998</v>
      </c>
      <c r="I7930" s="44"/>
      <c r="J7930" s="34">
        <v>0</v>
      </c>
    </row>
    <row r="7931" spans="1:10" ht="15.75" hidden="1" thickBot="1" x14ac:dyDescent="0.3">
      <c r="A7931" s="265"/>
      <c r="B7931" s="261"/>
      <c r="C7931" s="60"/>
      <c r="D7931" s="60"/>
      <c r="E7931" s="79"/>
      <c r="F7931" s="87" t="s">
        <v>23</v>
      </c>
      <c r="G7931" s="88" t="str">
        <f t="shared" si="225"/>
        <v/>
      </c>
      <c r="H7931" s="89"/>
      <c r="I7931" s="35"/>
      <c r="J7931" s="34">
        <v>0</v>
      </c>
    </row>
    <row r="7932" spans="1:10" ht="15.75" hidden="1" thickBot="1" x14ac:dyDescent="0.3">
      <c r="A7932" s="256" t="s">
        <v>1915</v>
      </c>
      <c r="B7932" s="259" t="s">
        <v>3622</v>
      </c>
      <c r="C7932" s="28"/>
      <c r="D7932" s="29" t="s">
        <v>28</v>
      </c>
      <c r="E7932" s="30"/>
      <c r="F7932" s="45" t="s">
        <v>23</v>
      </c>
      <c r="G7932" s="31" t="str">
        <f t="shared" si="225"/>
        <v/>
      </c>
      <c r="H7932" s="32"/>
      <c r="I7932" s="33"/>
      <c r="J7932" s="34">
        <v>0</v>
      </c>
    </row>
    <row r="7933" spans="1:10" ht="15.75" hidden="1" thickBot="1" x14ac:dyDescent="0.3">
      <c r="A7933" s="264"/>
      <c r="B7933" s="260"/>
      <c r="C7933" s="36"/>
      <c r="D7933" s="36"/>
      <c r="E7933" s="37"/>
      <c r="F7933" s="46" t="s">
        <v>23</v>
      </c>
      <c r="G7933" s="38" t="str">
        <f t="shared" ref="G7933:G7996" si="226">IF(ISNUMBER(F7933),E7933*F7933,"")</f>
        <v/>
      </c>
      <c r="H7933" s="39"/>
      <c r="I7933" s="35"/>
      <c r="J7933" s="34">
        <v>0</v>
      </c>
    </row>
    <row r="7934" spans="1:10" ht="15.75" hidden="1" thickBot="1" x14ac:dyDescent="0.3">
      <c r="A7934" s="264"/>
      <c r="B7934" s="260"/>
      <c r="C7934" s="40" t="s">
        <v>4592</v>
      </c>
      <c r="D7934" s="40" t="s">
        <v>291</v>
      </c>
      <c r="E7934" s="41">
        <v>1</v>
      </c>
      <c r="F7934" s="35">
        <v>10.8965</v>
      </c>
      <c r="G7934" s="38">
        <f t="shared" si="226"/>
        <v>10.8965</v>
      </c>
      <c r="H7934" s="43">
        <f>SUM(G7934:G7934)</f>
        <v>10.8965</v>
      </c>
      <c r="I7934" s="44"/>
      <c r="J7934" s="34">
        <v>0</v>
      </c>
    </row>
    <row r="7935" spans="1:10" ht="15.75" hidden="1" thickBot="1" x14ac:dyDescent="0.3">
      <c r="A7935" s="265"/>
      <c r="B7935" s="261"/>
      <c r="C7935" s="60"/>
      <c r="D7935" s="60"/>
      <c r="E7935" s="79"/>
      <c r="F7935" s="87" t="s">
        <v>23</v>
      </c>
      <c r="G7935" s="88" t="str">
        <f t="shared" si="226"/>
        <v/>
      </c>
      <c r="H7935" s="89"/>
      <c r="I7935" s="35"/>
      <c r="J7935" s="34">
        <v>0</v>
      </c>
    </row>
    <row r="7936" spans="1:10" ht="15.75" hidden="1" thickBot="1" x14ac:dyDescent="0.3">
      <c r="A7936" s="256" t="s">
        <v>1916</v>
      </c>
      <c r="B7936" s="259" t="s">
        <v>3623</v>
      </c>
      <c r="C7936" s="28"/>
      <c r="D7936" s="29" t="s">
        <v>28</v>
      </c>
      <c r="E7936" s="30"/>
      <c r="F7936" s="45" t="s">
        <v>23</v>
      </c>
      <c r="G7936" s="31" t="str">
        <f t="shared" si="226"/>
        <v/>
      </c>
      <c r="H7936" s="32"/>
      <c r="I7936" s="33"/>
      <c r="J7936" s="34">
        <v>0</v>
      </c>
    </row>
    <row r="7937" spans="1:10" ht="15.75" hidden="1" thickBot="1" x14ac:dyDescent="0.3">
      <c r="A7937" s="264"/>
      <c r="B7937" s="260"/>
      <c r="C7937" s="36"/>
      <c r="D7937" s="36"/>
      <c r="E7937" s="37"/>
      <c r="F7937" s="46" t="s">
        <v>23</v>
      </c>
      <c r="G7937" s="38" t="str">
        <f t="shared" si="226"/>
        <v/>
      </c>
      <c r="H7937" s="39"/>
      <c r="I7937" s="35"/>
      <c r="J7937" s="34">
        <v>0</v>
      </c>
    </row>
    <row r="7938" spans="1:10" ht="26.25" hidden="1" thickBot="1" x14ac:dyDescent="0.3">
      <c r="A7938" s="264"/>
      <c r="B7938" s="260"/>
      <c r="C7938" s="40" t="s">
        <v>4593</v>
      </c>
      <c r="D7938" s="40" t="s">
        <v>291</v>
      </c>
      <c r="E7938" s="41">
        <v>1</v>
      </c>
      <c r="F7938" s="35">
        <v>9.5474999999999994</v>
      </c>
      <c r="G7938" s="38">
        <f t="shared" si="226"/>
        <v>9.5474999999999994</v>
      </c>
      <c r="H7938" s="43">
        <f>SUM(G7938:G7938)</f>
        <v>9.5474999999999994</v>
      </c>
      <c r="I7938" s="44"/>
      <c r="J7938" s="34">
        <v>0</v>
      </c>
    </row>
    <row r="7939" spans="1:10" ht="15.75" hidden="1" thickBot="1" x14ac:dyDescent="0.3">
      <c r="A7939" s="265"/>
      <c r="B7939" s="261"/>
      <c r="C7939" s="60"/>
      <c r="D7939" s="60"/>
      <c r="E7939" s="79"/>
      <c r="F7939" s="87" t="s">
        <v>23</v>
      </c>
      <c r="G7939" s="88" t="str">
        <f t="shared" si="226"/>
        <v/>
      </c>
      <c r="H7939" s="89"/>
      <c r="I7939" s="35"/>
      <c r="J7939" s="34">
        <v>0</v>
      </c>
    </row>
    <row r="7940" spans="1:10" ht="15.75" hidden="1" thickBot="1" x14ac:dyDescent="0.3">
      <c r="A7940" s="256" t="s">
        <v>1917</v>
      </c>
      <c r="B7940" s="259" t="s">
        <v>3624</v>
      </c>
      <c r="C7940" s="28"/>
      <c r="D7940" s="29" t="s">
        <v>28</v>
      </c>
      <c r="E7940" s="30"/>
      <c r="F7940" s="45" t="s">
        <v>23</v>
      </c>
      <c r="G7940" s="31" t="str">
        <f t="shared" si="226"/>
        <v/>
      </c>
      <c r="H7940" s="32"/>
      <c r="I7940" s="33"/>
      <c r="J7940" s="34">
        <v>0</v>
      </c>
    </row>
    <row r="7941" spans="1:10" ht="15.75" hidden="1" thickBot="1" x14ac:dyDescent="0.3">
      <c r="A7941" s="264"/>
      <c r="B7941" s="260"/>
      <c r="C7941" s="36"/>
      <c r="D7941" s="36"/>
      <c r="E7941" s="37"/>
      <c r="F7941" s="46" t="s">
        <v>23</v>
      </c>
      <c r="G7941" s="38" t="str">
        <f t="shared" si="226"/>
        <v/>
      </c>
      <c r="H7941" s="39"/>
      <c r="I7941" s="35"/>
      <c r="J7941" s="34">
        <v>0</v>
      </c>
    </row>
    <row r="7942" spans="1:10" ht="26.25" hidden="1" thickBot="1" x14ac:dyDescent="0.3">
      <c r="A7942" s="264"/>
      <c r="B7942" s="260"/>
      <c r="C7942" s="40" t="s">
        <v>4594</v>
      </c>
      <c r="D7942" s="40" t="s">
        <v>291</v>
      </c>
      <c r="E7942" s="41">
        <v>1</v>
      </c>
      <c r="F7942" s="35">
        <v>7.2770000000000001</v>
      </c>
      <c r="G7942" s="38">
        <f t="shared" si="226"/>
        <v>7.2770000000000001</v>
      </c>
      <c r="H7942" s="43">
        <f>SUM(G7942:G7942)</f>
        <v>7.2770000000000001</v>
      </c>
      <c r="I7942" s="44"/>
      <c r="J7942" s="34">
        <v>0</v>
      </c>
    </row>
    <row r="7943" spans="1:10" ht="15.75" hidden="1" thickBot="1" x14ac:dyDescent="0.3">
      <c r="A7943" s="265"/>
      <c r="B7943" s="261"/>
      <c r="C7943" s="60"/>
      <c r="D7943" s="60"/>
      <c r="E7943" s="79"/>
      <c r="F7943" s="87" t="s">
        <v>23</v>
      </c>
      <c r="G7943" s="88" t="str">
        <f t="shared" si="226"/>
        <v/>
      </c>
      <c r="H7943" s="89"/>
      <c r="I7943" s="35"/>
      <c r="J7943" s="34">
        <v>0</v>
      </c>
    </row>
    <row r="7944" spans="1:10" ht="15.75" hidden="1" thickBot="1" x14ac:dyDescent="0.3">
      <c r="A7944" s="256" t="s">
        <v>1918</v>
      </c>
      <c r="B7944" s="259" t="s">
        <v>3625</v>
      </c>
      <c r="C7944" s="28"/>
      <c r="D7944" s="29" t="s">
        <v>28</v>
      </c>
      <c r="E7944" s="30"/>
      <c r="F7944" s="45" t="s">
        <v>23</v>
      </c>
      <c r="G7944" s="31" t="str">
        <f t="shared" si="226"/>
        <v/>
      </c>
      <c r="H7944" s="32"/>
      <c r="I7944" s="33"/>
      <c r="J7944" s="34">
        <v>0</v>
      </c>
    </row>
    <row r="7945" spans="1:10" ht="15.75" hidden="1" thickBot="1" x14ac:dyDescent="0.3">
      <c r="A7945" s="264"/>
      <c r="B7945" s="260"/>
      <c r="C7945" s="36"/>
      <c r="D7945" s="36"/>
      <c r="E7945" s="37"/>
      <c r="F7945" s="46" t="s">
        <v>23</v>
      </c>
      <c r="G7945" s="38" t="str">
        <f t="shared" si="226"/>
        <v/>
      </c>
      <c r="H7945" s="39"/>
      <c r="I7945" s="35"/>
      <c r="J7945" s="34">
        <v>0</v>
      </c>
    </row>
    <row r="7946" spans="1:10" ht="15.75" hidden="1" thickBot="1" x14ac:dyDescent="0.3">
      <c r="A7946" s="264"/>
      <c r="B7946" s="260"/>
      <c r="C7946" s="40" t="s">
        <v>1919</v>
      </c>
      <c r="D7946" s="40" t="s">
        <v>28</v>
      </c>
      <c r="E7946" s="41">
        <v>1</v>
      </c>
      <c r="F7946" s="35">
        <v>0</v>
      </c>
      <c r="G7946" s="38">
        <f t="shared" si="226"/>
        <v>0</v>
      </c>
      <c r="H7946" s="43">
        <f>SUM(G7946:G7946)</f>
        <v>0</v>
      </c>
      <c r="I7946" s="44"/>
      <c r="J7946" s="34">
        <v>0</v>
      </c>
    </row>
    <row r="7947" spans="1:10" ht="15.75" hidden="1" thickBot="1" x14ac:dyDescent="0.3">
      <c r="A7947" s="265"/>
      <c r="B7947" s="261"/>
      <c r="C7947" s="60"/>
      <c r="D7947" s="60"/>
      <c r="E7947" s="79"/>
      <c r="F7947" s="87" t="s">
        <v>23</v>
      </c>
      <c r="G7947" s="88" t="str">
        <f t="shared" si="226"/>
        <v/>
      </c>
      <c r="H7947" s="89"/>
      <c r="I7947" s="35"/>
      <c r="J7947" s="34">
        <v>0</v>
      </c>
    </row>
    <row r="7948" spans="1:10" ht="15.75" hidden="1" thickBot="1" x14ac:dyDescent="0.3">
      <c r="A7948" s="256" t="s">
        <v>1920</v>
      </c>
      <c r="B7948" s="259" t="s">
        <v>3626</v>
      </c>
      <c r="C7948" s="28"/>
      <c r="D7948" s="29" t="s">
        <v>28</v>
      </c>
      <c r="E7948" s="30"/>
      <c r="F7948" s="45" t="s">
        <v>23</v>
      </c>
      <c r="G7948" s="31" t="str">
        <f t="shared" si="226"/>
        <v/>
      </c>
      <c r="H7948" s="32"/>
      <c r="I7948" s="33"/>
      <c r="J7948" s="34">
        <v>0</v>
      </c>
    </row>
    <row r="7949" spans="1:10" ht="15.75" hidden="1" thickBot="1" x14ac:dyDescent="0.3">
      <c r="A7949" s="264"/>
      <c r="B7949" s="260"/>
      <c r="C7949" s="36"/>
      <c r="D7949" s="36"/>
      <c r="E7949" s="37"/>
      <c r="F7949" s="46" t="s">
        <v>23</v>
      </c>
      <c r="G7949" s="38" t="str">
        <f t="shared" si="226"/>
        <v/>
      </c>
      <c r="H7949" s="39"/>
      <c r="I7949" s="35"/>
      <c r="J7949" s="34">
        <v>0</v>
      </c>
    </row>
    <row r="7950" spans="1:10" ht="26.25" hidden="1" thickBot="1" x14ac:dyDescent="0.3">
      <c r="A7950" s="264"/>
      <c r="B7950" s="260"/>
      <c r="C7950" s="40" t="s">
        <v>4595</v>
      </c>
      <c r="D7950" s="40" t="s">
        <v>291</v>
      </c>
      <c r="E7950" s="41">
        <v>1</v>
      </c>
      <c r="F7950" s="35">
        <v>2.964</v>
      </c>
      <c r="G7950" s="38">
        <f t="shared" si="226"/>
        <v>2.964</v>
      </c>
      <c r="H7950" s="43">
        <f>SUM(G7950:G7950)</f>
        <v>2.964</v>
      </c>
      <c r="I7950" s="44"/>
      <c r="J7950" s="34">
        <v>0</v>
      </c>
    </row>
    <row r="7951" spans="1:10" ht="15.75" hidden="1" thickBot="1" x14ac:dyDescent="0.3">
      <c r="A7951" s="265"/>
      <c r="B7951" s="261"/>
      <c r="C7951" s="60"/>
      <c r="D7951" s="60"/>
      <c r="E7951" s="79"/>
      <c r="F7951" s="87" t="s">
        <v>23</v>
      </c>
      <c r="G7951" s="88" t="str">
        <f t="shared" si="226"/>
        <v/>
      </c>
      <c r="H7951" s="89"/>
      <c r="I7951" s="35"/>
      <c r="J7951" s="34">
        <v>0</v>
      </c>
    </row>
    <row r="7952" spans="1:10" ht="15.75" hidden="1" thickBot="1" x14ac:dyDescent="0.3">
      <c r="A7952" s="256" t="s">
        <v>1921</v>
      </c>
      <c r="B7952" s="259" t="s">
        <v>3627</v>
      </c>
      <c r="C7952" s="28"/>
      <c r="D7952" s="29" t="s">
        <v>28</v>
      </c>
      <c r="E7952" s="30"/>
      <c r="F7952" s="45" t="s">
        <v>23</v>
      </c>
      <c r="G7952" s="31" t="str">
        <f t="shared" si="226"/>
        <v/>
      </c>
      <c r="H7952" s="32"/>
      <c r="I7952" s="33"/>
      <c r="J7952" s="34">
        <v>0</v>
      </c>
    </row>
    <row r="7953" spans="1:10" ht="15.75" hidden="1" thickBot="1" x14ac:dyDescent="0.3">
      <c r="A7953" s="264"/>
      <c r="B7953" s="260"/>
      <c r="C7953" s="36"/>
      <c r="D7953" s="36"/>
      <c r="E7953" s="37"/>
      <c r="F7953" s="46" t="s">
        <v>23</v>
      </c>
      <c r="G7953" s="38" t="str">
        <f t="shared" si="226"/>
        <v/>
      </c>
      <c r="H7953" s="39"/>
      <c r="I7953" s="35"/>
      <c r="J7953" s="34">
        <v>0</v>
      </c>
    </row>
    <row r="7954" spans="1:10" ht="26.25" hidden="1" thickBot="1" x14ac:dyDescent="0.3">
      <c r="A7954" s="264"/>
      <c r="B7954" s="260"/>
      <c r="C7954" s="40" t="s">
        <v>4596</v>
      </c>
      <c r="D7954" s="40" t="s">
        <v>291</v>
      </c>
      <c r="E7954" s="41">
        <v>1</v>
      </c>
      <c r="F7954" s="35">
        <v>4.3414999999999999</v>
      </c>
      <c r="G7954" s="38">
        <f t="shared" si="226"/>
        <v>4.3414999999999999</v>
      </c>
      <c r="H7954" s="43">
        <f>SUM(G7954:G7954)</f>
        <v>4.3414999999999999</v>
      </c>
      <c r="I7954" s="44"/>
      <c r="J7954" s="34">
        <v>0</v>
      </c>
    </row>
    <row r="7955" spans="1:10" ht="15.75" hidden="1" thickBot="1" x14ac:dyDescent="0.3">
      <c r="A7955" s="265"/>
      <c r="B7955" s="261"/>
      <c r="C7955" s="60"/>
      <c r="D7955" s="60"/>
      <c r="E7955" s="79"/>
      <c r="F7955" s="87" t="s">
        <v>23</v>
      </c>
      <c r="G7955" s="88" t="str">
        <f t="shared" si="226"/>
        <v/>
      </c>
      <c r="H7955" s="89"/>
      <c r="I7955" s="35"/>
      <c r="J7955" s="34">
        <v>0</v>
      </c>
    </row>
    <row r="7956" spans="1:10" ht="15.75" hidden="1" thickBot="1" x14ac:dyDescent="0.3">
      <c r="A7956" s="256" t="s">
        <v>1922</v>
      </c>
      <c r="B7956" s="259" t="s">
        <v>3628</v>
      </c>
      <c r="C7956" s="28"/>
      <c r="D7956" s="29" t="s">
        <v>28</v>
      </c>
      <c r="E7956" s="30"/>
      <c r="F7956" s="45" t="s">
        <v>23</v>
      </c>
      <c r="G7956" s="31" t="str">
        <f t="shared" si="226"/>
        <v/>
      </c>
      <c r="H7956" s="32"/>
      <c r="I7956" s="33"/>
      <c r="J7956" s="34">
        <v>0</v>
      </c>
    </row>
    <row r="7957" spans="1:10" ht="15.75" hidden="1" thickBot="1" x14ac:dyDescent="0.3">
      <c r="A7957" s="264"/>
      <c r="B7957" s="260"/>
      <c r="C7957" s="36"/>
      <c r="D7957" s="36"/>
      <c r="E7957" s="37"/>
      <c r="F7957" s="46" t="s">
        <v>23</v>
      </c>
      <c r="G7957" s="38" t="str">
        <f t="shared" si="226"/>
        <v/>
      </c>
      <c r="H7957" s="39"/>
      <c r="I7957" s="35"/>
      <c r="J7957" s="34">
        <v>0</v>
      </c>
    </row>
    <row r="7958" spans="1:10" ht="26.25" hidden="1" thickBot="1" x14ac:dyDescent="0.3">
      <c r="A7958" s="264"/>
      <c r="B7958" s="260"/>
      <c r="C7958" s="40" t="s">
        <v>4597</v>
      </c>
      <c r="D7958" s="40" t="s">
        <v>291</v>
      </c>
      <c r="E7958" s="41">
        <v>1</v>
      </c>
      <c r="F7958" s="35">
        <v>5.1395</v>
      </c>
      <c r="G7958" s="38">
        <f t="shared" si="226"/>
        <v>5.1395</v>
      </c>
      <c r="H7958" s="43">
        <f>SUM(G7958:G7958)</f>
        <v>5.1395</v>
      </c>
      <c r="I7958" s="44"/>
      <c r="J7958" s="34">
        <v>0</v>
      </c>
    </row>
    <row r="7959" spans="1:10" ht="15.75" hidden="1" thickBot="1" x14ac:dyDescent="0.3">
      <c r="A7959" s="265"/>
      <c r="B7959" s="261"/>
      <c r="C7959" s="60"/>
      <c r="D7959" s="60"/>
      <c r="E7959" s="79"/>
      <c r="F7959" s="87" t="s">
        <v>23</v>
      </c>
      <c r="G7959" s="88" t="str">
        <f t="shared" si="226"/>
        <v/>
      </c>
      <c r="H7959" s="89"/>
      <c r="I7959" s="35"/>
      <c r="J7959" s="34">
        <v>0</v>
      </c>
    </row>
    <row r="7960" spans="1:10" ht="15.75" hidden="1" thickBot="1" x14ac:dyDescent="0.3">
      <c r="A7960" s="256" t="s">
        <v>1923</v>
      </c>
      <c r="B7960" s="259" t="s">
        <v>3629</v>
      </c>
      <c r="C7960" s="28"/>
      <c r="D7960" s="29" t="s">
        <v>28</v>
      </c>
      <c r="E7960" s="30"/>
      <c r="F7960" s="45" t="s">
        <v>23</v>
      </c>
      <c r="G7960" s="31" t="str">
        <f t="shared" si="226"/>
        <v/>
      </c>
      <c r="H7960" s="32"/>
      <c r="I7960" s="33"/>
      <c r="J7960" s="34">
        <v>0</v>
      </c>
    </row>
    <row r="7961" spans="1:10" ht="15.75" hidden="1" thickBot="1" x14ac:dyDescent="0.3">
      <c r="A7961" s="264"/>
      <c r="B7961" s="260"/>
      <c r="C7961" s="36"/>
      <c r="D7961" s="36"/>
      <c r="E7961" s="37"/>
      <c r="F7961" s="46" t="s">
        <v>23</v>
      </c>
      <c r="G7961" s="38" t="str">
        <f t="shared" si="226"/>
        <v/>
      </c>
      <c r="H7961" s="39"/>
      <c r="I7961" s="35"/>
      <c r="J7961" s="34">
        <v>0</v>
      </c>
    </row>
    <row r="7962" spans="1:10" ht="15.75" hidden="1" thickBot="1" x14ac:dyDescent="0.3">
      <c r="A7962" s="264"/>
      <c r="B7962" s="260"/>
      <c r="C7962" s="40" t="s">
        <v>4598</v>
      </c>
      <c r="D7962" s="40" t="s">
        <v>291</v>
      </c>
      <c r="E7962" s="41">
        <v>1</v>
      </c>
      <c r="F7962" s="35">
        <v>13.2525</v>
      </c>
      <c r="G7962" s="38">
        <f t="shared" si="226"/>
        <v>13.2525</v>
      </c>
      <c r="H7962" s="43">
        <f>SUM(G7962:G7962)</f>
        <v>13.2525</v>
      </c>
      <c r="I7962" s="44"/>
      <c r="J7962" s="34">
        <v>0</v>
      </c>
    </row>
    <row r="7963" spans="1:10" ht="15.75" hidden="1" thickBot="1" x14ac:dyDescent="0.3">
      <c r="A7963" s="265"/>
      <c r="B7963" s="261"/>
      <c r="C7963" s="60"/>
      <c r="D7963" s="60"/>
      <c r="E7963" s="79"/>
      <c r="F7963" s="87" t="s">
        <v>23</v>
      </c>
      <c r="G7963" s="88" t="str">
        <f t="shared" si="226"/>
        <v/>
      </c>
      <c r="H7963" s="89"/>
      <c r="I7963" s="35"/>
      <c r="J7963" s="34">
        <v>0</v>
      </c>
    </row>
    <row r="7964" spans="1:10" ht="15.75" hidden="1" thickBot="1" x14ac:dyDescent="0.3">
      <c r="A7964" s="256" t="s">
        <v>1924</v>
      </c>
      <c r="B7964" s="259" t="s">
        <v>3630</v>
      </c>
      <c r="C7964" s="28"/>
      <c r="D7964" s="29" t="s">
        <v>28</v>
      </c>
      <c r="E7964" s="30"/>
      <c r="F7964" s="45" t="s">
        <v>23</v>
      </c>
      <c r="G7964" s="31" t="str">
        <f t="shared" si="226"/>
        <v/>
      </c>
      <c r="H7964" s="32"/>
      <c r="I7964" s="33"/>
      <c r="J7964" s="34">
        <v>0</v>
      </c>
    </row>
    <row r="7965" spans="1:10" ht="15.75" hidden="1" thickBot="1" x14ac:dyDescent="0.3">
      <c r="A7965" s="264"/>
      <c r="B7965" s="260"/>
      <c r="C7965" s="36"/>
      <c r="D7965" s="36"/>
      <c r="E7965" s="37"/>
      <c r="F7965" s="46" t="s">
        <v>23</v>
      </c>
      <c r="G7965" s="38" t="str">
        <f t="shared" si="226"/>
        <v/>
      </c>
      <c r="H7965" s="39"/>
      <c r="I7965" s="35"/>
      <c r="J7965" s="34">
        <v>0</v>
      </c>
    </row>
    <row r="7966" spans="1:10" ht="26.25" hidden="1" thickBot="1" x14ac:dyDescent="0.3">
      <c r="A7966" s="264"/>
      <c r="B7966" s="260"/>
      <c r="C7966" s="40" t="s">
        <v>4599</v>
      </c>
      <c r="D7966" s="40" t="s">
        <v>291</v>
      </c>
      <c r="E7966" s="41">
        <v>1</v>
      </c>
      <c r="F7966" s="35">
        <v>6.4979999999999993</v>
      </c>
      <c r="G7966" s="38">
        <f t="shared" si="226"/>
        <v>6.4979999999999993</v>
      </c>
      <c r="H7966" s="43">
        <f>SUM(G7966:G7966)</f>
        <v>6.4979999999999993</v>
      </c>
      <c r="I7966" s="44"/>
      <c r="J7966" s="34">
        <v>0</v>
      </c>
    </row>
    <row r="7967" spans="1:10" ht="15.75" hidden="1" thickBot="1" x14ac:dyDescent="0.3">
      <c r="A7967" s="265"/>
      <c r="B7967" s="261"/>
      <c r="C7967" s="60"/>
      <c r="D7967" s="60"/>
      <c r="E7967" s="79"/>
      <c r="F7967" s="87" t="s">
        <v>23</v>
      </c>
      <c r="G7967" s="88" t="str">
        <f t="shared" si="226"/>
        <v/>
      </c>
      <c r="H7967" s="89"/>
      <c r="I7967" s="35"/>
      <c r="J7967" s="34">
        <v>0</v>
      </c>
    </row>
    <row r="7968" spans="1:10" ht="15.75" hidden="1" thickBot="1" x14ac:dyDescent="0.3">
      <c r="A7968" s="256" t="s">
        <v>1925</v>
      </c>
      <c r="B7968" s="259" t="s">
        <v>3631</v>
      </c>
      <c r="C7968" s="28"/>
      <c r="D7968" s="29" t="s">
        <v>28</v>
      </c>
      <c r="E7968" s="30"/>
      <c r="F7968" s="45" t="s">
        <v>23</v>
      </c>
      <c r="G7968" s="31" t="str">
        <f t="shared" si="226"/>
        <v/>
      </c>
      <c r="H7968" s="32"/>
      <c r="I7968" s="33"/>
      <c r="J7968" s="34">
        <v>0</v>
      </c>
    </row>
    <row r="7969" spans="1:10" ht="15.75" hidden="1" thickBot="1" x14ac:dyDescent="0.3">
      <c r="A7969" s="264"/>
      <c r="B7969" s="260"/>
      <c r="C7969" s="36"/>
      <c r="D7969" s="36"/>
      <c r="E7969" s="37"/>
      <c r="F7969" s="46" t="s">
        <v>23</v>
      </c>
      <c r="G7969" s="38" t="str">
        <f t="shared" si="226"/>
        <v/>
      </c>
      <c r="H7969" s="39"/>
      <c r="I7969" s="35"/>
      <c r="J7969" s="34">
        <v>0</v>
      </c>
    </row>
    <row r="7970" spans="1:10" ht="26.25" hidden="1" thickBot="1" x14ac:dyDescent="0.3">
      <c r="A7970" s="264"/>
      <c r="B7970" s="260"/>
      <c r="C7970" s="40" t="s">
        <v>4600</v>
      </c>
      <c r="D7970" s="40" t="s">
        <v>291</v>
      </c>
      <c r="E7970" s="41">
        <v>1</v>
      </c>
      <c r="F7970" s="35">
        <v>6.7354999999999992</v>
      </c>
      <c r="G7970" s="38">
        <f t="shared" si="226"/>
        <v>6.7354999999999992</v>
      </c>
      <c r="H7970" s="43">
        <f>SUM(G7970:G7970)</f>
        <v>6.7354999999999992</v>
      </c>
      <c r="I7970" s="44"/>
      <c r="J7970" s="34">
        <v>0</v>
      </c>
    </row>
    <row r="7971" spans="1:10" ht="15.75" hidden="1" thickBot="1" x14ac:dyDescent="0.3">
      <c r="A7971" s="265"/>
      <c r="B7971" s="261"/>
      <c r="C7971" s="60"/>
      <c r="D7971" s="60"/>
      <c r="E7971" s="79"/>
      <c r="F7971" s="87" t="s">
        <v>23</v>
      </c>
      <c r="G7971" s="88" t="str">
        <f t="shared" si="226"/>
        <v/>
      </c>
      <c r="H7971" s="89"/>
      <c r="I7971" s="35"/>
      <c r="J7971" s="34">
        <v>0</v>
      </c>
    </row>
    <row r="7972" spans="1:10" ht="15.75" hidden="1" thickBot="1" x14ac:dyDescent="0.3">
      <c r="A7972" s="256" t="s">
        <v>1926</v>
      </c>
      <c r="B7972" s="259" t="s">
        <v>3632</v>
      </c>
      <c r="C7972" s="28"/>
      <c r="D7972" s="29" t="s">
        <v>28</v>
      </c>
      <c r="E7972" s="30"/>
      <c r="F7972" s="45" t="s">
        <v>23</v>
      </c>
      <c r="G7972" s="31" t="str">
        <f t="shared" si="226"/>
        <v/>
      </c>
      <c r="H7972" s="32"/>
      <c r="I7972" s="33"/>
      <c r="J7972" s="34">
        <v>0</v>
      </c>
    </row>
    <row r="7973" spans="1:10" ht="15.75" hidden="1" thickBot="1" x14ac:dyDescent="0.3">
      <c r="A7973" s="264"/>
      <c r="B7973" s="260"/>
      <c r="C7973" s="36"/>
      <c r="D7973" s="36"/>
      <c r="E7973" s="37"/>
      <c r="F7973" s="46" t="s">
        <v>23</v>
      </c>
      <c r="G7973" s="38" t="str">
        <f t="shared" si="226"/>
        <v/>
      </c>
      <c r="H7973" s="39"/>
      <c r="I7973" s="35"/>
      <c r="J7973" s="34">
        <v>0</v>
      </c>
    </row>
    <row r="7974" spans="1:10" ht="15.75" hidden="1" thickBot="1" x14ac:dyDescent="0.3">
      <c r="A7974" s="264"/>
      <c r="B7974" s="260"/>
      <c r="C7974" s="40" t="s">
        <v>4601</v>
      </c>
      <c r="D7974" s="40" t="s">
        <v>291</v>
      </c>
      <c r="E7974" s="41">
        <v>1</v>
      </c>
      <c r="F7974" s="35">
        <v>43.149000000000001</v>
      </c>
      <c r="G7974" s="38">
        <f t="shared" si="226"/>
        <v>43.149000000000001</v>
      </c>
      <c r="H7974" s="43">
        <f>SUM(G7974:G7974)</f>
        <v>43.149000000000001</v>
      </c>
      <c r="I7974" s="44"/>
      <c r="J7974" s="34">
        <v>0</v>
      </c>
    </row>
    <row r="7975" spans="1:10" ht="15.75" hidden="1" thickBot="1" x14ac:dyDescent="0.3">
      <c r="A7975" s="265"/>
      <c r="B7975" s="261"/>
      <c r="C7975" s="60"/>
      <c r="D7975" s="60"/>
      <c r="E7975" s="79"/>
      <c r="F7975" s="87" t="s">
        <v>23</v>
      </c>
      <c r="G7975" s="88" t="str">
        <f t="shared" si="226"/>
        <v/>
      </c>
      <c r="H7975" s="89"/>
      <c r="I7975" s="35"/>
      <c r="J7975" s="34">
        <v>0</v>
      </c>
    </row>
    <row r="7976" spans="1:10" ht="15.75" hidden="1" thickBot="1" x14ac:dyDescent="0.3">
      <c r="A7976" s="256" t="s">
        <v>1927</v>
      </c>
      <c r="B7976" s="259" t="s">
        <v>3633</v>
      </c>
      <c r="C7976" s="28"/>
      <c r="D7976" s="29" t="s">
        <v>28</v>
      </c>
      <c r="E7976" s="30"/>
      <c r="F7976" s="45" t="s">
        <v>23</v>
      </c>
      <c r="G7976" s="31" t="str">
        <f t="shared" si="226"/>
        <v/>
      </c>
      <c r="H7976" s="32"/>
      <c r="I7976" s="33"/>
      <c r="J7976" s="34">
        <v>0</v>
      </c>
    </row>
    <row r="7977" spans="1:10" ht="15.75" hidden="1" thickBot="1" x14ac:dyDescent="0.3">
      <c r="A7977" s="264"/>
      <c r="B7977" s="260"/>
      <c r="C7977" s="36"/>
      <c r="D7977" s="36"/>
      <c r="E7977" s="37"/>
      <c r="F7977" s="46" t="s">
        <v>23</v>
      </c>
      <c r="G7977" s="38" t="str">
        <f t="shared" si="226"/>
        <v/>
      </c>
      <c r="H7977" s="39"/>
      <c r="I7977" s="35"/>
      <c r="J7977" s="34">
        <v>0</v>
      </c>
    </row>
    <row r="7978" spans="1:10" ht="26.25" hidden="1" thickBot="1" x14ac:dyDescent="0.3">
      <c r="A7978" s="264"/>
      <c r="B7978" s="260"/>
      <c r="C7978" s="40" t="s">
        <v>4602</v>
      </c>
      <c r="D7978" s="40" t="s">
        <v>291</v>
      </c>
      <c r="E7978" s="41">
        <v>1</v>
      </c>
      <c r="F7978" s="35">
        <v>7.6759999999999993</v>
      </c>
      <c r="G7978" s="38">
        <f t="shared" si="226"/>
        <v>7.6759999999999993</v>
      </c>
      <c r="H7978" s="43">
        <f>SUM(G7978:G7978)</f>
        <v>7.6759999999999993</v>
      </c>
      <c r="I7978" s="44"/>
      <c r="J7978" s="34">
        <v>0</v>
      </c>
    </row>
    <row r="7979" spans="1:10" ht="15.75" hidden="1" thickBot="1" x14ac:dyDescent="0.3">
      <c r="A7979" s="265"/>
      <c r="B7979" s="261"/>
      <c r="C7979" s="60"/>
      <c r="D7979" s="60"/>
      <c r="E7979" s="79"/>
      <c r="F7979" s="87" t="s">
        <v>23</v>
      </c>
      <c r="G7979" s="88" t="str">
        <f t="shared" si="226"/>
        <v/>
      </c>
      <c r="H7979" s="89"/>
      <c r="I7979" s="35"/>
      <c r="J7979" s="34">
        <v>0</v>
      </c>
    </row>
    <row r="7980" spans="1:10" ht="15.75" hidden="1" thickBot="1" x14ac:dyDescent="0.3">
      <c r="A7980" s="256" t="s">
        <v>1928</v>
      </c>
      <c r="B7980" s="259" t="s">
        <v>3634</v>
      </c>
      <c r="C7980" s="28"/>
      <c r="D7980" s="29" t="s">
        <v>28</v>
      </c>
      <c r="E7980" s="30"/>
      <c r="F7980" s="45" t="s">
        <v>23</v>
      </c>
      <c r="G7980" s="31" t="str">
        <f t="shared" si="226"/>
        <v/>
      </c>
      <c r="H7980" s="32"/>
      <c r="I7980" s="33"/>
      <c r="J7980" s="34">
        <v>0</v>
      </c>
    </row>
    <row r="7981" spans="1:10" ht="15.75" hidden="1" thickBot="1" x14ac:dyDescent="0.3">
      <c r="A7981" s="264"/>
      <c r="B7981" s="260"/>
      <c r="C7981" s="36"/>
      <c r="D7981" s="36"/>
      <c r="E7981" s="37"/>
      <c r="F7981" s="46" t="s">
        <v>23</v>
      </c>
      <c r="G7981" s="38" t="str">
        <f t="shared" si="226"/>
        <v/>
      </c>
      <c r="H7981" s="39"/>
      <c r="I7981" s="35"/>
      <c r="J7981" s="34">
        <v>0</v>
      </c>
    </row>
    <row r="7982" spans="1:10" ht="15.75" hidden="1" thickBot="1" x14ac:dyDescent="0.3">
      <c r="A7982" s="264"/>
      <c r="B7982" s="260"/>
      <c r="C7982" s="40" t="s">
        <v>4603</v>
      </c>
      <c r="D7982" s="40" t="s">
        <v>291</v>
      </c>
      <c r="E7982" s="41">
        <v>1</v>
      </c>
      <c r="F7982" s="35">
        <v>12.103</v>
      </c>
      <c r="G7982" s="38">
        <f t="shared" si="226"/>
        <v>12.103</v>
      </c>
      <c r="H7982" s="43">
        <f>SUM(G7982:G7982)</f>
        <v>12.103</v>
      </c>
      <c r="I7982" s="44"/>
      <c r="J7982" s="34">
        <v>0</v>
      </c>
    </row>
    <row r="7983" spans="1:10" ht="15.75" hidden="1" thickBot="1" x14ac:dyDescent="0.3">
      <c r="A7983" s="265"/>
      <c r="B7983" s="261"/>
      <c r="C7983" s="60"/>
      <c r="D7983" s="60"/>
      <c r="E7983" s="79"/>
      <c r="F7983" s="87" t="s">
        <v>23</v>
      </c>
      <c r="G7983" s="88" t="str">
        <f t="shared" si="226"/>
        <v/>
      </c>
      <c r="H7983" s="89"/>
      <c r="I7983" s="35"/>
      <c r="J7983" s="34">
        <v>0</v>
      </c>
    </row>
    <row r="7984" spans="1:10" ht="15.75" hidden="1" thickBot="1" x14ac:dyDescent="0.3">
      <c r="A7984" s="256" t="s">
        <v>1929</v>
      </c>
      <c r="B7984" s="259" t="s">
        <v>3635</v>
      </c>
      <c r="C7984" s="28"/>
      <c r="D7984" s="29" t="s">
        <v>28</v>
      </c>
      <c r="E7984" s="30"/>
      <c r="F7984" s="45" t="s">
        <v>23</v>
      </c>
      <c r="G7984" s="31" t="str">
        <f t="shared" si="226"/>
        <v/>
      </c>
      <c r="H7984" s="32"/>
      <c r="I7984" s="33"/>
      <c r="J7984" s="34">
        <v>0</v>
      </c>
    </row>
    <row r="7985" spans="1:10" ht="15.75" hidden="1" thickBot="1" x14ac:dyDescent="0.3">
      <c r="A7985" s="264"/>
      <c r="B7985" s="260"/>
      <c r="C7985" s="36"/>
      <c r="D7985" s="36"/>
      <c r="E7985" s="37"/>
      <c r="F7985" s="46" t="s">
        <v>23</v>
      </c>
      <c r="G7985" s="38" t="str">
        <f t="shared" si="226"/>
        <v/>
      </c>
      <c r="H7985" s="39"/>
      <c r="I7985" s="35"/>
      <c r="J7985" s="34">
        <v>0</v>
      </c>
    </row>
    <row r="7986" spans="1:10" ht="15.75" hidden="1" thickBot="1" x14ac:dyDescent="0.3">
      <c r="A7986" s="264"/>
      <c r="B7986" s="260"/>
      <c r="C7986" s="40" t="s">
        <v>4604</v>
      </c>
      <c r="D7986" s="40" t="s">
        <v>291</v>
      </c>
      <c r="E7986" s="41">
        <v>1</v>
      </c>
      <c r="F7986" s="35">
        <v>27.787499999999998</v>
      </c>
      <c r="G7986" s="38">
        <f t="shared" si="226"/>
        <v>27.787499999999998</v>
      </c>
      <c r="H7986" s="43">
        <f>SUM(G7986:G7986)</f>
        <v>27.787499999999998</v>
      </c>
      <c r="I7986" s="44"/>
      <c r="J7986" s="34">
        <v>0</v>
      </c>
    </row>
    <row r="7987" spans="1:10" ht="15.75" hidden="1" thickBot="1" x14ac:dyDescent="0.3">
      <c r="A7987" s="265"/>
      <c r="B7987" s="261"/>
      <c r="C7987" s="60"/>
      <c r="D7987" s="60"/>
      <c r="E7987" s="79"/>
      <c r="F7987" s="87" t="s">
        <v>23</v>
      </c>
      <c r="G7987" s="88" t="str">
        <f t="shared" si="226"/>
        <v/>
      </c>
      <c r="H7987" s="89"/>
      <c r="I7987" s="35"/>
      <c r="J7987" s="34">
        <v>0</v>
      </c>
    </row>
    <row r="7988" spans="1:10" ht="15.75" hidden="1" thickBot="1" x14ac:dyDescent="0.3">
      <c r="A7988" s="256" t="s">
        <v>1930</v>
      </c>
      <c r="B7988" s="259" t="s">
        <v>3636</v>
      </c>
      <c r="C7988" s="28"/>
      <c r="D7988" s="29" t="s">
        <v>28</v>
      </c>
      <c r="E7988" s="30"/>
      <c r="F7988" s="45" t="s">
        <v>23</v>
      </c>
      <c r="G7988" s="31" t="str">
        <f t="shared" si="226"/>
        <v/>
      </c>
      <c r="H7988" s="32"/>
      <c r="I7988" s="33"/>
      <c r="J7988" s="34">
        <v>0</v>
      </c>
    </row>
    <row r="7989" spans="1:10" ht="15.75" hidden="1" thickBot="1" x14ac:dyDescent="0.3">
      <c r="A7989" s="264"/>
      <c r="B7989" s="260"/>
      <c r="C7989" s="36"/>
      <c r="D7989" s="36"/>
      <c r="E7989" s="37"/>
      <c r="F7989" s="46" t="s">
        <v>23</v>
      </c>
      <c r="G7989" s="38" t="str">
        <f t="shared" si="226"/>
        <v/>
      </c>
      <c r="H7989" s="39"/>
      <c r="I7989" s="35"/>
      <c r="J7989" s="34">
        <v>0</v>
      </c>
    </row>
    <row r="7990" spans="1:10" ht="15.75" hidden="1" thickBot="1" x14ac:dyDescent="0.3">
      <c r="A7990" s="264"/>
      <c r="B7990" s="260"/>
      <c r="C7990" s="40" t="s">
        <v>4605</v>
      </c>
      <c r="D7990" s="40" t="s">
        <v>291</v>
      </c>
      <c r="E7990" s="41">
        <v>1</v>
      </c>
      <c r="F7990" s="35">
        <v>10.298</v>
      </c>
      <c r="G7990" s="38">
        <f t="shared" si="226"/>
        <v>10.298</v>
      </c>
      <c r="H7990" s="43">
        <f>SUM(G7990:G7990)</f>
        <v>10.298</v>
      </c>
      <c r="I7990" s="44"/>
      <c r="J7990" s="34">
        <v>0</v>
      </c>
    </row>
    <row r="7991" spans="1:10" ht="15.75" hidden="1" thickBot="1" x14ac:dyDescent="0.3">
      <c r="A7991" s="265"/>
      <c r="B7991" s="261"/>
      <c r="C7991" s="60"/>
      <c r="D7991" s="60"/>
      <c r="E7991" s="79"/>
      <c r="F7991" s="87" t="s">
        <v>23</v>
      </c>
      <c r="G7991" s="88" t="str">
        <f t="shared" si="226"/>
        <v/>
      </c>
      <c r="H7991" s="89"/>
      <c r="I7991" s="35"/>
      <c r="J7991" s="34">
        <v>0</v>
      </c>
    </row>
    <row r="7992" spans="1:10" ht="15.75" hidden="1" thickBot="1" x14ac:dyDescent="0.3">
      <c r="A7992" s="256" t="s">
        <v>1931</v>
      </c>
      <c r="B7992" s="259" t="s">
        <v>3637</v>
      </c>
      <c r="C7992" s="28"/>
      <c r="D7992" s="29" t="s">
        <v>28</v>
      </c>
      <c r="E7992" s="30"/>
      <c r="F7992" s="45" t="s">
        <v>23</v>
      </c>
      <c r="G7992" s="31" t="str">
        <f t="shared" si="226"/>
        <v/>
      </c>
      <c r="H7992" s="32"/>
      <c r="I7992" s="33"/>
      <c r="J7992" s="34">
        <v>0</v>
      </c>
    </row>
    <row r="7993" spans="1:10" ht="15.75" hidden="1" thickBot="1" x14ac:dyDescent="0.3">
      <c r="A7993" s="264"/>
      <c r="B7993" s="260"/>
      <c r="C7993" s="36"/>
      <c r="D7993" s="36"/>
      <c r="E7993" s="37"/>
      <c r="F7993" s="46" t="s">
        <v>23</v>
      </c>
      <c r="G7993" s="38" t="str">
        <f t="shared" si="226"/>
        <v/>
      </c>
      <c r="H7993" s="39"/>
      <c r="I7993" s="35"/>
      <c r="J7993" s="34">
        <v>0</v>
      </c>
    </row>
    <row r="7994" spans="1:10" ht="15.75" hidden="1" thickBot="1" x14ac:dyDescent="0.3">
      <c r="A7994" s="264"/>
      <c r="B7994" s="260"/>
      <c r="C7994" s="40" t="s">
        <v>4606</v>
      </c>
      <c r="D7994" s="40" t="s">
        <v>291</v>
      </c>
      <c r="E7994" s="41">
        <v>1</v>
      </c>
      <c r="F7994" s="35">
        <v>7.5430000000000001</v>
      </c>
      <c r="G7994" s="38">
        <f t="shared" si="226"/>
        <v>7.5430000000000001</v>
      </c>
      <c r="H7994" s="43">
        <f>SUM(G7994:G7994)</f>
        <v>7.5430000000000001</v>
      </c>
      <c r="I7994" s="44"/>
      <c r="J7994" s="34">
        <v>0</v>
      </c>
    </row>
    <row r="7995" spans="1:10" ht="15.75" hidden="1" thickBot="1" x14ac:dyDescent="0.3">
      <c r="A7995" s="265"/>
      <c r="B7995" s="261"/>
      <c r="C7995" s="60"/>
      <c r="D7995" s="60"/>
      <c r="E7995" s="79"/>
      <c r="F7995" s="87" t="s">
        <v>23</v>
      </c>
      <c r="G7995" s="88" t="str">
        <f t="shared" si="226"/>
        <v/>
      </c>
      <c r="H7995" s="89"/>
      <c r="I7995" s="35"/>
      <c r="J7995" s="34">
        <v>0</v>
      </c>
    </row>
    <row r="7996" spans="1:10" ht="15.75" hidden="1" thickBot="1" x14ac:dyDescent="0.3">
      <c r="A7996" s="256" t="s">
        <v>1932</v>
      </c>
      <c r="B7996" s="259" t="s">
        <v>3638</v>
      </c>
      <c r="C7996" s="28"/>
      <c r="D7996" s="29" t="s">
        <v>28</v>
      </c>
      <c r="E7996" s="30"/>
      <c r="F7996" s="45" t="s">
        <v>23</v>
      </c>
      <c r="G7996" s="31" t="str">
        <f t="shared" si="226"/>
        <v/>
      </c>
      <c r="H7996" s="32"/>
      <c r="I7996" s="33"/>
      <c r="J7996" s="34">
        <v>0</v>
      </c>
    </row>
    <row r="7997" spans="1:10" ht="15.75" hidden="1" thickBot="1" x14ac:dyDescent="0.3">
      <c r="A7997" s="264"/>
      <c r="B7997" s="260"/>
      <c r="C7997" s="36"/>
      <c r="D7997" s="36"/>
      <c r="E7997" s="37"/>
      <c r="F7997" s="46" t="s">
        <v>23</v>
      </c>
      <c r="G7997" s="38" t="str">
        <f t="shared" ref="G7997:G8060" si="227">IF(ISNUMBER(F7997),E7997*F7997,"")</f>
        <v/>
      </c>
      <c r="H7997" s="39"/>
      <c r="I7997" s="35"/>
      <c r="J7997" s="34">
        <v>0</v>
      </c>
    </row>
    <row r="7998" spans="1:10" ht="26.25" hidden="1" thickBot="1" x14ac:dyDescent="0.3">
      <c r="A7998" s="264"/>
      <c r="B7998" s="260"/>
      <c r="C7998" s="40" t="s">
        <v>4607</v>
      </c>
      <c r="D7998" s="40" t="s">
        <v>291</v>
      </c>
      <c r="E7998" s="41">
        <v>1</v>
      </c>
      <c r="F7998" s="35">
        <v>6.3555000000000001</v>
      </c>
      <c r="G7998" s="38">
        <f t="shared" si="227"/>
        <v>6.3555000000000001</v>
      </c>
      <c r="H7998" s="43">
        <f>SUM(G7998:G7998)</f>
        <v>6.3555000000000001</v>
      </c>
      <c r="I7998" s="44"/>
      <c r="J7998" s="34">
        <v>0</v>
      </c>
    </row>
    <row r="7999" spans="1:10" ht="15.75" hidden="1" thickBot="1" x14ac:dyDescent="0.3">
      <c r="A7999" s="265"/>
      <c r="B7999" s="261"/>
      <c r="C7999" s="60"/>
      <c r="D7999" s="60"/>
      <c r="E7999" s="79"/>
      <c r="F7999" s="87" t="s">
        <v>23</v>
      </c>
      <c r="G7999" s="88" t="str">
        <f t="shared" si="227"/>
        <v/>
      </c>
      <c r="H7999" s="89"/>
      <c r="I7999" s="35"/>
      <c r="J7999" s="34">
        <v>0</v>
      </c>
    </row>
    <row r="8000" spans="1:10" ht="15.75" hidden="1" thickBot="1" x14ac:dyDescent="0.3">
      <c r="A8000" s="256" t="s">
        <v>1933</v>
      </c>
      <c r="B8000" s="259" t="s">
        <v>3639</v>
      </c>
      <c r="C8000" s="28"/>
      <c r="D8000" s="29" t="s">
        <v>28</v>
      </c>
      <c r="E8000" s="30"/>
      <c r="F8000" s="45" t="s">
        <v>23</v>
      </c>
      <c r="G8000" s="31" t="str">
        <f t="shared" si="227"/>
        <v/>
      </c>
      <c r="H8000" s="32"/>
      <c r="I8000" s="33"/>
      <c r="J8000" s="34">
        <v>0</v>
      </c>
    </row>
    <row r="8001" spans="1:10" ht="15.75" hidden="1" thickBot="1" x14ac:dyDescent="0.3">
      <c r="A8001" s="264"/>
      <c r="B8001" s="260"/>
      <c r="C8001" s="36"/>
      <c r="D8001" s="36"/>
      <c r="E8001" s="37"/>
      <c r="F8001" s="46" t="s">
        <v>23</v>
      </c>
      <c r="G8001" s="38" t="str">
        <f t="shared" si="227"/>
        <v/>
      </c>
      <c r="H8001" s="39"/>
      <c r="I8001" s="35"/>
      <c r="J8001" s="34">
        <v>0</v>
      </c>
    </row>
    <row r="8002" spans="1:10" ht="26.25" hidden="1" thickBot="1" x14ac:dyDescent="0.3">
      <c r="A8002" s="264"/>
      <c r="B8002" s="260"/>
      <c r="C8002" s="40" t="s">
        <v>4608</v>
      </c>
      <c r="D8002" s="40" t="s">
        <v>291</v>
      </c>
      <c r="E8002" s="41">
        <v>1</v>
      </c>
      <c r="F8002" s="35">
        <v>8.0465</v>
      </c>
      <c r="G8002" s="38">
        <f t="shared" si="227"/>
        <v>8.0465</v>
      </c>
      <c r="H8002" s="43">
        <f>SUM(G8002:G8002)</f>
        <v>8.0465</v>
      </c>
      <c r="I8002" s="44"/>
      <c r="J8002" s="34">
        <v>0</v>
      </c>
    </row>
    <row r="8003" spans="1:10" ht="15.75" hidden="1" thickBot="1" x14ac:dyDescent="0.3">
      <c r="A8003" s="265"/>
      <c r="B8003" s="261"/>
      <c r="C8003" s="60"/>
      <c r="D8003" s="60"/>
      <c r="E8003" s="79"/>
      <c r="F8003" s="87" t="s">
        <v>23</v>
      </c>
      <c r="G8003" s="88" t="str">
        <f t="shared" si="227"/>
        <v/>
      </c>
      <c r="H8003" s="89"/>
      <c r="I8003" s="35"/>
      <c r="J8003" s="34">
        <v>0</v>
      </c>
    </row>
    <row r="8004" spans="1:10" ht="15.75" hidden="1" thickBot="1" x14ac:dyDescent="0.3">
      <c r="A8004" s="256" t="s">
        <v>1934</v>
      </c>
      <c r="B8004" s="259" t="s">
        <v>3640</v>
      </c>
      <c r="C8004" s="28"/>
      <c r="D8004" s="29" t="s">
        <v>28</v>
      </c>
      <c r="E8004" s="30"/>
      <c r="F8004" s="45" t="s">
        <v>23</v>
      </c>
      <c r="G8004" s="31" t="str">
        <f t="shared" si="227"/>
        <v/>
      </c>
      <c r="H8004" s="32"/>
      <c r="I8004" s="33"/>
      <c r="J8004" s="34">
        <v>0</v>
      </c>
    </row>
    <row r="8005" spans="1:10" ht="15.75" hidden="1" thickBot="1" x14ac:dyDescent="0.3">
      <c r="A8005" s="264"/>
      <c r="B8005" s="260"/>
      <c r="C8005" s="36"/>
      <c r="D8005" s="36"/>
      <c r="E8005" s="37"/>
      <c r="F8005" s="46" t="s">
        <v>23</v>
      </c>
      <c r="G8005" s="38" t="str">
        <f t="shared" si="227"/>
        <v/>
      </c>
      <c r="H8005" s="39"/>
      <c r="I8005" s="35"/>
      <c r="J8005" s="34">
        <v>0</v>
      </c>
    </row>
    <row r="8006" spans="1:10" ht="15.75" hidden="1" thickBot="1" x14ac:dyDescent="0.3">
      <c r="A8006" s="264"/>
      <c r="B8006" s="260"/>
      <c r="C8006" s="40" t="s">
        <v>4609</v>
      </c>
      <c r="D8006" s="40" t="s">
        <v>291</v>
      </c>
      <c r="E8006" s="41">
        <v>1</v>
      </c>
      <c r="F8006" s="35">
        <v>56.477499999999999</v>
      </c>
      <c r="G8006" s="38">
        <f t="shared" si="227"/>
        <v>56.477499999999999</v>
      </c>
      <c r="H8006" s="43">
        <f>SUM(G8006:G8006)</f>
        <v>56.477499999999999</v>
      </c>
      <c r="I8006" s="44"/>
      <c r="J8006" s="34">
        <v>0</v>
      </c>
    </row>
    <row r="8007" spans="1:10" ht="15.75" hidden="1" thickBot="1" x14ac:dyDescent="0.3">
      <c r="A8007" s="265"/>
      <c r="B8007" s="261"/>
      <c r="C8007" s="60"/>
      <c r="D8007" s="60"/>
      <c r="E8007" s="79"/>
      <c r="F8007" s="87" t="s">
        <v>23</v>
      </c>
      <c r="G8007" s="88" t="str">
        <f t="shared" si="227"/>
        <v/>
      </c>
      <c r="H8007" s="89"/>
      <c r="I8007" s="35"/>
      <c r="J8007" s="34">
        <v>0</v>
      </c>
    </row>
    <row r="8008" spans="1:10" ht="15.75" hidden="1" thickBot="1" x14ac:dyDescent="0.3">
      <c r="A8008" s="256" t="s">
        <v>1935</v>
      </c>
      <c r="B8008" s="259" t="s">
        <v>3641</v>
      </c>
      <c r="C8008" s="28"/>
      <c r="D8008" s="29" t="s">
        <v>28</v>
      </c>
      <c r="E8008" s="30"/>
      <c r="F8008" s="45" t="s">
        <v>23</v>
      </c>
      <c r="G8008" s="31" t="str">
        <f t="shared" si="227"/>
        <v/>
      </c>
      <c r="H8008" s="32"/>
      <c r="I8008" s="33"/>
      <c r="J8008" s="34">
        <v>0</v>
      </c>
    </row>
    <row r="8009" spans="1:10" ht="15.75" hidden="1" thickBot="1" x14ac:dyDescent="0.3">
      <c r="A8009" s="264"/>
      <c r="B8009" s="260"/>
      <c r="C8009" s="36"/>
      <c r="D8009" s="36"/>
      <c r="E8009" s="37"/>
      <c r="F8009" s="46" t="s">
        <v>23</v>
      </c>
      <c r="G8009" s="38" t="str">
        <f t="shared" si="227"/>
        <v/>
      </c>
      <c r="H8009" s="39"/>
      <c r="I8009" s="35"/>
      <c r="J8009" s="34">
        <v>0</v>
      </c>
    </row>
    <row r="8010" spans="1:10" ht="26.25" hidden="1" thickBot="1" x14ac:dyDescent="0.3">
      <c r="A8010" s="264"/>
      <c r="B8010" s="260"/>
      <c r="C8010" s="40" t="s">
        <v>4610</v>
      </c>
      <c r="D8010" s="40" t="s">
        <v>291</v>
      </c>
      <c r="E8010" s="41">
        <v>1</v>
      </c>
      <c r="F8010" s="35">
        <v>8.8539999999999992</v>
      </c>
      <c r="G8010" s="38">
        <f t="shared" si="227"/>
        <v>8.8539999999999992</v>
      </c>
      <c r="H8010" s="43">
        <f>SUM(G8010:G8010)</f>
        <v>8.8539999999999992</v>
      </c>
      <c r="I8010" s="44"/>
      <c r="J8010" s="34">
        <v>0</v>
      </c>
    </row>
    <row r="8011" spans="1:10" ht="15.75" hidden="1" thickBot="1" x14ac:dyDescent="0.3">
      <c r="A8011" s="265"/>
      <c r="B8011" s="261"/>
      <c r="C8011" s="60"/>
      <c r="D8011" s="60"/>
      <c r="E8011" s="79"/>
      <c r="F8011" s="87" t="s">
        <v>23</v>
      </c>
      <c r="G8011" s="88" t="str">
        <f t="shared" si="227"/>
        <v/>
      </c>
      <c r="H8011" s="89"/>
      <c r="I8011" s="35"/>
      <c r="J8011" s="34">
        <v>0</v>
      </c>
    </row>
    <row r="8012" spans="1:10" ht="15.75" hidden="1" thickBot="1" x14ac:dyDescent="0.3">
      <c r="A8012" s="256" t="s">
        <v>1936</v>
      </c>
      <c r="B8012" s="259" t="s">
        <v>3642</v>
      </c>
      <c r="C8012" s="28"/>
      <c r="D8012" s="29" t="s">
        <v>28</v>
      </c>
      <c r="E8012" s="30"/>
      <c r="F8012" s="45" t="s">
        <v>23</v>
      </c>
      <c r="G8012" s="31" t="str">
        <f t="shared" si="227"/>
        <v/>
      </c>
      <c r="H8012" s="32"/>
      <c r="I8012" s="33"/>
      <c r="J8012" s="34">
        <v>0</v>
      </c>
    </row>
    <row r="8013" spans="1:10" ht="15.75" hidden="1" thickBot="1" x14ac:dyDescent="0.3">
      <c r="A8013" s="264"/>
      <c r="B8013" s="260"/>
      <c r="C8013" s="36"/>
      <c r="D8013" s="36"/>
      <c r="E8013" s="37"/>
      <c r="F8013" s="46" t="s">
        <v>23</v>
      </c>
      <c r="G8013" s="38" t="str">
        <f t="shared" si="227"/>
        <v/>
      </c>
      <c r="H8013" s="39"/>
      <c r="I8013" s="35"/>
      <c r="J8013" s="34">
        <v>0</v>
      </c>
    </row>
    <row r="8014" spans="1:10" ht="26.25" hidden="1" thickBot="1" x14ac:dyDescent="0.3">
      <c r="A8014" s="264"/>
      <c r="B8014" s="260"/>
      <c r="C8014" s="40" t="s">
        <v>4611</v>
      </c>
      <c r="D8014" s="40" t="s">
        <v>291</v>
      </c>
      <c r="E8014" s="41">
        <v>1</v>
      </c>
      <c r="F8014" s="35">
        <v>40.583999999999996</v>
      </c>
      <c r="G8014" s="38">
        <f t="shared" si="227"/>
        <v>40.583999999999996</v>
      </c>
      <c r="H8014" s="43">
        <f>SUM(G8014:G8014)</f>
        <v>40.583999999999996</v>
      </c>
      <c r="I8014" s="44"/>
      <c r="J8014" s="34">
        <v>0</v>
      </c>
    </row>
    <row r="8015" spans="1:10" ht="15.75" hidden="1" thickBot="1" x14ac:dyDescent="0.3">
      <c r="A8015" s="265"/>
      <c r="B8015" s="261"/>
      <c r="C8015" s="60"/>
      <c r="D8015" s="60"/>
      <c r="E8015" s="79"/>
      <c r="F8015" s="87" t="s">
        <v>23</v>
      </c>
      <c r="G8015" s="88" t="str">
        <f t="shared" si="227"/>
        <v/>
      </c>
      <c r="H8015" s="89"/>
      <c r="I8015" s="35"/>
      <c r="J8015" s="34">
        <v>0</v>
      </c>
    </row>
    <row r="8016" spans="1:10" ht="15.75" hidden="1" thickBot="1" x14ac:dyDescent="0.3">
      <c r="A8016" s="256" t="s">
        <v>1937</v>
      </c>
      <c r="B8016" s="259" t="s">
        <v>3643</v>
      </c>
      <c r="C8016" s="28"/>
      <c r="D8016" s="29" t="s">
        <v>28</v>
      </c>
      <c r="E8016" s="30"/>
      <c r="F8016" s="45" t="s">
        <v>23</v>
      </c>
      <c r="G8016" s="31" t="str">
        <f t="shared" si="227"/>
        <v/>
      </c>
      <c r="H8016" s="32"/>
      <c r="I8016" s="33"/>
      <c r="J8016" s="34">
        <v>0</v>
      </c>
    </row>
    <row r="8017" spans="1:10" ht="15.75" hidden="1" thickBot="1" x14ac:dyDescent="0.3">
      <c r="A8017" s="264"/>
      <c r="B8017" s="260"/>
      <c r="C8017" s="36"/>
      <c r="D8017" s="36"/>
      <c r="E8017" s="37"/>
      <c r="F8017" s="46" t="s">
        <v>23</v>
      </c>
      <c r="G8017" s="38" t="str">
        <f t="shared" si="227"/>
        <v/>
      </c>
      <c r="H8017" s="39"/>
      <c r="I8017" s="35"/>
      <c r="J8017" s="34">
        <v>0</v>
      </c>
    </row>
    <row r="8018" spans="1:10" ht="26.25" hidden="1" thickBot="1" x14ac:dyDescent="0.3">
      <c r="A8018" s="264"/>
      <c r="B8018" s="260"/>
      <c r="C8018" s="40" t="s">
        <v>4612</v>
      </c>
      <c r="D8018" s="40" t="s">
        <v>291</v>
      </c>
      <c r="E8018" s="41">
        <v>1</v>
      </c>
      <c r="F8018" s="35">
        <v>23.274999999999999</v>
      </c>
      <c r="G8018" s="38">
        <f t="shared" si="227"/>
        <v>23.274999999999999</v>
      </c>
      <c r="H8018" s="43">
        <f>SUM(G8018:G8018)</f>
        <v>23.274999999999999</v>
      </c>
      <c r="I8018" s="44"/>
      <c r="J8018" s="34">
        <v>0</v>
      </c>
    </row>
    <row r="8019" spans="1:10" ht="15.75" hidden="1" thickBot="1" x14ac:dyDescent="0.3">
      <c r="A8019" s="265"/>
      <c r="B8019" s="261"/>
      <c r="C8019" s="60"/>
      <c r="D8019" s="60"/>
      <c r="E8019" s="79"/>
      <c r="F8019" s="87" t="s">
        <v>23</v>
      </c>
      <c r="G8019" s="88" t="str">
        <f t="shared" si="227"/>
        <v/>
      </c>
      <c r="H8019" s="89"/>
      <c r="I8019" s="35"/>
      <c r="J8019" s="34">
        <v>0</v>
      </c>
    </row>
    <row r="8020" spans="1:10" ht="15.75" hidden="1" thickBot="1" x14ac:dyDescent="0.3">
      <c r="A8020" s="256" t="s">
        <v>1938</v>
      </c>
      <c r="B8020" s="259" t="s">
        <v>3644</v>
      </c>
      <c r="C8020" s="28"/>
      <c r="D8020" s="29" t="s">
        <v>28</v>
      </c>
      <c r="E8020" s="30"/>
      <c r="F8020" s="45" t="s">
        <v>23</v>
      </c>
      <c r="G8020" s="31" t="str">
        <f t="shared" si="227"/>
        <v/>
      </c>
      <c r="H8020" s="32"/>
      <c r="I8020" s="33"/>
      <c r="J8020" s="34">
        <v>0</v>
      </c>
    </row>
    <row r="8021" spans="1:10" ht="15.75" hidden="1" thickBot="1" x14ac:dyDescent="0.3">
      <c r="A8021" s="264"/>
      <c r="B8021" s="260"/>
      <c r="C8021" s="36"/>
      <c r="D8021" s="36"/>
      <c r="E8021" s="37"/>
      <c r="F8021" s="46" t="s">
        <v>23</v>
      </c>
      <c r="G8021" s="38" t="str">
        <f t="shared" si="227"/>
        <v/>
      </c>
      <c r="H8021" s="39"/>
      <c r="I8021" s="35"/>
      <c r="J8021" s="34">
        <v>0</v>
      </c>
    </row>
    <row r="8022" spans="1:10" ht="15.75" hidden="1" thickBot="1" x14ac:dyDescent="0.3">
      <c r="A8022" s="264"/>
      <c r="B8022" s="260"/>
      <c r="C8022" s="40" t="s">
        <v>4613</v>
      </c>
      <c r="D8022" s="40" t="s">
        <v>291</v>
      </c>
      <c r="E8022" s="41">
        <v>1</v>
      </c>
      <c r="F8022" s="35">
        <v>12.444999999999999</v>
      </c>
      <c r="G8022" s="38">
        <f t="shared" si="227"/>
        <v>12.444999999999999</v>
      </c>
      <c r="H8022" s="43">
        <f>SUM(G8022:G8022)</f>
        <v>12.444999999999999</v>
      </c>
      <c r="I8022" s="44"/>
      <c r="J8022" s="34">
        <v>0</v>
      </c>
    </row>
    <row r="8023" spans="1:10" ht="15.75" hidden="1" thickBot="1" x14ac:dyDescent="0.3">
      <c r="A8023" s="265"/>
      <c r="B8023" s="261"/>
      <c r="C8023" s="60"/>
      <c r="D8023" s="60"/>
      <c r="E8023" s="79"/>
      <c r="F8023" s="87" t="s">
        <v>23</v>
      </c>
      <c r="G8023" s="88" t="str">
        <f t="shared" si="227"/>
        <v/>
      </c>
      <c r="H8023" s="89"/>
      <c r="I8023" s="35"/>
      <c r="J8023" s="34">
        <v>0</v>
      </c>
    </row>
    <row r="8024" spans="1:10" ht="15.75" hidden="1" thickBot="1" x14ac:dyDescent="0.3">
      <c r="A8024" s="256" t="s">
        <v>1939</v>
      </c>
      <c r="B8024" s="259" t="s">
        <v>3645</v>
      </c>
      <c r="C8024" s="28"/>
      <c r="D8024" s="29" t="s">
        <v>28</v>
      </c>
      <c r="E8024" s="30"/>
      <c r="F8024" s="45" t="s">
        <v>23</v>
      </c>
      <c r="G8024" s="31" t="str">
        <f t="shared" si="227"/>
        <v/>
      </c>
      <c r="H8024" s="32"/>
      <c r="I8024" s="33"/>
      <c r="J8024" s="34">
        <v>0</v>
      </c>
    </row>
    <row r="8025" spans="1:10" ht="15.75" hidden="1" thickBot="1" x14ac:dyDescent="0.3">
      <c r="A8025" s="264"/>
      <c r="B8025" s="260"/>
      <c r="C8025" s="36"/>
      <c r="D8025" s="36"/>
      <c r="E8025" s="37"/>
      <c r="F8025" s="46" t="s">
        <v>23</v>
      </c>
      <c r="G8025" s="38" t="str">
        <f t="shared" si="227"/>
        <v/>
      </c>
      <c r="H8025" s="39"/>
      <c r="I8025" s="35"/>
      <c r="J8025" s="34">
        <v>0</v>
      </c>
    </row>
    <row r="8026" spans="1:10" ht="15.75" hidden="1" thickBot="1" x14ac:dyDescent="0.3">
      <c r="A8026" s="264"/>
      <c r="B8026" s="260"/>
      <c r="C8026" s="40" t="s">
        <v>4614</v>
      </c>
      <c r="D8026" s="40" t="s">
        <v>291</v>
      </c>
      <c r="E8026" s="41">
        <v>1</v>
      </c>
      <c r="F8026" s="35">
        <v>42.408000000000001</v>
      </c>
      <c r="G8026" s="38">
        <f t="shared" si="227"/>
        <v>42.408000000000001</v>
      </c>
      <c r="H8026" s="43">
        <f>SUM(G8026:G8026)</f>
        <v>42.408000000000001</v>
      </c>
      <c r="I8026" s="44"/>
      <c r="J8026" s="34">
        <v>0</v>
      </c>
    </row>
    <row r="8027" spans="1:10" ht="15.75" hidden="1" thickBot="1" x14ac:dyDescent="0.3">
      <c r="A8027" s="265"/>
      <c r="B8027" s="261"/>
      <c r="C8027" s="60"/>
      <c r="D8027" s="60"/>
      <c r="E8027" s="79"/>
      <c r="F8027" s="87" t="s">
        <v>23</v>
      </c>
      <c r="G8027" s="88" t="str">
        <f t="shared" si="227"/>
        <v/>
      </c>
      <c r="H8027" s="89"/>
      <c r="I8027" s="35"/>
      <c r="J8027" s="34">
        <v>0</v>
      </c>
    </row>
    <row r="8028" spans="1:10" ht="15.75" hidden="1" thickBot="1" x14ac:dyDescent="0.3">
      <c r="A8028" s="256" t="s">
        <v>1940</v>
      </c>
      <c r="B8028" s="259" t="s">
        <v>3646</v>
      </c>
      <c r="C8028" s="28"/>
      <c r="D8028" s="29" t="s">
        <v>28</v>
      </c>
      <c r="E8028" s="30"/>
      <c r="F8028" s="45" t="s">
        <v>23</v>
      </c>
      <c r="G8028" s="31" t="str">
        <f t="shared" si="227"/>
        <v/>
      </c>
      <c r="H8028" s="32"/>
      <c r="I8028" s="33"/>
      <c r="J8028" s="34">
        <v>0</v>
      </c>
    </row>
    <row r="8029" spans="1:10" ht="15.75" hidden="1" thickBot="1" x14ac:dyDescent="0.3">
      <c r="A8029" s="264"/>
      <c r="B8029" s="260"/>
      <c r="C8029" s="36"/>
      <c r="D8029" s="36"/>
      <c r="E8029" s="37"/>
      <c r="F8029" s="46" t="s">
        <v>23</v>
      </c>
      <c r="G8029" s="38" t="str">
        <f t="shared" si="227"/>
        <v/>
      </c>
      <c r="H8029" s="39"/>
      <c r="I8029" s="35"/>
      <c r="J8029" s="34">
        <v>0</v>
      </c>
    </row>
    <row r="8030" spans="1:10" ht="26.25" hidden="1" thickBot="1" x14ac:dyDescent="0.3">
      <c r="A8030" s="264"/>
      <c r="B8030" s="260"/>
      <c r="C8030" s="40" t="s">
        <v>4615</v>
      </c>
      <c r="D8030" s="40" t="s">
        <v>291</v>
      </c>
      <c r="E8030" s="41">
        <v>1</v>
      </c>
      <c r="F8030" s="35">
        <v>39.7575</v>
      </c>
      <c r="G8030" s="38">
        <f t="shared" si="227"/>
        <v>39.7575</v>
      </c>
      <c r="H8030" s="43">
        <f>SUM(G8030:G8030)</f>
        <v>39.7575</v>
      </c>
      <c r="I8030" s="44"/>
      <c r="J8030" s="34">
        <v>0</v>
      </c>
    </row>
    <row r="8031" spans="1:10" ht="15.75" hidden="1" thickBot="1" x14ac:dyDescent="0.3">
      <c r="A8031" s="265"/>
      <c r="B8031" s="261"/>
      <c r="C8031" s="60"/>
      <c r="D8031" s="60"/>
      <c r="E8031" s="79"/>
      <c r="F8031" s="87" t="s">
        <v>23</v>
      </c>
      <c r="G8031" s="88" t="str">
        <f t="shared" si="227"/>
        <v/>
      </c>
      <c r="H8031" s="89"/>
      <c r="I8031" s="35"/>
      <c r="J8031" s="34">
        <v>0</v>
      </c>
    </row>
    <row r="8032" spans="1:10" ht="15.75" hidden="1" thickBot="1" x14ac:dyDescent="0.3">
      <c r="A8032" s="256" t="s">
        <v>1941</v>
      </c>
      <c r="B8032" s="259" t="s">
        <v>3647</v>
      </c>
      <c r="C8032" s="28"/>
      <c r="D8032" s="29" t="s">
        <v>28</v>
      </c>
      <c r="E8032" s="30"/>
      <c r="F8032" s="45" t="s">
        <v>23</v>
      </c>
      <c r="G8032" s="31" t="str">
        <f t="shared" si="227"/>
        <v/>
      </c>
      <c r="H8032" s="32"/>
      <c r="I8032" s="33"/>
      <c r="J8032" s="34">
        <v>0</v>
      </c>
    </row>
    <row r="8033" spans="1:10" ht="15.75" hidden="1" thickBot="1" x14ac:dyDescent="0.3">
      <c r="A8033" s="264"/>
      <c r="B8033" s="260"/>
      <c r="C8033" s="36"/>
      <c r="D8033" s="36"/>
      <c r="E8033" s="37"/>
      <c r="F8033" s="46" t="s">
        <v>23</v>
      </c>
      <c r="G8033" s="38" t="str">
        <f t="shared" si="227"/>
        <v/>
      </c>
      <c r="H8033" s="39"/>
      <c r="I8033" s="35"/>
      <c r="J8033" s="34">
        <v>0</v>
      </c>
    </row>
    <row r="8034" spans="1:10" ht="26.25" hidden="1" thickBot="1" x14ac:dyDescent="0.3">
      <c r="A8034" s="264"/>
      <c r="B8034" s="260"/>
      <c r="C8034" s="40" t="s">
        <v>4616</v>
      </c>
      <c r="D8034" s="40" t="s">
        <v>291</v>
      </c>
      <c r="E8034" s="41">
        <v>1</v>
      </c>
      <c r="F8034" s="35">
        <v>19.674499999999998</v>
      </c>
      <c r="G8034" s="38">
        <f t="shared" si="227"/>
        <v>19.674499999999998</v>
      </c>
      <c r="H8034" s="43">
        <f>SUM(G8034:G8034)</f>
        <v>19.674499999999998</v>
      </c>
      <c r="I8034" s="44"/>
      <c r="J8034" s="34">
        <v>0</v>
      </c>
    </row>
    <row r="8035" spans="1:10" ht="15.75" hidden="1" thickBot="1" x14ac:dyDescent="0.3">
      <c r="A8035" s="265"/>
      <c r="B8035" s="261"/>
      <c r="C8035" s="60"/>
      <c r="D8035" s="60"/>
      <c r="E8035" s="79"/>
      <c r="F8035" s="87" t="s">
        <v>23</v>
      </c>
      <c r="G8035" s="88" t="str">
        <f t="shared" si="227"/>
        <v/>
      </c>
      <c r="H8035" s="89"/>
      <c r="I8035" s="35"/>
      <c r="J8035" s="34">
        <v>0</v>
      </c>
    </row>
    <row r="8036" spans="1:10" ht="15.75" hidden="1" thickBot="1" x14ac:dyDescent="0.3">
      <c r="A8036" s="256" t="s">
        <v>1942</v>
      </c>
      <c r="B8036" s="259" t="s">
        <v>3648</v>
      </c>
      <c r="C8036" s="28"/>
      <c r="D8036" s="29" t="s">
        <v>28</v>
      </c>
      <c r="E8036" s="30"/>
      <c r="F8036" s="45" t="s">
        <v>23</v>
      </c>
      <c r="G8036" s="31" t="str">
        <f t="shared" si="227"/>
        <v/>
      </c>
      <c r="H8036" s="32"/>
      <c r="I8036" s="33"/>
      <c r="J8036" s="34">
        <v>0</v>
      </c>
    </row>
    <row r="8037" spans="1:10" ht="15.75" hidden="1" thickBot="1" x14ac:dyDescent="0.3">
      <c r="A8037" s="264"/>
      <c r="B8037" s="260"/>
      <c r="C8037" s="36"/>
      <c r="D8037" s="36"/>
      <c r="E8037" s="37"/>
      <c r="F8037" s="46" t="s">
        <v>23</v>
      </c>
      <c r="G8037" s="38" t="str">
        <f t="shared" si="227"/>
        <v/>
      </c>
      <c r="H8037" s="39"/>
      <c r="I8037" s="35"/>
      <c r="J8037" s="34">
        <v>0</v>
      </c>
    </row>
    <row r="8038" spans="1:10" ht="26.25" hidden="1" thickBot="1" x14ac:dyDescent="0.3">
      <c r="A8038" s="264"/>
      <c r="B8038" s="260"/>
      <c r="C8038" s="40" t="s">
        <v>4617</v>
      </c>
      <c r="D8038" s="40" t="s">
        <v>291</v>
      </c>
      <c r="E8038" s="41">
        <v>1</v>
      </c>
      <c r="F8038" s="35">
        <v>10.079499999999999</v>
      </c>
      <c r="G8038" s="38">
        <f t="shared" si="227"/>
        <v>10.079499999999999</v>
      </c>
      <c r="H8038" s="43">
        <f>SUM(G8038:G8038)</f>
        <v>10.079499999999999</v>
      </c>
      <c r="I8038" s="44"/>
      <c r="J8038" s="34">
        <v>0</v>
      </c>
    </row>
    <row r="8039" spans="1:10" ht="15.75" hidden="1" thickBot="1" x14ac:dyDescent="0.3">
      <c r="A8039" s="265"/>
      <c r="B8039" s="261"/>
      <c r="C8039" s="60"/>
      <c r="D8039" s="60"/>
      <c r="E8039" s="79"/>
      <c r="F8039" s="87" t="s">
        <v>23</v>
      </c>
      <c r="G8039" s="88" t="str">
        <f t="shared" si="227"/>
        <v/>
      </c>
      <c r="H8039" s="89"/>
      <c r="I8039" s="35"/>
      <c r="J8039" s="34">
        <v>0</v>
      </c>
    </row>
    <row r="8040" spans="1:10" ht="15.75" hidden="1" thickBot="1" x14ac:dyDescent="0.3">
      <c r="A8040" s="256" t="s">
        <v>1943</v>
      </c>
      <c r="B8040" s="259" t="s">
        <v>3649</v>
      </c>
      <c r="C8040" s="28"/>
      <c r="D8040" s="29" t="s">
        <v>28</v>
      </c>
      <c r="E8040" s="30"/>
      <c r="F8040" s="45" t="s">
        <v>23</v>
      </c>
      <c r="G8040" s="31" t="str">
        <f t="shared" si="227"/>
        <v/>
      </c>
      <c r="H8040" s="32"/>
      <c r="I8040" s="33"/>
      <c r="J8040" s="34">
        <v>0</v>
      </c>
    </row>
    <row r="8041" spans="1:10" ht="15.75" hidden="1" thickBot="1" x14ac:dyDescent="0.3">
      <c r="A8041" s="264"/>
      <c r="B8041" s="260"/>
      <c r="C8041" s="36"/>
      <c r="D8041" s="36"/>
      <c r="E8041" s="37"/>
      <c r="F8041" s="46" t="s">
        <v>23</v>
      </c>
      <c r="G8041" s="38" t="str">
        <f t="shared" si="227"/>
        <v/>
      </c>
      <c r="H8041" s="39"/>
      <c r="I8041" s="35"/>
      <c r="J8041" s="34">
        <v>0</v>
      </c>
    </row>
    <row r="8042" spans="1:10" ht="26.25" hidden="1" thickBot="1" x14ac:dyDescent="0.3">
      <c r="A8042" s="264"/>
      <c r="B8042" s="260"/>
      <c r="C8042" s="40" t="s">
        <v>4618</v>
      </c>
      <c r="D8042" s="40" t="s">
        <v>291</v>
      </c>
      <c r="E8042" s="41">
        <v>1</v>
      </c>
      <c r="F8042" s="35">
        <v>31.7775</v>
      </c>
      <c r="G8042" s="38">
        <f t="shared" si="227"/>
        <v>31.7775</v>
      </c>
      <c r="H8042" s="43">
        <f>SUM(G8042:G8042)</f>
        <v>31.7775</v>
      </c>
      <c r="I8042" s="44"/>
      <c r="J8042" s="34">
        <v>0</v>
      </c>
    </row>
    <row r="8043" spans="1:10" ht="15.75" hidden="1" thickBot="1" x14ac:dyDescent="0.3">
      <c r="A8043" s="265"/>
      <c r="B8043" s="261"/>
      <c r="C8043" s="60"/>
      <c r="D8043" s="60"/>
      <c r="E8043" s="79"/>
      <c r="F8043" s="87" t="s">
        <v>23</v>
      </c>
      <c r="G8043" s="88" t="str">
        <f t="shared" si="227"/>
        <v/>
      </c>
      <c r="H8043" s="89"/>
      <c r="I8043" s="35"/>
      <c r="J8043" s="34">
        <v>0</v>
      </c>
    </row>
    <row r="8044" spans="1:10" ht="15.75" hidden="1" thickBot="1" x14ac:dyDescent="0.3">
      <c r="A8044" s="256" t="s">
        <v>1944</v>
      </c>
      <c r="B8044" s="259" t="s">
        <v>3650</v>
      </c>
      <c r="C8044" s="28"/>
      <c r="D8044" s="29" t="s">
        <v>28</v>
      </c>
      <c r="E8044" s="30"/>
      <c r="F8044" s="45" t="s">
        <v>23</v>
      </c>
      <c r="G8044" s="31" t="str">
        <f t="shared" si="227"/>
        <v/>
      </c>
      <c r="H8044" s="32"/>
      <c r="I8044" s="33"/>
      <c r="J8044" s="34">
        <v>0</v>
      </c>
    </row>
    <row r="8045" spans="1:10" ht="15.75" hidden="1" thickBot="1" x14ac:dyDescent="0.3">
      <c r="A8045" s="264"/>
      <c r="B8045" s="260"/>
      <c r="C8045" s="36"/>
      <c r="D8045" s="36"/>
      <c r="E8045" s="37"/>
      <c r="F8045" s="46" t="s">
        <v>23</v>
      </c>
      <c r="G8045" s="38" t="str">
        <f t="shared" si="227"/>
        <v/>
      </c>
      <c r="H8045" s="39"/>
      <c r="I8045" s="35"/>
      <c r="J8045" s="34">
        <v>0</v>
      </c>
    </row>
    <row r="8046" spans="1:10" ht="15.75" hidden="1" thickBot="1" x14ac:dyDescent="0.3">
      <c r="A8046" s="264"/>
      <c r="B8046" s="260"/>
      <c r="C8046" s="40" t="s">
        <v>4619</v>
      </c>
      <c r="D8046" s="40" t="s">
        <v>291</v>
      </c>
      <c r="E8046" s="41">
        <v>1</v>
      </c>
      <c r="F8046" s="35">
        <v>72.513499999999993</v>
      </c>
      <c r="G8046" s="38">
        <f t="shared" si="227"/>
        <v>72.513499999999993</v>
      </c>
      <c r="H8046" s="43">
        <f>SUM(G8046:G8046)</f>
        <v>72.513499999999993</v>
      </c>
      <c r="I8046" s="44"/>
      <c r="J8046" s="34">
        <v>0</v>
      </c>
    </row>
    <row r="8047" spans="1:10" ht="15.75" hidden="1" thickBot="1" x14ac:dyDescent="0.3">
      <c r="A8047" s="265"/>
      <c r="B8047" s="261"/>
      <c r="C8047" s="60"/>
      <c r="D8047" s="60"/>
      <c r="E8047" s="79"/>
      <c r="F8047" s="87" t="s">
        <v>23</v>
      </c>
      <c r="G8047" s="88" t="str">
        <f t="shared" si="227"/>
        <v/>
      </c>
      <c r="H8047" s="89"/>
      <c r="I8047" s="35"/>
      <c r="J8047" s="34">
        <v>0</v>
      </c>
    </row>
    <row r="8048" spans="1:10" ht="15.75" hidden="1" thickBot="1" x14ac:dyDescent="0.3">
      <c r="A8048" s="256" t="s">
        <v>1945</v>
      </c>
      <c r="B8048" s="259" t="s">
        <v>3651</v>
      </c>
      <c r="C8048" s="28"/>
      <c r="D8048" s="29" t="s">
        <v>28</v>
      </c>
      <c r="E8048" s="30"/>
      <c r="F8048" s="45" t="s">
        <v>23</v>
      </c>
      <c r="G8048" s="31" t="str">
        <f t="shared" si="227"/>
        <v/>
      </c>
      <c r="H8048" s="32"/>
      <c r="I8048" s="33"/>
      <c r="J8048" s="34">
        <v>0</v>
      </c>
    </row>
    <row r="8049" spans="1:10" ht="15.75" hidden="1" thickBot="1" x14ac:dyDescent="0.3">
      <c r="A8049" s="264"/>
      <c r="B8049" s="260"/>
      <c r="C8049" s="36"/>
      <c r="D8049" s="36"/>
      <c r="E8049" s="37"/>
      <c r="F8049" s="46" t="s">
        <v>23</v>
      </c>
      <c r="G8049" s="38" t="str">
        <f t="shared" si="227"/>
        <v/>
      </c>
      <c r="H8049" s="39"/>
      <c r="I8049" s="35"/>
      <c r="J8049" s="34">
        <v>0</v>
      </c>
    </row>
    <row r="8050" spans="1:10" ht="26.25" hidden="1" thickBot="1" x14ac:dyDescent="0.3">
      <c r="A8050" s="264"/>
      <c r="B8050" s="260"/>
      <c r="C8050" s="40" t="s">
        <v>4620</v>
      </c>
      <c r="D8050" s="40" t="s">
        <v>291</v>
      </c>
      <c r="E8050" s="41">
        <v>1</v>
      </c>
      <c r="F8050" s="35">
        <v>177.07999999999998</v>
      </c>
      <c r="G8050" s="38">
        <f t="shared" si="227"/>
        <v>177.07999999999998</v>
      </c>
      <c r="H8050" s="43">
        <f>SUM(G8050:G8050)</f>
        <v>177.07999999999998</v>
      </c>
      <c r="I8050" s="44"/>
      <c r="J8050" s="34">
        <v>0</v>
      </c>
    </row>
    <row r="8051" spans="1:10" ht="15.75" hidden="1" thickBot="1" x14ac:dyDescent="0.3">
      <c r="A8051" s="265"/>
      <c r="B8051" s="261"/>
      <c r="C8051" s="60"/>
      <c r="D8051" s="60"/>
      <c r="E8051" s="79"/>
      <c r="F8051" s="87" t="s">
        <v>23</v>
      </c>
      <c r="G8051" s="88" t="str">
        <f t="shared" si="227"/>
        <v/>
      </c>
      <c r="H8051" s="89"/>
      <c r="I8051" s="35"/>
      <c r="J8051" s="34">
        <v>0</v>
      </c>
    </row>
    <row r="8052" spans="1:10" ht="15.75" hidden="1" thickBot="1" x14ac:dyDescent="0.3">
      <c r="A8052" s="256" t="s">
        <v>1946</v>
      </c>
      <c r="B8052" s="259" t="s">
        <v>3652</v>
      </c>
      <c r="C8052" s="28"/>
      <c r="D8052" s="29" t="s">
        <v>28</v>
      </c>
      <c r="E8052" s="30"/>
      <c r="F8052" s="45" t="s">
        <v>23</v>
      </c>
      <c r="G8052" s="31" t="str">
        <f t="shared" si="227"/>
        <v/>
      </c>
      <c r="H8052" s="32"/>
      <c r="I8052" s="33"/>
      <c r="J8052" s="34">
        <v>0</v>
      </c>
    </row>
    <row r="8053" spans="1:10" ht="15.75" hidden="1" thickBot="1" x14ac:dyDescent="0.3">
      <c r="A8053" s="264"/>
      <c r="B8053" s="260"/>
      <c r="C8053" s="36"/>
      <c r="D8053" s="36"/>
      <c r="E8053" s="37"/>
      <c r="F8053" s="46" t="s">
        <v>23</v>
      </c>
      <c r="G8053" s="38" t="str">
        <f t="shared" si="227"/>
        <v/>
      </c>
      <c r="H8053" s="39"/>
      <c r="I8053" s="35"/>
      <c r="J8053" s="34">
        <v>0</v>
      </c>
    </row>
    <row r="8054" spans="1:10" ht="15.75" hidden="1" thickBot="1" x14ac:dyDescent="0.3">
      <c r="A8054" s="264"/>
      <c r="B8054" s="260"/>
      <c r="C8054" s="40" t="s">
        <v>4621</v>
      </c>
      <c r="D8054" s="40" t="s">
        <v>291</v>
      </c>
      <c r="E8054" s="41">
        <v>1</v>
      </c>
      <c r="F8054" s="35">
        <v>112.32799999999999</v>
      </c>
      <c r="G8054" s="38">
        <f t="shared" si="227"/>
        <v>112.32799999999999</v>
      </c>
      <c r="H8054" s="43">
        <f>SUM(G8054:G8054)</f>
        <v>112.32799999999999</v>
      </c>
      <c r="I8054" s="44"/>
      <c r="J8054" s="34">
        <v>0</v>
      </c>
    </row>
    <row r="8055" spans="1:10" ht="15.75" hidden="1" thickBot="1" x14ac:dyDescent="0.3">
      <c r="A8055" s="265"/>
      <c r="B8055" s="261"/>
      <c r="C8055" s="60"/>
      <c r="D8055" s="60"/>
      <c r="E8055" s="79"/>
      <c r="F8055" s="87" t="s">
        <v>23</v>
      </c>
      <c r="G8055" s="88" t="str">
        <f t="shared" si="227"/>
        <v/>
      </c>
      <c r="H8055" s="89"/>
      <c r="I8055" s="35"/>
      <c r="J8055" s="34">
        <v>0</v>
      </c>
    </row>
    <row r="8056" spans="1:10" ht="15.75" hidden="1" thickBot="1" x14ac:dyDescent="0.3">
      <c r="A8056" s="256" t="s">
        <v>1947</v>
      </c>
      <c r="B8056" s="259" t="s">
        <v>3653</v>
      </c>
      <c r="C8056" s="28"/>
      <c r="D8056" s="29" t="s">
        <v>28</v>
      </c>
      <c r="E8056" s="30"/>
      <c r="F8056" s="45" t="s">
        <v>23</v>
      </c>
      <c r="G8056" s="31" t="str">
        <f t="shared" si="227"/>
        <v/>
      </c>
      <c r="H8056" s="32"/>
      <c r="I8056" s="33"/>
      <c r="J8056" s="34">
        <v>0</v>
      </c>
    </row>
    <row r="8057" spans="1:10" ht="15.75" hidden="1" thickBot="1" x14ac:dyDescent="0.3">
      <c r="A8057" s="264"/>
      <c r="B8057" s="260"/>
      <c r="C8057" s="36"/>
      <c r="D8057" s="36"/>
      <c r="E8057" s="37"/>
      <c r="F8057" s="46" t="s">
        <v>23</v>
      </c>
      <c r="G8057" s="38" t="str">
        <f t="shared" si="227"/>
        <v/>
      </c>
      <c r="H8057" s="39"/>
      <c r="I8057" s="35"/>
      <c r="J8057" s="34">
        <v>0</v>
      </c>
    </row>
    <row r="8058" spans="1:10" ht="26.25" hidden="1" thickBot="1" x14ac:dyDescent="0.3">
      <c r="A8058" s="264"/>
      <c r="B8058" s="260"/>
      <c r="C8058" s="40" t="s">
        <v>4622</v>
      </c>
      <c r="D8058" s="40" t="s">
        <v>291</v>
      </c>
      <c r="E8058" s="41">
        <v>1</v>
      </c>
      <c r="F8058" s="35">
        <v>58.444000000000003</v>
      </c>
      <c r="G8058" s="38">
        <f t="shared" si="227"/>
        <v>58.444000000000003</v>
      </c>
      <c r="H8058" s="43">
        <f>SUM(G8058:G8058)</f>
        <v>58.444000000000003</v>
      </c>
      <c r="I8058" s="44"/>
      <c r="J8058" s="34">
        <v>0</v>
      </c>
    </row>
    <row r="8059" spans="1:10" ht="15.75" hidden="1" thickBot="1" x14ac:dyDescent="0.3">
      <c r="A8059" s="265"/>
      <c r="B8059" s="261"/>
      <c r="C8059" s="60"/>
      <c r="D8059" s="60"/>
      <c r="E8059" s="79"/>
      <c r="F8059" s="87" t="s">
        <v>23</v>
      </c>
      <c r="G8059" s="88" t="str">
        <f t="shared" si="227"/>
        <v/>
      </c>
      <c r="H8059" s="89"/>
      <c r="I8059" s="35"/>
      <c r="J8059" s="34">
        <v>0</v>
      </c>
    </row>
    <row r="8060" spans="1:10" ht="15.75" hidden="1" thickBot="1" x14ac:dyDescent="0.3">
      <c r="A8060" s="256" t="s">
        <v>1948</v>
      </c>
      <c r="B8060" s="259" t="s">
        <v>3654</v>
      </c>
      <c r="C8060" s="28"/>
      <c r="D8060" s="29" t="s">
        <v>28</v>
      </c>
      <c r="E8060" s="30"/>
      <c r="F8060" s="45" t="s">
        <v>23</v>
      </c>
      <c r="G8060" s="31" t="str">
        <f t="shared" si="227"/>
        <v/>
      </c>
      <c r="H8060" s="32"/>
      <c r="I8060" s="33"/>
      <c r="J8060" s="34">
        <v>0</v>
      </c>
    </row>
    <row r="8061" spans="1:10" ht="15.75" hidden="1" thickBot="1" x14ac:dyDescent="0.3">
      <c r="A8061" s="264"/>
      <c r="B8061" s="260"/>
      <c r="C8061" s="36"/>
      <c r="D8061" s="36"/>
      <c r="E8061" s="37"/>
      <c r="F8061" s="46" t="s">
        <v>23</v>
      </c>
      <c r="G8061" s="38" t="str">
        <f t="shared" ref="G8061:G8124" si="228">IF(ISNUMBER(F8061),E8061*F8061,"")</f>
        <v/>
      </c>
      <c r="H8061" s="39"/>
      <c r="I8061" s="35"/>
      <c r="J8061" s="34">
        <v>0</v>
      </c>
    </row>
    <row r="8062" spans="1:10" ht="26.25" hidden="1" thickBot="1" x14ac:dyDescent="0.3">
      <c r="A8062" s="264"/>
      <c r="B8062" s="260"/>
      <c r="C8062" s="40" t="s">
        <v>4623</v>
      </c>
      <c r="D8062" s="40" t="s">
        <v>291</v>
      </c>
      <c r="E8062" s="41">
        <v>1</v>
      </c>
      <c r="F8062" s="35">
        <v>63.478999999999992</v>
      </c>
      <c r="G8062" s="38">
        <f t="shared" si="228"/>
        <v>63.478999999999992</v>
      </c>
      <c r="H8062" s="43">
        <f>SUM(G8062:G8062)</f>
        <v>63.478999999999992</v>
      </c>
      <c r="I8062" s="44"/>
      <c r="J8062" s="34">
        <v>0</v>
      </c>
    </row>
    <row r="8063" spans="1:10" ht="15.75" hidden="1" thickBot="1" x14ac:dyDescent="0.3">
      <c r="A8063" s="265"/>
      <c r="B8063" s="261"/>
      <c r="C8063" s="60"/>
      <c r="D8063" s="60"/>
      <c r="E8063" s="79"/>
      <c r="F8063" s="87" t="s">
        <v>23</v>
      </c>
      <c r="G8063" s="88" t="str">
        <f t="shared" si="228"/>
        <v/>
      </c>
      <c r="H8063" s="89"/>
      <c r="I8063" s="35"/>
      <c r="J8063" s="34">
        <v>0</v>
      </c>
    </row>
    <row r="8064" spans="1:10" ht="15.75" hidden="1" thickBot="1" x14ac:dyDescent="0.3">
      <c r="A8064" s="256" t="s">
        <v>1949</v>
      </c>
      <c r="B8064" s="259" t="s">
        <v>3655</v>
      </c>
      <c r="C8064" s="28"/>
      <c r="D8064" s="29" t="s">
        <v>28</v>
      </c>
      <c r="E8064" s="30"/>
      <c r="F8064" s="45" t="s">
        <v>23</v>
      </c>
      <c r="G8064" s="31" t="str">
        <f t="shared" si="228"/>
        <v/>
      </c>
      <c r="H8064" s="32"/>
      <c r="I8064" s="33"/>
      <c r="J8064" s="34">
        <v>0</v>
      </c>
    </row>
    <row r="8065" spans="1:10" ht="15.75" hidden="1" thickBot="1" x14ac:dyDescent="0.3">
      <c r="A8065" s="264"/>
      <c r="B8065" s="260"/>
      <c r="C8065" s="36"/>
      <c r="D8065" s="36"/>
      <c r="E8065" s="37"/>
      <c r="F8065" s="46" t="s">
        <v>23</v>
      </c>
      <c r="G8065" s="38" t="str">
        <f t="shared" si="228"/>
        <v/>
      </c>
      <c r="H8065" s="39"/>
      <c r="I8065" s="35"/>
      <c r="J8065" s="34">
        <v>0</v>
      </c>
    </row>
    <row r="8066" spans="1:10" ht="26.25" hidden="1" thickBot="1" x14ac:dyDescent="0.3">
      <c r="A8066" s="264"/>
      <c r="B8066" s="260"/>
      <c r="C8066" s="40" t="s">
        <v>4624</v>
      </c>
      <c r="D8066" s="40" t="s">
        <v>291</v>
      </c>
      <c r="E8066" s="41">
        <v>1</v>
      </c>
      <c r="F8066" s="35">
        <v>147.62049999999999</v>
      </c>
      <c r="G8066" s="38">
        <f t="shared" si="228"/>
        <v>147.62049999999999</v>
      </c>
      <c r="H8066" s="43">
        <f>SUM(G8066:G8066)</f>
        <v>147.62049999999999</v>
      </c>
      <c r="I8066" s="44"/>
      <c r="J8066" s="34">
        <v>0</v>
      </c>
    </row>
    <row r="8067" spans="1:10" ht="15.75" hidden="1" thickBot="1" x14ac:dyDescent="0.3">
      <c r="A8067" s="265"/>
      <c r="B8067" s="261"/>
      <c r="C8067" s="60"/>
      <c r="D8067" s="60"/>
      <c r="E8067" s="79"/>
      <c r="F8067" s="87" t="s">
        <v>23</v>
      </c>
      <c r="G8067" s="88" t="str">
        <f t="shared" si="228"/>
        <v/>
      </c>
      <c r="H8067" s="89"/>
      <c r="I8067" s="35"/>
      <c r="J8067" s="34">
        <v>0</v>
      </c>
    </row>
    <row r="8068" spans="1:10" ht="15.75" hidden="1" thickBot="1" x14ac:dyDescent="0.3">
      <c r="A8068" s="256" t="s">
        <v>1950</v>
      </c>
      <c r="B8068" s="259" t="s">
        <v>3656</v>
      </c>
      <c r="C8068" s="28"/>
      <c r="D8068" s="29" t="s">
        <v>28</v>
      </c>
      <c r="E8068" s="30"/>
      <c r="F8068" s="45" t="s">
        <v>23</v>
      </c>
      <c r="G8068" s="31" t="str">
        <f t="shared" si="228"/>
        <v/>
      </c>
      <c r="H8068" s="32"/>
      <c r="I8068" s="33"/>
      <c r="J8068" s="34">
        <v>0</v>
      </c>
    </row>
    <row r="8069" spans="1:10" ht="15.75" hidden="1" thickBot="1" x14ac:dyDescent="0.3">
      <c r="A8069" s="264"/>
      <c r="B8069" s="260"/>
      <c r="C8069" s="36"/>
      <c r="D8069" s="36"/>
      <c r="E8069" s="37"/>
      <c r="F8069" s="46" t="s">
        <v>23</v>
      </c>
      <c r="G8069" s="38" t="str">
        <f t="shared" si="228"/>
        <v/>
      </c>
      <c r="H8069" s="39"/>
      <c r="I8069" s="35"/>
      <c r="J8069" s="34">
        <v>0</v>
      </c>
    </row>
    <row r="8070" spans="1:10" ht="15.75" hidden="1" thickBot="1" x14ac:dyDescent="0.3">
      <c r="A8070" s="264"/>
      <c r="B8070" s="260"/>
      <c r="C8070" s="40" t="s">
        <v>4625</v>
      </c>
      <c r="D8070" s="40" t="s">
        <v>291</v>
      </c>
      <c r="E8070" s="41">
        <v>1</v>
      </c>
      <c r="F8070" s="35">
        <v>61.018500000000003</v>
      </c>
      <c r="G8070" s="38">
        <f t="shared" si="228"/>
        <v>61.018500000000003</v>
      </c>
      <c r="H8070" s="43">
        <f>SUM(G8070:G8070)</f>
        <v>61.018500000000003</v>
      </c>
      <c r="I8070" s="44"/>
      <c r="J8070" s="34">
        <v>0</v>
      </c>
    </row>
    <row r="8071" spans="1:10" ht="15.75" hidden="1" thickBot="1" x14ac:dyDescent="0.3">
      <c r="A8071" s="265"/>
      <c r="B8071" s="261"/>
      <c r="C8071" s="60"/>
      <c r="D8071" s="60"/>
      <c r="E8071" s="79"/>
      <c r="F8071" s="87" t="s">
        <v>23</v>
      </c>
      <c r="G8071" s="88" t="str">
        <f t="shared" si="228"/>
        <v/>
      </c>
      <c r="H8071" s="89"/>
      <c r="I8071" s="35"/>
      <c r="J8071" s="34">
        <v>0</v>
      </c>
    </row>
    <row r="8072" spans="1:10" ht="15.75" hidden="1" thickBot="1" x14ac:dyDescent="0.3">
      <c r="A8072" s="256" t="s">
        <v>1951</v>
      </c>
      <c r="B8072" s="259" t="s">
        <v>3657</v>
      </c>
      <c r="C8072" s="28"/>
      <c r="D8072" s="29" t="s">
        <v>28</v>
      </c>
      <c r="E8072" s="30"/>
      <c r="F8072" s="45" t="s">
        <v>23</v>
      </c>
      <c r="G8072" s="31" t="str">
        <f t="shared" si="228"/>
        <v/>
      </c>
      <c r="H8072" s="32"/>
      <c r="I8072" s="33"/>
      <c r="J8072" s="34">
        <v>0</v>
      </c>
    </row>
    <row r="8073" spans="1:10" ht="15.75" hidden="1" thickBot="1" x14ac:dyDescent="0.3">
      <c r="A8073" s="264"/>
      <c r="B8073" s="260"/>
      <c r="C8073" s="36"/>
      <c r="D8073" s="36"/>
      <c r="E8073" s="37"/>
      <c r="F8073" s="46" t="s">
        <v>23</v>
      </c>
      <c r="G8073" s="38" t="str">
        <f t="shared" si="228"/>
        <v/>
      </c>
      <c r="H8073" s="39"/>
      <c r="I8073" s="35"/>
      <c r="J8073" s="34">
        <v>0</v>
      </c>
    </row>
    <row r="8074" spans="1:10" ht="26.25" hidden="1" thickBot="1" x14ac:dyDescent="0.3">
      <c r="A8074" s="264"/>
      <c r="B8074" s="260"/>
      <c r="C8074" s="40" t="s">
        <v>3971</v>
      </c>
      <c r="D8074" s="40" t="s">
        <v>291</v>
      </c>
      <c r="E8074" s="41">
        <v>1</v>
      </c>
      <c r="F8074" s="35">
        <v>53.532499999999999</v>
      </c>
      <c r="G8074" s="38">
        <f t="shared" si="228"/>
        <v>53.532499999999999</v>
      </c>
      <c r="H8074" s="43">
        <f>SUM(G8074:G8074)</f>
        <v>53.532499999999999</v>
      </c>
      <c r="I8074" s="44"/>
      <c r="J8074" s="34">
        <v>0</v>
      </c>
    </row>
    <row r="8075" spans="1:10" ht="15.75" hidden="1" thickBot="1" x14ac:dyDescent="0.3">
      <c r="A8075" s="265"/>
      <c r="B8075" s="261"/>
      <c r="C8075" s="60"/>
      <c r="D8075" s="60"/>
      <c r="E8075" s="79"/>
      <c r="F8075" s="87" t="s">
        <v>23</v>
      </c>
      <c r="G8075" s="88" t="str">
        <f t="shared" si="228"/>
        <v/>
      </c>
      <c r="H8075" s="89"/>
      <c r="I8075" s="35"/>
      <c r="J8075" s="34">
        <v>0</v>
      </c>
    </row>
    <row r="8076" spans="1:10" ht="15.75" hidden="1" thickBot="1" x14ac:dyDescent="0.3">
      <c r="A8076" s="256" t="s">
        <v>1952</v>
      </c>
      <c r="B8076" s="259" t="s">
        <v>3658</v>
      </c>
      <c r="C8076" s="28"/>
      <c r="D8076" s="29" t="s">
        <v>28</v>
      </c>
      <c r="E8076" s="30"/>
      <c r="F8076" s="45" t="s">
        <v>23</v>
      </c>
      <c r="G8076" s="31" t="str">
        <f t="shared" si="228"/>
        <v/>
      </c>
      <c r="H8076" s="32"/>
      <c r="I8076" s="33"/>
      <c r="J8076" s="34">
        <v>0</v>
      </c>
    </row>
    <row r="8077" spans="1:10" ht="15.75" hidden="1" thickBot="1" x14ac:dyDescent="0.3">
      <c r="A8077" s="264"/>
      <c r="B8077" s="260"/>
      <c r="C8077" s="36"/>
      <c r="D8077" s="36"/>
      <c r="E8077" s="37"/>
      <c r="F8077" s="46" t="s">
        <v>23</v>
      </c>
      <c r="G8077" s="38" t="str">
        <f t="shared" si="228"/>
        <v/>
      </c>
      <c r="H8077" s="39"/>
      <c r="I8077" s="35"/>
      <c r="J8077" s="34">
        <v>0</v>
      </c>
    </row>
    <row r="8078" spans="1:10" ht="26.25" hidden="1" thickBot="1" x14ac:dyDescent="0.3">
      <c r="A8078" s="264"/>
      <c r="B8078" s="260"/>
      <c r="C8078" s="40" t="s">
        <v>4088</v>
      </c>
      <c r="D8078" s="40" t="s">
        <v>291</v>
      </c>
      <c r="E8078" s="41">
        <v>1</v>
      </c>
      <c r="F8078" s="35">
        <v>42.445999999999998</v>
      </c>
      <c r="G8078" s="38">
        <f t="shared" si="228"/>
        <v>42.445999999999998</v>
      </c>
      <c r="H8078" s="43">
        <f>SUM(G8078:G8078)</f>
        <v>42.445999999999998</v>
      </c>
      <c r="I8078" s="44"/>
      <c r="J8078" s="34">
        <v>0</v>
      </c>
    </row>
    <row r="8079" spans="1:10" ht="15.75" hidden="1" thickBot="1" x14ac:dyDescent="0.3">
      <c r="A8079" s="265"/>
      <c r="B8079" s="261"/>
      <c r="C8079" s="60"/>
      <c r="D8079" s="60"/>
      <c r="E8079" s="79"/>
      <c r="F8079" s="87" t="s">
        <v>23</v>
      </c>
      <c r="G8079" s="88" t="str">
        <f t="shared" si="228"/>
        <v/>
      </c>
      <c r="H8079" s="89"/>
      <c r="I8079" s="35"/>
      <c r="J8079" s="34">
        <v>0</v>
      </c>
    </row>
    <row r="8080" spans="1:10" ht="15.75" hidden="1" thickBot="1" x14ac:dyDescent="0.3">
      <c r="A8080" s="256" t="s">
        <v>1953</v>
      </c>
      <c r="B8080" s="259" t="s">
        <v>3659</v>
      </c>
      <c r="C8080" s="28"/>
      <c r="D8080" s="29" t="s">
        <v>28</v>
      </c>
      <c r="E8080" s="30"/>
      <c r="F8080" s="45" t="s">
        <v>23</v>
      </c>
      <c r="G8080" s="31" t="str">
        <f t="shared" si="228"/>
        <v/>
      </c>
      <c r="H8080" s="32"/>
      <c r="I8080" s="33"/>
      <c r="J8080" s="34">
        <v>0</v>
      </c>
    </row>
    <row r="8081" spans="1:10" ht="15.75" hidden="1" thickBot="1" x14ac:dyDescent="0.3">
      <c r="A8081" s="264"/>
      <c r="B8081" s="260"/>
      <c r="C8081" s="36"/>
      <c r="D8081" s="36"/>
      <c r="E8081" s="37"/>
      <c r="F8081" s="46" t="s">
        <v>23</v>
      </c>
      <c r="G8081" s="38" t="str">
        <f t="shared" si="228"/>
        <v/>
      </c>
      <c r="H8081" s="39"/>
      <c r="I8081" s="35"/>
      <c r="J8081" s="34">
        <v>0</v>
      </c>
    </row>
    <row r="8082" spans="1:10" ht="26.25" hidden="1" thickBot="1" x14ac:dyDescent="0.3">
      <c r="A8082" s="264"/>
      <c r="B8082" s="260"/>
      <c r="C8082" s="40" t="s">
        <v>4093</v>
      </c>
      <c r="D8082" s="40" t="s">
        <v>291</v>
      </c>
      <c r="E8082" s="41">
        <v>1</v>
      </c>
      <c r="F8082" s="35">
        <v>26.372</v>
      </c>
      <c r="G8082" s="38">
        <f t="shared" si="228"/>
        <v>26.372</v>
      </c>
      <c r="H8082" s="43">
        <f>SUM(G8082:G8082)</f>
        <v>26.372</v>
      </c>
      <c r="I8082" s="44"/>
      <c r="J8082" s="34">
        <v>0</v>
      </c>
    </row>
    <row r="8083" spans="1:10" ht="15.75" hidden="1" thickBot="1" x14ac:dyDescent="0.3">
      <c r="A8083" s="265"/>
      <c r="B8083" s="261"/>
      <c r="C8083" s="60"/>
      <c r="D8083" s="60"/>
      <c r="E8083" s="79"/>
      <c r="F8083" s="87" t="s">
        <v>23</v>
      </c>
      <c r="G8083" s="88" t="str">
        <f t="shared" si="228"/>
        <v/>
      </c>
      <c r="H8083" s="89"/>
      <c r="I8083" s="35"/>
      <c r="J8083" s="34">
        <v>0</v>
      </c>
    </row>
    <row r="8084" spans="1:10" ht="15.75" hidden="1" thickBot="1" x14ac:dyDescent="0.3">
      <c r="A8084" s="256" t="s">
        <v>1954</v>
      </c>
      <c r="B8084" s="259" t="s">
        <v>3660</v>
      </c>
      <c r="C8084" s="28"/>
      <c r="D8084" s="29" t="s">
        <v>28</v>
      </c>
      <c r="E8084" s="30"/>
      <c r="F8084" s="45" t="s">
        <v>23</v>
      </c>
      <c r="G8084" s="31" t="str">
        <f t="shared" si="228"/>
        <v/>
      </c>
      <c r="H8084" s="32"/>
      <c r="I8084" s="33"/>
      <c r="J8084" s="34">
        <v>0</v>
      </c>
    </row>
    <row r="8085" spans="1:10" ht="15.75" hidden="1" thickBot="1" x14ac:dyDescent="0.3">
      <c r="A8085" s="264"/>
      <c r="B8085" s="260"/>
      <c r="C8085" s="36"/>
      <c r="D8085" s="36"/>
      <c r="E8085" s="37"/>
      <c r="F8085" s="46" t="s">
        <v>23</v>
      </c>
      <c r="G8085" s="38" t="str">
        <f t="shared" si="228"/>
        <v/>
      </c>
      <c r="H8085" s="39"/>
      <c r="I8085" s="35"/>
      <c r="J8085" s="34">
        <v>0</v>
      </c>
    </row>
    <row r="8086" spans="1:10" ht="26.25" hidden="1" thickBot="1" x14ac:dyDescent="0.3">
      <c r="A8086" s="264"/>
      <c r="B8086" s="260"/>
      <c r="C8086" s="40" t="s">
        <v>4626</v>
      </c>
      <c r="D8086" s="40" t="s">
        <v>291</v>
      </c>
      <c r="E8086" s="41">
        <v>1</v>
      </c>
      <c r="F8086" s="35">
        <v>60.723999999999997</v>
      </c>
      <c r="G8086" s="38">
        <f t="shared" si="228"/>
        <v>60.723999999999997</v>
      </c>
      <c r="H8086" s="43">
        <f>SUM(G8086:G8086)</f>
        <v>60.723999999999997</v>
      </c>
      <c r="I8086" s="44"/>
      <c r="J8086" s="34">
        <v>0</v>
      </c>
    </row>
    <row r="8087" spans="1:10" ht="15.75" hidden="1" thickBot="1" x14ac:dyDescent="0.3">
      <c r="A8087" s="265"/>
      <c r="B8087" s="261"/>
      <c r="C8087" s="60"/>
      <c r="D8087" s="60"/>
      <c r="E8087" s="79"/>
      <c r="F8087" s="87" t="s">
        <v>23</v>
      </c>
      <c r="G8087" s="88" t="str">
        <f t="shared" si="228"/>
        <v/>
      </c>
      <c r="H8087" s="89"/>
      <c r="I8087" s="35"/>
      <c r="J8087" s="34">
        <v>0</v>
      </c>
    </row>
    <row r="8088" spans="1:10" ht="15.75" hidden="1" thickBot="1" x14ac:dyDescent="0.3">
      <c r="A8088" s="256" t="s">
        <v>1955</v>
      </c>
      <c r="B8088" s="259" t="s">
        <v>3661</v>
      </c>
      <c r="C8088" s="28"/>
      <c r="D8088" s="29" t="s">
        <v>28</v>
      </c>
      <c r="E8088" s="30"/>
      <c r="F8088" s="45" t="s">
        <v>23</v>
      </c>
      <c r="G8088" s="31" t="str">
        <f t="shared" si="228"/>
        <v/>
      </c>
      <c r="H8088" s="32"/>
      <c r="I8088" s="33"/>
      <c r="J8088" s="34">
        <v>0</v>
      </c>
    </row>
    <row r="8089" spans="1:10" ht="15.75" hidden="1" thickBot="1" x14ac:dyDescent="0.3">
      <c r="A8089" s="264"/>
      <c r="B8089" s="260"/>
      <c r="C8089" s="36"/>
      <c r="D8089" s="36"/>
      <c r="E8089" s="37"/>
      <c r="F8089" s="46" t="s">
        <v>23</v>
      </c>
      <c r="G8089" s="38" t="str">
        <f t="shared" si="228"/>
        <v/>
      </c>
      <c r="H8089" s="39"/>
      <c r="I8089" s="35"/>
      <c r="J8089" s="34">
        <v>0</v>
      </c>
    </row>
    <row r="8090" spans="1:10" ht="26.25" hidden="1" thickBot="1" x14ac:dyDescent="0.3">
      <c r="A8090" s="264"/>
      <c r="B8090" s="260"/>
      <c r="C8090" s="40" t="s">
        <v>4091</v>
      </c>
      <c r="D8090" s="40" t="s">
        <v>291</v>
      </c>
      <c r="E8090" s="41">
        <v>1</v>
      </c>
      <c r="F8090" s="35">
        <v>65.150999999999996</v>
      </c>
      <c r="G8090" s="38">
        <f t="shared" si="228"/>
        <v>65.150999999999996</v>
      </c>
      <c r="H8090" s="43">
        <f>SUM(G8090:G8090)</f>
        <v>65.150999999999996</v>
      </c>
      <c r="I8090" s="44"/>
      <c r="J8090" s="34">
        <v>0</v>
      </c>
    </row>
    <row r="8091" spans="1:10" ht="15.75" hidden="1" thickBot="1" x14ac:dyDescent="0.3">
      <c r="A8091" s="265"/>
      <c r="B8091" s="261"/>
      <c r="C8091" s="60"/>
      <c r="D8091" s="60"/>
      <c r="E8091" s="79"/>
      <c r="F8091" s="87" t="s">
        <v>23</v>
      </c>
      <c r="G8091" s="88" t="str">
        <f t="shared" si="228"/>
        <v/>
      </c>
      <c r="H8091" s="89"/>
      <c r="I8091" s="35"/>
      <c r="J8091" s="34">
        <v>0</v>
      </c>
    </row>
    <row r="8092" spans="1:10" ht="15.75" hidden="1" thickBot="1" x14ac:dyDescent="0.3">
      <c r="A8092" s="256" t="s">
        <v>1956</v>
      </c>
      <c r="B8092" s="259" t="s">
        <v>3662</v>
      </c>
      <c r="C8092" s="28"/>
      <c r="D8092" s="29" t="s">
        <v>28</v>
      </c>
      <c r="E8092" s="30"/>
      <c r="F8092" s="45" t="s">
        <v>23</v>
      </c>
      <c r="G8092" s="31" t="str">
        <f t="shared" si="228"/>
        <v/>
      </c>
      <c r="H8092" s="32"/>
      <c r="I8092" s="33"/>
      <c r="J8092" s="34">
        <v>0</v>
      </c>
    </row>
    <row r="8093" spans="1:10" ht="15.75" hidden="1" thickBot="1" x14ac:dyDescent="0.3">
      <c r="A8093" s="264"/>
      <c r="B8093" s="260"/>
      <c r="C8093" s="36"/>
      <c r="D8093" s="36"/>
      <c r="E8093" s="37"/>
      <c r="F8093" s="46" t="s">
        <v>23</v>
      </c>
      <c r="G8093" s="38" t="str">
        <f t="shared" si="228"/>
        <v/>
      </c>
      <c r="H8093" s="39"/>
      <c r="I8093" s="35"/>
      <c r="J8093" s="34">
        <v>0</v>
      </c>
    </row>
    <row r="8094" spans="1:10" ht="26.25" hidden="1" thickBot="1" x14ac:dyDescent="0.3">
      <c r="A8094" s="264"/>
      <c r="B8094" s="260"/>
      <c r="C8094" s="40" t="s">
        <v>4094</v>
      </c>
      <c r="D8094" s="40" t="s">
        <v>291</v>
      </c>
      <c r="E8094" s="41">
        <v>1</v>
      </c>
      <c r="F8094" s="35">
        <v>33.44</v>
      </c>
      <c r="G8094" s="38">
        <f t="shared" si="228"/>
        <v>33.44</v>
      </c>
      <c r="H8094" s="43">
        <f>SUM(G8094:G8094)</f>
        <v>33.44</v>
      </c>
      <c r="I8094" s="44"/>
      <c r="J8094" s="34">
        <v>0</v>
      </c>
    </row>
    <row r="8095" spans="1:10" ht="15.75" hidden="1" thickBot="1" x14ac:dyDescent="0.3">
      <c r="A8095" s="265"/>
      <c r="B8095" s="261"/>
      <c r="C8095" s="60"/>
      <c r="D8095" s="60"/>
      <c r="E8095" s="79"/>
      <c r="F8095" s="87" t="s">
        <v>23</v>
      </c>
      <c r="G8095" s="88" t="str">
        <f t="shared" si="228"/>
        <v/>
      </c>
      <c r="H8095" s="89"/>
      <c r="I8095" s="35"/>
      <c r="J8095" s="34">
        <v>0</v>
      </c>
    </row>
    <row r="8096" spans="1:10" ht="15.75" hidden="1" thickBot="1" x14ac:dyDescent="0.3">
      <c r="A8096" s="256" t="s">
        <v>1957</v>
      </c>
      <c r="B8096" s="259" t="s">
        <v>3663</v>
      </c>
      <c r="C8096" s="28"/>
      <c r="D8096" s="29" t="s">
        <v>28</v>
      </c>
      <c r="E8096" s="30"/>
      <c r="F8096" s="45" t="s">
        <v>23</v>
      </c>
      <c r="G8096" s="31" t="str">
        <f t="shared" si="228"/>
        <v/>
      </c>
      <c r="H8096" s="32"/>
      <c r="I8096" s="33"/>
      <c r="J8096" s="34">
        <v>0</v>
      </c>
    </row>
    <row r="8097" spans="1:10" ht="15.75" hidden="1" thickBot="1" x14ac:dyDescent="0.3">
      <c r="A8097" s="264"/>
      <c r="B8097" s="260"/>
      <c r="C8097" s="36"/>
      <c r="D8097" s="36"/>
      <c r="E8097" s="37"/>
      <c r="F8097" s="46" t="s">
        <v>23</v>
      </c>
      <c r="G8097" s="38" t="str">
        <f t="shared" si="228"/>
        <v/>
      </c>
      <c r="H8097" s="39"/>
      <c r="I8097" s="35"/>
      <c r="J8097" s="34">
        <v>0</v>
      </c>
    </row>
    <row r="8098" spans="1:10" ht="26.25" hidden="1" thickBot="1" x14ac:dyDescent="0.3">
      <c r="A8098" s="264"/>
      <c r="B8098" s="260"/>
      <c r="C8098" s="40" t="s">
        <v>4627</v>
      </c>
      <c r="D8098" s="40" t="s">
        <v>291</v>
      </c>
      <c r="E8098" s="41">
        <v>1</v>
      </c>
      <c r="F8098" s="35">
        <v>78.232499999999987</v>
      </c>
      <c r="G8098" s="38">
        <f t="shared" si="228"/>
        <v>78.232499999999987</v>
      </c>
      <c r="H8098" s="43">
        <f>SUM(G8098:G8098)</f>
        <v>78.232499999999987</v>
      </c>
      <c r="I8098" s="44"/>
      <c r="J8098" s="34">
        <v>0</v>
      </c>
    </row>
    <row r="8099" spans="1:10" ht="15.75" hidden="1" thickBot="1" x14ac:dyDescent="0.3">
      <c r="A8099" s="265"/>
      <c r="B8099" s="261"/>
      <c r="C8099" s="60"/>
      <c r="D8099" s="60"/>
      <c r="E8099" s="79"/>
      <c r="F8099" s="87" t="s">
        <v>23</v>
      </c>
      <c r="G8099" s="88" t="str">
        <f t="shared" si="228"/>
        <v/>
      </c>
      <c r="H8099" s="89"/>
      <c r="I8099" s="35"/>
      <c r="J8099" s="34">
        <v>0</v>
      </c>
    </row>
    <row r="8100" spans="1:10" ht="15.75" hidden="1" thickBot="1" x14ac:dyDescent="0.3">
      <c r="A8100" s="256" t="s">
        <v>1958</v>
      </c>
      <c r="B8100" s="259" t="s">
        <v>3664</v>
      </c>
      <c r="C8100" s="28"/>
      <c r="D8100" s="29" t="s">
        <v>28</v>
      </c>
      <c r="E8100" s="30"/>
      <c r="F8100" s="45" t="s">
        <v>23</v>
      </c>
      <c r="G8100" s="31" t="str">
        <f t="shared" si="228"/>
        <v/>
      </c>
      <c r="H8100" s="32"/>
      <c r="I8100" s="33"/>
      <c r="J8100" s="34">
        <v>0</v>
      </c>
    </row>
    <row r="8101" spans="1:10" ht="15.75" hidden="1" thickBot="1" x14ac:dyDescent="0.3">
      <c r="A8101" s="264"/>
      <c r="B8101" s="260"/>
      <c r="C8101" s="36"/>
      <c r="D8101" s="36"/>
      <c r="E8101" s="37"/>
      <c r="F8101" s="46" t="s">
        <v>23</v>
      </c>
      <c r="G8101" s="38" t="str">
        <f t="shared" si="228"/>
        <v/>
      </c>
      <c r="H8101" s="39"/>
      <c r="I8101" s="35"/>
      <c r="J8101" s="34">
        <v>0</v>
      </c>
    </row>
    <row r="8102" spans="1:10" ht="26.25" hidden="1" thickBot="1" x14ac:dyDescent="0.3">
      <c r="A8102" s="264"/>
      <c r="B8102" s="260"/>
      <c r="C8102" s="40" t="s">
        <v>4628</v>
      </c>
      <c r="D8102" s="40" t="s">
        <v>291</v>
      </c>
      <c r="E8102" s="41">
        <v>1</v>
      </c>
      <c r="F8102" s="35">
        <v>37.515500000000003</v>
      </c>
      <c r="G8102" s="38">
        <f t="shared" si="228"/>
        <v>37.515500000000003</v>
      </c>
      <c r="H8102" s="43">
        <f>SUM(G8102:G8102)</f>
        <v>37.515500000000003</v>
      </c>
      <c r="I8102" s="44"/>
      <c r="J8102" s="34">
        <v>0</v>
      </c>
    </row>
    <row r="8103" spans="1:10" ht="15.75" hidden="1" thickBot="1" x14ac:dyDescent="0.3">
      <c r="A8103" s="265"/>
      <c r="B8103" s="261"/>
      <c r="C8103" s="60"/>
      <c r="D8103" s="60"/>
      <c r="E8103" s="79"/>
      <c r="F8103" s="87" t="s">
        <v>23</v>
      </c>
      <c r="G8103" s="88" t="str">
        <f t="shared" si="228"/>
        <v/>
      </c>
      <c r="H8103" s="89"/>
      <c r="I8103" s="35"/>
      <c r="J8103" s="34">
        <v>0</v>
      </c>
    </row>
    <row r="8104" spans="1:10" ht="15.75" hidden="1" thickBot="1" x14ac:dyDescent="0.3">
      <c r="A8104" s="256" t="s">
        <v>1959</v>
      </c>
      <c r="B8104" s="259" t="s">
        <v>3665</v>
      </c>
      <c r="C8104" s="28"/>
      <c r="D8104" s="29" t="s">
        <v>28</v>
      </c>
      <c r="E8104" s="30"/>
      <c r="F8104" s="45" t="s">
        <v>23</v>
      </c>
      <c r="G8104" s="31" t="str">
        <f t="shared" si="228"/>
        <v/>
      </c>
      <c r="H8104" s="32"/>
      <c r="I8104" s="33"/>
      <c r="J8104" s="34">
        <v>0</v>
      </c>
    </row>
    <row r="8105" spans="1:10" ht="15.75" hidden="1" thickBot="1" x14ac:dyDescent="0.3">
      <c r="A8105" s="264"/>
      <c r="B8105" s="260"/>
      <c r="C8105" s="36"/>
      <c r="D8105" s="36"/>
      <c r="E8105" s="37"/>
      <c r="F8105" s="46" t="s">
        <v>23</v>
      </c>
      <c r="G8105" s="38" t="str">
        <f t="shared" si="228"/>
        <v/>
      </c>
      <c r="H8105" s="39"/>
      <c r="I8105" s="35"/>
      <c r="J8105" s="34">
        <v>0</v>
      </c>
    </row>
    <row r="8106" spans="1:10" ht="26.25" hidden="1" thickBot="1" x14ac:dyDescent="0.3">
      <c r="A8106" s="264"/>
      <c r="B8106" s="260"/>
      <c r="C8106" s="40" t="s">
        <v>4629</v>
      </c>
      <c r="D8106" s="40" t="s">
        <v>291</v>
      </c>
      <c r="E8106" s="41">
        <v>1</v>
      </c>
      <c r="F8106" s="35">
        <v>103.417</v>
      </c>
      <c r="G8106" s="38">
        <f t="shared" si="228"/>
        <v>103.417</v>
      </c>
      <c r="H8106" s="43">
        <f>SUM(G8106:G8106)</f>
        <v>103.417</v>
      </c>
      <c r="I8106" s="44"/>
      <c r="J8106" s="34">
        <v>0</v>
      </c>
    </row>
    <row r="8107" spans="1:10" ht="15.75" hidden="1" thickBot="1" x14ac:dyDescent="0.3">
      <c r="A8107" s="265"/>
      <c r="B8107" s="261"/>
      <c r="C8107" s="60"/>
      <c r="D8107" s="60"/>
      <c r="E8107" s="79"/>
      <c r="F8107" s="87" t="s">
        <v>23</v>
      </c>
      <c r="G8107" s="88" t="str">
        <f t="shared" si="228"/>
        <v/>
      </c>
      <c r="H8107" s="89"/>
      <c r="I8107" s="35"/>
      <c r="J8107" s="34">
        <v>0</v>
      </c>
    </row>
    <row r="8108" spans="1:10" ht="15.75" hidden="1" thickBot="1" x14ac:dyDescent="0.3">
      <c r="A8108" s="256" t="s">
        <v>1960</v>
      </c>
      <c r="B8108" s="259" t="s">
        <v>3666</v>
      </c>
      <c r="C8108" s="28"/>
      <c r="D8108" s="29" t="s">
        <v>28</v>
      </c>
      <c r="E8108" s="30"/>
      <c r="F8108" s="45" t="s">
        <v>23</v>
      </c>
      <c r="G8108" s="31" t="str">
        <f t="shared" si="228"/>
        <v/>
      </c>
      <c r="H8108" s="32"/>
      <c r="I8108" s="33"/>
      <c r="J8108" s="34">
        <v>0</v>
      </c>
    </row>
    <row r="8109" spans="1:10" ht="15.75" hidden="1" thickBot="1" x14ac:dyDescent="0.3">
      <c r="A8109" s="264"/>
      <c r="B8109" s="260"/>
      <c r="C8109" s="36"/>
      <c r="D8109" s="36"/>
      <c r="E8109" s="37"/>
      <c r="F8109" s="46" t="s">
        <v>23</v>
      </c>
      <c r="G8109" s="38" t="str">
        <f t="shared" si="228"/>
        <v/>
      </c>
      <c r="H8109" s="39"/>
      <c r="I8109" s="35"/>
      <c r="J8109" s="34">
        <v>0</v>
      </c>
    </row>
    <row r="8110" spans="1:10" ht="26.25" hidden="1" thickBot="1" x14ac:dyDescent="0.3">
      <c r="A8110" s="264"/>
      <c r="B8110" s="260"/>
      <c r="C8110" s="40" t="s">
        <v>4630</v>
      </c>
      <c r="D8110" s="40" t="s">
        <v>291</v>
      </c>
      <c r="E8110" s="41">
        <v>1</v>
      </c>
      <c r="F8110" s="35">
        <v>54.625</v>
      </c>
      <c r="G8110" s="38">
        <f t="shared" si="228"/>
        <v>54.625</v>
      </c>
      <c r="H8110" s="43">
        <f>SUM(G8110:G8110)</f>
        <v>54.625</v>
      </c>
      <c r="I8110" s="44"/>
      <c r="J8110" s="34">
        <v>0</v>
      </c>
    </row>
    <row r="8111" spans="1:10" ht="15.75" hidden="1" thickBot="1" x14ac:dyDescent="0.3">
      <c r="A8111" s="265"/>
      <c r="B8111" s="261"/>
      <c r="C8111" s="60"/>
      <c r="D8111" s="60"/>
      <c r="E8111" s="79"/>
      <c r="F8111" s="87" t="s">
        <v>23</v>
      </c>
      <c r="G8111" s="88" t="str">
        <f t="shared" si="228"/>
        <v/>
      </c>
      <c r="H8111" s="89"/>
      <c r="I8111" s="35"/>
      <c r="J8111" s="34">
        <v>0</v>
      </c>
    </row>
    <row r="8112" spans="1:10" ht="15.75" hidden="1" thickBot="1" x14ac:dyDescent="0.3">
      <c r="A8112" s="256" t="s">
        <v>1961</v>
      </c>
      <c r="B8112" s="259" t="s">
        <v>3667</v>
      </c>
      <c r="C8112" s="28"/>
      <c r="D8112" s="29" t="s">
        <v>28</v>
      </c>
      <c r="E8112" s="30"/>
      <c r="F8112" s="45" t="s">
        <v>23</v>
      </c>
      <c r="G8112" s="31" t="str">
        <f t="shared" si="228"/>
        <v/>
      </c>
      <c r="H8112" s="32"/>
      <c r="I8112" s="33"/>
      <c r="J8112" s="34">
        <v>0</v>
      </c>
    </row>
    <row r="8113" spans="1:10" ht="15.75" hidden="1" thickBot="1" x14ac:dyDescent="0.3">
      <c r="A8113" s="264"/>
      <c r="B8113" s="260"/>
      <c r="C8113" s="36"/>
      <c r="D8113" s="36"/>
      <c r="E8113" s="37"/>
      <c r="F8113" s="46" t="s">
        <v>23</v>
      </c>
      <c r="G8113" s="38" t="str">
        <f t="shared" si="228"/>
        <v/>
      </c>
      <c r="H8113" s="39"/>
      <c r="I8113" s="35"/>
      <c r="J8113" s="34">
        <v>0</v>
      </c>
    </row>
    <row r="8114" spans="1:10" ht="26.25" hidden="1" thickBot="1" x14ac:dyDescent="0.3">
      <c r="A8114" s="264"/>
      <c r="B8114" s="260"/>
      <c r="C8114" s="40" t="s">
        <v>4631</v>
      </c>
      <c r="D8114" s="40" t="s">
        <v>291</v>
      </c>
      <c r="E8114" s="41">
        <v>1</v>
      </c>
      <c r="F8114" s="35">
        <v>154.61249999999998</v>
      </c>
      <c r="G8114" s="38">
        <f t="shared" si="228"/>
        <v>154.61249999999998</v>
      </c>
      <c r="H8114" s="43">
        <f>SUM(G8114:G8114)</f>
        <v>154.61249999999998</v>
      </c>
      <c r="I8114" s="44"/>
      <c r="J8114" s="34">
        <v>0</v>
      </c>
    </row>
    <row r="8115" spans="1:10" ht="15.75" hidden="1" thickBot="1" x14ac:dyDescent="0.3">
      <c r="A8115" s="265"/>
      <c r="B8115" s="261"/>
      <c r="C8115" s="60"/>
      <c r="D8115" s="60"/>
      <c r="E8115" s="79"/>
      <c r="F8115" s="87" t="s">
        <v>23</v>
      </c>
      <c r="G8115" s="88" t="str">
        <f t="shared" si="228"/>
        <v/>
      </c>
      <c r="H8115" s="89"/>
      <c r="I8115" s="35"/>
      <c r="J8115" s="34">
        <v>0</v>
      </c>
    </row>
    <row r="8116" spans="1:10" ht="15.75" hidden="1" thickBot="1" x14ac:dyDescent="0.3">
      <c r="A8116" s="256" t="s">
        <v>1962</v>
      </c>
      <c r="B8116" s="259" t="s">
        <v>3668</v>
      </c>
      <c r="C8116" s="28"/>
      <c r="D8116" s="29" t="s">
        <v>28</v>
      </c>
      <c r="E8116" s="30"/>
      <c r="F8116" s="45" t="s">
        <v>23</v>
      </c>
      <c r="G8116" s="31" t="str">
        <f t="shared" si="228"/>
        <v/>
      </c>
      <c r="H8116" s="32"/>
      <c r="I8116" s="33"/>
      <c r="J8116" s="34">
        <v>0</v>
      </c>
    </row>
    <row r="8117" spans="1:10" ht="15.75" hidden="1" thickBot="1" x14ac:dyDescent="0.3">
      <c r="A8117" s="264"/>
      <c r="B8117" s="260"/>
      <c r="C8117" s="36"/>
      <c r="D8117" s="36"/>
      <c r="E8117" s="37"/>
      <c r="F8117" s="46" t="s">
        <v>23</v>
      </c>
      <c r="G8117" s="38" t="str">
        <f t="shared" si="228"/>
        <v/>
      </c>
      <c r="H8117" s="39"/>
      <c r="I8117" s="35"/>
      <c r="J8117" s="34">
        <v>0</v>
      </c>
    </row>
    <row r="8118" spans="1:10" ht="26.25" hidden="1" thickBot="1" x14ac:dyDescent="0.3">
      <c r="A8118" s="264"/>
      <c r="B8118" s="260"/>
      <c r="C8118" s="40" t="s">
        <v>4632</v>
      </c>
      <c r="D8118" s="40" t="s">
        <v>291</v>
      </c>
      <c r="E8118" s="41">
        <v>1</v>
      </c>
      <c r="F8118" s="35">
        <v>52.896000000000001</v>
      </c>
      <c r="G8118" s="38">
        <f t="shared" si="228"/>
        <v>52.896000000000001</v>
      </c>
      <c r="H8118" s="43">
        <f>SUM(G8118:G8118)</f>
        <v>52.896000000000001</v>
      </c>
      <c r="I8118" s="44"/>
      <c r="J8118" s="34">
        <v>0</v>
      </c>
    </row>
    <row r="8119" spans="1:10" ht="15.75" hidden="1" thickBot="1" x14ac:dyDescent="0.3">
      <c r="A8119" s="265"/>
      <c r="B8119" s="261"/>
      <c r="C8119" s="60"/>
      <c r="D8119" s="60"/>
      <c r="E8119" s="79"/>
      <c r="F8119" s="87" t="s">
        <v>23</v>
      </c>
      <c r="G8119" s="88" t="str">
        <f t="shared" si="228"/>
        <v/>
      </c>
      <c r="H8119" s="89"/>
      <c r="I8119" s="35"/>
      <c r="J8119" s="34">
        <v>0</v>
      </c>
    </row>
    <row r="8120" spans="1:10" ht="15.75" hidden="1" thickBot="1" x14ac:dyDescent="0.3">
      <c r="A8120" s="256" t="s">
        <v>1963</v>
      </c>
      <c r="B8120" s="259" t="s">
        <v>3669</v>
      </c>
      <c r="C8120" s="28"/>
      <c r="D8120" s="29" t="s">
        <v>28</v>
      </c>
      <c r="E8120" s="30"/>
      <c r="F8120" s="45" t="s">
        <v>23</v>
      </c>
      <c r="G8120" s="31" t="str">
        <f t="shared" si="228"/>
        <v/>
      </c>
      <c r="H8120" s="32"/>
      <c r="I8120" s="33"/>
      <c r="J8120" s="34">
        <v>0</v>
      </c>
    </row>
    <row r="8121" spans="1:10" ht="15.75" hidden="1" thickBot="1" x14ac:dyDescent="0.3">
      <c r="A8121" s="264"/>
      <c r="B8121" s="260"/>
      <c r="C8121" s="36"/>
      <c r="D8121" s="36"/>
      <c r="E8121" s="37"/>
      <c r="F8121" s="46" t="s">
        <v>23</v>
      </c>
      <c r="G8121" s="38" t="str">
        <f t="shared" si="228"/>
        <v/>
      </c>
      <c r="H8121" s="39"/>
      <c r="I8121" s="35"/>
      <c r="J8121" s="34">
        <v>0</v>
      </c>
    </row>
    <row r="8122" spans="1:10" ht="26.25" hidden="1" thickBot="1" x14ac:dyDescent="0.3">
      <c r="A8122" s="264"/>
      <c r="B8122" s="260"/>
      <c r="C8122" s="40" t="s">
        <v>4633</v>
      </c>
      <c r="D8122" s="40" t="s">
        <v>291</v>
      </c>
      <c r="E8122" s="41">
        <v>1</v>
      </c>
      <c r="F8122" s="35">
        <v>360.10699999999997</v>
      </c>
      <c r="G8122" s="38">
        <f t="shared" si="228"/>
        <v>360.10699999999997</v>
      </c>
      <c r="H8122" s="43">
        <f>SUM(G8122:G8122)</f>
        <v>360.10699999999997</v>
      </c>
      <c r="I8122" s="44"/>
      <c r="J8122" s="34">
        <v>0</v>
      </c>
    </row>
    <row r="8123" spans="1:10" ht="15.75" hidden="1" thickBot="1" x14ac:dyDescent="0.3">
      <c r="A8123" s="265"/>
      <c r="B8123" s="261"/>
      <c r="C8123" s="60"/>
      <c r="D8123" s="60"/>
      <c r="E8123" s="79"/>
      <c r="F8123" s="87" t="s">
        <v>23</v>
      </c>
      <c r="G8123" s="88" t="str">
        <f t="shared" si="228"/>
        <v/>
      </c>
      <c r="H8123" s="89"/>
      <c r="I8123" s="35"/>
      <c r="J8123" s="34">
        <v>0</v>
      </c>
    </row>
    <row r="8124" spans="1:10" ht="15.75" hidden="1" thickBot="1" x14ac:dyDescent="0.3">
      <c r="A8124" s="256" t="s">
        <v>1964</v>
      </c>
      <c r="B8124" s="259" t="s">
        <v>3670</v>
      </c>
      <c r="C8124" s="28"/>
      <c r="D8124" s="29" t="s">
        <v>28</v>
      </c>
      <c r="E8124" s="30"/>
      <c r="F8124" s="45" t="s">
        <v>23</v>
      </c>
      <c r="G8124" s="31" t="str">
        <f t="shared" si="228"/>
        <v/>
      </c>
      <c r="H8124" s="32"/>
      <c r="I8124" s="33"/>
      <c r="J8124" s="34">
        <v>0</v>
      </c>
    </row>
    <row r="8125" spans="1:10" ht="15.75" hidden="1" thickBot="1" x14ac:dyDescent="0.3">
      <c r="A8125" s="264"/>
      <c r="B8125" s="260"/>
      <c r="C8125" s="36"/>
      <c r="D8125" s="36"/>
      <c r="E8125" s="37"/>
      <c r="F8125" s="46" t="s">
        <v>23</v>
      </c>
      <c r="G8125" s="38" t="str">
        <f t="shared" ref="G8125:G8188" si="229">IF(ISNUMBER(F8125),E8125*F8125,"")</f>
        <v/>
      </c>
      <c r="H8125" s="39"/>
      <c r="I8125" s="35"/>
      <c r="J8125" s="34">
        <v>0</v>
      </c>
    </row>
    <row r="8126" spans="1:10" ht="26.25" hidden="1" thickBot="1" x14ac:dyDescent="0.3">
      <c r="A8126" s="264"/>
      <c r="B8126" s="260"/>
      <c r="C8126" s="40" t="s">
        <v>4634</v>
      </c>
      <c r="D8126" s="40" t="s">
        <v>291</v>
      </c>
      <c r="E8126" s="41">
        <v>1</v>
      </c>
      <c r="F8126" s="35">
        <v>179.03700000000001</v>
      </c>
      <c r="G8126" s="38">
        <f t="shared" si="229"/>
        <v>179.03700000000001</v>
      </c>
      <c r="H8126" s="43">
        <f>SUM(G8126:G8126)</f>
        <v>179.03700000000001</v>
      </c>
      <c r="I8126" s="44"/>
      <c r="J8126" s="34">
        <v>0</v>
      </c>
    </row>
    <row r="8127" spans="1:10" ht="15.75" hidden="1" thickBot="1" x14ac:dyDescent="0.3">
      <c r="A8127" s="265"/>
      <c r="B8127" s="261"/>
      <c r="C8127" s="60"/>
      <c r="D8127" s="60"/>
      <c r="E8127" s="79"/>
      <c r="F8127" s="87" t="s">
        <v>23</v>
      </c>
      <c r="G8127" s="88" t="str">
        <f t="shared" si="229"/>
        <v/>
      </c>
      <c r="H8127" s="89"/>
      <c r="I8127" s="35"/>
      <c r="J8127" s="34">
        <v>0</v>
      </c>
    </row>
    <row r="8128" spans="1:10" ht="15.75" hidden="1" thickBot="1" x14ac:dyDescent="0.3">
      <c r="A8128" s="256" t="s">
        <v>1965</v>
      </c>
      <c r="B8128" s="259" t="s">
        <v>3671</v>
      </c>
      <c r="C8128" s="28"/>
      <c r="D8128" s="29" t="s">
        <v>28</v>
      </c>
      <c r="E8128" s="30"/>
      <c r="F8128" s="45" t="s">
        <v>23</v>
      </c>
      <c r="G8128" s="31" t="str">
        <f t="shared" si="229"/>
        <v/>
      </c>
      <c r="H8128" s="32"/>
      <c r="I8128" s="33"/>
      <c r="J8128" s="34">
        <v>0</v>
      </c>
    </row>
    <row r="8129" spans="1:10" ht="15.75" hidden="1" thickBot="1" x14ac:dyDescent="0.3">
      <c r="A8129" s="264"/>
      <c r="B8129" s="260"/>
      <c r="C8129" s="36"/>
      <c r="D8129" s="36"/>
      <c r="E8129" s="37"/>
      <c r="F8129" s="46" t="s">
        <v>23</v>
      </c>
      <c r="G8129" s="38" t="str">
        <f t="shared" si="229"/>
        <v/>
      </c>
      <c r="H8129" s="39"/>
      <c r="I8129" s="35"/>
      <c r="J8129" s="34">
        <v>0</v>
      </c>
    </row>
    <row r="8130" spans="1:10" ht="26.25" hidden="1" thickBot="1" x14ac:dyDescent="0.3">
      <c r="A8130" s="264"/>
      <c r="B8130" s="260"/>
      <c r="C8130" s="40" t="s">
        <v>4635</v>
      </c>
      <c r="D8130" s="40" t="s">
        <v>291</v>
      </c>
      <c r="E8130" s="41">
        <v>1</v>
      </c>
      <c r="F8130" s="35">
        <v>440.13499999999999</v>
      </c>
      <c r="G8130" s="38">
        <f t="shared" si="229"/>
        <v>440.13499999999999</v>
      </c>
      <c r="H8130" s="43">
        <f>SUM(G8130:G8130)</f>
        <v>440.13499999999999</v>
      </c>
      <c r="I8130" s="44"/>
      <c r="J8130" s="34">
        <v>0</v>
      </c>
    </row>
    <row r="8131" spans="1:10" ht="15.75" hidden="1" thickBot="1" x14ac:dyDescent="0.3">
      <c r="A8131" s="265"/>
      <c r="B8131" s="261"/>
      <c r="C8131" s="60"/>
      <c r="D8131" s="60"/>
      <c r="E8131" s="79"/>
      <c r="F8131" s="87" t="s">
        <v>23</v>
      </c>
      <c r="G8131" s="88" t="str">
        <f t="shared" si="229"/>
        <v/>
      </c>
      <c r="H8131" s="89"/>
      <c r="I8131" s="35"/>
      <c r="J8131" s="34">
        <v>0</v>
      </c>
    </row>
    <row r="8132" spans="1:10" ht="15.75" hidden="1" thickBot="1" x14ac:dyDescent="0.3">
      <c r="A8132" s="256" t="s">
        <v>1966</v>
      </c>
      <c r="B8132" s="259" t="s">
        <v>3672</v>
      </c>
      <c r="C8132" s="28"/>
      <c r="D8132" s="29" t="s">
        <v>28</v>
      </c>
      <c r="E8132" s="30"/>
      <c r="F8132" s="45" t="s">
        <v>23</v>
      </c>
      <c r="G8132" s="31" t="str">
        <f t="shared" si="229"/>
        <v/>
      </c>
      <c r="H8132" s="32"/>
      <c r="I8132" s="33"/>
      <c r="J8132" s="34">
        <v>0</v>
      </c>
    </row>
    <row r="8133" spans="1:10" ht="15.75" hidden="1" thickBot="1" x14ac:dyDescent="0.3">
      <c r="A8133" s="264"/>
      <c r="B8133" s="260"/>
      <c r="C8133" s="36"/>
      <c r="D8133" s="36"/>
      <c r="E8133" s="37"/>
      <c r="F8133" s="46" t="s">
        <v>23</v>
      </c>
      <c r="G8133" s="38" t="str">
        <f t="shared" si="229"/>
        <v/>
      </c>
      <c r="H8133" s="39"/>
      <c r="I8133" s="35"/>
      <c r="J8133" s="34">
        <v>0</v>
      </c>
    </row>
    <row r="8134" spans="1:10" ht="26.25" hidden="1" thickBot="1" x14ac:dyDescent="0.3">
      <c r="A8134" s="264"/>
      <c r="B8134" s="260"/>
      <c r="C8134" s="40" t="s">
        <v>4636</v>
      </c>
      <c r="D8134" s="40" t="s">
        <v>291</v>
      </c>
      <c r="E8134" s="41">
        <v>1</v>
      </c>
      <c r="F8134" s="35">
        <v>164.89149999999998</v>
      </c>
      <c r="G8134" s="38">
        <f t="shared" si="229"/>
        <v>164.89149999999998</v>
      </c>
      <c r="H8134" s="43">
        <f>SUM(G8134:G8134)</f>
        <v>164.89149999999998</v>
      </c>
      <c r="I8134" s="44"/>
      <c r="J8134" s="34">
        <v>0</v>
      </c>
    </row>
    <row r="8135" spans="1:10" ht="15.75" hidden="1" thickBot="1" x14ac:dyDescent="0.3">
      <c r="A8135" s="265"/>
      <c r="B8135" s="261"/>
      <c r="C8135" s="60"/>
      <c r="D8135" s="60"/>
      <c r="E8135" s="79"/>
      <c r="F8135" s="87" t="s">
        <v>23</v>
      </c>
      <c r="G8135" s="88" t="str">
        <f t="shared" si="229"/>
        <v/>
      </c>
      <c r="H8135" s="89"/>
      <c r="I8135" s="35"/>
      <c r="J8135" s="34">
        <v>0</v>
      </c>
    </row>
    <row r="8136" spans="1:10" ht="15.75" hidden="1" thickBot="1" x14ac:dyDescent="0.3">
      <c r="A8136" s="256" t="s">
        <v>1967</v>
      </c>
      <c r="B8136" s="259" t="s">
        <v>3673</v>
      </c>
      <c r="C8136" s="28"/>
      <c r="D8136" s="29" t="s">
        <v>28</v>
      </c>
      <c r="E8136" s="30"/>
      <c r="F8136" s="45" t="s">
        <v>23</v>
      </c>
      <c r="G8136" s="31" t="str">
        <f t="shared" si="229"/>
        <v/>
      </c>
      <c r="H8136" s="32"/>
      <c r="I8136" s="33"/>
      <c r="J8136" s="34">
        <v>0</v>
      </c>
    </row>
    <row r="8137" spans="1:10" ht="15.75" hidden="1" thickBot="1" x14ac:dyDescent="0.3">
      <c r="A8137" s="264"/>
      <c r="B8137" s="260"/>
      <c r="C8137" s="36"/>
      <c r="D8137" s="36"/>
      <c r="E8137" s="37"/>
      <c r="F8137" s="46" t="s">
        <v>23</v>
      </c>
      <c r="G8137" s="38" t="str">
        <f t="shared" si="229"/>
        <v/>
      </c>
      <c r="H8137" s="39"/>
      <c r="I8137" s="35"/>
      <c r="J8137" s="34">
        <v>0</v>
      </c>
    </row>
    <row r="8138" spans="1:10" ht="26.25" hidden="1" thickBot="1" x14ac:dyDescent="0.3">
      <c r="A8138" s="264"/>
      <c r="B8138" s="260"/>
      <c r="C8138" s="40" t="s">
        <v>4637</v>
      </c>
      <c r="D8138" s="40" t="s">
        <v>291</v>
      </c>
      <c r="E8138" s="41">
        <v>1</v>
      </c>
      <c r="F8138" s="35">
        <v>345.31549999999999</v>
      </c>
      <c r="G8138" s="38">
        <f t="shared" si="229"/>
        <v>345.31549999999999</v>
      </c>
      <c r="H8138" s="43">
        <f>SUM(G8138:G8138)</f>
        <v>345.31549999999999</v>
      </c>
      <c r="I8138" s="44"/>
      <c r="J8138" s="34">
        <v>0</v>
      </c>
    </row>
    <row r="8139" spans="1:10" ht="15.75" hidden="1" thickBot="1" x14ac:dyDescent="0.3">
      <c r="A8139" s="265"/>
      <c r="B8139" s="261"/>
      <c r="C8139" s="60"/>
      <c r="D8139" s="60"/>
      <c r="E8139" s="79"/>
      <c r="F8139" s="87" t="s">
        <v>23</v>
      </c>
      <c r="G8139" s="88" t="str">
        <f t="shared" si="229"/>
        <v/>
      </c>
      <c r="H8139" s="89"/>
      <c r="I8139" s="35"/>
      <c r="J8139" s="34">
        <v>0</v>
      </c>
    </row>
    <row r="8140" spans="1:10" ht="15.75" hidden="1" thickBot="1" x14ac:dyDescent="0.3">
      <c r="A8140" s="256" t="s">
        <v>1968</v>
      </c>
      <c r="B8140" s="259" t="s">
        <v>3674</v>
      </c>
      <c r="C8140" s="28"/>
      <c r="D8140" s="29" t="s">
        <v>28</v>
      </c>
      <c r="E8140" s="30"/>
      <c r="F8140" s="45" t="s">
        <v>23</v>
      </c>
      <c r="G8140" s="31" t="str">
        <f t="shared" si="229"/>
        <v/>
      </c>
      <c r="H8140" s="32"/>
      <c r="I8140" s="33"/>
      <c r="J8140" s="34">
        <v>0</v>
      </c>
    </row>
    <row r="8141" spans="1:10" ht="15.75" hidden="1" thickBot="1" x14ac:dyDescent="0.3">
      <c r="A8141" s="264"/>
      <c r="B8141" s="260"/>
      <c r="C8141" s="36"/>
      <c r="D8141" s="36"/>
      <c r="E8141" s="37"/>
      <c r="F8141" s="46" t="s">
        <v>23</v>
      </c>
      <c r="G8141" s="38" t="str">
        <f t="shared" si="229"/>
        <v/>
      </c>
      <c r="H8141" s="39"/>
      <c r="I8141" s="35"/>
      <c r="J8141" s="34">
        <v>0</v>
      </c>
    </row>
    <row r="8142" spans="1:10" ht="26.25" hidden="1" thickBot="1" x14ac:dyDescent="0.3">
      <c r="A8142" s="264"/>
      <c r="B8142" s="260"/>
      <c r="C8142" s="40" t="s">
        <v>4638</v>
      </c>
      <c r="D8142" s="40" t="s">
        <v>291</v>
      </c>
      <c r="E8142" s="41">
        <v>1</v>
      </c>
      <c r="F8142" s="35">
        <v>274.1225</v>
      </c>
      <c r="G8142" s="38">
        <f t="shared" si="229"/>
        <v>274.1225</v>
      </c>
      <c r="H8142" s="43">
        <f>SUM(G8142:G8142)</f>
        <v>274.1225</v>
      </c>
      <c r="I8142" s="44"/>
      <c r="J8142" s="34">
        <v>0</v>
      </c>
    </row>
    <row r="8143" spans="1:10" ht="15.75" hidden="1" thickBot="1" x14ac:dyDescent="0.3">
      <c r="A8143" s="265"/>
      <c r="B8143" s="261"/>
      <c r="C8143" s="60"/>
      <c r="D8143" s="60"/>
      <c r="E8143" s="79"/>
      <c r="F8143" s="87" t="s">
        <v>23</v>
      </c>
      <c r="G8143" s="88" t="str">
        <f t="shared" si="229"/>
        <v/>
      </c>
      <c r="H8143" s="89"/>
      <c r="I8143" s="35"/>
      <c r="J8143" s="34">
        <v>0</v>
      </c>
    </row>
    <row r="8144" spans="1:10" ht="15.75" hidden="1" thickBot="1" x14ac:dyDescent="0.3">
      <c r="A8144" s="256" t="s">
        <v>1969</v>
      </c>
      <c r="B8144" s="259" t="s">
        <v>3675</v>
      </c>
      <c r="C8144" s="28"/>
      <c r="D8144" s="29" t="s">
        <v>28</v>
      </c>
      <c r="E8144" s="30"/>
      <c r="F8144" s="45" t="s">
        <v>23</v>
      </c>
      <c r="G8144" s="31" t="str">
        <f t="shared" si="229"/>
        <v/>
      </c>
      <c r="H8144" s="32"/>
      <c r="I8144" s="33"/>
      <c r="J8144" s="34">
        <v>0</v>
      </c>
    </row>
    <row r="8145" spans="1:10" ht="15.75" hidden="1" thickBot="1" x14ac:dyDescent="0.3">
      <c r="A8145" s="264"/>
      <c r="B8145" s="260"/>
      <c r="C8145" s="36"/>
      <c r="D8145" s="36"/>
      <c r="E8145" s="37"/>
      <c r="F8145" s="46" t="s">
        <v>23</v>
      </c>
      <c r="G8145" s="38" t="str">
        <f t="shared" si="229"/>
        <v/>
      </c>
      <c r="H8145" s="39"/>
      <c r="I8145" s="35"/>
      <c r="J8145" s="34">
        <v>0</v>
      </c>
    </row>
    <row r="8146" spans="1:10" ht="26.25" hidden="1" thickBot="1" x14ac:dyDescent="0.3">
      <c r="A8146" s="264"/>
      <c r="B8146" s="260"/>
      <c r="C8146" s="40" t="s">
        <v>4639</v>
      </c>
      <c r="D8146" s="40" t="s">
        <v>291</v>
      </c>
      <c r="E8146" s="41">
        <v>1</v>
      </c>
      <c r="F8146" s="35">
        <v>688.61699999999996</v>
      </c>
      <c r="G8146" s="38">
        <f t="shared" si="229"/>
        <v>688.61699999999996</v>
      </c>
      <c r="H8146" s="43">
        <f>SUM(G8146:G8146)</f>
        <v>688.61699999999996</v>
      </c>
      <c r="I8146" s="44"/>
      <c r="J8146" s="34">
        <v>0</v>
      </c>
    </row>
    <row r="8147" spans="1:10" ht="15.75" hidden="1" thickBot="1" x14ac:dyDescent="0.3">
      <c r="A8147" s="265"/>
      <c r="B8147" s="261"/>
      <c r="C8147" s="60"/>
      <c r="D8147" s="60"/>
      <c r="E8147" s="79"/>
      <c r="F8147" s="87" t="s">
        <v>23</v>
      </c>
      <c r="G8147" s="88" t="str">
        <f t="shared" si="229"/>
        <v/>
      </c>
      <c r="H8147" s="89"/>
      <c r="I8147" s="35"/>
      <c r="J8147" s="34">
        <v>0</v>
      </c>
    </row>
    <row r="8148" spans="1:10" ht="15.75" hidden="1" thickBot="1" x14ac:dyDescent="0.3">
      <c r="A8148" s="256" t="s">
        <v>1970</v>
      </c>
      <c r="B8148" s="259" t="s">
        <v>3676</v>
      </c>
      <c r="C8148" s="28"/>
      <c r="D8148" s="29" t="s">
        <v>28</v>
      </c>
      <c r="E8148" s="30"/>
      <c r="F8148" s="45" t="s">
        <v>23</v>
      </c>
      <c r="G8148" s="31" t="str">
        <f t="shared" si="229"/>
        <v/>
      </c>
      <c r="H8148" s="32"/>
      <c r="I8148" s="33"/>
      <c r="J8148" s="34">
        <v>0</v>
      </c>
    </row>
    <row r="8149" spans="1:10" ht="15.75" hidden="1" thickBot="1" x14ac:dyDescent="0.3">
      <c r="A8149" s="264"/>
      <c r="B8149" s="260"/>
      <c r="C8149" s="36"/>
      <c r="D8149" s="36"/>
      <c r="E8149" s="37"/>
      <c r="F8149" s="46" t="s">
        <v>23</v>
      </c>
      <c r="G8149" s="38" t="str">
        <f t="shared" si="229"/>
        <v/>
      </c>
      <c r="H8149" s="39"/>
      <c r="I8149" s="35"/>
      <c r="J8149" s="34">
        <v>0</v>
      </c>
    </row>
    <row r="8150" spans="1:10" ht="39" hidden="1" thickBot="1" x14ac:dyDescent="0.3">
      <c r="A8150" s="264"/>
      <c r="B8150" s="260"/>
      <c r="C8150" s="40" t="s">
        <v>3883</v>
      </c>
      <c r="D8150" s="40" t="s">
        <v>291</v>
      </c>
      <c r="E8150" s="41">
        <v>1</v>
      </c>
      <c r="F8150" s="35">
        <v>46.473999999999997</v>
      </c>
      <c r="G8150" s="38">
        <f t="shared" si="229"/>
        <v>46.473999999999997</v>
      </c>
      <c r="H8150" s="43">
        <f>SUM(G8150:G8150)</f>
        <v>46.473999999999997</v>
      </c>
      <c r="I8150" s="44"/>
      <c r="J8150" s="34">
        <v>0</v>
      </c>
    </row>
    <row r="8151" spans="1:10" ht="15.75" hidden="1" thickBot="1" x14ac:dyDescent="0.3">
      <c r="A8151" s="265"/>
      <c r="B8151" s="261"/>
      <c r="C8151" s="60"/>
      <c r="D8151" s="60"/>
      <c r="E8151" s="79"/>
      <c r="F8151" s="87" t="s">
        <v>23</v>
      </c>
      <c r="G8151" s="88" t="str">
        <f t="shared" si="229"/>
        <v/>
      </c>
      <c r="H8151" s="89"/>
      <c r="I8151" s="35"/>
      <c r="J8151" s="34">
        <v>0</v>
      </c>
    </row>
    <row r="8152" spans="1:10" ht="15.75" hidden="1" thickBot="1" x14ac:dyDescent="0.3">
      <c r="A8152" s="256" t="s">
        <v>1971</v>
      </c>
      <c r="B8152" s="259" t="s">
        <v>3677</v>
      </c>
      <c r="C8152" s="28"/>
      <c r="D8152" s="29" t="s">
        <v>28</v>
      </c>
      <c r="E8152" s="30"/>
      <c r="F8152" s="45" t="s">
        <v>23</v>
      </c>
      <c r="G8152" s="31" t="str">
        <f t="shared" si="229"/>
        <v/>
      </c>
      <c r="H8152" s="32"/>
      <c r="I8152" s="33"/>
      <c r="J8152" s="34">
        <v>0</v>
      </c>
    </row>
    <row r="8153" spans="1:10" ht="15.75" hidden="1" thickBot="1" x14ac:dyDescent="0.3">
      <c r="A8153" s="264"/>
      <c r="B8153" s="260"/>
      <c r="C8153" s="36"/>
      <c r="D8153" s="36"/>
      <c r="E8153" s="37"/>
      <c r="F8153" s="46" t="s">
        <v>23</v>
      </c>
      <c r="G8153" s="38" t="str">
        <f t="shared" si="229"/>
        <v/>
      </c>
      <c r="H8153" s="39"/>
      <c r="I8153" s="35"/>
      <c r="J8153" s="34">
        <v>0</v>
      </c>
    </row>
    <row r="8154" spans="1:10" ht="26.25" hidden="1" thickBot="1" x14ac:dyDescent="0.3">
      <c r="A8154" s="264"/>
      <c r="B8154" s="260"/>
      <c r="C8154" s="40" t="s">
        <v>4640</v>
      </c>
      <c r="D8154" s="40" t="s">
        <v>291</v>
      </c>
      <c r="E8154" s="41">
        <v>1</v>
      </c>
      <c r="F8154" s="35">
        <v>13.233499999999999</v>
      </c>
      <c r="G8154" s="38">
        <f t="shared" si="229"/>
        <v>13.233499999999999</v>
      </c>
      <c r="H8154" s="43">
        <f>SUM(G8154:G8154)</f>
        <v>13.233499999999999</v>
      </c>
      <c r="I8154" s="44"/>
      <c r="J8154" s="34">
        <v>0</v>
      </c>
    </row>
    <row r="8155" spans="1:10" ht="15.75" hidden="1" thickBot="1" x14ac:dyDescent="0.3">
      <c r="A8155" s="265"/>
      <c r="B8155" s="261"/>
      <c r="C8155" s="60"/>
      <c r="D8155" s="60"/>
      <c r="E8155" s="79"/>
      <c r="F8155" s="87" t="s">
        <v>23</v>
      </c>
      <c r="G8155" s="88" t="str">
        <f t="shared" si="229"/>
        <v/>
      </c>
      <c r="H8155" s="89"/>
      <c r="I8155" s="35"/>
      <c r="J8155" s="34">
        <v>0</v>
      </c>
    </row>
    <row r="8156" spans="1:10" ht="15.75" hidden="1" thickBot="1" x14ac:dyDescent="0.3">
      <c r="A8156" s="256" t="s">
        <v>1972</v>
      </c>
      <c r="B8156" s="259" t="s">
        <v>3678</v>
      </c>
      <c r="C8156" s="28"/>
      <c r="D8156" s="29" t="s">
        <v>28</v>
      </c>
      <c r="E8156" s="30"/>
      <c r="F8156" s="45" t="s">
        <v>23</v>
      </c>
      <c r="G8156" s="31" t="str">
        <f t="shared" si="229"/>
        <v/>
      </c>
      <c r="H8156" s="32"/>
      <c r="I8156" s="33"/>
      <c r="J8156" s="34">
        <v>0</v>
      </c>
    </row>
    <row r="8157" spans="1:10" ht="15.75" hidden="1" thickBot="1" x14ac:dyDescent="0.3">
      <c r="A8157" s="264"/>
      <c r="B8157" s="260"/>
      <c r="C8157" s="36"/>
      <c r="D8157" s="36"/>
      <c r="E8157" s="37"/>
      <c r="F8157" s="46" t="s">
        <v>23</v>
      </c>
      <c r="G8157" s="38" t="str">
        <f t="shared" si="229"/>
        <v/>
      </c>
      <c r="H8157" s="39"/>
      <c r="I8157" s="35"/>
      <c r="J8157" s="34">
        <v>0</v>
      </c>
    </row>
    <row r="8158" spans="1:10" ht="26.25" hidden="1" thickBot="1" x14ac:dyDescent="0.3">
      <c r="A8158" s="264"/>
      <c r="B8158" s="260"/>
      <c r="C8158" s="40" t="s">
        <v>4641</v>
      </c>
      <c r="D8158" s="40" t="s">
        <v>291</v>
      </c>
      <c r="E8158" s="41">
        <v>1</v>
      </c>
      <c r="F8158" s="35">
        <v>17.099999999999998</v>
      </c>
      <c r="G8158" s="38">
        <f t="shared" si="229"/>
        <v>17.099999999999998</v>
      </c>
      <c r="H8158" s="43">
        <f>SUM(G8158:G8158)</f>
        <v>17.099999999999998</v>
      </c>
      <c r="I8158" s="44"/>
      <c r="J8158" s="34">
        <v>0</v>
      </c>
    </row>
    <row r="8159" spans="1:10" ht="15.75" hidden="1" thickBot="1" x14ac:dyDescent="0.3">
      <c r="A8159" s="265"/>
      <c r="B8159" s="261"/>
      <c r="C8159" s="60"/>
      <c r="D8159" s="60"/>
      <c r="E8159" s="79"/>
      <c r="F8159" s="87" t="s">
        <v>23</v>
      </c>
      <c r="G8159" s="88" t="str">
        <f t="shared" si="229"/>
        <v/>
      </c>
      <c r="H8159" s="89"/>
      <c r="I8159" s="35"/>
      <c r="J8159" s="34">
        <v>0</v>
      </c>
    </row>
    <row r="8160" spans="1:10" ht="15.75" hidden="1" thickBot="1" x14ac:dyDescent="0.3">
      <c r="A8160" s="256" t="s">
        <v>1973</v>
      </c>
      <c r="B8160" s="259" t="s">
        <v>3679</v>
      </c>
      <c r="C8160" s="28"/>
      <c r="D8160" s="29" t="s">
        <v>28</v>
      </c>
      <c r="E8160" s="30"/>
      <c r="F8160" s="45" t="s">
        <v>23</v>
      </c>
      <c r="G8160" s="31" t="str">
        <f t="shared" si="229"/>
        <v/>
      </c>
      <c r="H8160" s="32"/>
      <c r="I8160" s="33"/>
      <c r="J8160" s="34">
        <v>0</v>
      </c>
    </row>
    <row r="8161" spans="1:10" ht="15.75" hidden="1" thickBot="1" x14ac:dyDescent="0.3">
      <c r="A8161" s="264"/>
      <c r="B8161" s="260"/>
      <c r="C8161" s="36"/>
      <c r="D8161" s="36"/>
      <c r="E8161" s="37"/>
      <c r="F8161" s="46" t="s">
        <v>23</v>
      </c>
      <c r="G8161" s="38" t="str">
        <f t="shared" si="229"/>
        <v/>
      </c>
      <c r="H8161" s="39"/>
      <c r="I8161" s="35"/>
      <c r="J8161" s="34">
        <v>0</v>
      </c>
    </row>
    <row r="8162" spans="1:10" ht="26.25" hidden="1" thickBot="1" x14ac:dyDescent="0.3">
      <c r="A8162" s="264"/>
      <c r="B8162" s="260"/>
      <c r="C8162" s="40" t="s">
        <v>4642</v>
      </c>
      <c r="D8162" s="40" t="s">
        <v>291</v>
      </c>
      <c r="E8162" s="41">
        <v>1</v>
      </c>
      <c r="F8162" s="35">
        <v>6.8209999999999997</v>
      </c>
      <c r="G8162" s="38">
        <f t="shared" si="229"/>
        <v>6.8209999999999997</v>
      </c>
      <c r="H8162" s="43">
        <f>SUM(G8162:G8162)</f>
        <v>6.8209999999999997</v>
      </c>
      <c r="I8162" s="44"/>
      <c r="J8162" s="34">
        <v>0</v>
      </c>
    </row>
    <row r="8163" spans="1:10" ht="15.75" hidden="1" thickBot="1" x14ac:dyDescent="0.3">
      <c r="A8163" s="265"/>
      <c r="B8163" s="261"/>
      <c r="C8163" s="60"/>
      <c r="D8163" s="60"/>
      <c r="E8163" s="79"/>
      <c r="F8163" s="87" t="s">
        <v>23</v>
      </c>
      <c r="G8163" s="88" t="str">
        <f t="shared" si="229"/>
        <v/>
      </c>
      <c r="H8163" s="89"/>
      <c r="I8163" s="35"/>
      <c r="J8163" s="34">
        <v>0</v>
      </c>
    </row>
    <row r="8164" spans="1:10" ht="15.75" hidden="1" thickBot="1" x14ac:dyDescent="0.3">
      <c r="A8164" s="256" t="s">
        <v>1974</v>
      </c>
      <c r="B8164" s="259" t="s">
        <v>3680</v>
      </c>
      <c r="C8164" s="28"/>
      <c r="D8164" s="29" t="s">
        <v>28</v>
      </c>
      <c r="E8164" s="30"/>
      <c r="F8164" s="45" t="s">
        <v>23</v>
      </c>
      <c r="G8164" s="31" t="str">
        <f t="shared" si="229"/>
        <v/>
      </c>
      <c r="H8164" s="32"/>
      <c r="I8164" s="33"/>
      <c r="J8164" s="34">
        <v>0</v>
      </c>
    </row>
    <row r="8165" spans="1:10" ht="15.75" hidden="1" thickBot="1" x14ac:dyDescent="0.3">
      <c r="A8165" s="264"/>
      <c r="B8165" s="260"/>
      <c r="C8165" s="36"/>
      <c r="D8165" s="36"/>
      <c r="E8165" s="37"/>
      <c r="F8165" s="46" t="s">
        <v>23</v>
      </c>
      <c r="G8165" s="38" t="str">
        <f t="shared" si="229"/>
        <v/>
      </c>
      <c r="H8165" s="39"/>
      <c r="I8165" s="35"/>
      <c r="J8165" s="34">
        <v>0</v>
      </c>
    </row>
    <row r="8166" spans="1:10" ht="15.75" hidden="1" thickBot="1" x14ac:dyDescent="0.3">
      <c r="A8166" s="264"/>
      <c r="B8166" s="260"/>
      <c r="C8166" s="40" t="s">
        <v>4643</v>
      </c>
      <c r="D8166" s="40" t="s">
        <v>291</v>
      </c>
      <c r="E8166" s="41">
        <v>1</v>
      </c>
      <c r="F8166" s="35">
        <v>1.1779999999999999</v>
      </c>
      <c r="G8166" s="38">
        <f t="shared" si="229"/>
        <v>1.1779999999999999</v>
      </c>
      <c r="H8166" s="43">
        <f>SUM(G8166:G8166)</f>
        <v>1.1779999999999999</v>
      </c>
      <c r="I8166" s="44"/>
      <c r="J8166" s="34">
        <v>0</v>
      </c>
    </row>
    <row r="8167" spans="1:10" ht="15.75" hidden="1" thickBot="1" x14ac:dyDescent="0.3">
      <c r="A8167" s="265"/>
      <c r="B8167" s="261"/>
      <c r="C8167" s="60"/>
      <c r="D8167" s="60"/>
      <c r="E8167" s="79"/>
      <c r="F8167" s="87" t="s">
        <v>23</v>
      </c>
      <c r="G8167" s="88" t="str">
        <f t="shared" si="229"/>
        <v/>
      </c>
      <c r="H8167" s="89"/>
      <c r="I8167" s="35"/>
      <c r="J8167" s="34">
        <v>0</v>
      </c>
    </row>
    <row r="8168" spans="1:10" ht="15.75" hidden="1" thickBot="1" x14ac:dyDescent="0.3">
      <c r="A8168" s="256" t="s">
        <v>1975</v>
      </c>
      <c r="B8168" s="259" t="s">
        <v>3681</v>
      </c>
      <c r="C8168" s="28"/>
      <c r="D8168" s="29" t="s">
        <v>28</v>
      </c>
      <c r="E8168" s="30"/>
      <c r="F8168" s="45" t="s">
        <v>23</v>
      </c>
      <c r="G8168" s="31" t="str">
        <f t="shared" si="229"/>
        <v/>
      </c>
      <c r="H8168" s="32"/>
      <c r="I8168" s="33"/>
      <c r="J8168" s="34">
        <v>0</v>
      </c>
    </row>
    <row r="8169" spans="1:10" ht="15.75" hidden="1" thickBot="1" x14ac:dyDescent="0.3">
      <c r="A8169" s="264"/>
      <c r="B8169" s="260"/>
      <c r="C8169" s="36"/>
      <c r="D8169" s="36"/>
      <c r="E8169" s="37"/>
      <c r="F8169" s="46" t="s">
        <v>23</v>
      </c>
      <c r="G8169" s="38" t="str">
        <f t="shared" si="229"/>
        <v/>
      </c>
      <c r="H8169" s="39"/>
      <c r="I8169" s="35"/>
      <c r="J8169" s="34">
        <v>0</v>
      </c>
    </row>
    <row r="8170" spans="1:10" ht="26.25" hidden="1" thickBot="1" x14ac:dyDescent="0.3">
      <c r="A8170" s="264"/>
      <c r="B8170" s="260"/>
      <c r="C8170" s="40" t="s">
        <v>4644</v>
      </c>
      <c r="D8170" s="40" t="s">
        <v>291</v>
      </c>
      <c r="E8170" s="41">
        <v>1</v>
      </c>
      <c r="F8170" s="35">
        <v>18.5915</v>
      </c>
      <c r="G8170" s="38">
        <f t="shared" si="229"/>
        <v>18.5915</v>
      </c>
      <c r="H8170" s="43">
        <f>SUM(G8170:G8170)</f>
        <v>18.5915</v>
      </c>
      <c r="I8170" s="44"/>
      <c r="J8170" s="34">
        <v>0</v>
      </c>
    </row>
    <row r="8171" spans="1:10" ht="15.75" hidden="1" thickBot="1" x14ac:dyDescent="0.3">
      <c r="A8171" s="265"/>
      <c r="B8171" s="261"/>
      <c r="C8171" s="60"/>
      <c r="D8171" s="60"/>
      <c r="E8171" s="79"/>
      <c r="F8171" s="87" t="s">
        <v>23</v>
      </c>
      <c r="G8171" s="88" t="str">
        <f t="shared" si="229"/>
        <v/>
      </c>
      <c r="H8171" s="89"/>
      <c r="I8171" s="35"/>
      <c r="J8171" s="34">
        <v>0</v>
      </c>
    </row>
    <row r="8172" spans="1:10" ht="15.75" hidden="1" thickBot="1" x14ac:dyDescent="0.3">
      <c r="A8172" s="256" t="s">
        <v>1976</v>
      </c>
      <c r="B8172" s="259" t="s">
        <v>3682</v>
      </c>
      <c r="C8172" s="28"/>
      <c r="D8172" s="29" t="s">
        <v>28</v>
      </c>
      <c r="E8172" s="30"/>
      <c r="F8172" s="45" t="s">
        <v>23</v>
      </c>
      <c r="G8172" s="31" t="str">
        <f t="shared" si="229"/>
        <v/>
      </c>
      <c r="H8172" s="32"/>
      <c r="I8172" s="33"/>
      <c r="J8172" s="34">
        <v>0</v>
      </c>
    </row>
    <row r="8173" spans="1:10" ht="15.75" hidden="1" thickBot="1" x14ac:dyDescent="0.3">
      <c r="A8173" s="264"/>
      <c r="B8173" s="260"/>
      <c r="C8173" s="36"/>
      <c r="D8173" s="36"/>
      <c r="E8173" s="37"/>
      <c r="F8173" s="46" t="s">
        <v>23</v>
      </c>
      <c r="G8173" s="38" t="str">
        <f t="shared" si="229"/>
        <v/>
      </c>
      <c r="H8173" s="39"/>
      <c r="I8173" s="35"/>
      <c r="J8173" s="34">
        <v>0</v>
      </c>
    </row>
    <row r="8174" spans="1:10" ht="26.25" hidden="1" thickBot="1" x14ac:dyDescent="0.3">
      <c r="A8174" s="264"/>
      <c r="B8174" s="260"/>
      <c r="C8174" s="40" t="s">
        <v>4645</v>
      </c>
      <c r="D8174" s="40" t="s">
        <v>291</v>
      </c>
      <c r="E8174" s="41">
        <v>1</v>
      </c>
      <c r="F8174" s="35">
        <v>46.606999999999999</v>
      </c>
      <c r="G8174" s="38">
        <f t="shared" si="229"/>
        <v>46.606999999999999</v>
      </c>
      <c r="H8174" s="43">
        <f>SUM(G8174:G8174)</f>
        <v>46.606999999999999</v>
      </c>
      <c r="I8174" s="44"/>
      <c r="J8174" s="34">
        <v>0</v>
      </c>
    </row>
    <row r="8175" spans="1:10" ht="15.75" hidden="1" thickBot="1" x14ac:dyDescent="0.3">
      <c r="A8175" s="265"/>
      <c r="B8175" s="261"/>
      <c r="C8175" s="60"/>
      <c r="D8175" s="60"/>
      <c r="E8175" s="79"/>
      <c r="F8175" s="87" t="s">
        <v>23</v>
      </c>
      <c r="G8175" s="88" t="str">
        <f t="shared" si="229"/>
        <v/>
      </c>
      <c r="H8175" s="89"/>
      <c r="I8175" s="35"/>
      <c r="J8175" s="34">
        <v>0</v>
      </c>
    </row>
    <row r="8176" spans="1:10" ht="15.75" hidden="1" thickBot="1" x14ac:dyDescent="0.3">
      <c r="A8176" s="256" t="s">
        <v>1977</v>
      </c>
      <c r="B8176" s="259" t="s">
        <v>3683</v>
      </c>
      <c r="C8176" s="28"/>
      <c r="D8176" s="29" t="s">
        <v>28</v>
      </c>
      <c r="E8176" s="30"/>
      <c r="F8176" s="45" t="s">
        <v>23</v>
      </c>
      <c r="G8176" s="31" t="str">
        <f t="shared" si="229"/>
        <v/>
      </c>
      <c r="H8176" s="32"/>
      <c r="I8176" s="33"/>
      <c r="J8176" s="34">
        <v>0</v>
      </c>
    </row>
    <row r="8177" spans="1:10" ht="15.75" hidden="1" thickBot="1" x14ac:dyDescent="0.3">
      <c r="A8177" s="264"/>
      <c r="B8177" s="260"/>
      <c r="C8177" s="36"/>
      <c r="D8177" s="36"/>
      <c r="E8177" s="37"/>
      <c r="F8177" s="46" t="s">
        <v>23</v>
      </c>
      <c r="G8177" s="38" t="str">
        <f t="shared" si="229"/>
        <v/>
      </c>
      <c r="H8177" s="39"/>
      <c r="I8177" s="35"/>
      <c r="J8177" s="34">
        <v>0</v>
      </c>
    </row>
    <row r="8178" spans="1:10" ht="26.25" hidden="1" thickBot="1" x14ac:dyDescent="0.3">
      <c r="A8178" s="264"/>
      <c r="B8178" s="260"/>
      <c r="C8178" s="40" t="s">
        <v>4646</v>
      </c>
      <c r="D8178" s="40" t="s">
        <v>291</v>
      </c>
      <c r="E8178" s="41">
        <v>1</v>
      </c>
      <c r="F8178" s="35">
        <v>7.5525000000000002</v>
      </c>
      <c r="G8178" s="38">
        <f t="shared" si="229"/>
        <v>7.5525000000000002</v>
      </c>
      <c r="H8178" s="43">
        <f>SUM(G8178:G8178)</f>
        <v>7.5525000000000002</v>
      </c>
      <c r="I8178" s="44"/>
      <c r="J8178" s="34">
        <v>0</v>
      </c>
    </row>
    <row r="8179" spans="1:10" ht="15.75" hidden="1" thickBot="1" x14ac:dyDescent="0.3">
      <c r="A8179" s="265"/>
      <c r="B8179" s="261"/>
      <c r="C8179" s="60"/>
      <c r="D8179" s="60"/>
      <c r="E8179" s="79"/>
      <c r="F8179" s="87" t="s">
        <v>23</v>
      </c>
      <c r="G8179" s="88" t="str">
        <f t="shared" si="229"/>
        <v/>
      </c>
      <c r="H8179" s="89"/>
      <c r="I8179" s="35"/>
      <c r="J8179" s="34">
        <v>0</v>
      </c>
    </row>
    <row r="8180" spans="1:10" ht="15.75" hidden="1" thickBot="1" x14ac:dyDescent="0.3">
      <c r="A8180" s="256" t="s">
        <v>1978</v>
      </c>
      <c r="B8180" s="259" t="s">
        <v>3684</v>
      </c>
      <c r="C8180" s="28"/>
      <c r="D8180" s="29" t="s">
        <v>28</v>
      </c>
      <c r="E8180" s="30"/>
      <c r="F8180" s="45" t="s">
        <v>23</v>
      </c>
      <c r="G8180" s="31" t="str">
        <f t="shared" si="229"/>
        <v/>
      </c>
      <c r="H8180" s="32"/>
      <c r="I8180" s="33"/>
      <c r="J8180" s="34">
        <v>0</v>
      </c>
    </row>
    <row r="8181" spans="1:10" ht="15.75" hidden="1" thickBot="1" x14ac:dyDescent="0.3">
      <c r="A8181" s="264"/>
      <c r="B8181" s="260"/>
      <c r="C8181" s="36"/>
      <c r="D8181" s="36"/>
      <c r="E8181" s="37"/>
      <c r="F8181" s="46" t="s">
        <v>23</v>
      </c>
      <c r="G8181" s="38" t="str">
        <f t="shared" si="229"/>
        <v/>
      </c>
      <c r="H8181" s="39"/>
      <c r="I8181" s="35"/>
      <c r="J8181" s="34">
        <v>0</v>
      </c>
    </row>
    <row r="8182" spans="1:10" ht="26.25" hidden="1" thickBot="1" x14ac:dyDescent="0.3">
      <c r="A8182" s="264"/>
      <c r="B8182" s="260"/>
      <c r="C8182" s="40" t="s">
        <v>4647</v>
      </c>
      <c r="D8182" s="40" t="s">
        <v>291</v>
      </c>
      <c r="E8182" s="41">
        <v>1</v>
      </c>
      <c r="F8182" s="35">
        <v>11.1625</v>
      </c>
      <c r="G8182" s="38">
        <f t="shared" si="229"/>
        <v>11.1625</v>
      </c>
      <c r="H8182" s="43">
        <f>SUM(G8182:G8182)</f>
        <v>11.1625</v>
      </c>
      <c r="I8182" s="44"/>
      <c r="J8182" s="34">
        <v>0</v>
      </c>
    </row>
    <row r="8183" spans="1:10" ht="15.75" hidden="1" thickBot="1" x14ac:dyDescent="0.3">
      <c r="A8183" s="265"/>
      <c r="B8183" s="261"/>
      <c r="C8183" s="60"/>
      <c r="D8183" s="60"/>
      <c r="E8183" s="79"/>
      <c r="F8183" s="87" t="s">
        <v>23</v>
      </c>
      <c r="G8183" s="88" t="str">
        <f t="shared" si="229"/>
        <v/>
      </c>
      <c r="H8183" s="89"/>
      <c r="I8183" s="35"/>
      <c r="J8183" s="34">
        <v>0</v>
      </c>
    </row>
    <row r="8184" spans="1:10" ht="15.75" thickBot="1" x14ac:dyDescent="0.3">
      <c r="A8184" s="256" t="s">
        <v>1</v>
      </c>
      <c r="B8184" s="259" t="s">
        <v>3687</v>
      </c>
      <c r="C8184" s="28"/>
      <c r="D8184" s="29" t="s">
        <v>2</v>
      </c>
      <c r="E8184" s="30"/>
      <c r="F8184" s="45" t="s">
        <v>23</v>
      </c>
      <c r="G8184" s="31" t="str">
        <f t="shared" si="229"/>
        <v/>
      </c>
      <c r="H8184" s="32"/>
      <c r="I8184" s="33"/>
      <c r="J8184" s="34">
        <v>1</v>
      </c>
    </row>
    <row r="8185" spans="1:10" x14ac:dyDescent="0.25">
      <c r="A8185" s="264"/>
      <c r="B8185" s="260"/>
      <c r="C8185" s="36"/>
      <c r="D8185" s="36"/>
      <c r="E8185" s="37"/>
      <c r="F8185" s="46" t="s">
        <v>23</v>
      </c>
      <c r="G8185" s="38" t="str">
        <f t="shared" si="229"/>
        <v/>
      </c>
      <c r="H8185" s="39"/>
      <c r="I8185" s="35"/>
      <c r="J8185" s="34">
        <v>1</v>
      </c>
    </row>
    <row r="8186" spans="1:10" x14ac:dyDescent="0.25">
      <c r="A8186" s="264"/>
      <c r="B8186" s="260"/>
      <c r="C8186" s="40" t="s">
        <v>3806</v>
      </c>
      <c r="D8186" s="40" t="s">
        <v>3778</v>
      </c>
      <c r="E8186" s="75">
        <f>ROUND(1/(1+70.4%),4)</f>
        <v>0.58689999999999998</v>
      </c>
      <c r="F8186" s="35">
        <v>21325.922999999999</v>
      </c>
      <c r="G8186" s="35">
        <f t="shared" si="229"/>
        <v>12516.184208699999</v>
      </c>
      <c r="H8186" s="43">
        <f>SUM(G8186:G8186)</f>
        <v>12516.184208699999</v>
      </c>
      <c r="I8186" s="44"/>
      <c r="J8186" s="34">
        <v>1</v>
      </c>
    </row>
    <row r="8187" spans="1:10" ht="15.75" thickBot="1" x14ac:dyDescent="0.3">
      <c r="A8187" s="265"/>
      <c r="B8187" s="261"/>
      <c r="C8187" s="60"/>
      <c r="D8187" s="60"/>
      <c r="E8187" s="79"/>
      <c r="F8187" s="87" t="s">
        <v>23</v>
      </c>
      <c r="G8187" s="88" t="str">
        <f t="shared" si="229"/>
        <v/>
      </c>
      <c r="H8187" s="89"/>
      <c r="I8187" s="35"/>
      <c r="J8187" s="34">
        <v>1</v>
      </c>
    </row>
    <row r="8188" spans="1:10" ht="15.75" thickBot="1" x14ac:dyDescent="0.3">
      <c r="A8188" s="256" t="s">
        <v>1979</v>
      </c>
      <c r="B8188" s="259" t="s">
        <v>3688</v>
      </c>
      <c r="C8188" s="28"/>
      <c r="D8188" s="29" t="s">
        <v>78</v>
      </c>
      <c r="E8188" s="30"/>
      <c r="F8188" s="45" t="s">
        <v>23</v>
      </c>
      <c r="G8188" s="31" t="str">
        <f t="shared" si="229"/>
        <v/>
      </c>
      <c r="H8188" s="32"/>
      <c r="I8188" s="33"/>
      <c r="J8188" s="34">
        <v>300</v>
      </c>
    </row>
    <row r="8189" spans="1:10" x14ac:dyDescent="0.25">
      <c r="A8189" s="264"/>
      <c r="B8189" s="260"/>
      <c r="C8189" s="36"/>
      <c r="D8189" s="36"/>
      <c r="E8189" s="37"/>
      <c r="F8189" s="46" t="s">
        <v>23</v>
      </c>
      <c r="G8189" s="38" t="str">
        <f t="shared" ref="G8189:G8252" si="230">IF(ISNUMBER(F8189),E8189*F8189,"")</f>
        <v/>
      </c>
      <c r="H8189" s="39"/>
      <c r="I8189" s="35"/>
      <c r="J8189" s="34">
        <v>300</v>
      </c>
    </row>
    <row r="8190" spans="1:10" x14ac:dyDescent="0.25">
      <c r="A8190" s="264"/>
      <c r="B8190" s="260"/>
      <c r="C8190" s="40" t="s">
        <v>3986</v>
      </c>
      <c r="D8190" s="40" t="s">
        <v>177</v>
      </c>
      <c r="E8190" s="41">
        <v>1</v>
      </c>
      <c r="F8190" s="35">
        <v>121.78999999999998</v>
      </c>
      <c r="G8190" s="38">
        <f t="shared" si="230"/>
        <v>121.78999999999998</v>
      </c>
      <c r="H8190" s="43">
        <f>SUM(G8190:G8196)</f>
        <v>249.21627399999994</v>
      </c>
      <c r="I8190" s="44"/>
      <c r="J8190" s="34">
        <v>300</v>
      </c>
    </row>
    <row r="8191" spans="1:10" ht="38.25" x14ac:dyDescent="0.25">
      <c r="A8191" s="264"/>
      <c r="B8191" s="260"/>
      <c r="C8191" s="40" t="s">
        <v>4148</v>
      </c>
      <c r="D8191" s="40" t="s">
        <v>291</v>
      </c>
      <c r="E8191" s="41">
        <v>2.1960000000000002</v>
      </c>
      <c r="F8191" s="35">
        <v>0.35149999999999998</v>
      </c>
      <c r="G8191" s="38">
        <f t="shared" si="230"/>
        <v>0.77189399999999997</v>
      </c>
      <c r="H8191" s="39"/>
      <c r="I8191" s="44"/>
      <c r="J8191" s="34">
        <v>300</v>
      </c>
    </row>
    <row r="8192" spans="1:10" x14ac:dyDescent="0.25">
      <c r="A8192" s="264"/>
      <c r="B8192" s="260"/>
      <c r="C8192" s="40" t="s">
        <v>3834</v>
      </c>
      <c r="D8192" s="40" t="s">
        <v>1035</v>
      </c>
      <c r="E8192" s="41">
        <v>0.96399999999999997</v>
      </c>
      <c r="F8192" s="35">
        <v>37.619999999999997</v>
      </c>
      <c r="G8192" s="38">
        <f t="shared" si="230"/>
        <v>36.265679999999996</v>
      </c>
      <c r="H8192" s="39"/>
      <c r="I8192" s="44"/>
      <c r="J8192" s="34">
        <v>300</v>
      </c>
    </row>
    <row r="8193" spans="1:10" ht="25.5" x14ac:dyDescent="0.25">
      <c r="A8193" s="264"/>
      <c r="B8193" s="260"/>
      <c r="C8193" s="40" t="s">
        <v>3960</v>
      </c>
      <c r="D8193" s="40" t="s">
        <v>1286</v>
      </c>
      <c r="E8193" s="41">
        <v>2.992</v>
      </c>
      <c r="F8193" s="35">
        <v>2.2989999999999999</v>
      </c>
      <c r="G8193" s="38">
        <f t="shared" si="230"/>
        <v>6.8786079999999998</v>
      </c>
      <c r="H8193" s="39"/>
      <c r="I8193" s="44"/>
      <c r="J8193" s="34">
        <v>300</v>
      </c>
    </row>
    <row r="8194" spans="1:10" x14ac:dyDescent="0.25">
      <c r="A8194" s="264"/>
      <c r="B8194" s="260"/>
      <c r="C8194" s="40" t="s">
        <v>3831</v>
      </c>
      <c r="D8194" s="40" t="s">
        <v>291</v>
      </c>
      <c r="E8194" s="41">
        <v>0.39700000000000002</v>
      </c>
      <c r="F8194" s="35">
        <v>26.125</v>
      </c>
      <c r="G8194" s="38">
        <f t="shared" si="230"/>
        <v>10.371625</v>
      </c>
      <c r="H8194" s="39"/>
      <c r="I8194" s="44"/>
      <c r="J8194" s="34">
        <v>300</v>
      </c>
    </row>
    <row r="8195" spans="1:10" x14ac:dyDescent="0.25">
      <c r="A8195" s="264"/>
      <c r="B8195" s="260"/>
      <c r="C8195" s="40" t="s">
        <v>3754</v>
      </c>
      <c r="D8195" s="40" t="s">
        <v>3752</v>
      </c>
      <c r="E8195" s="41">
        <v>1.542</v>
      </c>
      <c r="F8195" s="35">
        <v>20.814499999999999</v>
      </c>
      <c r="G8195" s="38">
        <f t="shared" si="230"/>
        <v>32.095959000000001</v>
      </c>
      <c r="H8195" s="39"/>
      <c r="I8195" s="44"/>
      <c r="J8195" s="34">
        <v>300</v>
      </c>
    </row>
    <row r="8196" spans="1:10" x14ac:dyDescent="0.25">
      <c r="A8196" s="264"/>
      <c r="B8196" s="260"/>
      <c r="C8196" s="40" t="s">
        <v>3767</v>
      </c>
      <c r="D8196" s="40" t="s">
        <v>3752</v>
      </c>
      <c r="E8196" s="41">
        <v>1.5860000000000001</v>
      </c>
      <c r="F8196" s="35">
        <v>25.877999999999997</v>
      </c>
      <c r="G8196" s="38">
        <f t="shared" si="230"/>
        <v>41.042507999999998</v>
      </c>
      <c r="H8196" s="39"/>
      <c r="I8196" s="44"/>
      <c r="J8196" s="34">
        <v>300</v>
      </c>
    </row>
    <row r="8197" spans="1:10" ht="15.75" thickBot="1" x14ac:dyDescent="0.3">
      <c r="A8197" s="265"/>
      <c r="B8197" s="261"/>
      <c r="C8197" s="60"/>
      <c r="D8197" s="60"/>
      <c r="E8197" s="79"/>
      <c r="F8197" s="87" t="s">
        <v>23</v>
      </c>
      <c r="G8197" s="88" t="str">
        <f t="shared" si="230"/>
        <v/>
      </c>
      <c r="H8197" s="89"/>
      <c r="I8197" s="35"/>
      <c r="J8197" s="34">
        <v>300</v>
      </c>
    </row>
    <row r="8198" spans="1:10" ht="15.75" thickBot="1" x14ac:dyDescent="0.3">
      <c r="A8198" s="256" t="s">
        <v>1980</v>
      </c>
      <c r="B8198" s="259" t="s">
        <v>3689</v>
      </c>
      <c r="C8198" s="28"/>
      <c r="D8198" s="29" t="s">
        <v>78</v>
      </c>
      <c r="E8198" s="30"/>
      <c r="F8198" s="45" t="s">
        <v>23</v>
      </c>
      <c r="G8198" s="31" t="str">
        <f t="shared" si="230"/>
        <v/>
      </c>
      <c r="H8198" s="32"/>
      <c r="I8198" s="33"/>
      <c r="J8198" s="34">
        <v>300</v>
      </c>
    </row>
    <row r="8199" spans="1:10" x14ac:dyDescent="0.25">
      <c r="A8199" s="264"/>
      <c r="B8199" s="260"/>
      <c r="C8199" s="36"/>
      <c r="D8199" s="36"/>
      <c r="E8199" s="37"/>
      <c r="F8199" s="46" t="s">
        <v>23</v>
      </c>
      <c r="G8199" s="38" t="str">
        <f t="shared" si="230"/>
        <v/>
      </c>
      <c r="H8199" s="39"/>
      <c r="I8199" s="35"/>
      <c r="J8199" s="34">
        <v>300</v>
      </c>
    </row>
    <row r="8200" spans="1:10" x14ac:dyDescent="0.25">
      <c r="A8200" s="264"/>
      <c r="B8200" s="260"/>
      <c r="C8200" s="40" t="s">
        <v>3986</v>
      </c>
      <c r="D8200" s="40" t="s">
        <v>177</v>
      </c>
      <c r="E8200" s="41">
        <v>1</v>
      </c>
      <c r="F8200" s="35">
        <v>121.78999999999998</v>
      </c>
      <c r="G8200" s="38">
        <f t="shared" si="230"/>
        <v>121.78999999999998</v>
      </c>
      <c r="H8200" s="43">
        <f>SUM(G8200:G8206)</f>
        <v>249.21627399999994</v>
      </c>
      <c r="I8200" s="44"/>
      <c r="J8200" s="34">
        <v>300</v>
      </c>
    </row>
    <row r="8201" spans="1:10" ht="38.25" x14ac:dyDescent="0.25">
      <c r="A8201" s="264"/>
      <c r="B8201" s="260"/>
      <c r="C8201" s="40" t="s">
        <v>4148</v>
      </c>
      <c r="D8201" s="40" t="s">
        <v>291</v>
      </c>
      <c r="E8201" s="41">
        <v>2.1960000000000002</v>
      </c>
      <c r="F8201" s="35">
        <v>0.35149999999999998</v>
      </c>
      <c r="G8201" s="38">
        <f t="shared" si="230"/>
        <v>0.77189399999999997</v>
      </c>
      <c r="H8201" s="39"/>
      <c r="I8201" s="44"/>
      <c r="J8201" s="34">
        <v>300</v>
      </c>
    </row>
    <row r="8202" spans="1:10" x14ac:dyDescent="0.25">
      <c r="A8202" s="264"/>
      <c r="B8202" s="260"/>
      <c r="C8202" s="40" t="s">
        <v>3834</v>
      </c>
      <c r="D8202" s="40" t="s">
        <v>1035</v>
      </c>
      <c r="E8202" s="41">
        <v>0.96399999999999997</v>
      </c>
      <c r="F8202" s="35">
        <v>37.619999999999997</v>
      </c>
      <c r="G8202" s="38">
        <f t="shared" si="230"/>
        <v>36.265679999999996</v>
      </c>
      <c r="H8202" s="39"/>
      <c r="I8202" s="44"/>
      <c r="J8202" s="34">
        <v>300</v>
      </c>
    </row>
    <row r="8203" spans="1:10" ht="25.5" x14ac:dyDescent="0.25">
      <c r="A8203" s="264"/>
      <c r="B8203" s="260"/>
      <c r="C8203" s="40" t="s">
        <v>3960</v>
      </c>
      <c r="D8203" s="40" t="s">
        <v>1286</v>
      </c>
      <c r="E8203" s="41">
        <v>2.992</v>
      </c>
      <c r="F8203" s="35">
        <v>2.2989999999999999</v>
      </c>
      <c r="G8203" s="38">
        <f t="shared" si="230"/>
        <v>6.8786079999999998</v>
      </c>
      <c r="H8203" s="39"/>
      <c r="I8203" s="44"/>
      <c r="J8203" s="34">
        <v>300</v>
      </c>
    </row>
    <row r="8204" spans="1:10" x14ac:dyDescent="0.25">
      <c r="A8204" s="264"/>
      <c r="B8204" s="260"/>
      <c r="C8204" s="40" t="s">
        <v>3831</v>
      </c>
      <c r="D8204" s="40" t="s">
        <v>291</v>
      </c>
      <c r="E8204" s="41">
        <v>0.39700000000000002</v>
      </c>
      <c r="F8204" s="35">
        <v>26.125</v>
      </c>
      <c r="G8204" s="38">
        <f t="shared" si="230"/>
        <v>10.371625</v>
      </c>
      <c r="H8204" s="39"/>
      <c r="I8204" s="44"/>
      <c r="J8204" s="34">
        <v>300</v>
      </c>
    </row>
    <row r="8205" spans="1:10" x14ac:dyDescent="0.25">
      <c r="A8205" s="264"/>
      <c r="B8205" s="260"/>
      <c r="C8205" s="40" t="s">
        <v>3754</v>
      </c>
      <c r="D8205" s="40" t="s">
        <v>3752</v>
      </c>
      <c r="E8205" s="41">
        <v>1.542</v>
      </c>
      <c r="F8205" s="35">
        <v>20.814499999999999</v>
      </c>
      <c r="G8205" s="38">
        <f t="shared" si="230"/>
        <v>32.095959000000001</v>
      </c>
      <c r="H8205" s="39"/>
      <c r="I8205" s="44"/>
      <c r="J8205" s="34">
        <v>300</v>
      </c>
    </row>
    <row r="8206" spans="1:10" x14ac:dyDescent="0.25">
      <c r="A8206" s="264"/>
      <c r="B8206" s="260"/>
      <c r="C8206" s="40" t="s">
        <v>3767</v>
      </c>
      <c r="D8206" s="40" t="s">
        <v>3752</v>
      </c>
      <c r="E8206" s="41">
        <v>1.5860000000000001</v>
      </c>
      <c r="F8206" s="35">
        <v>25.877999999999997</v>
      </c>
      <c r="G8206" s="38">
        <f t="shared" si="230"/>
        <v>41.042507999999998</v>
      </c>
      <c r="H8206" s="39"/>
      <c r="I8206" s="44"/>
      <c r="J8206" s="34">
        <v>300</v>
      </c>
    </row>
    <row r="8207" spans="1:10" ht="15.75" thickBot="1" x14ac:dyDescent="0.3">
      <c r="A8207" s="265"/>
      <c r="B8207" s="261"/>
      <c r="C8207" s="60"/>
      <c r="D8207" s="60"/>
      <c r="E8207" s="79"/>
      <c r="F8207" s="87" t="s">
        <v>23</v>
      </c>
      <c r="G8207" s="88" t="str">
        <f t="shared" si="230"/>
        <v/>
      </c>
      <c r="H8207" s="89"/>
      <c r="I8207" s="35"/>
      <c r="J8207" s="34">
        <v>300</v>
      </c>
    </row>
    <row r="8208" spans="1:10" ht="15.75" thickBot="1" x14ac:dyDescent="0.3">
      <c r="A8208" s="248" t="s">
        <v>1981</v>
      </c>
      <c r="B8208" s="251" t="s">
        <v>3690</v>
      </c>
      <c r="C8208" s="28"/>
      <c r="D8208" s="29" t="s">
        <v>78</v>
      </c>
      <c r="E8208" s="30"/>
      <c r="F8208" s="45" t="s">
        <v>23</v>
      </c>
      <c r="G8208" s="31" t="str">
        <f t="shared" si="230"/>
        <v/>
      </c>
      <c r="H8208" s="32"/>
      <c r="I8208" s="33"/>
      <c r="J8208" s="34">
        <v>2970</v>
      </c>
    </row>
    <row r="8209" spans="1:10" x14ac:dyDescent="0.25">
      <c r="A8209" s="249"/>
      <c r="B8209" s="252"/>
      <c r="C8209" s="36"/>
      <c r="D8209" s="36"/>
      <c r="E8209" s="37"/>
      <c r="F8209" s="46" t="s">
        <v>23</v>
      </c>
      <c r="G8209" s="35" t="str">
        <f t="shared" si="230"/>
        <v/>
      </c>
      <c r="H8209" s="39"/>
      <c r="I8209" s="35"/>
      <c r="J8209" s="34">
        <v>2970</v>
      </c>
    </row>
    <row r="8210" spans="1:10" x14ac:dyDescent="0.25">
      <c r="A8210" s="249"/>
      <c r="B8210" s="252"/>
      <c r="C8210" s="40" t="s">
        <v>3757</v>
      </c>
      <c r="D8210" s="40" t="s">
        <v>3752</v>
      </c>
      <c r="E8210" s="41">
        <f>0.09*0.7</f>
        <v>6.3E-2</v>
      </c>
      <c r="F8210" s="35">
        <v>28.0535</v>
      </c>
      <c r="G8210" s="38">
        <f t="shared" si="230"/>
        <v>1.7673705</v>
      </c>
      <c r="H8210" s="43">
        <f>SUM(G8210:G8211)</f>
        <v>14.8805055</v>
      </c>
      <c r="I8210" s="44"/>
      <c r="J8210" s="34">
        <v>2970</v>
      </c>
    </row>
    <row r="8211" spans="1:10" x14ac:dyDescent="0.25">
      <c r="A8211" s="249"/>
      <c r="B8211" s="252"/>
      <c r="C8211" s="40" t="s">
        <v>3754</v>
      </c>
      <c r="D8211" s="40" t="s">
        <v>3752</v>
      </c>
      <c r="E8211" s="41">
        <f>0.9*0.7</f>
        <v>0.63</v>
      </c>
      <c r="F8211" s="35">
        <v>20.814499999999999</v>
      </c>
      <c r="G8211" s="38">
        <f t="shared" si="230"/>
        <v>13.113135</v>
      </c>
      <c r="H8211" s="39"/>
      <c r="I8211" s="35"/>
      <c r="J8211" s="34">
        <v>2970</v>
      </c>
    </row>
    <row r="8212" spans="1:10" ht="15.75" thickBot="1" x14ac:dyDescent="0.3">
      <c r="A8212" s="250"/>
      <c r="B8212" s="253"/>
      <c r="C8212" s="40"/>
      <c r="D8212" s="40"/>
      <c r="E8212" s="41"/>
      <c r="F8212" s="35" t="s">
        <v>23</v>
      </c>
      <c r="G8212" s="35" t="str">
        <f t="shared" si="230"/>
        <v/>
      </c>
      <c r="H8212" s="39"/>
      <c r="I8212" s="35"/>
      <c r="J8212" s="34">
        <v>2970</v>
      </c>
    </row>
    <row r="8213" spans="1:10" ht="15.75" thickBot="1" x14ac:dyDescent="0.3">
      <c r="A8213" s="256" t="s">
        <v>1982</v>
      </c>
      <c r="B8213" s="259" t="s">
        <v>3691</v>
      </c>
      <c r="C8213" s="28"/>
      <c r="D8213" s="29" t="s">
        <v>78</v>
      </c>
      <c r="E8213" s="30"/>
      <c r="F8213" s="45" t="s">
        <v>23</v>
      </c>
      <c r="G8213" s="31" t="str">
        <f t="shared" si="230"/>
        <v/>
      </c>
      <c r="H8213" s="32"/>
      <c r="I8213" s="33"/>
      <c r="J8213" s="34">
        <v>2000</v>
      </c>
    </row>
    <row r="8214" spans="1:10" x14ac:dyDescent="0.25">
      <c r="A8214" s="264"/>
      <c r="B8214" s="260"/>
      <c r="C8214" s="36"/>
      <c r="D8214" s="36"/>
      <c r="E8214" s="37"/>
      <c r="F8214" s="46" t="s">
        <v>23</v>
      </c>
      <c r="G8214" s="38" t="str">
        <f t="shared" si="230"/>
        <v/>
      </c>
      <c r="H8214" s="39"/>
      <c r="I8214" s="35"/>
      <c r="J8214" s="34">
        <v>2000</v>
      </c>
    </row>
    <row r="8215" spans="1:10" ht="25.5" x14ac:dyDescent="0.25">
      <c r="A8215" s="264"/>
      <c r="B8215" s="260"/>
      <c r="C8215" s="40" t="s">
        <v>3983</v>
      </c>
      <c r="D8215" s="40" t="s">
        <v>1286</v>
      </c>
      <c r="E8215" s="41">
        <v>1</v>
      </c>
      <c r="F8215" s="35">
        <v>36.8125</v>
      </c>
      <c r="G8215" s="38">
        <f t="shared" si="230"/>
        <v>36.8125</v>
      </c>
      <c r="H8215" s="43">
        <f>SUM(G8215:G8223)</f>
        <v>133.38817548633074</v>
      </c>
      <c r="I8215" s="44"/>
      <c r="J8215" s="34">
        <v>2000</v>
      </c>
    </row>
    <row r="8216" spans="1:10" ht="25.5" x14ac:dyDescent="0.25">
      <c r="A8216" s="264"/>
      <c r="B8216" s="260"/>
      <c r="C8216" s="40" t="s">
        <v>3982</v>
      </c>
      <c r="D8216" s="40" t="s">
        <v>1286</v>
      </c>
      <c r="E8216" s="41">
        <v>1.2273000000000001</v>
      </c>
      <c r="F8216" s="35">
        <v>31.026999999999994</v>
      </c>
      <c r="G8216" s="38">
        <f t="shared" si="230"/>
        <v>38.079437099999993</v>
      </c>
      <c r="H8216" s="39"/>
      <c r="I8216" s="44"/>
      <c r="J8216" s="34">
        <v>2000</v>
      </c>
    </row>
    <row r="8217" spans="1:10" x14ac:dyDescent="0.25">
      <c r="A8217" s="264"/>
      <c r="B8217" s="260"/>
      <c r="C8217" s="40" t="s">
        <v>4039</v>
      </c>
      <c r="D8217" s="40" t="s">
        <v>1035</v>
      </c>
      <c r="E8217" s="41">
        <v>4.2799999999999998E-2</v>
      </c>
      <c r="F8217" s="35">
        <v>20.425000000000001</v>
      </c>
      <c r="G8217" s="38">
        <f t="shared" si="230"/>
        <v>0.87419000000000002</v>
      </c>
      <c r="H8217" s="39"/>
      <c r="I8217" s="44"/>
      <c r="J8217" s="34">
        <v>2000</v>
      </c>
    </row>
    <row r="8218" spans="1:10" ht="38.25" x14ac:dyDescent="0.25">
      <c r="A8218" s="264"/>
      <c r="B8218" s="260"/>
      <c r="C8218" s="40" t="s">
        <v>3776</v>
      </c>
      <c r="D8218" s="40" t="s">
        <v>177</v>
      </c>
      <c r="E8218" s="41">
        <v>0.58530000000000004</v>
      </c>
      <c r="F8218" s="35">
        <v>62.224999999999994</v>
      </c>
      <c r="G8218" s="38">
        <f t="shared" si="230"/>
        <v>36.420292500000002</v>
      </c>
      <c r="H8218" s="39"/>
      <c r="I8218" s="44"/>
      <c r="J8218" s="34">
        <v>2000</v>
      </c>
    </row>
    <row r="8219" spans="1:10" x14ac:dyDescent="0.25">
      <c r="A8219" s="264"/>
      <c r="B8219" s="260"/>
      <c r="C8219" s="40" t="s">
        <v>4111</v>
      </c>
      <c r="D8219" s="40" t="s">
        <v>3752</v>
      </c>
      <c r="E8219" s="41">
        <v>0.18970000000000001</v>
      </c>
      <c r="F8219" s="35">
        <v>21.983000000000001</v>
      </c>
      <c r="G8219" s="38">
        <f t="shared" si="230"/>
        <v>4.1701751000000007</v>
      </c>
      <c r="H8219" s="39"/>
      <c r="I8219" s="44"/>
      <c r="J8219" s="34">
        <v>2000</v>
      </c>
    </row>
    <row r="8220" spans="1:10" x14ac:dyDescent="0.25">
      <c r="A8220" s="264"/>
      <c r="B8220" s="260"/>
      <c r="C8220" s="40" t="s">
        <v>3823</v>
      </c>
      <c r="D8220" s="40" t="s">
        <v>3752</v>
      </c>
      <c r="E8220" s="41">
        <v>0.56910000000000005</v>
      </c>
      <c r="F8220" s="35">
        <v>27.683</v>
      </c>
      <c r="G8220" s="38">
        <f t="shared" si="230"/>
        <v>15.754395300000001</v>
      </c>
      <c r="H8220" s="39"/>
      <c r="I8220" s="44"/>
      <c r="J8220" s="34">
        <v>2000</v>
      </c>
    </row>
    <row r="8221" spans="1:10" ht="25.5" x14ac:dyDescent="0.25">
      <c r="A8221" s="264"/>
      <c r="B8221" s="260"/>
      <c r="C8221" s="40" t="s">
        <v>4168</v>
      </c>
      <c r="D8221" s="40" t="s">
        <v>1041</v>
      </c>
      <c r="E8221" s="41">
        <v>4.4000000000000003E-3</v>
      </c>
      <c r="F8221" s="35">
        <v>22.895</v>
      </c>
      <c r="G8221" s="38">
        <f t="shared" si="230"/>
        <v>0.10073800000000001</v>
      </c>
      <c r="H8221" s="39"/>
      <c r="I8221" s="44"/>
      <c r="J8221" s="34">
        <v>2000</v>
      </c>
    </row>
    <row r="8222" spans="1:10" ht="25.5" x14ac:dyDescent="0.25">
      <c r="A8222" s="264"/>
      <c r="B8222" s="260"/>
      <c r="C8222" s="40" t="s">
        <v>4120</v>
      </c>
      <c r="D8222" s="40" t="s">
        <v>1052</v>
      </c>
      <c r="E8222" s="41">
        <v>1.9099999999999999E-2</v>
      </c>
      <c r="F8222" s="35">
        <v>21.973499999999998</v>
      </c>
      <c r="G8222" s="38">
        <f t="shared" si="230"/>
        <v>0.41969384999999992</v>
      </c>
      <c r="H8222" s="39"/>
      <c r="I8222" s="44"/>
      <c r="J8222" s="34">
        <v>2000</v>
      </c>
    </row>
    <row r="8223" spans="1:10" ht="38.25" x14ac:dyDescent="0.25">
      <c r="A8223" s="264"/>
      <c r="B8223" s="260"/>
      <c r="C8223" s="40" t="s">
        <v>4707</v>
      </c>
      <c r="D8223" s="40" t="s">
        <v>3764</v>
      </c>
      <c r="E8223" s="41">
        <v>1.1999999999999999E-3</v>
      </c>
      <c r="F8223" s="35">
        <v>630.62803027562495</v>
      </c>
      <c r="G8223" s="38">
        <f t="shared" si="230"/>
        <v>0.75675363633074988</v>
      </c>
      <c r="H8223" s="39"/>
      <c r="I8223" s="44"/>
      <c r="J8223" s="34">
        <v>2000</v>
      </c>
    </row>
    <row r="8224" spans="1:10" ht="15.75" thickBot="1" x14ac:dyDescent="0.3">
      <c r="A8224" s="265"/>
      <c r="B8224" s="261"/>
      <c r="C8224" s="60"/>
      <c r="D8224" s="60"/>
      <c r="E8224" s="79"/>
      <c r="F8224" s="87" t="s">
        <v>23</v>
      </c>
      <c r="G8224" s="88" t="str">
        <f t="shared" si="230"/>
        <v/>
      </c>
      <c r="H8224" s="89"/>
      <c r="I8224" s="35"/>
      <c r="J8224" s="34">
        <v>2000</v>
      </c>
    </row>
    <row r="8225" spans="1:10" ht="15.75" thickBot="1" x14ac:dyDescent="0.3">
      <c r="A8225" s="256" t="s">
        <v>1983</v>
      </c>
      <c r="B8225" s="259" t="s">
        <v>3694</v>
      </c>
      <c r="C8225" s="28"/>
      <c r="D8225" s="29" t="s">
        <v>1748</v>
      </c>
      <c r="E8225" s="30"/>
      <c r="F8225" s="45" t="s">
        <v>23</v>
      </c>
      <c r="G8225" s="31" t="str">
        <f t="shared" si="230"/>
        <v/>
      </c>
      <c r="H8225" s="32"/>
      <c r="I8225" s="33"/>
      <c r="J8225" s="34">
        <v>10000</v>
      </c>
    </row>
    <row r="8226" spans="1:10" x14ac:dyDescent="0.25">
      <c r="A8226" s="264"/>
      <c r="B8226" s="260"/>
      <c r="C8226" s="36"/>
      <c r="D8226" s="36"/>
      <c r="E8226" s="37"/>
      <c r="F8226" s="46" t="s">
        <v>23</v>
      </c>
      <c r="G8226" s="38" t="str">
        <f t="shared" si="230"/>
        <v/>
      </c>
      <c r="H8226" s="39"/>
      <c r="I8226" s="35"/>
      <c r="J8226" s="34">
        <v>10000</v>
      </c>
    </row>
    <row r="8227" spans="1:10" ht="25.5" x14ac:dyDescent="0.25">
      <c r="A8227" s="264"/>
      <c r="B8227" s="260"/>
      <c r="C8227" s="40" t="s">
        <v>3781</v>
      </c>
      <c r="D8227" s="40" t="s">
        <v>3764</v>
      </c>
      <c r="E8227" s="41">
        <v>1</v>
      </c>
      <c r="F8227" s="35">
        <v>119.548</v>
      </c>
      <c r="G8227" s="38">
        <f t="shared" si="230"/>
        <v>119.548</v>
      </c>
      <c r="H8227" s="43">
        <f>SUM(G8227:G8227)</f>
        <v>119.548</v>
      </c>
      <c r="I8227" s="44"/>
      <c r="J8227" s="34">
        <v>10000</v>
      </c>
    </row>
    <row r="8228" spans="1:10" ht="15.75" thickBot="1" x14ac:dyDescent="0.3">
      <c r="A8228" s="265"/>
      <c r="B8228" s="261"/>
      <c r="C8228" s="60"/>
      <c r="D8228" s="60"/>
      <c r="E8228" s="79"/>
      <c r="F8228" s="87" t="s">
        <v>23</v>
      </c>
      <c r="G8228" s="88" t="str">
        <f t="shared" si="230"/>
        <v/>
      </c>
      <c r="H8228" s="89"/>
      <c r="I8228" s="35"/>
      <c r="J8228" s="34">
        <v>10000</v>
      </c>
    </row>
    <row r="8229" spans="1:10" ht="15.75" thickBot="1" x14ac:dyDescent="0.3">
      <c r="A8229" s="248" t="s">
        <v>1984</v>
      </c>
      <c r="B8229" s="251" t="s">
        <v>3697</v>
      </c>
      <c r="C8229" s="28"/>
      <c r="D8229" s="29" t="s">
        <v>82</v>
      </c>
      <c r="E8229" s="30"/>
      <c r="F8229" s="51" t="s">
        <v>23</v>
      </c>
      <c r="G8229" s="31" t="str">
        <f t="shared" si="230"/>
        <v/>
      </c>
      <c r="H8229" s="32"/>
      <c r="I8229" s="33"/>
      <c r="J8229" s="34">
        <v>400</v>
      </c>
    </row>
    <row r="8230" spans="1:10" x14ac:dyDescent="0.25">
      <c r="A8230" s="262"/>
      <c r="B8230" s="252"/>
      <c r="C8230" s="36"/>
      <c r="D8230" s="36"/>
      <c r="E8230" s="37"/>
      <c r="F8230" s="59" t="s">
        <v>23</v>
      </c>
      <c r="G8230" s="59" t="str">
        <f t="shared" si="230"/>
        <v/>
      </c>
      <c r="H8230" s="62"/>
      <c r="I8230" s="63"/>
      <c r="J8230" s="34">
        <v>400</v>
      </c>
    </row>
    <row r="8231" spans="1:10" x14ac:dyDescent="0.25">
      <c r="A8231" s="262"/>
      <c r="B8231" s="252"/>
      <c r="C8231" s="40" t="s">
        <v>1985</v>
      </c>
      <c r="D8231" s="40" t="s">
        <v>1035</v>
      </c>
      <c r="E8231" s="91">
        <v>1</v>
      </c>
      <c r="F8231" s="59">
        <v>36.700000000000003</v>
      </c>
      <c r="G8231" s="59">
        <f t="shared" si="230"/>
        <v>36.700000000000003</v>
      </c>
      <c r="H8231" s="43">
        <f>SUM(G8231:G8232)</f>
        <v>46.536720226843101</v>
      </c>
      <c r="I8231" s="44"/>
      <c r="J8231" s="34">
        <v>400</v>
      </c>
    </row>
    <row r="8232" spans="1:10" x14ac:dyDescent="0.25">
      <c r="A8232" s="262"/>
      <c r="B8232" s="252"/>
      <c r="C8232" s="40" t="s">
        <v>3754</v>
      </c>
      <c r="D8232" s="40" t="s">
        <v>3752</v>
      </c>
      <c r="E8232" s="91">
        <f>0.25/0.529</f>
        <v>0.47258979206049145</v>
      </c>
      <c r="F8232" s="59">
        <v>20.814499999999999</v>
      </c>
      <c r="G8232" s="59">
        <f t="shared" si="230"/>
        <v>9.8367202268430987</v>
      </c>
      <c r="H8232" s="62"/>
      <c r="I8232" s="63"/>
      <c r="J8232" s="34">
        <v>400</v>
      </c>
    </row>
    <row r="8233" spans="1:10" ht="15.75" thickBot="1" x14ac:dyDescent="0.3">
      <c r="A8233" s="263"/>
      <c r="B8233" s="253"/>
      <c r="C8233" s="40"/>
      <c r="D8233" s="40"/>
      <c r="E8233" s="41"/>
      <c r="F8233" s="59" t="s">
        <v>23</v>
      </c>
      <c r="G8233" s="59" t="str">
        <f t="shared" si="230"/>
        <v/>
      </c>
      <c r="H8233" s="62"/>
      <c r="I8233" s="63"/>
      <c r="J8233" s="34">
        <v>400</v>
      </c>
    </row>
    <row r="8234" spans="1:10" ht="15.75" hidden="1" thickBot="1" x14ac:dyDescent="0.3">
      <c r="A8234" s="256" t="s">
        <v>1986</v>
      </c>
      <c r="B8234" s="259" t="s">
        <v>3698</v>
      </c>
      <c r="C8234" s="28"/>
      <c r="D8234" s="29" t="s">
        <v>28</v>
      </c>
      <c r="E8234" s="30"/>
      <c r="F8234" s="45" t="s">
        <v>23</v>
      </c>
      <c r="G8234" s="31" t="str">
        <f t="shared" si="230"/>
        <v/>
      </c>
      <c r="H8234" s="32"/>
      <c r="I8234" s="33"/>
      <c r="J8234" s="34">
        <v>0</v>
      </c>
    </row>
    <row r="8235" spans="1:10" ht="15.75" hidden="1" thickBot="1" x14ac:dyDescent="0.3">
      <c r="A8235" s="264"/>
      <c r="B8235" s="260"/>
      <c r="C8235" s="36"/>
      <c r="D8235" s="36"/>
      <c r="E8235" s="37"/>
      <c r="F8235" s="46" t="s">
        <v>23</v>
      </c>
      <c r="G8235" s="38" t="str">
        <f t="shared" si="230"/>
        <v/>
      </c>
      <c r="H8235" s="39"/>
      <c r="I8235" s="35"/>
      <c r="J8235" s="34">
        <v>0</v>
      </c>
    </row>
    <row r="8236" spans="1:10" ht="15.75" hidden="1" thickBot="1" x14ac:dyDescent="0.3">
      <c r="A8236" s="264"/>
      <c r="B8236" s="260"/>
      <c r="C8236" s="40" t="s">
        <v>3754</v>
      </c>
      <c r="D8236" s="40" t="s">
        <v>3752</v>
      </c>
      <c r="E8236" s="41">
        <v>19.401</v>
      </c>
      <c r="F8236" s="35">
        <v>20.814499999999999</v>
      </c>
      <c r="G8236" s="38">
        <f t="shared" si="230"/>
        <v>403.8221145</v>
      </c>
      <c r="H8236" s="43">
        <f>SUM(G8236:G8237)</f>
        <v>547.77903449999997</v>
      </c>
      <c r="I8236" s="44"/>
      <c r="J8236" s="34">
        <v>0</v>
      </c>
    </row>
    <row r="8237" spans="1:10" ht="26.25" hidden="1" thickBot="1" x14ac:dyDescent="0.3">
      <c r="A8237" s="264"/>
      <c r="B8237" s="260"/>
      <c r="C8237" s="40" t="s">
        <v>4651</v>
      </c>
      <c r="D8237" s="40" t="s">
        <v>3752</v>
      </c>
      <c r="E8237" s="41">
        <v>4.9039999999999999</v>
      </c>
      <c r="F8237" s="35">
        <v>29.354999999999997</v>
      </c>
      <c r="G8237" s="38">
        <f t="shared" si="230"/>
        <v>143.95691999999997</v>
      </c>
      <c r="H8237" s="39"/>
      <c r="I8237" s="44"/>
      <c r="J8237" s="34">
        <v>0</v>
      </c>
    </row>
    <row r="8238" spans="1:10" ht="15.75" hidden="1" thickBot="1" x14ac:dyDescent="0.3">
      <c r="A8238" s="265"/>
      <c r="B8238" s="261"/>
      <c r="C8238" s="60"/>
      <c r="D8238" s="60"/>
      <c r="E8238" s="79"/>
      <c r="F8238" s="87" t="s">
        <v>23</v>
      </c>
      <c r="G8238" s="88" t="str">
        <f t="shared" si="230"/>
        <v/>
      </c>
      <c r="H8238" s="89"/>
      <c r="I8238" s="35"/>
      <c r="J8238" s="34">
        <v>0</v>
      </c>
    </row>
    <row r="8239" spans="1:10" ht="15.75" thickBot="1" x14ac:dyDescent="0.3">
      <c r="A8239" s="256" t="s">
        <v>1987</v>
      </c>
      <c r="B8239" s="259" t="s">
        <v>3699</v>
      </c>
      <c r="C8239" s="28"/>
      <c r="D8239" s="29" t="s">
        <v>78</v>
      </c>
      <c r="E8239" s="30"/>
      <c r="F8239" s="45" t="s">
        <v>23</v>
      </c>
      <c r="G8239" s="31" t="str">
        <f t="shared" si="230"/>
        <v/>
      </c>
      <c r="H8239" s="32"/>
      <c r="I8239" s="33"/>
      <c r="J8239" s="34">
        <v>6000</v>
      </c>
    </row>
    <row r="8240" spans="1:10" x14ac:dyDescent="0.25">
      <c r="A8240" s="264"/>
      <c r="B8240" s="260"/>
      <c r="C8240" s="36"/>
      <c r="D8240" s="36"/>
      <c r="E8240" s="37"/>
      <c r="F8240" s="46" t="s">
        <v>23</v>
      </c>
      <c r="G8240" s="38" t="str">
        <f t="shared" si="230"/>
        <v/>
      </c>
      <c r="H8240" s="39"/>
      <c r="I8240" s="35"/>
      <c r="J8240" s="34">
        <v>6000</v>
      </c>
    </row>
    <row r="8241" spans="1:10" ht="25.5" x14ac:dyDescent="0.25">
      <c r="A8241" s="264"/>
      <c r="B8241" s="260"/>
      <c r="C8241" s="40" t="s">
        <v>3827</v>
      </c>
      <c r="D8241" s="40" t="s">
        <v>3752</v>
      </c>
      <c r="E8241" s="41">
        <v>0.5</v>
      </c>
      <c r="F8241" s="38">
        <v>23.882999999999999</v>
      </c>
      <c r="G8241" s="35">
        <f t="shared" si="230"/>
        <v>11.9415</v>
      </c>
      <c r="H8241" s="43">
        <f>SUM(G8241:G8244)</f>
        <v>260.11475000000002</v>
      </c>
      <c r="I8241" s="44"/>
      <c r="J8241" s="34">
        <v>6000</v>
      </c>
    </row>
    <row r="8242" spans="1:10" ht="25.5" x14ac:dyDescent="0.25">
      <c r="A8242" s="264"/>
      <c r="B8242" s="260"/>
      <c r="C8242" s="40" t="s">
        <v>3800</v>
      </c>
      <c r="D8242" s="40" t="s">
        <v>3752</v>
      </c>
      <c r="E8242" s="41">
        <v>0.5</v>
      </c>
      <c r="F8242" s="38">
        <v>21.365499999999997</v>
      </c>
      <c r="G8242" s="35">
        <f t="shared" si="230"/>
        <v>10.682749999999999</v>
      </c>
      <c r="H8242" s="39"/>
      <c r="I8242" s="35"/>
      <c r="J8242" s="34">
        <v>6000</v>
      </c>
    </row>
    <row r="8243" spans="1:10" ht="25.5" x14ac:dyDescent="0.25">
      <c r="A8243" s="264"/>
      <c r="B8243" s="260"/>
      <c r="C8243" s="40" t="s">
        <v>1988</v>
      </c>
      <c r="D8243" s="40" t="s">
        <v>177</v>
      </c>
      <c r="E8243" s="41">
        <v>1</v>
      </c>
      <c r="F8243" s="35">
        <v>237.4905</v>
      </c>
      <c r="G8243" s="38">
        <f t="shared" si="230"/>
        <v>237.4905</v>
      </c>
      <c r="H8243" s="39"/>
      <c r="I8243" s="44"/>
      <c r="J8243" s="34">
        <v>6000</v>
      </c>
    </row>
    <row r="8244" spans="1:10" ht="15.75" thickBot="1" x14ac:dyDescent="0.3">
      <c r="A8244" s="265"/>
      <c r="B8244" s="261"/>
      <c r="C8244" s="60"/>
      <c r="D8244" s="60"/>
      <c r="E8244" s="79"/>
      <c r="F8244" s="87" t="s">
        <v>23</v>
      </c>
      <c r="G8244" s="88" t="str">
        <f t="shared" si="230"/>
        <v/>
      </c>
      <c r="H8244" s="89"/>
      <c r="I8244" s="35"/>
      <c r="J8244" s="34">
        <v>6000</v>
      </c>
    </row>
    <row r="8245" spans="1:10" ht="15.75" hidden="1" thickBot="1" x14ac:dyDescent="0.3">
      <c r="A8245" s="256" t="s">
        <v>1989</v>
      </c>
      <c r="B8245" s="259" t="s">
        <v>3700</v>
      </c>
      <c r="C8245" s="28"/>
      <c r="D8245" s="29" t="s">
        <v>28</v>
      </c>
      <c r="E8245" s="30"/>
      <c r="F8245" s="45" t="s">
        <v>23</v>
      </c>
      <c r="G8245" s="31" t="str">
        <f t="shared" si="230"/>
        <v/>
      </c>
      <c r="H8245" s="32"/>
      <c r="I8245" s="33"/>
      <c r="J8245" s="34">
        <v>0</v>
      </c>
    </row>
    <row r="8246" spans="1:10" ht="15.75" hidden="1" thickBot="1" x14ac:dyDescent="0.3">
      <c r="A8246" s="264"/>
      <c r="B8246" s="260"/>
      <c r="C8246" s="36"/>
      <c r="D8246" s="36"/>
      <c r="E8246" s="37"/>
      <c r="F8246" s="46" t="s">
        <v>23</v>
      </c>
      <c r="G8246" s="38" t="str">
        <f t="shared" si="230"/>
        <v/>
      </c>
      <c r="H8246" s="39"/>
      <c r="I8246" s="35"/>
      <c r="J8246" s="34">
        <v>0</v>
      </c>
    </row>
    <row r="8247" spans="1:10" ht="15.75" hidden="1" thickBot="1" x14ac:dyDescent="0.3">
      <c r="A8247" s="264"/>
      <c r="B8247" s="260"/>
      <c r="C8247" s="40" t="s">
        <v>4218</v>
      </c>
      <c r="D8247" s="40" t="s">
        <v>3752</v>
      </c>
      <c r="E8247" s="41">
        <v>40</v>
      </c>
      <c r="F8247" s="35">
        <v>125.88449999999999</v>
      </c>
      <c r="G8247" s="38">
        <f t="shared" si="230"/>
        <v>5035.3799999999992</v>
      </c>
      <c r="H8247" s="43">
        <f>SUM(G8247:G8249)</f>
        <v>5621.7099999999991</v>
      </c>
      <c r="I8247" s="44"/>
      <c r="J8247" s="34">
        <v>0</v>
      </c>
    </row>
    <row r="8248" spans="1:10" ht="15.75" hidden="1" thickBot="1" x14ac:dyDescent="0.3">
      <c r="A8248" s="264"/>
      <c r="B8248" s="260"/>
      <c r="C8248" s="40" t="s">
        <v>4205</v>
      </c>
      <c r="D8248" s="40" t="s">
        <v>3752</v>
      </c>
      <c r="E8248" s="41">
        <v>20</v>
      </c>
      <c r="F8248" s="35">
        <v>16.587</v>
      </c>
      <c r="G8248" s="38">
        <f t="shared" si="230"/>
        <v>331.74</v>
      </c>
      <c r="H8248" s="39"/>
      <c r="I8248" s="44"/>
      <c r="J8248" s="34">
        <v>0</v>
      </c>
    </row>
    <row r="8249" spans="1:10" ht="15.75" hidden="1" thickBot="1" x14ac:dyDescent="0.3">
      <c r="A8249" s="264"/>
      <c r="B8249" s="260"/>
      <c r="C8249" s="40" t="s">
        <v>27</v>
      </c>
      <c r="D8249" s="108" t="s">
        <v>28</v>
      </c>
      <c r="E8249" s="41">
        <v>1</v>
      </c>
      <c r="F8249" s="35">
        <v>254.59</v>
      </c>
      <c r="G8249" s="38">
        <f t="shared" si="230"/>
        <v>254.59</v>
      </c>
      <c r="H8249" s="39"/>
      <c r="I8249" s="44"/>
      <c r="J8249" s="34">
        <v>0</v>
      </c>
    </row>
    <row r="8250" spans="1:10" ht="15.75" hidden="1" thickBot="1" x14ac:dyDescent="0.3">
      <c r="A8250" s="265"/>
      <c r="B8250" s="261"/>
      <c r="C8250" s="60"/>
      <c r="D8250" s="60"/>
      <c r="E8250" s="79"/>
      <c r="F8250" s="87" t="s">
        <v>23</v>
      </c>
      <c r="G8250" s="88" t="str">
        <f t="shared" si="230"/>
        <v/>
      </c>
      <c r="H8250" s="89"/>
      <c r="I8250" s="35"/>
      <c r="J8250" s="34">
        <v>0</v>
      </c>
    </row>
    <row r="8251" spans="1:10" ht="15.75" hidden="1" thickBot="1" x14ac:dyDescent="0.3">
      <c r="A8251" s="248" t="s">
        <v>1990</v>
      </c>
      <c r="B8251" s="251" t="s">
        <v>3701</v>
      </c>
      <c r="C8251" s="28"/>
      <c r="D8251" s="29" t="s">
        <v>28</v>
      </c>
      <c r="E8251" s="30"/>
      <c r="F8251" s="45" t="s">
        <v>23</v>
      </c>
      <c r="G8251" s="31" t="str">
        <f t="shared" si="230"/>
        <v/>
      </c>
      <c r="H8251" s="32"/>
      <c r="I8251" s="33"/>
      <c r="J8251" s="34">
        <v>0</v>
      </c>
    </row>
    <row r="8252" spans="1:10" ht="15.75" hidden="1" thickBot="1" x14ac:dyDescent="0.3">
      <c r="A8252" s="249"/>
      <c r="B8252" s="266"/>
      <c r="C8252" s="95"/>
      <c r="D8252" s="95"/>
      <c r="E8252" s="96"/>
      <c r="F8252" s="46" t="s">
        <v>23</v>
      </c>
      <c r="G8252" s="35" t="str">
        <f t="shared" si="230"/>
        <v/>
      </c>
      <c r="H8252" s="39"/>
      <c r="I8252" s="35"/>
      <c r="J8252" s="34">
        <v>0</v>
      </c>
    </row>
    <row r="8253" spans="1:10" ht="39" hidden="1" thickBot="1" x14ac:dyDescent="0.3">
      <c r="A8253" s="249"/>
      <c r="B8253" s="266"/>
      <c r="C8253" s="99" t="s">
        <v>1991</v>
      </c>
      <c r="D8253" s="108" t="s">
        <v>28</v>
      </c>
      <c r="E8253" s="75">
        <v>1</v>
      </c>
      <c r="F8253" s="38" t="s">
        <v>23</v>
      </c>
      <c r="G8253" s="35" t="str">
        <f t="shared" ref="G8253:G8260" si="231">IF(ISNUMBER(F8253),E8253*F8253,"")</f>
        <v/>
      </c>
      <c r="H8253" s="43">
        <f>SUM(G8253:G8256)</f>
        <v>48.285358182799996</v>
      </c>
      <c r="I8253" s="44"/>
      <c r="J8253" s="34">
        <v>0</v>
      </c>
    </row>
    <row r="8254" spans="1:10" ht="39" hidden="1" thickBot="1" x14ac:dyDescent="0.3">
      <c r="A8254" s="249"/>
      <c r="B8254" s="266"/>
      <c r="C8254" s="40" t="s">
        <v>4733</v>
      </c>
      <c r="D8254" s="40" t="s">
        <v>3764</v>
      </c>
      <c r="E8254" s="75">
        <v>1.9199999999999998E-2</v>
      </c>
      <c r="F8254" s="35">
        <v>853.36371524999993</v>
      </c>
      <c r="G8254" s="35">
        <f t="shared" si="231"/>
        <v>16.384583332799998</v>
      </c>
      <c r="H8254" s="39"/>
      <c r="I8254" s="35"/>
      <c r="J8254" s="34">
        <v>0</v>
      </c>
    </row>
    <row r="8255" spans="1:10" ht="15.75" hidden="1" thickBot="1" x14ac:dyDescent="0.3">
      <c r="A8255" s="249"/>
      <c r="B8255" s="266"/>
      <c r="C8255" s="40" t="s">
        <v>3770</v>
      </c>
      <c r="D8255" s="40" t="s">
        <v>3752</v>
      </c>
      <c r="E8255" s="75">
        <v>0.63370000000000004</v>
      </c>
      <c r="F8255" s="35">
        <v>21.954499999999999</v>
      </c>
      <c r="G8255" s="35">
        <f t="shared" si="231"/>
        <v>13.91256665</v>
      </c>
      <c r="H8255" s="39"/>
      <c r="I8255" s="35"/>
      <c r="J8255" s="34">
        <v>0</v>
      </c>
    </row>
    <row r="8256" spans="1:10" ht="15.75" hidden="1" thickBot="1" x14ac:dyDescent="0.3">
      <c r="A8256" s="249"/>
      <c r="B8256" s="266"/>
      <c r="C8256" s="40" t="s">
        <v>3760</v>
      </c>
      <c r="D8256" s="40" t="s">
        <v>3752</v>
      </c>
      <c r="E8256" s="75">
        <v>0.63370000000000004</v>
      </c>
      <c r="F8256" s="35">
        <v>28.385999999999999</v>
      </c>
      <c r="G8256" s="38">
        <f t="shared" si="231"/>
        <v>17.988208199999999</v>
      </c>
      <c r="H8256" s="39"/>
      <c r="I8256" s="35"/>
      <c r="J8256" s="34">
        <v>0</v>
      </c>
    </row>
    <row r="8257" spans="1:10" ht="15.75" hidden="1" thickBot="1" x14ac:dyDescent="0.3">
      <c r="A8257" s="250"/>
      <c r="B8257" s="253"/>
      <c r="C8257" s="60"/>
      <c r="D8257" s="60"/>
      <c r="E8257" s="79"/>
      <c r="F8257" s="87" t="s">
        <v>23</v>
      </c>
      <c r="G8257" s="87" t="str">
        <f t="shared" si="231"/>
        <v/>
      </c>
      <c r="H8257" s="89"/>
      <c r="I8257" s="35"/>
      <c r="J8257" s="34">
        <v>0</v>
      </c>
    </row>
    <row r="8258" spans="1:10" ht="15.75" hidden="1" thickBot="1" x14ac:dyDescent="0.3">
      <c r="A8258" s="256" t="s">
        <v>4</v>
      </c>
      <c r="B8258" s="259" t="s">
        <v>3702</v>
      </c>
      <c r="C8258" s="28"/>
      <c r="D8258" s="29" t="s">
        <v>2</v>
      </c>
      <c r="E8258" s="30"/>
      <c r="F8258" s="45" t="s">
        <v>23</v>
      </c>
      <c r="G8258" s="31" t="str">
        <f t="shared" si="231"/>
        <v/>
      </c>
      <c r="H8258" s="32"/>
      <c r="I8258" s="33"/>
      <c r="J8258" s="34">
        <v>0</v>
      </c>
    </row>
    <row r="8259" spans="1:10" ht="15.75" hidden="1" thickBot="1" x14ac:dyDescent="0.3">
      <c r="A8259" s="264"/>
      <c r="B8259" s="260"/>
      <c r="C8259" s="36"/>
      <c r="D8259" s="36"/>
      <c r="E8259" s="37"/>
      <c r="F8259" s="46" t="s">
        <v>23</v>
      </c>
      <c r="G8259" s="38" t="str">
        <f t="shared" si="231"/>
        <v/>
      </c>
      <c r="H8259" s="39"/>
      <c r="I8259" s="35"/>
      <c r="J8259" s="34">
        <v>0</v>
      </c>
    </row>
    <row r="8260" spans="1:10" ht="26.25" hidden="1" thickBot="1" x14ac:dyDescent="0.3">
      <c r="A8260" s="264"/>
      <c r="B8260" s="260"/>
      <c r="C8260" s="40" t="s">
        <v>3794</v>
      </c>
      <c r="D8260" s="40" t="s">
        <v>3752</v>
      </c>
      <c r="E8260" s="75" t="e">
        <f>IF(#REF!="Desonerado",ROUND(220/(1+82.01%),4),ROUND(220/(1+110.69%),4))</f>
        <v>#REF!</v>
      </c>
      <c r="F8260" s="35">
        <v>44.003999999999998</v>
      </c>
      <c r="G8260" s="38" t="e">
        <f t="shared" si="231"/>
        <v>#REF!</v>
      </c>
      <c r="H8260" s="43" t="e">
        <f>SUM(G8260:G8260)</f>
        <v>#REF!</v>
      </c>
      <c r="I8260" s="44"/>
      <c r="J8260" s="34">
        <v>0</v>
      </c>
    </row>
    <row r="8261" spans="1:10" ht="15.75" hidden="1" thickBot="1" x14ac:dyDescent="0.3">
      <c r="A8261" s="264"/>
      <c r="B8261" s="260"/>
      <c r="C8261" s="40"/>
      <c r="D8261" s="99"/>
      <c r="E8261" s="75"/>
      <c r="F8261" s="35"/>
      <c r="G8261" s="38"/>
      <c r="H8261" s="89"/>
      <c r="I8261" s="44"/>
      <c r="J8261" s="34">
        <v>0</v>
      </c>
    </row>
    <row r="8262" spans="1:10" ht="26.25" hidden="1" thickBot="1" x14ac:dyDescent="0.3">
      <c r="A8262" s="264"/>
      <c r="B8262" s="260"/>
      <c r="C8262" s="50" t="s">
        <v>668</v>
      </c>
      <c r="D8262" s="99"/>
      <c r="E8262" s="75"/>
      <c r="F8262" s="35"/>
      <c r="G8262" s="38"/>
      <c r="H8262" s="89"/>
      <c r="I8262" s="44"/>
      <c r="J8262" s="34">
        <v>0</v>
      </c>
    </row>
    <row r="8263" spans="1:10" ht="15.75" hidden="1" thickBot="1" x14ac:dyDescent="0.3">
      <c r="A8263" s="265"/>
      <c r="B8263" s="261"/>
      <c r="C8263" s="60"/>
      <c r="D8263" s="60"/>
      <c r="E8263" s="79"/>
      <c r="F8263" s="87" t="s">
        <v>23</v>
      </c>
      <c r="G8263" s="88" t="str">
        <f t="shared" ref="G8263:G8294" si="232">IF(ISNUMBER(F8263),E8263*F8263,"")</f>
        <v/>
      </c>
      <c r="H8263" s="89"/>
      <c r="I8263" s="35"/>
      <c r="J8263" s="34">
        <v>0</v>
      </c>
    </row>
    <row r="8264" spans="1:10" ht="15.75" thickBot="1" x14ac:dyDescent="0.3">
      <c r="A8264" s="248" t="s">
        <v>1992</v>
      </c>
      <c r="B8264" s="251" t="s">
        <v>3707</v>
      </c>
      <c r="C8264" s="28"/>
      <c r="D8264" s="29" t="s">
        <v>78</v>
      </c>
      <c r="E8264" s="30"/>
      <c r="F8264" s="51" t="s">
        <v>23</v>
      </c>
      <c r="G8264" s="31" t="str">
        <f t="shared" si="232"/>
        <v/>
      </c>
      <c r="H8264" s="32"/>
      <c r="I8264" s="33"/>
      <c r="J8264" s="34">
        <v>30000</v>
      </c>
    </row>
    <row r="8265" spans="1:10" x14ac:dyDescent="0.25">
      <c r="A8265" s="262"/>
      <c r="B8265" s="252"/>
      <c r="C8265" s="36"/>
      <c r="D8265" s="36"/>
      <c r="E8265" s="37"/>
      <c r="F8265" s="59" t="s">
        <v>23</v>
      </c>
      <c r="G8265" s="59" t="str">
        <f t="shared" si="232"/>
        <v/>
      </c>
      <c r="H8265" s="62"/>
      <c r="I8265" s="63"/>
      <c r="J8265" s="34">
        <v>30000</v>
      </c>
    </row>
    <row r="8266" spans="1:10" ht="38.25" x14ac:dyDescent="0.25">
      <c r="A8266" s="262"/>
      <c r="B8266" s="252"/>
      <c r="C8266" s="40" t="s">
        <v>4109</v>
      </c>
      <c r="D8266" s="40" t="s">
        <v>3814</v>
      </c>
      <c r="E8266" s="41">
        <v>1.27</v>
      </c>
      <c r="F8266" s="59">
        <v>0.26600000000000001</v>
      </c>
      <c r="G8266" s="59">
        <f t="shared" si="232"/>
        <v>0.33782000000000001</v>
      </c>
      <c r="H8266" s="43">
        <f>SUM(G8266:G8271)</f>
        <v>12.012415599999999</v>
      </c>
      <c r="I8266" s="44"/>
      <c r="J8266" s="34">
        <v>30000</v>
      </c>
    </row>
    <row r="8267" spans="1:10" ht="25.5" x14ac:dyDescent="0.25">
      <c r="A8267" s="262"/>
      <c r="B8267" s="252"/>
      <c r="C8267" s="40" t="s">
        <v>3846</v>
      </c>
      <c r="D8267" s="40" t="s">
        <v>291</v>
      </c>
      <c r="E8267" s="41">
        <v>1.27</v>
      </c>
      <c r="F8267" s="59">
        <v>4.0374999999999996</v>
      </c>
      <c r="G8267" s="59">
        <f t="shared" si="232"/>
        <v>5.1276249999999992</v>
      </c>
      <c r="H8267" s="62"/>
      <c r="I8267" s="63"/>
      <c r="J8267" s="34">
        <v>30000</v>
      </c>
    </row>
    <row r="8268" spans="1:10" x14ac:dyDescent="0.25">
      <c r="A8268" s="262"/>
      <c r="B8268" s="252"/>
      <c r="C8268" s="40" t="s">
        <v>3754</v>
      </c>
      <c r="D8268" s="40" t="s">
        <v>3752</v>
      </c>
      <c r="E8268" s="41">
        <v>0.15</v>
      </c>
      <c r="F8268" s="59">
        <v>20.814499999999999</v>
      </c>
      <c r="G8268" s="59">
        <f t="shared" si="232"/>
        <v>3.1221749999999999</v>
      </c>
      <c r="H8268" s="62"/>
      <c r="I8268" s="63"/>
      <c r="J8268" s="34">
        <v>30000</v>
      </c>
    </row>
    <row r="8269" spans="1:10" x14ac:dyDescent="0.25">
      <c r="A8269" s="262"/>
      <c r="B8269" s="252"/>
      <c r="C8269" s="40" t="s">
        <v>3816</v>
      </c>
      <c r="D8269" s="40" t="s">
        <v>3752</v>
      </c>
      <c r="E8269" s="41">
        <v>0.115</v>
      </c>
      <c r="F8269" s="59">
        <v>27.445499999999999</v>
      </c>
      <c r="G8269" s="59">
        <f t="shared" si="232"/>
        <v>3.1562325000000002</v>
      </c>
      <c r="H8269" s="62"/>
      <c r="I8269" s="63"/>
      <c r="J8269" s="34">
        <v>30000</v>
      </c>
    </row>
    <row r="8270" spans="1:10" ht="25.5" x14ac:dyDescent="0.25">
      <c r="A8270" s="262"/>
      <c r="B8270" s="252"/>
      <c r="C8270" s="40" t="s">
        <v>4123</v>
      </c>
      <c r="D8270" s="40" t="s">
        <v>1041</v>
      </c>
      <c r="E8270" s="41">
        <v>5.0000000000000001E-3</v>
      </c>
      <c r="F8270" s="59">
        <v>23.008999999999997</v>
      </c>
      <c r="G8270" s="59">
        <f t="shared" si="232"/>
        <v>0.11504499999999998</v>
      </c>
      <c r="H8270" s="62"/>
      <c r="I8270" s="63"/>
      <c r="J8270" s="34">
        <v>30000</v>
      </c>
    </row>
    <row r="8271" spans="1:10" ht="25.5" x14ac:dyDescent="0.25">
      <c r="A8271" s="262"/>
      <c r="B8271" s="252"/>
      <c r="C8271" s="40" t="s">
        <v>4113</v>
      </c>
      <c r="D8271" s="40" t="s">
        <v>1052</v>
      </c>
      <c r="E8271" s="41">
        <v>6.8999999999999999E-3</v>
      </c>
      <c r="F8271" s="59">
        <v>22.249000000000002</v>
      </c>
      <c r="G8271" s="59">
        <f t="shared" si="232"/>
        <v>0.15351810000000002</v>
      </c>
      <c r="H8271" s="62"/>
      <c r="I8271" s="63"/>
      <c r="J8271" s="34">
        <v>30000</v>
      </c>
    </row>
    <row r="8272" spans="1:10" ht="15.75" thickBot="1" x14ac:dyDescent="0.3">
      <c r="A8272" s="263"/>
      <c r="B8272" s="253"/>
      <c r="C8272" s="60"/>
      <c r="D8272" s="60"/>
      <c r="E8272" s="79"/>
      <c r="F8272" s="80" t="s">
        <v>23</v>
      </c>
      <c r="G8272" s="80" t="str">
        <f t="shared" si="232"/>
        <v/>
      </c>
      <c r="H8272" s="81"/>
      <c r="I8272" s="63"/>
      <c r="J8272" s="34">
        <v>30000</v>
      </c>
    </row>
    <row r="8273" spans="1:10" ht="15.75" thickBot="1" x14ac:dyDescent="0.3">
      <c r="A8273" s="256" t="s">
        <v>1993</v>
      </c>
      <c r="B8273" s="259" t="s">
        <v>3708</v>
      </c>
      <c r="C8273" s="28"/>
      <c r="D8273" s="29" t="s">
        <v>121</v>
      </c>
      <c r="E8273" s="30"/>
      <c r="F8273" s="45" t="s">
        <v>23</v>
      </c>
      <c r="G8273" s="31" t="str">
        <f t="shared" si="232"/>
        <v/>
      </c>
      <c r="H8273" s="32"/>
      <c r="I8273" s="33"/>
      <c r="J8273" s="34">
        <v>3000</v>
      </c>
    </row>
    <row r="8274" spans="1:10" x14ac:dyDescent="0.25">
      <c r="A8274" s="264"/>
      <c r="B8274" s="260"/>
      <c r="C8274" s="36"/>
      <c r="D8274" s="36"/>
      <c r="E8274" s="37"/>
      <c r="F8274" s="46" t="s">
        <v>23</v>
      </c>
      <c r="G8274" s="38" t="str">
        <f t="shared" si="232"/>
        <v/>
      </c>
      <c r="H8274" s="39"/>
      <c r="I8274" s="35"/>
      <c r="J8274" s="34">
        <v>3000</v>
      </c>
    </row>
    <row r="8275" spans="1:10" ht="25.5" x14ac:dyDescent="0.25">
      <c r="A8275" s="264"/>
      <c r="B8275" s="260"/>
      <c r="C8275" s="40" t="s">
        <v>3975</v>
      </c>
      <c r="D8275" s="40" t="s">
        <v>1035</v>
      </c>
      <c r="E8275" s="41">
        <v>1.5780000000000001</v>
      </c>
      <c r="F8275" s="35">
        <v>10.069999999999999</v>
      </c>
      <c r="G8275" s="38">
        <f t="shared" si="232"/>
        <v>15.890459999999999</v>
      </c>
      <c r="H8275" s="43">
        <f>SUM(G8275:G8275)</f>
        <v>15.890459999999999</v>
      </c>
      <c r="I8275" s="44"/>
      <c r="J8275" s="34">
        <v>3000</v>
      </c>
    </row>
    <row r="8276" spans="1:10" ht="15.75" thickBot="1" x14ac:dyDescent="0.3">
      <c r="A8276" s="265"/>
      <c r="B8276" s="261"/>
      <c r="C8276" s="60"/>
      <c r="D8276" s="60"/>
      <c r="E8276" s="79"/>
      <c r="F8276" s="87" t="s">
        <v>23</v>
      </c>
      <c r="G8276" s="88" t="str">
        <f t="shared" si="232"/>
        <v/>
      </c>
      <c r="H8276" s="89"/>
      <c r="I8276" s="35"/>
      <c r="J8276" s="34">
        <v>3000</v>
      </c>
    </row>
    <row r="8277" spans="1:10" ht="15.75" thickBot="1" x14ac:dyDescent="0.3">
      <c r="A8277" s="248" t="s">
        <v>1994</v>
      </c>
      <c r="B8277" s="251" t="s">
        <v>3709</v>
      </c>
      <c r="C8277" s="28"/>
      <c r="D8277" s="29" t="s">
        <v>78</v>
      </c>
      <c r="E8277" s="30"/>
      <c r="F8277" s="51" t="s">
        <v>23</v>
      </c>
      <c r="G8277" s="31" t="str">
        <f t="shared" si="232"/>
        <v/>
      </c>
      <c r="H8277" s="32"/>
      <c r="I8277" s="33"/>
      <c r="J8277" s="34">
        <v>200</v>
      </c>
    </row>
    <row r="8278" spans="1:10" x14ac:dyDescent="0.25">
      <c r="A8278" s="262"/>
      <c r="B8278" s="252"/>
      <c r="C8278" s="36"/>
      <c r="D8278" s="36"/>
      <c r="E8278" s="37"/>
      <c r="F8278" s="59" t="s">
        <v>23</v>
      </c>
      <c r="G8278" s="59" t="str">
        <f t="shared" si="232"/>
        <v/>
      </c>
      <c r="H8278" s="62"/>
      <c r="I8278" s="63"/>
      <c r="J8278" s="34">
        <v>200</v>
      </c>
    </row>
    <row r="8279" spans="1:10" x14ac:dyDescent="0.25">
      <c r="A8279" s="262"/>
      <c r="B8279" s="252"/>
      <c r="C8279" s="40" t="s">
        <v>3767</v>
      </c>
      <c r="D8279" s="40" t="s">
        <v>3752</v>
      </c>
      <c r="E8279" s="41">
        <v>2.5579999999999998</v>
      </c>
      <c r="F8279" s="59">
        <v>25.877999999999997</v>
      </c>
      <c r="G8279" s="59">
        <f t="shared" si="232"/>
        <v>66.195923999999991</v>
      </c>
      <c r="H8279" s="43">
        <f>SUM(G8279:G8281)</f>
        <v>1031.662836</v>
      </c>
      <c r="I8279" s="44"/>
      <c r="J8279" s="34">
        <v>200</v>
      </c>
    </row>
    <row r="8280" spans="1:10" x14ac:dyDescent="0.25">
      <c r="A8280" s="262"/>
      <c r="B8280" s="252"/>
      <c r="C8280" s="40" t="s">
        <v>3787</v>
      </c>
      <c r="D8280" s="40" t="s">
        <v>3752</v>
      </c>
      <c r="E8280" s="41">
        <v>2.5579999999999998</v>
      </c>
      <c r="F8280" s="59">
        <v>21.963999999999999</v>
      </c>
      <c r="G8280" s="59">
        <f t="shared" si="232"/>
        <v>56.183911999999992</v>
      </c>
      <c r="H8280" s="62"/>
      <c r="I8280" s="63"/>
      <c r="J8280" s="34">
        <v>200</v>
      </c>
    </row>
    <row r="8281" spans="1:10" ht="25.5" x14ac:dyDescent="0.25">
      <c r="A8281" s="262"/>
      <c r="B8281" s="252"/>
      <c r="C8281" s="40" t="s">
        <v>3857</v>
      </c>
      <c r="D8281" s="40" t="s">
        <v>291</v>
      </c>
      <c r="E8281" s="41">
        <v>1</v>
      </c>
      <c r="F8281" s="59">
        <v>909.2829999999999</v>
      </c>
      <c r="G8281" s="59">
        <f t="shared" si="232"/>
        <v>909.2829999999999</v>
      </c>
      <c r="H8281" s="62"/>
      <c r="I8281" s="63"/>
      <c r="J8281" s="34">
        <v>200</v>
      </c>
    </row>
    <row r="8282" spans="1:10" ht="15.75" thickBot="1" x14ac:dyDescent="0.3">
      <c r="A8282" s="263"/>
      <c r="B8282" s="253"/>
      <c r="C8282" s="60"/>
      <c r="D8282" s="60"/>
      <c r="E8282" s="79"/>
      <c r="F8282" s="80" t="s">
        <v>23</v>
      </c>
      <c r="G8282" s="80" t="str">
        <f t="shared" si="232"/>
        <v/>
      </c>
      <c r="H8282" s="81"/>
      <c r="I8282" s="63"/>
      <c r="J8282" s="34">
        <v>200</v>
      </c>
    </row>
    <row r="8283" spans="1:10" ht="15.75" thickBot="1" x14ac:dyDescent="0.3">
      <c r="A8283" s="248" t="s">
        <v>1995</v>
      </c>
      <c r="B8283" s="251" t="s">
        <v>3710</v>
      </c>
      <c r="C8283" s="28"/>
      <c r="D8283" s="29" t="s">
        <v>78</v>
      </c>
      <c r="E8283" s="30"/>
      <c r="F8283" s="51" t="s">
        <v>23</v>
      </c>
      <c r="G8283" s="31" t="str">
        <f t="shared" si="232"/>
        <v/>
      </c>
      <c r="H8283" s="32"/>
      <c r="I8283" s="33"/>
      <c r="J8283" s="34">
        <v>5000</v>
      </c>
    </row>
    <row r="8284" spans="1:10" x14ac:dyDescent="0.25">
      <c r="A8284" s="262"/>
      <c r="B8284" s="252"/>
      <c r="C8284" s="36"/>
      <c r="D8284" s="36"/>
      <c r="E8284" s="37"/>
      <c r="F8284" s="59" t="s">
        <v>23</v>
      </c>
      <c r="G8284" s="59" t="str">
        <f t="shared" si="232"/>
        <v/>
      </c>
      <c r="H8284" s="62"/>
      <c r="I8284" s="63"/>
      <c r="J8284" s="34">
        <v>5000</v>
      </c>
    </row>
    <row r="8285" spans="1:10" ht="25.5" x14ac:dyDescent="0.25">
      <c r="A8285" s="262"/>
      <c r="B8285" s="252"/>
      <c r="C8285" s="40" t="s">
        <v>4124</v>
      </c>
      <c r="D8285" s="40" t="s">
        <v>3764</v>
      </c>
      <c r="E8285" s="41">
        <v>4.0000000000000001E-3</v>
      </c>
      <c r="F8285" s="59">
        <v>204.23099999999999</v>
      </c>
      <c r="G8285" s="59">
        <f t="shared" si="232"/>
        <v>0.81692399999999998</v>
      </c>
      <c r="H8285" s="43">
        <f>SUM(G8285:G8290)</f>
        <v>210.24143149999998</v>
      </c>
      <c r="I8285" s="44"/>
      <c r="J8285" s="34">
        <v>5000</v>
      </c>
    </row>
    <row r="8286" spans="1:10" ht="25.5" x14ac:dyDescent="0.25">
      <c r="A8286" s="262"/>
      <c r="B8286" s="252"/>
      <c r="C8286" s="40" t="s">
        <v>3845</v>
      </c>
      <c r="D8286" s="40" t="s">
        <v>3764</v>
      </c>
      <c r="E8286" s="41">
        <v>8.5999999999999993E-2</v>
      </c>
      <c r="F8286" s="59">
        <v>206.90049999999999</v>
      </c>
      <c r="G8286" s="59">
        <f t="shared" si="232"/>
        <v>17.793442999999996</v>
      </c>
      <c r="H8286" s="62"/>
      <c r="I8286" s="63"/>
      <c r="J8286" s="34">
        <v>5000</v>
      </c>
    </row>
    <row r="8287" spans="1:10" x14ac:dyDescent="0.25">
      <c r="A8287" s="262"/>
      <c r="B8287" s="252"/>
      <c r="C8287" s="40" t="s">
        <v>3759</v>
      </c>
      <c r="D8287" s="40" t="s">
        <v>1035</v>
      </c>
      <c r="E8287" s="41">
        <v>37.07</v>
      </c>
      <c r="F8287" s="59">
        <v>0.627</v>
      </c>
      <c r="G8287" s="59">
        <f t="shared" si="232"/>
        <v>23.242889999999999</v>
      </c>
      <c r="H8287" s="62"/>
      <c r="I8287" s="63"/>
      <c r="J8287" s="34">
        <v>5000</v>
      </c>
    </row>
    <row r="8288" spans="1:10" x14ac:dyDescent="0.25">
      <c r="A8288" s="262"/>
      <c r="B8288" s="252"/>
      <c r="C8288" s="40" t="s">
        <v>3804</v>
      </c>
      <c r="D8288" s="40" t="s">
        <v>177</v>
      </c>
      <c r="E8288" s="41">
        <v>1</v>
      </c>
      <c r="F8288" s="59">
        <v>137.78799999999998</v>
      </c>
      <c r="G8288" s="59">
        <f t="shared" si="232"/>
        <v>137.78799999999998</v>
      </c>
      <c r="H8288" s="62"/>
      <c r="I8288" s="63"/>
      <c r="J8288" s="34">
        <v>5000</v>
      </c>
    </row>
    <row r="8289" spans="1:10" x14ac:dyDescent="0.25">
      <c r="A8289" s="262"/>
      <c r="B8289" s="252"/>
      <c r="C8289" s="40" t="s">
        <v>3844</v>
      </c>
      <c r="D8289" s="40" t="s">
        <v>3752</v>
      </c>
      <c r="E8289" s="41">
        <v>0.84199999999999997</v>
      </c>
      <c r="F8289" s="59">
        <v>25.934999999999999</v>
      </c>
      <c r="G8289" s="59">
        <f t="shared" si="232"/>
        <v>21.837269999999997</v>
      </c>
      <c r="H8289" s="62"/>
      <c r="I8289" s="63"/>
      <c r="J8289" s="34">
        <v>5000</v>
      </c>
    </row>
    <row r="8290" spans="1:10" x14ac:dyDescent="0.25">
      <c r="A8290" s="262"/>
      <c r="B8290" s="252"/>
      <c r="C8290" s="40" t="s">
        <v>3754</v>
      </c>
      <c r="D8290" s="40" t="s">
        <v>3752</v>
      </c>
      <c r="E8290" s="41">
        <v>0.42099999999999999</v>
      </c>
      <c r="F8290" s="59">
        <v>20.814499999999999</v>
      </c>
      <c r="G8290" s="59">
        <f t="shared" si="232"/>
        <v>8.7629044999999994</v>
      </c>
      <c r="H8290" s="62"/>
      <c r="I8290" s="63"/>
      <c r="J8290" s="34">
        <v>5000</v>
      </c>
    </row>
    <row r="8291" spans="1:10" ht="15.75" thickBot="1" x14ac:dyDescent="0.3">
      <c r="A8291" s="263"/>
      <c r="B8291" s="253"/>
      <c r="C8291" s="60"/>
      <c r="D8291" s="60"/>
      <c r="E8291" s="79"/>
      <c r="F8291" s="80" t="s">
        <v>23</v>
      </c>
      <c r="G8291" s="80" t="str">
        <f t="shared" si="232"/>
        <v/>
      </c>
      <c r="H8291" s="81"/>
      <c r="I8291" s="63"/>
      <c r="J8291" s="34">
        <v>5000</v>
      </c>
    </row>
    <row r="8292" spans="1:10" ht="15.75" thickBot="1" x14ac:dyDescent="0.3">
      <c r="A8292" s="248" t="s">
        <v>1996</v>
      </c>
      <c r="B8292" s="251" t="s">
        <v>3711</v>
      </c>
      <c r="C8292" s="28"/>
      <c r="D8292" s="29" t="s">
        <v>78</v>
      </c>
      <c r="E8292" s="30"/>
      <c r="F8292" s="51" t="s">
        <v>23</v>
      </c>
      <c r="G8292" s="31" t="str">
        <f t="shared" si="232"/>
        <v/>
      </c>
      <c r="H8292" s="32"/>
      <c r="I8292" s="33"/>
      <c r="J8292" s="34">
        <v>5000</v>
      </c>
    </row>
    <row r="8293" spans="1:10" x14ac:dyDescent="0.25">
      <c r="A8293" s="262"/>
      <c r="B8293" s="252"/>
      <c r="C8293" s="36"/>
      <c r="D8293" s="36"/>
      <c r="E8293" s="37"/>
      <c r="F8293" s="59" t="s">
        <v>23</v>
      </c>
      <c r="G8293" s="59" t="str">
        <f t="shared" si="232"/>
        <v/>
      </c>
      <c r="H8293" s="62"/>
      <c r="I8293" s="63"/>
      <c r="J8293" s="34">
        <v>5000</v>
      </c>
    </row>
    <row r="8294" spans="1:10" ht="25.5" x14ac:dyDescent="0.25">
      <c r="A8294" s="262"/>
      <c r="B8294" s="252"/>
      <c r="C8294" s="40" t="s">
        <v>4124</v>
      </c>
      <c r="D8294" s="40" t="s">
        <v>3764</v>
      </c>
      <c r="E8294" s="41">
        <v>4.0000000000000001E-3</v>
      </c>
      <c r="F8294" s="59">
        <v>204.23099999999999</v>
      </c>
      <c r="G8294" s="59">
        <f t="shared" si="232"/>
        <v>0.81692399999999998</v>
      </c>
      <c r="H8294" s="43">
        <f>SUM(G8294:G8298)</f>
        <v>72.453431499999994</v>
      </c>
      <c r="I8294" s="44"/>
      <c r="J8294" s="34">
        <v>5000</v>
      </c>
    </row>
    <row r="8295" spans="1:10" ht="25.5" x14ac:dyDescent="0.25">
      <c r="A8295" s="262"/>
      <c r="B8295" s="252"/>
      <c r="C8295" s="40" t="s">
        <v>3845</v>
      </c>
      <c r="D8295" s="40" t="s">
        <v>3764</v>
      </c>
      <c r="E8295" s="41">
        <v>8.5999999999999993E-2</v>
      </c>
      <c r="F8295" s="59">
        <v>206.90049999999999</v>
      </c>
      <c r="G8295" s="59">
        <f t="shared" ref="G8295:G8326" si="233">IF(ISNUMBER(F8295),E8295*F8295,"")</f>
        <v>17.793442999999996</v>
      </c>
      <c r="H8295" s="62"/>
      <c r="I8295" s="63"/>
      <c r="J8295" s="34">
        <v>5000</v>
      </c>
    </row>
    <row r="8296" spans="1:10" x14ac:dyDescent="0.25">
      <c r="A8296" s="262"/>
      <c r="B8296" s="252"/>
      <c r="C8296" s="40" t="s">
        <v>3759</v>
      </c>
      <c r="D8296" s="40" t="s">
        <v>1035</v>
      </c>
      <c r="E8296" s="41">
        <v>37.07</v>
      </c>
      <c r="F8296" s="59">
        <v>0.627</v>
      </c>
      <c r="G8296" s="59">
        <f t="shared" si="233"/>
        <v>23.242889999999999</v>
      </c>
      <c r="H8296" s="62"/>
      <c r="I8296" s="63"/>
      <c r="J8296" s="34">
        <v>5000</v>
      </c>
    </row>
    <row r="8297" spans="1:10" x14ac:dyDescent="0.25">
      <c r="A8297" s="262"/>
      <c r="B8297" s="252"/>
      <c r="C8297" s="40" t="s">
        <v>3844</v>
      </c>
      <c r="D8297" s="40" t="s">
        <v>3752</v>
      </c>
      <c r="E8297" s="41">
        <v>0.84199999999999997</v>
      </c>
      <c r="F8297" s="59">
        <v>25.934999999999999</v>
      </c>
      <c r="G8297" s="59">
        <f t="shared" si="233"/>
        <v>21.837269999999997</v>
      </c>
      <c r="H8297" s="62"/>
      <c r="I8297" s="63"/>
      <c r="J8297" s="34">
        <v>5000</v>
      </c>
    </row>
    <row r="8298" spans="1:10" x14ac:dyDescent="0.25">
      <c r="A8298" s="262"/>
      <c r="B8298" s="252"/>
      <c r="C8298" s="40" t="s">
        <v>3754</v>
      </c>
      <c r="D8298" s="40" t="s">
        <v>3752</v>
      </c>
      <c r="E8298" s="41">
        <v>0.42099999999999999</v>
      </c>
      <c r="F8298" s="59">
        <v>20.814499999999999</v>
      </c>
      <c r="G8298" s="59">
        <f t="shared" si="233"/>
        <v>8.7629044999999994</v>
      </c>
      <c r="H8298" s="62"/>
      <c r="I8298" s="63"/>
      <c r="J8298" s="34">
        <v>5000</v>
      </c>
    </row>
    <row r="8299" spans="1:10" ht="15.75" thickBot="1" x14ac:dyDescent="0.3">
      <c r="A8299" s="263"/>
      <c r="B8299" s="253"/>
      <c r="C8299" s="60"/>
      <c r="D8299" s="60"/>
      <c r="E8299" s="79"/>
      <c r="F8299" s="80" t="s">
        <v>23</v>
      </c>
      <c r="G8299" s="80" t="str">
        <f t="shared" si="233"/>
        <v/>
      </c>
      <c r="H8299" s="81"/>
      <c r="I8299" s="63"/>
      <c r="J8299" s="34">
        <v>5000</v>
      </c>
    </row>
    <row r="8300" spans="1:10" ht="15.75" thickBot="1" x14ac:dyDescent="0.3">
      <c r="A8300" s="256" t="s">
        <v>1997</v>
      </c>
      <c r="B8300" s="259" t="s">
        <v>3721</v>
      </c>
      <c r="C8300" s="28"/>
      <c r="D8300" s="29" t="s">
        <v>78</v>
      </c>
      <c r="E8300" s="30"/>
      <c r="F8300" s="45" t="s">
        <v>23</v>
      </c>
      <c r="G8300" s="31" t="str">
        <f t="shared" si="233"/>
        <v/>
      </c>
      <c r="H8300" s="32"/>
      <c r="I8300" s="33"/>
      <c r="J8300" s="34">
        <v>50000</v>
      </c>
    </row>
    <row r="8301" spans="1:10" x14ac:dyDescent="0.25">
      <c r="A8301" s="264"/>
      <c r="B8301" s="260"/>
      <c r="C8301" s="36"/>
      <c r="D8301" s="36"/>
      <c r="E8301" s="37"/>
      <c r="F8301" s="46" t="s">
        <v>23</v>
      </c>
      <c r="G8301" s="38" t="str">
        <f t="shared" si="233"/>
        <v/>
      </c>
      <c r="H8301" s="39"/>
      <c r="I8301" s="35"/>
      <c r="J8301" s="34">
        <v>50000</v>
      </c>
    </row>
    <row r="8302" spans="1:10" x14ac:dyDescent="0.25">
      <c r="A8302" s="264"/>
      <c r="B8302" s="260"/>
      <c r="C8302" s="40" t="s">
        <v>3850</v>
      </c>
      <c r="D8302" s="40" t="s">
        <v>177</v>
      </c>
      <c r="E8302" s="41">
        <v>0.40500000000000003</v>
      </c>
      <c r="F8302" s="35">
        <v>6.8780000000000001</v>
      </c>
      <c r="G8302" s="38">
        <f t="shared" si="233"/>
        <v>2.78559</v>
      </c>
      <c r="H8302" s="43">
        <f>SUM(G8302:G8304)</f>
        <v>4.6482074999999998</v>
      </c>
      <c r="I8302" s="44"/>
      <c r="J8302" s="34">
        <v>50000</v>
      </c>
    </row>
    <row r="8303" spans="1:10" x14ac:dyDescent="0.25">
      <c r="A8303" s="264"/>
      <c r="B8303" s="260"/>
      <c r="C8303" s="40" t="s">
        <v>3787</v>
      </c>
      <c r="D8303" s="40" t="s">
        <v>3752</v>
      </c>
      <c r="E8303" s="41">
        <v>1.2E-2</v>
      </c>
      <c r="F8303" s="35">
        <v>21.963999999999999</v>
      </c>
      <c r="G8303" s="38">
        <f t="shared" si="233"/>
        <v>0.26356799999999997</v>
      </c>
      <c r="H8303" s="39"/>
      <c r="I8303" s="44"/>
      <c r="J8303" s="34">
        <v>50000</v>
      </c>
    </row>
    <row r="8304" spans="1:10" x14ac:dyDescent="0.25">
      <c r="A8304" s="264"/>
      <c r="B8304" s="260"/>
      <c r="C8304" s="40" t="s">
        <v>3758</v>
      </c>
      <c r="D8304" s="40" t="s">
        <v>3752</v>
      </c>
      <c r="E8304" s="41">
        <v>5.7000000000000002E-2</v>
      </c>
      <c r="F8304" s="35">
        <v>28.0535</v>
      </c>
      <c r="G8304" s="38">
        <f t="shared" si="233"/>
        <v>1.5990495</v>
      </c>
      <c r="H8304" s="39"/>
      <c r="I8304" s="44"/>
      <c r="J8304" s="34">
        <v>50000</v>
      </c>
    </row>
    <row r="8305" spans="1:10" ht="15.75" thickBot="1" x14ac:dyDescent="0.3">
      <c r="A8305" s="265"/>
      <c r="B8305" s="261"/>
      <c r="C8305" s="60"/>
      <c r="D8305" s="60"/>
      <c r="E8305" s="79"/>
      <c r="F8305" s="87" t="s">
        <v>23</v>
      </c>
      <c r="G8305" s="88" t="str">
        <f t="shared" si="233"/>
        <v/>
      </c>
      <c r="H8305" s="89"/>
      <c r="I8305" s="35"/>
      <c r="J8305" s="34">
        <v>50000</v>
      </c>
    </row>
    <row r="8306" spans="1:10" ht="15.75" thickBot="1" x14ac:dyDescent="0.3">
      <c r="A8306" s="256" t="s">
        <v>1998</v>
      </c>
      <c r="B8306" s="259" t="s">
        <v>3722</v>
      </c>
      <c r="C8306" s="28"/>
      <c r="D8306" s="29" t="s">
        <v>121</v>
      </c>
      <c r="E8306" s="30"/>
      <c r="F8306" s="45" t="s">
        <v>23</v>
      </c>
      <c r="G8306" s="31" t="str">
        <f t="shared" si="233"/>
        <v/>
      </c>
      <c r="H8306" s="32"/>
      <c r="I8306" s="33"/>
      <c r="J8306" s="34">
        <v>600</v>
      </c>
    </row>
    <row r="8307" spans="1:10" x14ac:dyDescent="0.25">
      <c r="A8307" s="264"/>
      <c r="B8307" s="260"/>
      <c r="C8307" s="36"/>
      <c r="D8307" s="36"/>
      <c r="E8307" s="37"/>
      <c r="F8307" s="46" t="s">
        <v>23</v>
      </c>
      <c r="G8307" s="38" t="str">
        <f t="shared" si="233"/>
        <v/>
      </c>
      <c r="H8307" s="39"/>
      <c r="I8307" s="35"/>
      <c r="J8307" s="34">
        <v>600</v>
      </c>
    </row>
    <row r="8308" spans="1:10" x14ac:dyDescent="0.25">
      <c r="A8308" s="264"/>
      <c r="B8308" s="260"/>
      <c r="C8308" s="40" t="s">
        <v>3808</v>
      </c>
      <c r="D8308" s="40" t="s">
        <v>3752</v>
      </c>
      <c r="E8308" s="41">
        <v>0.6</v>
      </c>
      <c r="F8308" s="35">
        <v>27.920500000000001</v>
      </c>
      <c r="G8308" s="38">
        <f t="shared" si="233"/>
        <v>16.752299999999998</v>
      </c>
      <c r="H8308" s="43">
        <f>SUM(G8308:G8310)</f>
        <v>41.703099999999999</v>
      </c>
      <c r="I8308" s="44"/>
      <c r="J8308" s="34">
        <v>600</v>
      </c>
    </row>
    <row r="8309" spans="1:10" x14ac:dyDescent="0.25">
      <c r="A8309" s="264"/>
      <c r="B8309" s="260"/>
      <c r="C8309" s="40" t="s">
        <v>3754</v>
      </c>
      <c r="D8309" s="40" t="s">
        <v>3752</v>
      </c>
      <c r="E8309" s="41">
        <v>0.4</v>
      </c>
      <c r="F8309" s="35">
        <v>20.814499999999999</v>
      </c>
      <c r="G8309" s="38">
        <f t="shared" si="233"/>
        <v>8.3257999999999992</v>
      </c>
      <c r="H8309" s="39"/>
      <c r="I8309" s="44"/>
      <c r="J8309" s="34">
        <v>600</v>
      </c>
    </row>
    <row r="8310" spans="1:10" ht="25.5" x14ac:dyDescent="0.25">
      <c r="A8310" s="264"/>
      <c r="B8310" s="260"/>
      <c r="C8310" s="40" t="s">
        <v>1999</v>
      </c>
      <c r="D8310" s="40" t="s">
        <v>121</v>
      </c>
      <c r="E8310" s="41">
        <v>1</v>
      </c>
      <c r="F8310" s="35">
        <v>16.625</v>
      </c>
      <c r="G8310" s="38">
        <f t="shared" si="233"/>
        <v>16.625</v>
      </c>
      <c r="H8310" s="39"/>
      <c r="I8310" s="44"/>
      <c r="J8310" s="34">
        <v>600</v>
      </c>
    </row>
    <row r="8311" spans="1:10" ht="15.75" thickBot="1" x14ac:dyDescent="0.3">
      <c r="A8311" s="265"/>
      <c r="B8311" s="261"/>
      <c r="C8311" s="60"/>
      <c r="D8311" s="60"/>
      <c r="E8311" s="79"/>
      <c r="F8311" s="87" t="s">
        <v>23</v>
      </c>
      <c r="G8311" s="88" t="str">
        <f t="shared" si="233"/>
        <v/>
      </c>
      <c r="H8311" s="89"/>
      <c r="I8311" s="35"/>
      <c r="J8311" s="34">
        <v>600</v>
      </c>
    </row>
    <row r="8312" spans="1:10" ht="15.75" thickBot="1" x14ac:dyDescent="0.3">
      <c r="A8312" s="248" t="s">
        <v>2000</v>
      </c>
      <c r="B8312" s="251" t="s">
        <v>3723</v>
      </c>
      <c r="C8312" s="28"/>
      <c r="D8312" s="29" t="s">
        <v>78</v>
      </c>
      <c r="E8312" s="30"/>
      <c r="F8312" s="51" t="s">
        <v>23</v>
      </c>
      <c r="G8312" s="31" t="str">
        <f t="shared" si="233"/>
        <v/>
      </c>
      <c r="H8312" s="32"/>
      <c r="I8312" s="33"/>
      <c r="J8312" s="34">
        <v>3000</v>
      </c>
    </row>
    <row r="8313" spans="1:10" x14ac:dyDescent="0.25">
      <c r="A8313" s="262"/>
      <c r="B8313" s="252"/>
      <c r="C8313" s="36"/>
      <c r="D8313" s="36"/>
      <c r="E8313" s="37"/>
      <c r="F8313" s="59" t="s">
        <v>23</v>
      </c>
      <c r="G8313" s="59" t="str">
        <f t="shared" si="233"/>
        <v/>
      </c>
      <c r="H8313" s="62"/>
      <c r="I8313" s="63"/>
      <c r="J8313" s="34">
        <v>3000</v>
      </c>
    </row>
    <row r="8314" spans="1:10" ht="25.5" x14ac:dyDescent="0.25">
      <c r="A8314" s="262"/>
      <c r="B8314" s="252"/>
      <c r="C8314" s="40" t="s">
        <v>3963</v>
      </c>
      <c r="D8314" s="40" t="s">
        <v>3752</v>
      </c>
      <c r="E8314" s="41">
        <v>1.972</v>
      </c>
      <c r="F8314" s="59">
        <v>22.134999999999998</v>
      </c>
      <c r="G8314" s="59">
        <f t="shared" si="233"/>
        <v>43.650219999999997</v>
      </c>
      <c r="H8314" s="43">
        <f>SUM(G8314:G8317)</f>
        <v>460.34147149999995</v>
      </c>
      <c r="I8314" s="44"/>
      <c r="J8314" s="34">
        <v>3000</v>
      </c>
    </row>
    <row r="8315" spans="1:10" x14ac:dyDescent="0.25">
      <c r="A8315" s="262"/>
      <c r="B8315" s="252"/>
      <c r="C8315" s="40" t="s">
        <v>3754</v>
      </c>
      <c r="D8315" s="40" t="s">
        <v>3752</v>
      </c>
      <c r="E8315" s="41">
        <v>0.90700000000000003</v>
      </c>
      <c r="F8315" s="59">
        <v>20.814499999999999</v>
      </c>
      <c r="G8315" s="59">
        <f t="shared" si="233"/>
        <v>18.8787515</v>
      </c>
      <c r="H8315" s="62"/>
      <c r="I8315" s="63"/>
      <c r="J8315" s="34">
        <v>3000</v>
      </c>
    </row>
    <row r="8316" spans="1:10" x14ac:dyDescent="0.25">
      <c r="A8316" s="262"/>
      <c r="B8316" s="252"/>
      <c r="C8316" s="40" t="s">
        <v>2001</v>
      </c>
      <c r="D8316" s="40" t="s">
        <v>177</v>
      </c>
      <c r="E8316" s="41">
        <v>1</v>
      </c>
      <c r="F8316" s="59">
        <v>380.23749999999995</v>
      </c>
      <c r="G8316" s="59">
        <f t="shared" si="233"/>
        <v>380.23749999999995</v>
      </c>
      <c r="H8316" s="62"/>
      <c r="I8316" s="63"/>
      <c r="J8316" s="34">
        <v>3000</v>
      </c>
    </row>
    <row r="8317" spans="1:10" x14ac:dyDescent="0.25">
      <c r="A8317" s="262"/>
      <c r="B8317" s="252"/>
      <c r="C8317" s="40" t="s">
        <v>2002</v>
      </c>
      <c r="D8317" s="40" t="s">
        <v>177</v>
      </c>
      <c r="E8317" s="41">
        <v>1</v>
      </c>
      <c r="F8317" s="59">
        <v>17.574999999999999</v>
      </c>
      <c r="G8317" s="59">
        <f t="shared" si="233"/>
        <v>17.574999999999999</v>
      </c>
      <c r="H8317" s="62"/>
      <c r="I8317" s="63"/>
      <c r="J8317" s="34">
        <v>3000</v>
      </c>
    </row>
    <row r="8318" spans="1:10" ht="15.75" thickBot="1" x14ac:dyDescent="0.3">
      <c r="A8318" s="263"/>
      <c r="B8318" s="253"/>
      <c r="C8318" s="60"/>
      <c r="D8318" s="60"/>
      <c r="E8318" s="79"/>
      <c r="F8318" s="80" t="s">
        <v>23</v>
      </c>
      <c r="G8318" s="80" t="str">
        <f t="shared" si="233"/>
        <v/>
      </c>
      <c r="H8318" s="81"/>
      <c r="I8318" s="63"/>
      <c r="J8318" s="34">
        <v>3000</v>
      </c>
    </row>
    <row r="8319" spans="1:10" ht="15.75" thickBot="1" x14ac:dyDescent="0.3">
      <c r="A8319" s="248" t="s">
        <v>2003</v>
      </c>
      <c r="B8319" s="251" t="s">
        <v>3726</v>
      </c>
      <c r="C8319" s="28"/>
      <c r="D8319" s="29" t="s">
        <v>78</v>
      </c>
      <c r="E8319" s="30"/>
      <c r="F8319" s="51" t="s">
        <v>23</v>
      </c>
      <c r="G8319" s="31" t="str">
        <f t="shared" si="233"/>
        <v/>
      </c>
      <c r="H8319" s="32"/>
      <c r="I8319" s="33"/>
      <c r="J8319" s="34">
        <v>3000</v>
      </c>
    </row>
    <row r="8320" spans="1:10" x14ac:dyDescent="0.25">
      <c r="A8320" s="262"/>
      <c r="B8320" s="252"/>
      <c r="C8320" s="36"/>
      <c r="D8320" s="36"/>
      <c r="E8320" s="37"/>
      <c r="F8320" s="59" t="s">
        <v>23</v>
      </c>
      <c r="G8320" s="59" t="str">
        <f t="shared" si="233"/>
        <v/>
      </c>
      <c r="H8320" s="62"/>
      <c r="I8320" s="63"/>
      <c r="J8320" s="34">
        <v>3000</v>
      </c>
    </row>
    <row r="8321" spans="1:10" ht="25.5" x14ac:dyDescent="0.25">
      <c r="A8321" s="262"/>
      <c r="B8321" s="252"/>
      <c r="C8321" s="40" t="s">
        <v>4102</v>
      </c>
      <c r="D8321" s="40" t="s">
        <v>1286</v>
      </c>
      <c r="E8321" s="41">
        <v>0.1467</v>
      </c>
      <c r="F8321" s="59">
        <v>41.913999999999994</v>
      </c>
      <c r="G8321" s="59">
        <f t="shared" si="233"/>
        <v>6.1487837999999995</v>
      </c>
      <c r="H8321" s="43">
        <f>SUM(G8321:G8326)</f>
        <v>48.335772949999999</v>
      </c>
      <c r="I8321" s="44"/>
      <c r="J8321" s="34">
        <v>3000</v>
      </c>
    </row>
    <row r="8322" spans="1:10" x14ac:dyDescent="0.25">
      <c r="A8322" s="262"/>
      <c r="B8322" s="252"/>
      <c r="C8322" s="40" t="s">
        <v>4039</v>
      </c>
      <c r="D8322" s="40" t="s">
        <v>1035</v>
      </c>
      <c r="E8322" s="41">
        <v>2.58E-2</v>
      </c>
      <c r="F8322" s="59">
        <v>20.425000000000001</v>
      </c>
      <c r="G8322" s="59">
        <f t="shared" si="233"/>
        <v>0.52696500000000002</v>
      </c>
      <c r="H8322" s="62"/>
      <c r="I8322" s="63"/>
      <c r="J8322" s="34">
        <v>3000</v>
      </c>
    </row>
    <row r="8323" spans="1:10" ht="25.5" x14ac:dyDescent="0.25">
      <c r="A8323" s="262"/>
      <c r="B8323" s="252"/>
      <c r="C8323" s="40" t="s">
        <v>3856</v>
      </c>
      <c r="D8323" s="40" t="s">
        <v>1286</v>
      </c>
      <c r="E8323" s="41">
        <v>0.42780000000000001</v>
      </c>
      <c r="F8323" s="59">
        <v>32.717999999999996</v>
      </c>
      <c r="G8323" s="59">
        <f t="shared" si="233"/>
        <v>13.996760399999999</v>
      </c>
      <c r="H8323" s="62"/>
      <c r="I8323" s="63"/>
      <c r="J8323" s="34">
        <v>3000</v>
      </c>
    </row>
    <row r="8324" spans="1:10" ht="25.5" x14ac:dyDescent="0.25">
      <c r="A8324" s="262"/>
      <c r="B8324" s="252"/>
      <c r="C8324" s="40" t="s">
        <v>4151</v>
      </c>
      <c r="D8324" s="40" t="s">
        <v>1286</v>
      </c>
      <c r="E8324" s="41">
        <v>0.1086</v>
      </c>
      <c r="F8324" s="59">
        <v>9.31</v>
      </c>
      <c r="G8324" s="59">
        <f t="shared" si="233"/>
        <v>1.011066</v>
      </c>
      <c r="H8324" s="62"/>
      <c r="I8324" s="63"/>
      <c r="J8324" s="34">
        <v>3000</v>
      </c>
    </row>
    <row r="8325" spans="1:10" x14ac:dyDescent="0.25">
      <c r="A8325" s="262"/>
      <c r="B8325" s="252"/>
      <c r="C8325" s="40" t="s">
        <v>3823</v>
      </c>
      <c r="D8325" s="40" t="s">
        <v>3752</v>
      </c>
      <c r="E8325" s="41">
        <v>0.72809999999999997</v>
      </c>
      <c r="F8325" s="59">
        <v>27.683</v>
      </c>
      <c r="G8325" s="59">
        <f t="shared" si="233"/>
        <v>20.155992299999998</v>
      </c>
      <c r="H8325" s="62"/>
      <c r="I8325" s="63"/>
      <c r="J8325" s="34">
        <v>3000</v>
      </c>
    </row>
    <row r="8326" spans="1:10" x14ac:dyDescent="0.25">
      <c r="A8326" s="262"/>
      <c r="B8326" s="252"/>
      <c r="C8326" s="40" t="s">
        <v>3754</v>
      </c>
      <c r="D8326" s="40" t="s">
        <v>3752</v>
      </c>
      <c r="E8326" s="41">
        <v>0.31209999999999999</v>
      </c>
      <c r="F8326" s="59">
        <v>20.814499999999999</v>
      </c>
      <c r="G8326" s="59">
        <f t="shared" si="233"/>
        <v>6.4962054499999997</v>
      </c>
      <c r="H8326" s="62"/>
      <c r="I8326" s="63"/>
      <c r="J8326" s="34">
        <v>3000</v>
      </c>
    </row>
    <row r="8327" spans="1:10" ht="15.75" thickBot="1" x14ac:dyDescent="0.3">
      <c r="A8327" s="263"/>
      <c r="B8327" s="253"/>
      <c r="C8327" s="60"/>
      <c r="D8327" s="60"/>
      <c r="E8327" s="79"/>
      <c r="F8327" s="80" t="s">
        <v>23</v>
      </c>
      <c r="G8327" s="80" t="str">
        <f t="shared" ref="G8327:G8350" si="234">IF(ISNUMBER(F8327),E8327*F8327,"")</f>
        <v/>
      </c>
      <c r="H8327" s="81"/>
      <c r="I8327" s="63"/>
      <c r="J8327" s="34">
        <v>3000</v>
      </c>
    </row>
    <row r="8328" spans="1:10" ht="15.75" hidden="1" thickBot="1" x14ac:dyDescent="0.3">
      <c r="A8328" s="248" t="s">
        <v>2004</v>
      </c>
      <c r="B8328" s="251" t="s">
        <v>3727</v>
      </c>
      <c r="C8328" s="28"/>
      <c r="D8328" s="29" t="s">
        <v>28</v>
      </c>
      <c r="E8328" s="30"/>
      <c r="F8328" s="45" t="s">
        <v>23</v>
      </c>
      <c r="G8328" s="31" t="str">
        <f t="shared" si="234"/>
        <v/>
      </c>
      <c r="H8328" s="32"/>
      <c r="I8328" s="33"/>
      <c r="J8328" s="34">
        <v>0</v>
      </c>
    </row>
    <row r="8329" spans="1:10" ht="15.75" hidden="1" thickBot="1" x14ac:dyDescent="0.3">
      <c r="A8329" s="249"/>
      <c r="B8329" s="252"/>
      <c r="C8329" s="36"/>
      <c r="D8329" s="36"/>
      <c r="E8329" s="37"/>
      <c r="F8329" s="46" t="s">
        <v>23</v>
      </c>
      <c r="G8329" s="35" t="str">
        <f t="shared" si="234"/>
        <v/>
      </c>
      <c r="H8329" s="39"/>
      <c r="I8329" s="35"/>
      <c r="J8329" s="34">
        <v>0</v>
      </c>
    </row>
    <row r="8330" spans="1:10" ht="39" hidden="1" thickBot="1" x14ac:dyDescent="0.3">
      <c r="A8330" s="249"/>
      <c r="B8330" s="252"/>
      <c r="C8330" s="40" t="s">
        <v>2005</v>
      </c>
      <c r="D8330" s="40" t="s">
        <v>102</v>
      </c>
      <c r="E8330" s="41">
        <v>1</v>
      </c>
      <c r="F8330" s="38" t="s">
        <v>23</v>
      </c>
      <c r="G8330" s="35" t="str">
        <f t="shared" si="234"/>
        <v/>
      </c>
      <c r="H8330" s="43">
        <f>SUM(G8330:G8336)</f>
        <v>36.759134600000003</v>
      </c>
      <c r="I8330" s="44"/>
      <c r="J8330" s="34">
        <v>0</v>
      </c>
    </row>
    <row r="8331" spans="1:10" ht="39" hidden="1" thickBot="1" x14ac:dyDescent="0.3">
      <c r="A8331" s="249"/>
      <c r="B8331" s="252"/>
      <c r="C8331" s="40" t="s">
        <v>2006</v>
      </c>
      <c r="D8331" s="40" t="s">
        <v>102</v>
      </c>
      <c r="E8331" s="41">
        <v>2</v>
      </c>
      <c r="F8331" s="38" t="s">
        <v>23</v>
      </c>
      <c r="G8331" s="35" t="str">
        <f t="shared" si="234"/>
        <v/>
      </c>
      <c r="H8331" s="48"/>
      <c r="I8331" s="49"/>
      <c r="J8331" s="34">
        <v>0</v>
      </c>
    </row>
    <row r="8332" spans="1:10" ht="26.25" hidden="1" thickBot="1" x14ac:dyDescent="0.3">
      <c r="A8332" s="249"/>
      <c r="B8332" s="252"/>
      <c r="C8332" s="40" t="s">
        <v>424</v>
      </c>
      <c r="D8332" s="40" t="s">
        <v>121</v>
      </c>
      <c r="E8332" s="41">
        <v>1.5</v>
      </c>
      <c r="F8332" s="38">
        <v>8.08</v>
      </c>
      <c r="G8332" s="35">
        <f t="shared" si="234"/>
        <v>12.120000000000001</v>
      </c>
      <c r="H8332" s="39"/>
      <c r="I8332" s="35"/>
      <c r="J8332" s="34">
        <v>0</v>
      </c>
    </row>
    <row r="8333" spans="1:10" ht="15.75" hidden="1" thickBot="1" x14ac:dyDescent="0.3">
      <c r="A8333" s="249"/>
      <c r="B8333" s="252"/>
      <c r="C8333" s="40" t="s">
        <v>425</v>
      </c>
      <c r="D8333" s="40" t="s">
        <v>102</v>
      </c>
      <c r="E8333" s="41">
        <v>1</v>
      </c>
      <c r="F8333" s="38">
        <v>5.62</v>
      </c>
      <c r="G8333" s="35">
        <f t="shared" si="234"/>
        <v>5.62</v>
      </c>
      <c r="H8333" s="39"/>
      <c r="I8333" s="35"/>
      <c r="J8333" s="34">
        <v>0</v>
      </c>
    </row>
    <row r="8334" spans="1:10" ht="15.75" hidden="1" thickBot="1" x14ac:dyDescent="0.3">
      <c r="A8334" s="249"/>
      <c r="B8334" s="252"/>
      <c r="C8334" s="40" t="s">
        <v>426</v>
      </c>
      <c r="D8334" s="40" t="s">
        <v>102</v>
      </c>
      <c r="E8334" s="41">
        <v>1</v>
      </c>
      <c r="F8334" s="38">
        <v>5.69</v>
      </c>
      <c r="G8334" s="35">
        <f t="shared" si="234"/>
        <v>5.69</v>
      </c>
      <c r="H8334" s="39"/>
      <c r="I8334" s="35"/>
      <c r="J8334" s="34">
        <v>0</v>
      </c>
    </row>
    <row r="8335" spans="1:10" ht="15.75" hidden="1" thickBot="1" x14ac:dyDescent="0.3">
      <c r="A8335" s="249"/>
      <c r="B8335" s="252"/>
      <c r="C8335" s="40" t="s">
        <v>3770</v>
      </c>
      <c r="D8335" s="40" t="s">
        <v>3752</v>
      </c>
      <c r="E8335" s="41">
        <v>0.14799999999999999</v>
      </c>
      <c r="F8335" s="35">
        <v>21.954499999999999</v>
      </c>
      <c r="G8335" s="38">
        <f t="shared" si="234"/>
        <v>3.2492659999999995</v>
      </c>
      <c r="H8335" s="39"/>
      <c r="I8335" s="35"/>
      <c r="J8335" s="34">
        <v>0</v>
      </c>
    </row>
    <row r="8336" spans="1:10" ht="15.75" hidden="1" thickBot="1" x14ac:dyDescent="0.3">
      <c r="A8336" s="249"/>
      <c r="B8336" s="252"/>
      <c r="C8336" s="40" t="s">
        <v>3760</v>
      </c>
      <c r="D8336" s="40" t="s">
        <v>3752</v>
      </c>
      <c r="E8336" s="41">
        <v>0.35510000000000003</v>
      </c>
      <c r="F8336" s="35">
        <v>28.385999999999999</v>
      </c>
      <c r="G8336" s="35">
        <f t="shared" si="234"/>
        <v>10.079868600000001</v>
      </c>
      <c r="H8336" s="39"/>
      <c r="I8336" s="35"/>
      <c r="J8336" s="34">
        <v>0</v>
      </c>
    </row>
    <row r="8337" spans="1:10" ht="15.75" hidden="1" thickBot="1" x14ac:dyDescent="0.3">
      <c r="A8337" s="250"/>
      <c r="B8337" s="253"/>
      <c r="C8337" s="40"/>
      <c r="D8337" s="40"/>
      <c r="E8337" s="41"/>
      <c r="F8337" s="35" t="s">
        <v>23</v>
      </c>
      <c r="G8337" s="35" t="str">
        <f t="shared" si="234"/>
        <v/>
      </c>
      <c r="H8337" s="39"/>
      <c r="I8337" s="35"/>
      <c r="J8337" s="34">
        <v>0</v>
      </c>
    </row>
    <row r="8338" spans="1:10" ht="15.75" hidden="1" thickBot="1" x14ac:dyDescent="0.3">
      <c r="A8338" s="248" t="s">
        <v>2007</v>
      </c>
      <c r="B8338" s="251" t="s">
        <v>3728</v>
      </c>
      <c r="C8338" s="28"/>
      <c r="D8338" s="29" t="s">
        <v>28</v>
      </c>
      <c r="E8338" s="30"/>
      <c r="F8338" s="45" t="s">
        <v>23</v>
      </c>
      <c r="G8338" s="31" t="str">
        <f t="shared" si="234"/>
        <v/>
      </c>
      <c r="H8338" s="32"/>
      <c r="I8338" s="33"/>
      <c r="J8338" s="34">
        <v>0</v>
      </c>
    </row>
    <row r="8339" spans="1:10" ht="15.75" hidden="1" thickBot="1" x14ac:dyDescent="0.3">
      <c r="A8339" s="249"/>
      <c r="B8339" s="252"/>
      <c r="C8339" s="36"/>
      <c r="D8339" s="36"/>
      <c r="E8339" s="37"/>
      <c r="F8339" s="46" t="s">
        <v>23</v>
      </c>
      <c r="G8339" s="35" t="str">
        <f t="shared" si="234"/>
        <v/>
      </c>
      <c r="H8339" s="39"/>
      <c r="I8339" s="35"/>
      <c r="J8339" s="34">
        <v>0</v>
      </c>
    </row>
    <row r="8340" spans="1:10" ht="39" hidden="1" thickBot="1" x14ac:dyDescent="0.3">
      <c r="A8340" s="249"/>
      <c r="B8340" s="252"/>
      <c r="C8340" s="40" t="s">
        <v>2008</v>
      </c>
      <c r="D8340" s="40" t="s">
        <v>102</v>
      </c>
      <c r="E8340" s="41">
        <v>1</v>
      </c>
      <c r="F8340" s="38" t="s">
        <v>23</v>
      </c>
      <c r="G8340" s="35" t="str">
        <f t="shared" si="234"/>
        <v/>
      </c>
      <c r="H8340" s="43">
        <f>SUM(G8340:G8346)</f>
        <v>38.984700550000007</v>
      </c>
      <c r="I8340" s="44"/>
      <c r="J8340" s="34">
        <v>0</v>
      </c>
    </row>
    <row r="8341" spans="1:10" ht="39" hidden="1" thickBot="1" x14ac:dyDescent="0.3">
      <c r="A8341" s="249"/>
      <c r="B8341" s="252"/>
      <c r="C8341" s="40" t="s">
        <v>2006</v>
      </c>
      <c r="D8341" s="40" t="s">
        <v>102</v>
      </c>
      <c r="E8341" s="41">
        <v>2</v>
      </c>
      <c r="F8341" s="38" t="s">
        <v>23</v>
      </c>
      <c r="G8341" s="35" t="str">
        <f t="shared" si="234"/>
        <v/>
      </c>
      <c r="H8341" s="48"/>
      <c r="I8341" s="49"/>
      <c r="J8341" s="34">
        <v>0</v>
      </c>
    </row>
    <row r="8342" spans="1:10" ht="26.25" hidden="1" thickBot="1" x14ac:dyDescent="0.3">
      <c r="A8342" s="249"/>
      <c r="B8342" s="252"/>
      <c r="C8342" s="40" t="s">
        <v>424</v>
      </c>
      <c r="D8342" s="40" t="s">
        <v>121</v>
      </c>
      <c r="E8342" s="41">
        <v>1.5</v>
      </c>
      <c r="F8342" s="38">
        <v>8.08</v>
      </c>
      <c r="G8342" s="35">
        <f t="shared" si="234"/>
        <v>12.120000000000001</v>
      </c>
      <c r="H8342" s="39"/>
      <c r="I8342" s="35"/>
      <c r="J8342" s="34">
        <v>0</v>
      </c>
    </row>
    <row r="8343" spans="1:10" ht="15.75" hidden="1" thickBot="1" x14ac:dyDescent="0.3">
      <c r="A8343" s="249"/>
      <c r="B8343" s="252"/>
      <c r="C8343" s="40" t="s">
        <v>425</v>
      </c>
      <c r="D8343" s="40" t="s">
        <v>102</v>
      </c>
      <c r="E8343" s="41">
        <v>1</v>
      </c>
      <c r="F8343" s="38">
        <v>5.62</v>
      </c>
      <c r="G8343" s="35">
        <f t="shared" si="234"/>
        <v>5.62</v>
      </c>
      <c r="H8343" s="39"/>
      <c r="I8343" s="35"/>
      <c r="J8343" s="34">
        <v>0</v>
      </c>
    </row>
    <row r="8344" spans="1:10" ht="15.75" hidden="1" thickBot="1" x14ac:dyDescent="0.3">
      <c r="A8344" s="249"/>
      <c r="B8344" s="252"/>
      <c r="C8344" s="40" t="s">
        <v>426</v>
      </c>
      <c r="D8344" s="40" t="s">
        <v>102</v>
      </c>
      <c r="E8344" s="41">
        <v>1</v>
      </c>
      <c r="F8344" s="38">
        <v>5.69</v>
      </c>
      <c r="G8344" s="35">
        <f t="shared" si="234"/>
        <v>5.69</v>
      </c>
      <c r="H8344" s="39"/>
      <c r="I8344" s="35"/>
      <c r="J8344" s="34">
        <v>0</v>
      </c>
    </row>
    <row r="8345" spans="1:10" ht="15.75" hidden="1" thickBot="1" x14ac:dyDescent="0.3">
      <c r="A8345" s="249"/>
      <c r="B8345" s="252"/>
      <c r="C8345" s="40" t="s">
        <v>3770</v>
      </c>
      <c r="D8345" s="40" t="s">
        <v>3752</v>
      </c>
      <c r="E8345" s="41">
        <v>0.17269999999999999</v>
      </c>
      <c r="F8345" s="35">
        <v>21.954499999999999</v>
      </c>
      <c r="G8345" s="35">
        <f t="shared" si="234"/>
        <v>3.7915421499999997</v>
      </c>
      <c r="H8345" s="39"/>
      <c r="I8345" s="35"/>
      <c r="J8345" s="34">
        <v>0</v>
      </c>
    </row>
    <row r="8346" spans="1:10" ht="15.75" hidden="1" thickBot="1" x14ac:dyDescent="0.3">
      <c r="A8346" s="249"/>
      <c r="B8346" s="252"/>
      <c r="C8346" s="40" t="s">
        <v>3760</v>
      </c>
      <c r="D8346" s="40" t="s">
        <v>3752</v>
      </c>
      <c r="E8346" s="41">
        <v>0.41439999999999999</v>
      </c>
      <c r="F8346" s="35">
        <v>28.385999999999999</v>
      </c>
      <c r="G8346" s="35">
        <f t="shared" si="234"/>
        <v>11.7631584</v>
      </c>
      <c r="H8346" s="39"/>
      <c r="I8346" s="35"/>
      <c r="J8346" s="34">
        <v>0</v>
      </c>
    </row>
    <row r="8347" spans="1:10" ht="15.75" hidden="1" thickBot="1" x14ac:dyDescent="0.3">
      <c r="A8347" s="250"/>
      <c r="B8347" s="253"/>
      <c r="C8347" s="40"/>
      <c r="D8347" s="40"/>
      <c r="E8347" s="41"/>
      <c r="F8347" s="35" t="s">
        <v>23</v>
      </c>
      <c r="G8347" s="35" t="str">
        <f t="shared" si="234"/>
        <v/>
      </c>
      <c r="H8347" s="39"/>
      <c r="I8347" s="35"/>
      <c r="J8347" s="34">
        <v>0</v>
      </c>
    </row>
    <row r="8348" spans="1:10" ht="15.75" hidden="1" thickBot="1" x14ac:dyDescent="0.3">
      <c r="A8348" s="256" t="s">
        <v>7</v>
      </c>
      <c r="B8348" s="259" t="s">
        <v>3729</v>
      </c>
      <c r="C8348" s="28"/>
      <c r="D8348" s="29" t="s">
        <v>2</v>
      </c>
      <c r="E8348" s="30"/>
      <c r="F8348" s="45" t="s">
        <v>23</v>
      </c>
      <c r="G8348" s="31" t="str">
        <f t="shared" si="234"/>
        <v/>
      </c>
      <c r="H8348" s="32"/>
      <c r="I8348" s="33"/>
      <c r="J8348" s="34">
        <v>0</v>
      </c>
    </row>
    <row r="8349" spans="1:10" ht="15.75" hidden="1" thickBot="1" x14ac:dyDescent="0.3">
      <c r="A8349" s="264"/>
      <c r="B8349" s="260"/>
      <c r="C8349" s="36"/>
      <c r="D8349" s="36"/>
      <c r="E8349" s="37"/>
      <c r="F8349" s="46" t="s">
        <v>23</v>
      </c>
      <c r="G8349" s="38" t="str">
        <f t="shared" si="234"/>
        <v/>
      </c>
      <c r="H8349" s="39"/>
      <c r="I8349" s="35"/>
      <c r="J8349" s="34">
        <v>0</v>
      </c>
    </row>
    <row r="8350" spans="1:10" ht="15.75" hidden="1" thickBot="1" x14ac:dyDescent="0.3">
      <c r="A8350" s="264"/>
      <c r="B8350" s="260"/>
      <c r="C8350" s="40" t="s">
        <v>3777</v>
      </c>
      <c r="D8350" s="40" t="s">
        <v>3752</v>
      </c>
      <c r="E8350" s="75" t="e">
        <f>IF(#REF!="Desonerado",ROUND(220/(1+82.01%),4),ROUND(220/(1+110.69%),4))</f>
        <v>#REF!</v>
      </c>
      <c r="F8350" s="35">
        <v>17.964500000000001</v>
      </c>
      <c r="G8350" s="38" t="e">
        <f t="shared" si="234"/>
        <v>#REF!</v>
      </c>
      <c r="H8350" s="43" t="e">
        <f>SUM(G8350:G8350)</f>
        <v>#REF!</v>
      </c>
      <c r="I8350" s="44"/>
      <c r="J8350" s="34">
        <v>0</v>
      </c>
    </row>
    <row r="8351" spans="1:10" ht="15.75" hidden="1" thickBot="1" x14ac:dyDescent="0.3">
      <c r="A8351" s="264"/>
      <c r="B8351" s="260"/>
      <c r="C8351" s="40"/>
      <c r="D8351" s="99"/>
      <c r="E8351" s="75"/>
      <c r="F8351" s="35"/>
      <c r="G8351" s="38"/>
      <c r="H8351" s="39"/>
      <c r="I8351" s="44"/>
      <c r="J8351" s="34">
        <v>0</v>
      </c>
    </row>
    <row r="8352" spans="1:10" ht="26.25" hidden="1" thickBot="1" x14ac:dyDescent="0.3">
      <c r="A8352" s="264"/>
      <c r="B8352" s="260"/>
      <c r="C8352" s="50" t="s">
        <v>668</v>
      </c>
      <c r="D8352" s="99"/>
      <c r="E8352" s="75"/>
      <c r="F8352" s="35"/>
      <c r="G8352" s="38"/>
      <c r="H8352" s="39"/>
      <c r="I8352" s="44"/>
      <c r="J8352" s="34">
        <v>0</v>
      </c>
    </row>
    <row r="8353" spans="1:10" ht="15.75" hidden="1" thickBot="1" x14ac:dyDescent="0.3">
      <c r="A8353" s="265"/>
      <c r="B8353" s="261"/>
      <c r="C8353" s="60"/>
      <c r="D8353" s="60"/>
      <c r="E8353" s="79"/>
      <c r="F8353" s="87" t="s">
        <v>23</v>
      </c>
      <c r="G8353" s="88" t="str">
        <f t="shared" ref="G8353:G8362" si="235">IF(ISNUMBER(F8353),E8353*F8353,"")</f>
        <v/>
      </c>
      <c r="H8353" s="39"/>
      <c r="I8353" s="35"/>
      <c r="J8353" s="34">
        <v>0</v>
      </c>
    </row>
    <row r="8354" spans="1:10" ht="15.75" hidden="1" thickBot="1" x14ac:dyDescent="0.3">
      <c r="A8354" s="256" t="s">
        <v>2009</v>
      </c>
      <c r="B8354" s="259" t="s">
        <v>3730</v>
      </c>
      <c r="C8354" s="28"/>
      <c r="D8354" s="29" t="s">
        <v>78</v>
      </c>
      <c r="E8354" s="30"/>
      <c r="F8354" s="45" t="s">
        <v>23</v>
      </c>
      <c r="G8354" s="31" t="str">
        <f t="shared" si="235"/>
        <v/>
      </c>
      <c r="H8354" s="32"/>
      <c r="I8354" s="33"/>
      <c r="J8354" s="34">
        <v>0</v>
      </c>
    </row>
    <row r="8355" spans="1:10" ht="15.75" hidden="1" thickBot="1" x14ac:dyDescent="0.3">
      <c r="A8355" s="264"/>
      <c r="B8355" s="260"/>
      <c r="C8355" s="36"/>
      <c r="D8355" s="36"/>
      <c r="E8355" s="37"/>
      <c r="F8355" s="46" t="s">
        <v>23</v>
      </c>
      <c r="G8355" s="38" t="str">
        <f t="shared" si="235"/>
        <v/>
      </c>
      <c r="H8355" s="39"/>
      <c r="I8355" s="35"/>
      <c r="J8355" s="34">
        <v>0</v>
      </c>
    </row>
    <row r="8356" spans="1:10" ht="15.75" hidden="1" thickBot="1" x14ac:dyDescent="0.3">
      <c r="A8356" s="264"/>
      <c r="B8356" s="260"/>
      <c r="C8356" s="40" t="s">
        <v>3757</v>
      </c>
      <c r="D8356" s="40" t="s">
        <v>3752</v>
      </c>
      <c r="E8356" s="41">
        <v>0.7</v>
      </c>
      <c r="F8356" s="35">
        <v>28.0535</v>
      </c>
      <c r="G8356" s="38">
        <f t="shared" si="235"/>
        <v>19.637449999999998</v>
      </c>
      <c r="H8356" s="43">
        <f>SUM(G8356:G8358)</f>
        <v>79.408599999999993</v>
      </c>
      <c r="I8356" s="44"/>
      <c r="J8356" s="34">
        <v>0</v>
      </c>
    </row>
    <row r="8357" spans="1:10" ht="15.75" hidden="1" thickBot="1" x14ac:dyDescent="0.3">
      <c r="A8357" s="264"/>
      <c r="B8357" s="260"/>
      <c r="C8357" s="40" t="s">
        <v>3754</v>
      </c>
      <c r="D8357" s="40" t="s">
        <v>3752</v>
      </c>
      <c r="E8357" s="41">
        <v>0.7</v>
      </c>
      <c r="F8357" s="35">
        <v>20.814499999999999</v>
      </c>
      <c r="G8357" s="38">
        <f t="shared" si="235"/>
        <v>14.570149999999998</v>
      </c>
      <c r="H8357" s="39"/>
      <c r="I8357" s="44"/>
      <c r="J8357" s="34">
        <v>0</v>
      </c>
    </row>
    <row r="8358" spans="1:10" ht="26.25" hidden="1" thickBot="1" x14ac:dyDescent="0.3">
      <c r="A8358" s="264"/>
      <c r="B8358" s="260"/>
      <c r="C8358" s="40" t="s">
        <v>4660</v>
      </c>
      <c r="D8358" s="40" t="s">
        <v>177</v>
      </c>
      <c r="E8358" s="41">
        <v>1</v>
      </c>
      <c r="F8358" s="35">
        <v>45.200999999999993</v>
      </c>
      <c r="G8358" s="38">
        <f t="shared" si="235"/>
        <v>45.200999999999993</v>
      </c>
      <c r="H8358" s="39"/>
      <c r="I8358" s="44"/>
      <c r="J8358" s="34">
        <v>0</v>
      </c>
    </row>
    <row r="8359" spans="1:10" ht="15.75" hidden="1" thickBot="1" x14ac:dyDescent="0.3">
      <c r="A8359" s="265"/>
      <c r="B8359" s="261"/>
      <c r="C8359" s="60"/>
      <c r="D8359" s="60"/>
      <c r="E8359" s="79"/>
      <c r="F8359" s="87" t="s">
        <v>23</v>
      </c>
      <c r="G8359" s="88" t="str">
        <f t="shared" si="235"/>
        <v/>
      </c>
      <c r="H8359" s="89"/>
      <c r="I8359" s="35"/>
      <c r="J8359" s="34">
        <v>0</v>
      </c>
    </row>
    <row r="8360" spans="1:10" ht="15.75" hidden="1" thickBot="1" x14ac:dyDescent="0.3">
      <c r="A8360" s="256" t="s">
        <v>6</v>
      </c>
      <c r="B8360" s="259" t="s">
        <v>3731</v>
      </c>
      <c r="C8360" s="28"/>
      <c r="D8360" s="29" t="s">
        <v>2</v>
      </c>
      <c r="E8360" s="30"/>
      <c r="F8360" s="45" t="s">
        <v>23</v>
      </c>
      <c r="G8360" s="31" t="str">
        <f t="shared" si="235"/>
        <v/>
      </c>
      <c r="H8360" s="32"/>
      <c r="I8360" s="33"/>
      <c r="J8360" s="34">
        <v>0</v>
      </c>
    </row>
    <row r="8361" spans="1:10" ht="15.75" hidden="1" thickBot="1" x14ac:dyDescent="0.3">
      <c r="A8361" s="264"/>
      <c r="B8361" s="260"/>
      <c r="C8361" s="36"/>
      <c r="D8361" s="36"/>
      <c r="E8361" s="37"/>
      <c r="F8361" s="46" t="s">
        <v>23</v>
      </c>
      <c r="G8361" s="38" t="str">
        <f t="shared" si="235"/>
        <v/>
      </c>
      <c r="H8361" s="39"/>
      <c r="I8361" s="35"/>
      <c r="J8361" s="34">
        <v>0</v>
      </c>
    </row>
    <row r="8362" spans="1:10" ht="15.75" hidden="1" thickBot="1" x14ac:dyDescent="0.3">
      <c r="A8362" s="264"/>
      <c r="B8362" s="260"/>
      <c r="C8362" s="40" t="s">
        <v>3777</v>
      </c>
      <c r="D8362" s="40" t="s">
        <v>3752</v>
      </c>
      <c r="E8362" s="75" t="e">
        <f>IF(#REF!="Desonerado",ROUND(220/(1+82.01%),4),ROUND(220/(1+110.69%),4))</f>
        <v>#REF!</v>
      </c>
      <c r="F8362" s="35">
        <v>17.964500000000001</v>
      </c>
      <c r="G8362" s="38" t="e">
        <f t="shared" si="235"/>
        <v>#REF!</v>
      </c>
      <c r="H8362" s="43" t="e">
        <f>SUM(G8362:G8362)</f>
        <v>#REF!</v>
      </c>
      <c r="I8362" s="44"/>
      <c r="J8362" s="34">
        <v>0</v>
      </c>
    </row>
    <row r="8363" spans="1:10" ht="15.75" hidden="1" thickBot="1" x14ac:dyDescent="0.3">
      <c r="A8363" s="264"/>
      <c r="B8363" s="260"/>
      <c r="C8363" s="40"/>
      <c r="D8363" s="99"/>
      <c r="E8363" s="75"/>
      <c r="F8363" s="35"/>
      <c r="G8363" s="38"/>
      <c r="H8363" s="39"/>
      <c r="I8363" s="44"/>
      <c r="J8363" s="34">
        <v>0</v>
      </c>
    </row>
    <row r="8364" spans="1:10" ht="26.25" hidden="1" thickBot="1" x14ac:dyDescent="0.3">
      <c r="A8364" s="264"/>
      <c r="B8364" s="260"/>
      <c r="C8364" s="50" t="s">
        <v>668</v>
      </c>
      <c r="D8364" s="99"/>
      <c r="E8364" s="75"/>
      <c r="F8364" s="35"/>
      <c r="G8364" s="38"/>
      <c r="H8364" s="39"/>
      <c r="I8364" s="44"/>
      <c r="J8364" s="34">
        <v>0</v>
      </c>
    </row>
    <row r="8365" spans="1:10" ht="15.75" hidden="1" thickBot="1" x14ac:dyDescent="0.3">
      <c r="A8365" s="265"/>
      <c r="B8365" s="261"/>
      <c r="C8365" s="60"/>
      <c r="D8365" s="60"/>
      <c r="E8365" s="79"/>
      <c r="F8365" s="87" t="s">
        <v>23</v>
      </c>
      <c r="G8365" s="88" t="str">
        <f>IF(ISNUMBER(F8365),E8365*F8365,"")</f>
        <v/>
      </c>
      <c r="H8365" s="89"/>
      <c r="I8365" s="35"/>
      <c r="J8365" s="34">
        <v>0</v>
      </c>
    </row>
    <row r="8366" spans="1:10" ht="15.75" hidden="1" thickBot="1" x14ac:dyDescent="0.3">
      <c r="A8366" s="256" t="s">
        <v>2010</v>
      </c>
      <c r="B8366" s="259" t="s">
        <v>3732</v>
      </c>
      <c r="C8366" s="28"/>
      <c r="D8366" s="29" t="s">
        <v>2032</v>
      </c>
      <c r="E8366" s="30"/>
      <c r="F8366" s="45" t="s">
        <v>23</v>
      </c>
      <c r="G8366" s="31" t="str">
        <f>IF(ISNUMBER(F8366),E8366*F8366,"")</f>
        <v/>
      </c>
      <c r="H8366" s="32"/>
      <c r="I8366" s="33"/>
      <c r="J8366" s="34">
        <v>0</v>
      </c>
    </row>
    <row r="8367" spans="1:10" ht="15.75" hidden="1" thickBot="1" x14ac:dyDescent="0.3">
      <c r="A8367" s="264"/>
      <c r="B8367" s="260"/>
      <c r="C8367" s="36"/>
      <c r="D8367" s="36"/>
      <c r="E8367" s="37"/>
      <c r="F8367" s="46" t="s">
        <v>23</v>
      </c>
      <c r="G8367" s="38" t="str">
        <f>IF(ISNUMBER(F8367),E8367*F8367,"")</f>
        <v/>
      </c>
      <c r="H8367" s="39"/>
      <c r="I8367" s="35"/>
      <c r="J8367" s="34">
        <v>0</v>
      </c>
    </row>
    <row r="8368" spans="1:10" ht="26.25" hidden="1" thickBot="1" x14ac:dyDescent="0.3">
      <c r="A8368" s="264"/>
      <c r="B8368" s="260"/>
      <c r="C8368" s="40" t="s">
        <v>4112</v>
      </c>
      <c r="D8368" s="40" t="s">
        <v>3752</v>
      </c>
      <c r="E8368" s="75">
        <v>1</v>
      </c>
      <c r="F8368" s="35">
        <v>119.79499999999999</v>
      </c>
      <c r="G8368" s="38">
        <f>IF(ISNUMBER(F8368),E8368*F8368,"")</f>
        <v>119.79499999999999</v>
      </c>
      <c r="H8368" s="43">
        <f>SUM(G8368:G8368)</f>
        <v>119.79499999999999</v>
      </c>
      <c r="I8368" s="44"/>
      <c r="J8368" s="34">
        <v>0</v>
      </c>
    </row>
    <row r="8369" spans="1:10" ht="15.75" hidden="1" thickBot="1" x14ac:dyDescent="0.3">
      <c r="A8369" s="264"/>
      <c r="B8369" s="260"/>
      <c r="C8369" s="40"/>
      <c r="D8369" s="99"/>
      <c r="E8369" s="75"/>
      <c r="F8369" s="35"/>
      <c r="G8369" s="38"/>
      <c r="H8369" s="39"/>
      <c r="I8369" s="44"/>
      <c r="J8369" s="34">
        <v>0</v>
      </c>
    </row>
    <row r="8370" spans="1:10" ht="15.75" hidden="1" thickBot="1" x14ac:dyDescent="0.3">
      <c r="A8370" s="248" t="s">
        <v>2011</v>
      </c>
      <c r="B8370" s="251" t="s">
        <v>3242</v>
      </c>
      <c r="C8370" s="28"/>
      <c r="D8370" s="29" t="s">
        <v>28</v>
      </c>
      <c r="E8370" s="30"/>
      <c r="F8370" s="51" t="s">
        <v>23</v>
      </c>
      <c r="G8370" s="31" t="str">
        <f t="shared" ref="G8370:G8390" si="236">IF(ISNUMBER(F8370),E8370*F8370,"")</f>
        <v/>
      </c>
      <c r="H8370" s="32"/>
      <c r="I8370" s="33"/>
      <c r="J8370" s="34">
        <v>0</v>
      </c>
    </row>
    <row r="8371" spans="1:10" ht="15.75" hidden="1" thickBot="1" x14ac:dyDescent="0.3">
      <c r="A8371" s="262"/>
      <c r="B8371" s="266"/>
      <c r="C8371" s="76"/>
      <c r="D8371" s="76"/>
      <c r="E8371" s="77"/>
      <c r="F8371" s="59" t="s">
        <v>23</v>
      </c>
      <c r="G8371" s="59" t="str">
        <f t="shared" si="236"/>
        <v/>
      </c>
      <c r="H8371" s="62"/>
      <c r="I8371" s="63"/>
      <c r="J8371" s="34">
        <v>0</v>
      </c>
    </row>
    <row r="8372" spans="1:10" ht="15.75" hidden="1" thickBot="1" x14ac:dyDescent="0.3">
      <c r="A8372" s="262"/>
      <c r="B8372" s="266"/>
      <c r="C8372" s="40" t="s">
        <v>2012</v>
      </c>
      <c r="D8372" s="99" t="s">
        <v>291</v>
      </c>
      <c r="E8372" s="75">
        <v>1</v>
      </c>
      <c r="F8372" s="35" t="s">
        <v>23</v>
      </c>
      <c r="G8372" s="59" t="str">
        <f t="shared" si="236"/>
        <v/>
      </c>
      <c r="H8372" s="43">
        <f>SUM(G8372:G8374)</f>
        <v>6.7374836</v>
      </c>
      <c r="I8372" s="44"/>
      <c r="J8372" s="34">
        <v>0</v>
      </c>
    </row>
    <row r="8373" spans="1:10" ht="15.75" hidden="1" thickBot="1" x14ac:dyDescent="0.3">
      <c r="A8373" s="262"/>
      <c r="B8373" s="266"/>
      <c r="C8373" s="40" t="s">
        <v>3770</v>
      </c>
      <c r="D8373" s="40" t="s">
        <v>3752</v>
      </c>
      <c r="E8373" s="75">
        <v>7.4800000000000005E-2</v>
      </c>
      <c r="F8373" s="35">
        <v>21.954499999999999</v>
      </c>
      <c r="G8373" s="59">
        <f t="shared" si="236"/>
        <v>1.6421966000000001</v>
      </c>
      <c r="H8373" s="62"/>
      <c r="I8373" s="63"/>
      <c r="J8373" s="34">
        <v>0</v>
      </c>
    </row>
    <row r="8374" spans="1:10" ht="15.75" hidden="1" thickBot="1" x14ac:dyDescent="0.3">
      <c r="A8374" s="262"/>
      <c r="B8374" s="266"/>
      <c r="C8374" s="40" t="s">
        <v>3760</v>
      </c>
      <c r="D8374" s="40" t="s">
        <v>3752</v>
      </c>
      <c r="E8374" s="75">
        <v>0.17949999999999999</v>
      </c>
      <c r="F8374" s="35">
        <v>28.385999999999999</v>
      </c>
      <c r="G8374" s="59">
        <f t="shared" si="236"/>
        <v>5.0952869999999999</v>
      </c>
      <c r="H8374" s="62"/>
      <c r="I8374" s="63"/>
      <c r="J8374" s="34">
        <v>0</v>
      </c>
    </row>
    <row r="8375" spans="1:10" ht="15.75" hidden="1" thickBot="1" x14ac:dyDescent="0.3">
      <c r="A8375" s="263"/>
      <c r="B8375" s="253"/>
      <c r="C8375" s="60"/>
      <c r="D8375" s="78"/>
      <c r="E8375" s="79"/>
      <c r="F8375" s="80" t="s">
        <v>23</v>
      </c>
      <c r="G8375" s="80" t="str">
        <f t="shared" si="236"/>
        <v/>
      </c>
      <c r="H8375" s="81"/>
      <c r="I8375" s="63"/>
      <c r="J8375" s="34">
        <v>0</v>
      </c>
    </row>
    <row r="8376" spans="1:10" ht="15.75" hidden="1" thickBot="1" x14ac:dyDescent="0.3">
      <c r="A8376" s="248" t="s">
        <v>2013</v>
      </c>
      <c r="B8376" s="251" t="s">
        <v>3243</v>
      </c>
      <c r="C8376" s="28"/>
      <c r="D8376" s="29" t="s">
        <v>28</v>
      </c>
      <c r="E8376" s="30"/>
      <c r="F8376" s="45" t="s">
        <v>23</v>
      </c>
      <c r="G8376" s="31" t="str">
        <f t="shared" si="236"/>
        <v/>
      </c>
      <c r="H8376" s="32"/>
      <c r="I8376" s="33"/>
      <c r="J8376" s="34">
        <v>0</v>
      </c>
    </row>
    <row r="8377" spans="1:10" ht="15.75" hidden="1" thickBot="1" x14ac:dyDescent="0.3">
      <c r="A8377" s="249"/>
      <c r="B8377" s="252"/>
      <c r="C8377" s="36"/>
      <c r="D8377" s="36"/>
      <c r="E8377" s="37"/>
      <c r="F8377" s="46" t="s">
        <v>23</v>
      </c>
      <c r="G8377" s="35" t="str">
        <f t="shared" si="236"/>
        <v/>
      </c>
      <c r="H8377" s="39"/>
      <c r="I8377" s="35"/>
      <c r="J8377" s="34">
        <v>0</v>
      </c>
    </row>
    <row r="8378" spans="1:10" ht="51.75" hidden="1" thickBot="1" x14ac:dyDescent="0.3">
      <c r="A8378" s="249"/>
      <c r="B8378" s="252"/>
      <c r="C8378" s="40" t="s">
        <v>2014</v>
      </c>
      <c r="D8378" s="40" t="s">
        <v>102</v>
      </c>
      <c r="E8378" s="41">
        <v>1</v>
      </c>
      <c r="F8378" s="38" t="s">
        <v>23</v>
      </c>
      <c r="G8378" s="35" t="str">
        <f t="shared" si="236"/>
        <v/>
      </c>
      <c r="H8378" s="43">
        <f>SUM(G8378:G8383)</f>
        <v>40.279054650000006</v>
      </c>
      <c r="I8378" s="44"/>
      <c r="J8378" s="34">
        <v>0</v>
      </c>
    </row>
    <row r="8379" spans="1:10" ht="26.25" hidden="1" thickBot="1" x14ac:dyDescent="0.3">
      <c r="A8379" s="249"/>
      <c r="B8379" s="252"/>
      <c r="C8379" s="40" t="s">
        <v>424</v>
      </c>
      <c r="D8379" s="40" t="s">
        <v>121</v>
      </c>
      <c r="E8379" s="41">
        <v>1.5</v>
      </c>
      <c r="F8379" s="38">
        <v>8.08</v>
      </c>
      <c r="G8379" s="35">
        <f t="shared" si="236"/>
        <v>12.120000000000001</v>
      </c>
      <c r="H8379" s="39"/>
      <c r="I8379" s="35"/>
      <c r="J8379" s="34">
        <v>0</v>
      </c>
    </row>
    <row r="8380" spans="1:10" ht="15.75" hidden="1" thickBot="1" x14ac:dyDescent="0.3">
      <c r="A8380" s="249"/>
      <c r="B8380" s="252"/>
      <c r="C8380" s="40" t="s">
        <v>425</v>
      </c>
      <c r="D8380" s="40" t="s">
        <v>102</v>
      </c>
      <c r="E8380" s="41">
        <v>1</v>
      </c>
      <c r="F8380" s="38">
        <v>5.62</v>
      </c>
      <c r="G8380" s="35">
        <f t="shared" si="236"/>
        <v>5.62</v>
      </c>
      <c r="H8380" s="39"/>
      <c r="I8380" s="35"/>
      <c r="J8380" s="34">
        <v>0</v>
      </c>
    </row>
    <row r="8381" spans="1:10" ht="15.75" hidden="1" thickBot="1" x14ac:dyDescent="0.3">
      <c r="A8381" s="249"/>
      <c r="B8381" s="252"/>
      <c r="C8381" s="40" t="s">
        <v>426</v>
      </c>
      <c r="D8381" s="40" t="s">
        <v>102</v>
      </c>
      <c r="E8381" s="41">
        <v>1</v>
      </c>
      <c r="F8381" s="38">
        <v>5.69</v>
      </c>
      <c r="G8381" s="35">
        <f t="shared" si="236"/>
        <v>5.69</v>
      </c>
      <c r="H8381" s="39"/>
      <c r="I8381" s="35"/>
      <c r="J8381" s="34">
        <v>0</v>
      </c>
    </row>
    <row r="8382" spans="1:10" ht="15.75" hidden="1" thickBot="1" x14ac:dyDescent="0.3">
      <c r="A8382" s="249"/>
      <c r="B8382" s="252"/>
      <c r="C8382" s="40" t="s">
        <v>3770</v>
      </c>
      <c r="D8382" s="40" t="s">
        <v>3752</v>
      </c>
      <c r="E8382" s="41">
        <v>0.18329999999999999</v>
      </c>
      <c r="F8382" s="35">
        <v>21.954499999999999</v>
      </c>
      <c r="G8382" s="38">
        <f t="shared" si="236"/>
        <v>4.02425985</v>
      </c>
      <c r="H8382" s="39"/>
      <c r="I8382" s="35"/>
      <c r="J8382" s="34">
        <v>0</v>
      </c>
    </row>
    <row r="8383" spans="1:10" ht="15.75" hidden="1" thickBot="1" x14ac:dyDescent="0.3">
      <c r="A8383" s="249"/>
      <c r="B8383" s="252"/>
      <c r="C8383" s="40" t="s">
        <v>3760</v>
      </c>
      <c r="D8383" s="40" t="s">
        <v>3752</v>
      </c>
      <c r="E8383" s="41">
        <v>0.45179999999999998</v>
      </c>
      <c r="F8383" s="35">
        <v>28.385999999999999</v>
      </c>
      <c r="G8383" s="35">
        <f t="shared" si="236"/>
        <v>12.824794799999999</v>
      </c>
      <c r="H8383" s="39"/>
      <c r="I8383" s="35"/>
      <c r="J8383" s="34">
        <v>0</v>
      </c>
    </row>
    <row r="8384" spans="1:10" ht="15.75" hidden="1" thickBot="1" x14ac:dyDescent="0.3">
      <c r="A8384" s="250"/>
      <c r="B8384" s="253"/>
      <c r="C8384" s="40"/>
      <c r="D8384" s="40"/>
      <c r="E8384" s="41"/>
      <c r="F8384" s="35" t="s">
        <v>23</v>
      </c>
      <c r="G8384" s="35" t="str">
        <f t="shared" si="236"/>
        <v/>
      </c>
      <c r="H8384" s="39"/>
      <c r="I8384" s="35"/>
      <c r="J8384" s="34">
        <v>0</v>
      </c>
    </row>
    <row r="8385" spans="1:10" ht="15.75" thickBot="1" x14ac:dyDescent="0.3">
      <c r="A8385" s="256" t="s">
        <v>2015</v>
      </c>
      <c r="B8385" s="259" t="s">
        <v>3733</v>
      </c>
      <c r="C8385" s="28"/>
      <c r="D8385" s="29" t="s">
        <v>78</v>
      </c>
      <c r="E8385" s="30"/>
      <c r="F8385" s="45" t="s">
        <v>23</v>
      </c>
      <c r="G8385" s="31" t="str">
        <f t="shared" si="236"/>
        <v/>
      </c>
      <c r="H8385" s="32"/>
      <c r="I8385" s="33"/>
      <c r="J8385" s="34">
        <v>2000</v>
      </c>
    </row>
    <row r="8386" spans="1:10" x14ac:dyDescent="0.25">
      <c r="A8386" s="264"/>
      <c r="B8386" s="260"/>
      <c r="C8386" s="36"/>
      <c r="D8386" s="36"/>
      <c r="E8386" s="37"/>
      <c r="F8386" s="46" t="s">
        <v>23</v>
      </c>
      <c r="G8386" s="38" t="str">
        <f t="shared" si="236"/>
        <v/>
      </c>
      <c r="H8386" s="39"/>
      <c r="I8386" s="35"/>
      <c r="J8386" s="34">
        <v>2000</v>
      </c>
    </row>
    <row r="8387" spans="1:10" ht="51" x14ac:dyDescent="0.25">
      <c r="A8387" s="264"/>
      <c r="B8387" s="260"/>
      <c r="C8387" s="40" t="s">
        <v>2016</v>
      </c>
      <c r="D8387" s="40" t="s">
        <v>1035</v>
      </c>
      <c r="E8387" s="41">
        <v>4</v>
      </c>
      <c r="F8387" s="35">
        <v>10.7</v>
      </c>
      <c r="G8387" s="38">
        <f t="shared" si="236"/>
        <v>42.8</v>
      </c>
      <c r="H8387" s="43">
        <f>SUM(G8387:G8389)</f>
        <v>60.096573999999997</v>
      </c>
      <c r="I8387" s="44"/>
      <c r="J8387" s="34">
        <v>2000</v>
      </c>
    </row>
    <row r="8388" spans="1:10" x14ac:dyDescent="0.25">
      <c r="A8388" s="264"/>
      <c r="B8388" s="260"/>
      <c r="C8388" s="40" t="s">
        <v>3787</v>
      </c>
      <c r="D8388" s="40" t="s">
        <v>3752</v>
      </c>
      <c r="E8388" s="41">
        <v>0.108</v>
      </c>
      <c r="F8388" s="35">
        <v>21.963999999999999</v>
      </c>
      <c r="G8388" s="38">
        <f t="shared" si="236"/>
        <v>2.372112</v>
      </c>
      <c r="H8388" s="39"/>
      <c r="I8388" s="44"/>
      <c r="J8388" s="34">
        <v>2000</v>
      </c>
    </row>
    <row r="8389" spans="1:10" x14ac:dyDescent="0.25">
      <c r="A8389" s="264"/>
      <c r="B8389" s="260"/>
      <c r="C8389" s="40" t="s">
        <v>3758</v>
      </c>
      <c r="D8389" s="40" t="s">
        <v>3752</v>
      </c>
      <c r="E8389" s="41">
        <v>0.53200000000000003</v>
      </c>
      <c r="F8389" s="35">
        <v>28.0535</v>
      </c>
      <c r="G8389" s="38">
        <f t="shared" si="236"/>
        <v>14.924462</v>
      </c>
      <c r="H8389" s="39"/>
      <c r="I8389" s="44"/>
      <c r="J8389" s="34">
        <v>2000</v>
      </c>
    </row>
    <row r="8390" spans="1:10" ht="15.75" thickBot="1" x14ac:dyDescent="0.3">
      <c r="A8390" s="265"/>
      <c r="B8390" s="261"/>
      <c r="C8390" s="60"/>
      <c r="D8390" s="60"/>
      <c r="E8390" s="79"/>
      <c r="F8390" s="87" t="s">
        <v>23</v>
      </c>
      <c r="G8390" s="88" t="str">
        <f t="shared" si="236"/>
        <v/>
      </c>
      <c r="H8390" s="89"/>
      <c r="I8390" s="35"/>
      <c r="J8390" s="34">
        <v>2000</v>
      </c>
    </row>
  </sheetData>
  <protectedRanges>
    <protectedRange sqref="C3254 C3249" name="COTACOES_92_6"/>
    <protectedRange sqref="C400 C421" name="COTACOES_92_13_1"/>
    <protectedRange sqref="C1220" name="COTACOES_91_1_2_1"/>
    <protectedRange sqref="C1214" name="COTACOES_91_1_3_1"/>
    <protectedRange sqref="C1381:C1382" name="COTACOES_68_1_1"/>
    <protectedRange sqref="F1515 F1527 F1509 F1503 F1521" name="COTACOES_27_1_2_1_8_1"/>
    <protectedRange sqref="C1515 C1527 C1509 C1503 C1521" name="COTACOES_5_1_8_1"/>
    <protectedRange sqref="C1400:C1402 C1415:C1417 C1430:C1432 C1445:C1447 C1460:C1462 C1475:C1477 C1490:C1492 C1404 C1419 C1434 C1449 C1464 C1479 C1494" name="COTACOES_32_1_1"/>
    <protectedRange sqref="F1565 F1568 F1571" name="COTACOES_27_1_2_1_17_1"/>
    <protectedRange sqref="C1564:C1566 C1571:C1572 C1568:C1569" name="COTACOES_5_1_17_1"/>
    <protectedRange sqref="C5083" name="COTACOES_15_1_1"/>
    <protectedRange sqref="C1719:C1720 C8378 C8330:C8331 C8340:C8341 C1729:C1730" name="COTACOES_8_1_1"/>
    <protectedRange sqref="C4942:C4943 C4957 C4964 C1699:C1700 C1709:C1710" name="COTACOES_9_1_1_3"/>
    <protectedRange sqref="C1685" name="COTACOES_10_1_1"/>
    <protectedRange sqref="C1755" name="COTACOES_42_1_3"/>
    <protectedRange sqref="C1769" name="COTACOES_42_1_1_1"/>
    <protectedRange sqref="C1783" name="COTACOES_42_1_2_1"/>
    <protectedRange sqref="F1741" name="COTACOES_27_1_1_3_1"/>
    <protectedRange sqref="F1748" name="COTACOES_27_1_1_4_1"/>
    <protectedRange sqref="C1807" name="COTACOES_37_1_1"/>
    <protectedRange sqref="C1813" name="COTACOES_82_1_1"/>
    <protectedRange sqref="C1826" name="COTACOES_58_1_1"/>
    <protectedRange sqref="C1832" name="COTACOES_61_1_1"/>
    <protectedRange sqref="C1838" name="COTACOES_40_1_1"/>
    <protectedRange sqref="C1844" name="COTACOES_36_1_2"/>
    <protectedRange sqref="C1880" name="COTACOES_41_1_2"/>
    <protectedRange sqref="C1856 C1874" name="COTACOES_41_1_1_1"/>
    <protectedRange sqref="C1850" name="COTACOES_36_1_1_1"/>
    <protectedRange sqref="C1862 C1868" name="COTACOES_44_1_1"/>
    <protectedRange sqref="C1886" name="COTACOES_51_1_1"/>
    <protectedRange sqref="F1886" name="COTACOES_54_1_1"/>
    <protectedRange sqref="C1892 C2382" name="COTACOES_55_1_3"/>
    <protectedRange sqref="F1892" name="COTACOES_57_1_1"/>
    <protectedRange sqref="C1936" name="COTACOES_75_1_2"/>
    <protectedRange sqref="C1942" name="COTACOES_75_1_1_1"/>
    <protectedRange sqref="C1972 C1964" name="COTACOES_78_1_1"/>
    <protectedRange sqref="C1955" name="COTACOES_80_1_2"/>
    <protectedRange sqref="C1948" name="COTACOES_80_1_1_1"/>
    <protectedRange sqref="C2313" name="COTACOES_62_1_1"/>
    <protectedRange sqref="C3350" name="COTACOES_92_2_3_2"/>
    <protectedRange sqref="C3358" name="COTACOES_92_2_5_1"/>
    <protectedRange sqref="C3668:C3669" name="COTACOES_55_1_1_1_1"/>
    <protectedRange sqref="C3688:C3689 C3702" name="COTACOES_55_1_1_2_1"/>
    <protectedRange sqref="C3821 C3761 C3701 C3703 C3767 C3773 C3779 C3785 C3791 C3797 C3803 C3809 C3815" name="COTACOES_55_1_1_4_1"/>
    <protectedRange sqref="C3945" name="COTACOES_9_1_1_1_1"/>
    <protectedRange sqref="C4144 C4192" name="COTACOES_55_1_7_1_2"/>
    <protectedRange sqref="C2565 C2573 C2581 C7289 C2598 C7293 C7297 C7301 C7248 C7810 C7850 C7862 C7898 C7946" name="COTACOES_92_5_2"/>
    <protectedRange sqref="C4100:C4101 C4106" name="COTACOES_55_1_7_1_1_1_1"/>
    <protectedRange sqref="C4359" name="COTACOES_92_17_1_1_1"/>
    <protectedRange sqref="C2651:C2652 C2657:C2658 C2663:C2664 C2669:C2670 C2675:C2676 C2681:C2682 C2693:C2694 C2699:C2700 C2705:C2706 C2687:C2688 C7144:C7145 C7150:C7151 C7156:C7157 C7162:C7163 C7168:C7169 C8262 C8352 C8364" name="COTACOES_92_3_2_1"/>
    <protectedRange sqref="C5392 C5394 C5451 C5445 C5470" name="COTACOES_8_1_1_1"/>
    <protectedRange sqref="C5393" name="COTACOES_9_1_1_3_4"/>
    <protectedRange sqref="C6383 C6390" name="COTACOES_8_1_1_2"/>
    <protectedRange sqref="C6464" name="COTACOES_9_1_1_3_5_2"/>
    <protectedRange sqref="C7221" name="COTACOES_51_1_1_1"/>
    <protectedRange sqref="F7221" name="COTACOES_54_1_1_1"/>
    <protectedRange sqref="F7393 F7399 F7405 F7411" name="COTACOES_27_1_2_1_8_1_1"/>
    <protectedRange sqref="C7399 C7405 C7411 C7393" name="COTACOES_5_1_8_1_1"/>
  </protectedRanges>
  <autoFilter ref="A5:K8390">
    <filterColumn colId="9">
      <filters>
        <filter val="1,00"/>
        <filter val="10,00"/>
        <filter val="100,00"/>
        <filter val="1000,00"/>
        <filter val="10000,00"/>
        <filter val="100000,00"/>
        <filter val="1010,00"/>
        <filter val="1013210,00"/>
        <filter val="10160,00"/>
        <filter val="10320,00"/>
        <filter val="103460,00"/>
        <filter val="1060,00"/>
        <filter val="10610,00"/>
        <filter val="1090,00"/>
        <filter val="110,00"/>
        <filter val="11900,00"/>
        <filter val="119530,00"/>
        <filter val="120,00"/>
        <filter val="1200,00"/>
        <filter val="12000,00"/>
        <filter val="12370,00"/>
        <filter val="12600,00"/>
        <filter val="12740,00"/>
        <filter val="1280,00"/>
        <filter val="130,00"/>
        <filter val="1350,00"/>
        <filter val="13690,00"/>
        <filter val="1380,00"/>
        <filter val="1390,00"/>
        <filter val="140,00"/>
        <filter val="1400,00"/>
        <filter val="140330,00"/>
        <filter val="1440,00"/>
        <filter val="14670,00"/>
        <filter val="1470,00"/>
        <filter val="150,00"/>
        <filter val="1500,00"/>
        <filter val="1520,00"/>
        <filter val="15890,00"/>
        <filter val="1600,00"/>
        <filter val="1610,00"/>
        <filter val="16290,00"/>
        <filter val="16740,00"/>
        <filter val="16950,00"/>
        <filter val="170,00"/>
        <filter val="17170,00"/>
        <filter val="1750,00"/>
        <filter val="18,00"/>
        <filter val="180,00"/>
        <filter val="1800,00"/>
        <filter val="18880,00"/>
        <filter val="190,00"/>
        <filter val="20,00"/>
        <filter val="200,00"/>
        <filter val="2000,00"/>
        <filter val="20000,00"/>
        <filter val="2020,00"/>
        <filter val="2030,00"/>
        <filter val="210,00"/>
        <filter val="21140,00"/>
        <filter val="2160,00"/>
        <filter val="21780,00"/>
        <filter val="2180,00"/>
        <filter val="218850,00"/>
        <filter val="220,00"/>
        <filter val="2200,00"/>
        <filter val="2220,00"/>
        <filter val="22430,00"/>
        <filter val="22970,00"/>
        <filter val="230,00"/>
        <filter val="2370,00"/>
        <filter val="240,00"/>
        <filter val="2430,00"/>
        <filter val="24330,00"/>
        <filter val="2440,00"/>
        <filter val="2460,00"/>
        <filter val="24790,00"/>
        <filter val="250,00"/>
        <filter val="2520,00"/>
        <filter val="2540,00"/>
        <filter val="25600,00"/>
        <filter val="2580,00"/>
        <filter val="2610,00"/>
        <filter val="26670,00"/>
        <filter val="270,00"/>
        <filter val="27000,00"/>
        <filter val="27840,00"/>
        <filter val="2830,00"/>
        <filter val="2850,00"/>
        <filter val="2970,00"/>
        <filter val="3,00"/>
        <filter val="30,00"/>
        <filter val="300,00"/>
        <filter val="3000,00"/>
        <filter val="30000,00"/>
        <filter val="310,00"/>
        <filter val="3160,00"/>
        <filter val="320,00"/>
        <filter val="3280,00"/>
        <filter val="3340,00"/>
        <filter val="350,00"/>
        <filter val="35430,00"/>
        <filter val="360,00"/>
        <filter val="36470,00"/>
        <filter val="37040,00"/>
        <filter val="3750,00"/>
        <filter val="380,00"/>
        <filter val="3900,00"/>
        <filter val="392170,00"/>
        <filter val="40,00"/>
        <filter val="400,00"/>
        <filter val="4000,00"/>
        <filter val="406480,00"/>
        <filter val="430,00"/>
        <filter val="4530,00"/>
        <filter val="480,00"/>
        <filter val="5,00"/>
        <filter val="50,00"/>
        <filter val="500,00"/>
        <filter val="5000,00"/>
        <filter val="50000,00"/>
        <filter val="5050,00"/>
        <filter val="510,00"/>
        <filter val="530,00"/>
        <filter val="5300,00"/>
        <filter val="5310,00"/>
        <filter val="540,00"/>
        <filter val="5400,00"/>
        <filter val="5430,00"/>
        <filter val="56170,00"/>
        <filter val="570,00"/>
        <filter val="580,00"/>
        <filter val="5890,00"/>
        <filter val="5990,00"/>
        <filter val="6,00"/>
        <filter val="60,00"/>
        <filter val="600,00"/>
        <filter val="6000,00"/>
        <filter val="60420,00"/>
        <filter val="620,00"/>
        <filter val="630,00"/>
        <filter val="6430,00"/>
        <filter val="6700,00"/>
        <filter val="690,00"/>
        <filter val="69590,00"/>
        <filter val="70,00"/>
        <filter val="7000,00"/>
        <filter val="710,00"/>
        <filter val="720,00"/>
        <filter val="72730,00"/>
        <filter val="73040,00"/>
        <filter val="73130,00"/>
        <filter val="73190,00"/>
        <filter val="7320,00"/>
        <filter val="7630,00"/>
        <filter val="7650,00"/>
        <filter val="7880,00"/>
        <filter val="79100,00"/>
        <filter val="8,00"/>
        <filter val="80,00"/>
        <filter val="8000,00"/>
        <filter val="810,00"/>
        <filter val="8100,00"/>
        <filter val="8200,00"/>
        <filter val="83170,00"/>
        <filter val="833740,00"/>
        <filter val="85980,00"/>
        <filter val="87610,00"/>
        <filter val="880,00"/>
        <filter val="88620,00"/>
        <filter val="8910,00"/>
        <filter val="90,00"/>
        <filter val="900,00"/>
        <filter val="9000,00"/>
        <filter val="90000,00"/>
        <filter val="91110,00"/>
        <filter val="920,00"/>
        <filter val="9600,00"/>
        <filter val="970,00"/>
        <filter val="990,00"/>
      </filters>
    </filterColumn>
  </autoFilter>
  <mergeCells count="2840">
    <mergeCell ref="A8385:A8390"/>
    <mergeCell ref="B8385:B8390"/>
    <mergeCell ref="A8366:A8369"/>
    <mergeCell ref="B8366:B8369"/>
    <mergeCell ref="A8370:A8375"/>
    <mergeCell ref="B8370:B8375"/>
    <mergeCell ref="A8376:A8384"/>
    <mergeCell ref="B8376:B8384"/>
    <mergeCell ref="A8348:A8353"/>
    <mergeCell ref="B8348:B8353"/>
    <mergeCell ref="A8354:A8359"/>
    <mergeCell ref="B8354:B8359"/>
    <mergeCell ref="A8360:A8365"/>
    <mergeCell ref="B8360:B8365"/>
    <mergeCell ref="A8319:A8327"/>
    <mergeCell ref="B8319:B8327"/>
    <mergeCell ref="A8328:A8337"/>
    <mergeCell ref="B8328:B8337"/>
    <mergeCell ref="A8338:A8347"/>
    <mergeCell ref="B8338:B8347"/>
    <mergeCell ref="A8300:A8305"/>
    <mergeCell ref="B8300:B8305"/>
    <mergeCell ref="A8306:A8311"/>
    <mergeCell ref="B8306:B8311"/>
    <mergeCell ref="A8312:A8318"/>
    <mergeCell ref="B8312:B8318"/>
    <mergeCell ref="A8277:A8282"/>
    <mergeCell ref="B8277:B8282"/>
    <mergeCell ref="A8283:A8291"/>
    <mergeCell ref="B8283:B8291"/>
    <mergeCell ref="A8292:A8299"/>
    <mergeCell ref="B8292:B8299"/>
    <mergeCell ref="A8258:A8263"/>
    <mergeCell ref="B8258:B8263"/>
    <mergeCell ref="A8264:A8272"/>
    <mergeCell ref="B8264:B8272"/>
    <mergeCell ref="A8273:A8276"/>
    <mergeCell ref="B8273:B8276"/>
    <mergeCell ref="A8239:A8244"/>
    <mergeCell ref="B8239:B8244"/>
    <mergeCell ref="A8245:A8250"/>
    <mergeCell ref="B8245:B8250"/>
    <mergeCell ref="A8251:A8257"/>
    <mergeCell ref="B8251:B8257"/>
    <mergeCell ref="A8225:A8228"/>
    <mergeCell ref="B8225:B8228"/>
    <mergeCell ref="A8229:A8233"/>
    <mergeCell ref="B8229:B8233"/>
    <mergeCell ref="A8234:A8238"/>
    <mergeCell ref="B8234:B8238"/>
    <mergeCell ref="A8198:A8207"/>
    <mergeCell ref="B8198:B8207"/>
    <mergeCell ref="A8208:A8212"/>
    <mergeCell ref="B8208:B8212"/>
    <mergeCell ref="A8213:A8224"/>
    <mergeCell ref="B8213:B8224"/>
    <mergeCell ref="A8180:A8183"/>
    <mergeCell ref="B8180:B8183"/>
    <mergeCell ref="A8184:A8187"/>
    <mergeCell ref="B8184:B8187"/>
    <mergeCell ref="A8188:A8197"/>
    <mergeCell ref="B8188:B8197"/>
    <mergeCell ref="A8168:A8171"/>
    <mergeCell ref="B8168:B8171"/>
    <mergeCell ref="A8172:A8175"/>
    <mergeCell ref="B8172:B8175"/>
    <mergeCell ref="A8176:A8179"/>
    <mergeCell ref="B8176:B8179"/>
    <mergeCell ref="A8156:A8159"/>
    <mergeCell ref="B8156:B8159"/>
    <mergeCell ref="A8160:A8163"/>
    <mergeCell ref="B8160:B8163"/>
    <mergeCell ref="A8164:A8167"/>
    <mergeCell ref="B8164:B8167"/>
    <mergeCell ref="A8144:A8147"/>
    <mergeCell ref="B8144:B8147"/>
    <mergeCell ref="A8148:A8151"/>
    <mergeCell ref="B8148:B8151"/>
    <mergeCell ref="A8152:A8155"/>
    <mergeCell ref="B8152:B8155"/>
    <mergeCell ref="A8132:A8135"/>
    <mergeCell ref="B8132:B8135"/>
    <mergeCell ref="A8136:A8139"/>
    <mergeCell ref="B8136:B8139"/>
    <mergeCell ref="A8140:A8143"/>
    <mergeCell ref="B8140:B8143"/>
    <mergeCell ref="A8120:A8123"/>
    <mergeCell ref="B8120:B8123"/>
    <mergeCell ref="A8124:A8127"/>
    <mergeCell ref="B8124:B8127"/>
    <mergeCell ref="A8128:A8131"/>
    <mergeCell ref="B8128:B8131"/>
    <mergeCell ref="A8108:A8111"/>
    <mergeCell ref="B8108:B8111"/>
    <mergeCell ref="A8112:A8115"/>
    <mergeCell ref="B8112:B8115"/>
    <mergeCell ref="A8116:A8119"/>
    <mergeCell ref="B8116:B8119"/>
    <mergeCell ref="A8096:A8099"/>
    <mergeCell ref="B8096:B8099"/>
    <mergeCell ref="A8100:A8103"/>
    <mergeCell ref="B8100:B8103"/>
    <mergeCell ref="A8104:A8107"/>
    <mergeCell ref="B8104:B8107"/>
    <mergeCell ref="A8084:A8087"/>
    <mergeCell ref="B8084:B8087"/>
    <mergeCell ref="A8088:A8091"/>
    <mergeCell ref="B8088:B8091"/>
    <mergeCell ref="A8092:A8095"/>
    <mergeCell ref="B8092:B8095"/>
    <mergeCell ref="A8072:A8075"/>
    <mergeCell ref="B8072:B8075"/>
    <mergeCell ref="A8076:A8079"/>
    <mergeCell ref="B8076:B8079"/>
    <mergeCell ref="A8080:A8083"/>
    <mergeCell ref="B8080:B8083"/>
    <mergeCell ref="A8060:A8063"/>
    <mergeCell ref="B8060:B8063"/>
    <mergeCell ref="A8064:A8067"/>
    <mergeCell ref="B8064:B8067"/>
    <mergeCell ref="A8068:A8071"/>
    <mergeCell ref="B8068:B8071"/>
    <mergeCell ref="A8048:A8051"/>
    <mergeCell ref="B8048:B8051"/>
    <mergeCell ref="A8052:A8055"/>
    <mergeCell ref="B8052:B8055"/>
    <mergeCell ref="A8056:A8059"/>
    <mergeCell ref="B8056:B8059"/>
    <mergeCell ref="A8036:A8039"/>
    <mergeCell ref="B8036:B8039"/>
    <mergeCell ref="A8040:A8043"/>
    <mergeCell ref="B8040:B8043"/>
    <mergeCell ref="A8044:A8047"/>
    <mergeCell ref="B8044:B8047"/>
    <mergeCell ref="A8024:A8027"/>
    <mergeCell ref="B8024:B8027"/>
    <mergeCell ref="A8028:A8031"/>
    <mergeCell ref="B8028:B8031"/>
    <mergeCell ref="A8032:A8035"/>
    <mergeCell ref="B8032:B8035"/>
    <mergeCell ref="A8012:A8015"/>
    <mergeCell ref="B8012:B8015"/>
    <mergeCell ref="A8016:A8019"/>
    <mergeCell ref="B8016:B8019"/>
    <mergeCell ref="A8020:A8023"/>
    <mergeCell ref="B8020:B8023"/>
    <mergeCell ref="A8000:A8003"/>
    <mergeCell ref="B8000:B8003"/>
    <mergeCell ref="A8004:A8007"/>
    <mergeCell ref="B8004:B8007"/>
    <mergeCell ref="A8008:A8011"/>
    <mergeCell ref="B8008:B8011"/>
    <mergeCell ref="A7988:A7991"/>
    <mergeCell ref="B7988:B7991"/>
    <mergeCell ref="A7992:A7995"/>
    <mergeCell ref="B7992:B7995"/>
    <mergeCell ref="A7996:A7999"/>
    <mergeCell ref="B7996:B7999"/>
    <mergeCell ref="A7976:A7979"/>
    <mergeCell ref="B7976:B7979"/>
    <mergeCell ref="A7980:A7983"/>
    <mergeCell ref="B7980:B7983"/>
    <mergeCell ref="A7984:A7987"/>
    <mergeCell ref="B7984:B7987"/>
    <mergeCell ref="A7964:A7967"/>
    <mergeCell ref="B7964:B7967"/>
    <mergeCell ref="A7968:A7971"/>
    <mergeCell ref="B7968:B7971"/>
    <mergeCell ref="A7972:A7975"/>
    <mergeCell ref="B7972:B7975"/>
    <mergeCell ref="A7952:A7955"/>
    <mergeCell ref="B7952:B7955"/>
    <mergeCell ref="A7956:A7959"/>
    <mergeCell ref="B7956:B7959"/>
    <mergeCell ref="A7960:A7963"/>
    <mergeCell ref="B7960:B7963"/>
    <mergeCell ref="A7940:A7943"/>
    <mergeCell ref="B7940:B7943"/>
    <mergeCell ref="A7944:A7947"/>
    <mergeCell ref="B7944:B7947"/>
    <mergeCell ref="A7948:A7951"/>
    <mergeCell ref="B7948:B7951"/>
    <mergeCell ref="A7928:A7931"/>
    <mergeCell ref="B7928:B7931"/>
    <mergeCell ref="A7932:A7935"/>
    <mergeCell ref="B7932:B7935"/>
    <mergeCell ref="A7936:A7939"/>
    <mergeCell ref="B7936:B7939"/>
    <mergeCell ref="A7916:A7919"/>
    <mergeCell ref="B7916:B7919"/>
    <mergeCell ref="A7920:A7923"/>
    <mergeCell ref="B7920:B7923"/>
    <mergeCell ref="A7924:A7927"/>
    <mergeCell ref="B7924:B7927"/>
    <mergeCell ref="A7904:A7907"/>
    <mergeCell ref="B7904:B7907"/>
    <mergeCell ref="A7908:A7911"/>
    <mergeCell ref="B7908:B7911"/>
    <mergeCell ref="A7912:A7915"/>
    <mergeCell ref="B7912:B7915"/>
    <mergeCell ref="A7892:A7895"/>
    <mergeCell ref="B7892:B7895"/>
    <mergeCell ref="A7896:A7899"/>
    <mergeCell ref="B7896:B7899"/>
    <mergeCell ref="A7900:A7903"/>
    <mergeCell ref="B7900:B7903"/>
    <mergeCell ref="A7880:A7883"/>
    <mergeCell ref="B7880:B7883"/>
    <mergeCell ref="A7884:A7887"/>
    <mergeCell ref="B7884:B7887"/>
    <mergeCell ref="A7888:A7891"/>
    <mergeCell ref="B7888:B7891"/>
    <mergeCell ref="A7868:A7871"/>
    <mergeCell ref="B7868:B7871"/>
    <mergeCell ref="A7872:A7875"/>
    <mergeCell ref="B7872:B7875"/>
    <mergeCell ref="A7876:A7879"/>
    <mergeCell ref="B7876:B7879"/>
    <mergeCell ref="A7856:A7859"/>
    <mergeCell ref="B7856:B7859"/>
    <mergeCell ref="A7860:A7863"/>
    <mergeCell ref="B7860:B7863"/>
    <mergeCell ref="A7864:A7867"/>
    <mergeCell ref="B7864:B7867"/>
    <mergeCell ref="A7844:A7847"/>
    <mergeCell ref="B7844:B7847"/>
    <mergeCell ref="A7848:A7851"/>
    <mergeCell ref="B7848:B7851"/>
    <mergeCell ref="A7852:A7855"/>
    <mergeCell ref="B7852:B7855"/>
    <mergeCell ref="A7832:A7835"/>
    <mergeCell ref="B7832:B7835"/>
    <mergeCell ref="A7836:A7839"/>
    <mergeCell ref="B7836:B7839"/>
    <mergeCell ref="A7840:A7843"/>
    <mergeCell ref="B7840:B7843"/>
    <mergeCell ref="A7820:A7823"/>
    <mergeCell ref="B7820:B7823"/>
    <mergeCell ref="A7824:A7827"/>
    <mergeCell ref="B7824:B7827"/>
    <mergeCell ref="A7828:A7831"/>
    <mergeCell ref="B7828:B7831"/>
    <mergeCell ref="A7808:A7811"/>
    <mergeCell ref="B7808:B7811"/>
    <mergeCell ref="A7812:A7815"/>
    <mergeCell ref="B7812:B7815"/>
    <mergeCell ref="A7816:A7819"/>
    <mergeCell ref="B7816:B7819"/>
    <mergeCell ref="A7796:A7799"/>
    <mergeCell ref="B7796:B7799"/>
    <mergeCell ref="A7800:A7803"/>
    <mergeCell ref="B7800:B7803"/>
    <mergeCell ref="A7804:A7807"/>
    <mergeCell ref="B7804:B7807"/>
    <mergeCell ref="A7784:A7787"/>
    <mergeCell ref="B7784:B7787"/>
    <mergeCell ref="A7788:A7791"/>
    <mergeCell ref="B7788:B7791"/>
    <mergeCell ref="A7792:A7795"/>
    <mergeCell ref="B7792:B7795"/>
    <mergeCell ref="A7772:A7775"/>
    <mergeCell ref="B7772:B7775"/>
    <mergeCell ref="A7776:A7779"/>
    <mergeCell ref="B7776:B7779"/>
    <mergeCell ref="A7780:A7783"/>
    <mergeCell ref="B7780:B7783"/>
    <mergeCell ref="A7760:A7763"/>
    <mergeCell ref="B7760:B7763"/>
    <mergeCell ref="A7764:A7767"/>
    <mergeCell ref="B7764:B7767"/>
    <mergeCell ref="A7768:A7771"/>
    <mergeCell ref="B7768:B7771"/>
    <mergeCell ref="A7748:A7751"/>
    <mergeCell ref="B7748:B7751"/>
    <mergeCell ref="A7752:A7755"/>
    <mergeCell ref="B7752:B7755"/>
    <mergeCell ref="A7756:A7759"/>
    <mergeCell ref="B7756:B7759"/>
    <mergeCell ref="A7736:A7739"/>
    <mergeCell ref="B7736:B7739"/>
    <mergeCell ref="A7740:A7743"/>
    <mergeCell ref="B7740:B7743"/>
    <mergeCell ref="A7744:A7747"/>
    <mergeCell ref="B7744:B7747"/>
    <mergeCell ref="A7724:A7727"/>
    <mergeCell ref="B7724:B7727"/>
    <mergeCell ref="A7728:A7731"/>
    <mergeCell ref="B7728:B7731"/>
    <mergeCell ref="A7732:A7735"/>
    <mergeCell ref="B7732:B7735"/>
    <mergeCell ref="A7712:A7715"/>
    <mergeCell ref="B7712:B7715"/>
    <mergeCell ref="A7716:A7719"/>
    <mergeCell ref="B7716:B7719"/>
    <mergeCell ref="A7720:A7723"/>
    <mergeCell ref="B7720:B7723"/>
    <mergeCell ref="A7700:A7703"/>
    <mergeCell ref="B7700:B7703"/>
    <mergeCell ref="A7704:A7707"/>
    <mergeCell ref="B7704:B7707"/>
    <mergeCell ref="A7708:A7711"/>
    <mergeCell ref="B7708:B7711"/>
    <mergeCell ref="A7688:A7691"/>
    <mergeCell ref="B7688:B7691"/>
    <mergeCell ref="A7692:A7695"/>
    <mergeCell ref="B7692:B7695"/>
    <mergeCell ref="A7696:A7699"/>
    <mergeCell ref="B7696:B7699"/>
    <mergeCell ref="A7676:A7679"/>
    <mergeCell ref="B7676:B7679"/>
    <mergeCell ref="A7680:A7683"/>
    <mergeCell ref="B7680:B7683"/>
    <mergeCell ref="A7684:A7687"/>
    <mergeCell ref="B7684:B7687"/>
    <mergeCell ref="A7664:A7667"/>
    <mergeCell ref="B7664:B7667"/>
    <mergeCell ref="A7668:A7671"/>
    <mergeCell ref="B7668:B7671"/>
    <mergeCell ref="A7672:A7675"/>
    <mergeCell ref="B7672:B7675"/>
    <mergeCell ref="A7652:A7655"/>
    <mergeCell ref="B7652:B7655"/>
    <mergeCell ref="A7656:A7659"/>
    <mergeCell ref="B7656:B7659"/>
    <mergeCell ref="A7660:A7663"/>
    <mergeCell ref="B7660:B7663"/>
    <mergeCell ref="A7640:A7643"/>
    <mergeCell ref="B7640:B7643"/>
    <mergeCell ref="A7644:A7647"/>
    <mergeCell ref="B7644:B7647"/>
    <mergeCell ref="A7648:A7651"/>
    <mergeCell ref="B7648:B7651"/>
    <mergeCell ref="A7628:A7631"/>
    <mergeCell ref="B7628:B7631"/>
    <mergeCell ref="A7632:A7635"/>
    <mergeCell ref="B7632:B7635"/>
    <mergeCell ref="A7636:A7639"/>
    <mergeCell ref="B7636:B7639"/>
    <mergeCell ref="A7616:A7619"/>
    <mergeCell ref="B7616:B7619"/>
    <mergeCell ref="A7620:A7623"/>
    <mergeCell ref="B7620:B7623"/>
    <mergeCell ref="A7624:A7627"/>
    <mergeCell ref="B7624:B7627"/>
    <mergeCell ref="A7604:A7607"/>
    <mergeCell ref="B7604:B7607"/>
    <mergeCell ref="A7608:A7611"/>
    <mergeCell ref="B7608:B7611"/>
    <mergeCell ref="A7612:A7615"/>
    <mergeCell ref="B7612:B7615"/>
    <mergeCell ref="A7592:A7595"/>
    <mergeCell ref="B7592:B7595"/>
    <mergeCell ref="A7596:A7599"/>
    <mergeCell ref="B7596:B7599"/>
    <mergeCell ref="A7600:A7603"/>
    <mergeCell ref="B7600:B7603"/>
    <mergeCell ref="A7580:A7583"/>
    <mergeCell ref="B7580:B7583"/>
    <mergeCell ref="A7584:A7587"/>
    <mergeCell ref="B7584:B7587"/>
    <mergeCell ref="A7588:A7591"/>
    <mergeCell ref="B7588:B7591"/>
    <mergeCell ref="A7568:A7571"/>
    <mergeCell ref="B7568:B7571"/>
    <mergeCell ref="A7572:A7575"/>
    <mergeCell ref="B7572:B7575"/>
    <mergeCell ref="A7576:A7579"/>
    <mergeCell ref="B7576:B7579"/>
    <mergeCell ref="A7556:A7559"/>
    <mergeCell ref="B7556:B7559"/>
    <mergeCell ref="A7560:A7563"/>
    <mergeCell ref="B7560:B7563"/>
    <mergeCell ref="A7564:A7567"/>
    <mergeCell ref="B7564:B7567"/>
    <mergeCell ref="A7531:A7544"/>
    <mergeCell ref="B7531:B7544"/>
    <mergeCell ref="A7545:A7551"/>
    <mergeCell ref="B7545:B7551"/>
    <mergeCell ref="A7552:A7555"/>
    <mergeCell ref="B7552:B7555"/>
    <mergeCell ref="A7505:A7510"/>
    <mergeCell ref="B7505:B7510"/>
    <mergeCell ref="A7511:A7516"/>
    <mergeCell ref="B7511:B7516"/>
    <mergeCell ref="A7517:A7530"/>
    <mergeCell ref="B7517:B7530"/>
    <mergeCell ref="A7484:A7489"/>
    <mergeCell ref="B7484:B7489"/>
    <mergeCell ref="A7490:A7495"/>
    <mergeCell ref="B7490:B7495"/>
    <mergeCell ref="A7496:A7504"/>
    <mergeCell ref="B7496:B7504"/>
    <mergeCell ref="A7460:A7467"/>
    <mergeCell ref="B7460:B7467"/>
    <mergeCell ref="A7468:A7475"/>
    <mergeCell ref="B7468:B7475"/>
    <mergeCell ref="A7476:A7483"/>
    <mergeCell ref="B7476:B7483"/>
    <mergeCell ref="A7442:A7448"/>
    <mergeCell ref="B7442:B7448"/>
    <mergeCell ref="A7449:A7455"/>
    <mergeCell ref="B7449:B7455"/>
    <mergeCell ref="A7456:A7459"/>
    <mergeCell ref="B7456:B7459"/>
    <mergeCell ref="A7421:A7428"/>
    <mergeCell ref="B7421:B7428"/>
    <mergeCell ref="A7429:A7434"/>
    <mergeCell ref="B7429:B7434"/>
    <mergeCell ref="A7435:A7441"/>
    <mergeCell ref="B7435:B7441"/>
    <mergeCell ref="A7403:A7408"/>
    <mergeCell ref="B7403:B7408"/>
    <mergeCell ref="A7409:A7414"/>
    <mergeCell ref="B7409:B7414"/>
    <mergeCell ref="A7415:A7420"/>
    <mergeCell ref="B7415:B7420"/>
    <mergeCell ref="A7384:A7390"/>
    <mergeCell ref="B7384:B7390"/>
    <mergeCell ref="A7391:A7396"/>
    <mergeCell ref="B7391:B7396"/>
    <mergeCell ref="A7397:A7402"/>
    <mergeCell ref="B7397:B7402"/>
    <mergeCell ref="A7363:A7369"/>
    <mergeCell ref="B7363:B7369"/>
    <mergeCell ref="A7370:A7377"/>
    <mergeCell ref="B7370:B7377"/>
    <mergeCell ref="A7378:A7383"/>
    <mergeCell ref="B7378:B7383"/>
    <mergeCell ref="A7346:A7350"/>
    <mergeCell ref="B7346:B7350"/>
    <mergeCell ref="A7351:A7355"/>
    <mergeCell ref="B7351:B7355"/>
    <mergeCell ref="A7356:A7362"/>
    <mergeCell ref="B7356:B7362"/>
    <mergeCell ref="A7324:A7331"/>
    <mergeCell ref="B7324:B7331"/>
    <mergeCell ref="A7332:A7339"/>
    <mergeCell ref="B7332:B7339"/>
    <mergeCell ref="A7340:A7345"/>
    <mergeCell ref="B7340:B7345"/>
    <mergeCell ref="A7307:A7310"/>
    <mergeCell ref="B7307:B7310"/>
    <mergeCell ref="A7311:A7317"/>
    <mergeCell ref="B7311:B7317"/>
    <mergeCell ref="A7318:A7323"/>
    <mergeCell ref="B7318:B7323"/>
    <mergeCell ref="A7295:A7298"/>
    <mergeCell ref="B7295:B7298"/>
    <mergeCell ref="A7299:A7302"/>
    <mergeCell ref="B7299:B7302"/>
    <mergeCell ref="A7303:A7306"/>
    <mergeCell ref="B7303:B7306"/>
    <mergeCell ref="A7283:A7286"/>
    <mergeCell ref="B7283:B7286"/>
    <mergeCell ref="A7287:A7290"/>
    <mergeCell ref="B7287:B7290"/>
    <mergeCell ref="A7291:A7294"/>
    <mergeCell ref="B7291:B7294"/>
    <mergeCell ref="A7271:A7274"/>
    <mergeCell ref="B7271:B7274"/>
    <mergeCell ref="A7275:A7278"/>
    <mergeCell ref="B7275:B7278"/>
    <mergeCell ref="A7279:A7282"/>
    <mergeCell ref="B7279:B7282"/>
    <mergeCell ref="A7259:A7262"/>
    <mergeCell ref="B7259:B7262"/>
    <mergeCell ref="A7263:A7266"/>
    <mergeCell ref="B7263:B7266"/>
    <mergeCell ref="A7267:A7270"/>
    <mergeCell ref="B7267:B7270"/>
    <mergeCell ref="A7246:A7250"/>
    <mergeCell ref="B7246:B7250"/>
    <mergeCell ref="A7251:A7254"/>
    <mergeCell ref="B7251:B7254"/>
    <mergeCell ref="A7255:A7258"/>
    <mergeCell ref="B7255:B7258"/>
    <mergeCell ref="A7229:A7235"/>
    <mergeCell ref="B7229:B7235"/>
    <mergeCell ref="A7236:A7240"/>
    <mergeCell ref="B7236:B7240"/>
    <mergeCell ref="A7241:A7245"/>
    <mergeCell ref="B7241:B7245"/>
    <mergeCell ref="A7213:A7216"/>
    <mergeCell ref="B7213:B7216"/>
    <mergeCell ref="A7217:A7222"/>
    <mergeCell ref="B7217:B7222"/>
    <mergeCell ref="A7223:A7228"/>
    <mergeCell ref="B7223:B7228"/>
    <mergeCell ref="A7201:A7204"/>
    <mergeCell ref="B7201:B7204"/>
    <mergeCell ref="A7205:A7208"/>
    <mergeCell ref="B7205:B7208"/>
    <mergeCell ref="A7209:A7212"/>
    <mergeCell ref="B7209:B7212"/>
    <mergeCell ref="A7183:A7188"/>
    <mergeCell ref="B7183:B7188"/>
    <mergeCell ref="A7189:A7194"/>
    <mergeCell ref="B7189:B7194"/>
    <mergeCell ref="A7195:A7200"/>
    <mergeCell ref="B7195:B7200"/>
    <mergeCell ref="A7165:A7170"/>
    <mergeCell ref="B7165:B7170"/>
    <mergeCell ref="A7171:A7176"/>
    <mergeCell ref="B7171:B7176"/>
    <mergeCell ref="A7177:A7182"/>
    <mergeCell ref="B7177:B7182"/>
    <mergeCell ref="A7147:A7152"/>
    <mergeCell ref="B7147:B7152"/>
    <mergeCell ref="A7153:A7158"/>
    <mergeCell ref="B7153:B7158"/>
    <mergeCell ref="A7159:A7164"/>
    <mergeCell ref="B7159:B7164"/>
    <mergeCell ref="A7133:A7136"/>
    <mergeCell ref="B7133:B7136"/>
    <mergeCell ref="A7137:A7140"/>
    <mergeCell ref="B7137:B7140"/>
    <mergeCell ref="A7141:A7146"/>
    <mergeCell ref="B7141:B7146"/>
    <mergeCell ref="A7121:A7124"/>
    <mergeCell ref="B7121:B7124"/>
    <mergeCell ref="A7125:A7128"/>
    <mergeCell ref="B7125:B7128"/>
    <mergeCell ref="A7129:A7132"/>
    <mergeCell ref="B7129:B7132"/>
    <mergeCell ref="A7109:A7112"/>
    <mergeCell ref="B7109:B7112"/>
    <mergeCell ref="A7113:A7116"/>
    <mergeCell ref="B7113:B7116"/>
    <mergeCell ref="A7117:A7120"/>
    <mergeCell ref="B7117:B7120"/>
    <mergeCell ref="A7097:A7100"/>
    <mergeCell ref="B7097:B7100"/>
    <mergeCell ref="A7101:A7104"/>
    <mergeCell ref="B7101:B7104"/>
    <mergeCell ref="A7105:A7108"/>
    <mergeCell ref="B7105:B7108"/>
    <mergeCell ref="A7085:A7088"/>
    <mergeCell ref="B7085:B7088"/>
    <mergeCell ref="A7089:A7092"/>
    <mergeCell ref="B7089:B7092"/>
    <mergeCell ref="A7093:A7096"/>
    <mergeCell ref="B7093:B7096"/>
    <mergeCell ref="A7073:A7076"/>
    <mergeCell ref="B7073:B7076"/>
    <mergeCell ref="A7077:A7080"/>
    <mergeCell ref="B7077:B7080"/>
    <mergeCell ref="A7081:A7084"/>
    <mergeCell ref="B7081:B7084"/>
    <mergeCell ref="A7061:A7064"/>
    <mergeCell ref="B7061:B7064"/>
    <mergeCell ref="A7065:A7068"/>
    <mergeCell ref="B7065:B7068"/>
    <mergeCell ref="A7069:A7072"/>
    <mergeCell ref="B7069:B7072"/>
    <mergeCell ref="A7049:A7052"/>
    <mergeCell ref="B7049:B7052"/>
    <mergeCell ref="A7053:A7056"/>
    <mergeCell ref="B7053:B7056"/>
    <mergeCell ref="A7057:A7060"/>
    <mergeCell ref="B7057:B7060"/>
    <mergeCell ref="A7037:A7040"/>
    <mergeCell ref="B7037:B7040"/>
    <mergeCell ref="A7041:A7044"/>
    <mergeCell ref="B7041:B7044"/>
    <mergeCell ref="A7045:A7048"/>
    <mergeCell ref="B7045:B7048"/>
    <mergeCell ref="A7025:A7028"/>
    <mergeCell ref="B7025:B7028"/>
    <mergeCell ref="A7029:A7032"/>
    <mergeCell ref="B7029:B7032"/>
    <mergeCell ref="A7033:A7036"/>
    <mergeCell ref="B7033:B7036"/>
    <mergeCell ref="A7013:A7016"/>
    <mergeCell ref="B7013:B7016"/>
    <mergeCell ref="A7017:A7020"/>
    <mergeCell ref="B7017:B7020"/>
    <mergeCell ref="A7021:A7024"/>
    <mergeCell ref="B7021:B7024"/>
    <mergeCell ref="A7001:A7004"/>
    <mergeCell ref="B7001:B7004"/>
    <mergeCell ref="A7005:A7008"/>
    <mergeCell ref="B7005:B7008"/>
    <mergeCell ref="A7009:A7012"/>
    <mergeCell ref="B7009:B7012"/>
    <mergeCell ref="A6989:A6992"/>
    <mergeCell ref="B6989:B6992"/>
    <mergeCell ref="A6993:A6996"/>
    <mergeCell ref="B6993:B6996"/>
    <mergeCell ref="A6997:A7000"/>
    <mergeCell ref="B6997:B7000"/>
    <mergeCell ref="A6977:A6980"/>
    <mergeCell ref="B6977:B6980"/>
    <mergeCell ref="A6981:A6984"/>
    <mergeCell ref="B6981:B6984"/>
    <mergeCell ref="A6985:A6988"/>
    <mergeCell ref="B6985:B6988"/>
    <mergeCell ref="A6965:A6968"/>
    <mergeCell ref="B6965:B6968"/>
    <mergeCell ref="A6969:A6972"/>
    <mergeCell ref="B6969:B6972"/>
    <mergeCell ref="A6973:A6976"/>
    <mergeCell ref="B6973:B6976"/>
    <mergeCell ref="A6953:A6956"/>
    <mergeCell ref="B6953:B6956"/>
    <mergeCell ref="A6957:A6960"/>
    <mergeCell ref="B6957:B6960"/>
    <mergeCell ref="A6961:A6964"/>
    <mergeCell ref="B6961:B6964"/>
    <mergeCell ref="A6941:A6944"/>
    <mergeCell ref="B6941:B6944"/>
    <mergeCell ref="A6945:A6948"/>
    <mergeCell ref="B6945:B6948"/>
    <mergeCell ref="A6949:A6952"/>
    <mergeCell ref="B6949:B6952"/>
    <mergeCell ref="A6929:A6932"/>
    <mergeCell ref="B6929:B6932"/>
    <mergeCell ref="A6933:A6936"/>
    <mergeCell ref="B6933:B6936"/>
    <mergeCell ref="A6937:A6940"/>
    <mergeCell ref="B6937:B6940"/>
    <mergeCell ref="A6917:A6920"/>
    <mergeCell ref="B6917:B6920"/>
    <mergeCell ref="A6921:A6924"/>
    <mergeCell ref="B6921:B6924"/>
    <mergeCell ref="A6925:A6928"/>
    <mergeCell ref="B6925:B6928"/>
    <mergeCell ref="A6905:A6908"/>
    <mergeCell ref="B6905:B6908"/>
    <mergeCell ref="A6909:A6912"/>
    <mergeCell ref="B6909:B6912"/>
    <mergeCell ref="A6913:A6916"/>
    <mergeCell ref="B6913:B6916"/>
    <mergeCell ref="A6893:A6896"/>
    <mergeCell ref="B6893:B6896"/>
    <mergeCell ref="A6897:A6900"/>
    <mergeCell ref="B6897:B6900"/>
    <mergeCell ref="A6901:A6904"/>
    <mergeCell ref="B6901:B6904"/>
    <mergeCell ref="A6881:A6884"/>
    <mergeCell ref="B6881:B6884"/>
    <mergeCell ref="A6885:A6888"/>
    <mergeCell ref="B6885:B6888"/>
    <mergeCell ref="A6889:A6892"/>
    <mergeCell ref="B6889:B6892"/>
    <mergeCell ref="A6869:A6872"/>
    <mergeCell ref="B6869:B6872"/>
    <mergeCell ref="A6873:A6876"/>
    <mergeCell ref="B6873:B6876"/>
    <mergeCell ref="A6877:A6880"/>
    <mergeCell ref="B6877:B6880"/>
    <mergeCell ref="A6857:A6860"/>
    <mergeCell ref="B6857:B6860"/>
    <mergeCell ref="A6861:A6864"/>
    <mergeCell ref="B6861:B6864"/>
    <mergeCell ref="A6865:A6868"/>
    <mergeCell ref="B6865:B6868"/>
    <mergeCell ref="A6845:A6848"/>
    <mergeCell ref="B6845:B6848"/>
    <mergeCell ref="A6849:A6852"/>
    <mergeCell ref="B6849:B6852"/>
    <mergeCell ref="A6853:A6856"/>
    <mergeCell ref="B6853:B6856"/>
    <mergeCell ref="A6833:A6836"/>
    <mergeCell ref="B6833:B6836"/>
    <mergeCell ref="A6837:A6840"/>
    <mergeCell ref="B6837:B6840"/>
    <mergeCell ref="A6841:A6844"/>
    <mergeCell ref="B6841:B6844"/>
    <mergeCell ref="A6821:A6824"/>
    <mergeCell ref="B6821:B6824"/>
    <mergeCell ref="A6825:A6828"/>
    <mergeCell ref="B6825:B6828"/>
    <mergeCell ref="A6829:A6832"/>
    <mergeCell ref="B6829:B6832"/>
    <mergeCell ref="A6809:A6812"/>
    <mergeCell ref="B6809:B6812"/>
    <mergeCell ref="A6813:A6816"/>
    <mergeCell ref="B6813:B6816"/>
    <mergeCell ref="A6817:A6820"/>
    <mergeCell ref="B6817:B6820"/>
    <mergeCell ref="A6797:A6800"/>
    <mergeCell ref="B6797:B6800"/>
    <mergeCell ref="A6801:A6804"/>
    <mergeCell ref="B6801:B6804"/>
    <mergeCell ref="A6805:A6808"/>
    <mergeCell ref="B6805:B6808"/>
    <mergeCell ref="A6785:A6788"/>
    <mergeCell ref="B6785:B6788"/>
    <mergeCell ref="A6789:A6792"/>
    <mergeCell ref="B6789:B6792"/>
    <mergeCell ref="A6793:A6796"/>
    <mergeCell ref="B6793:B6796"/>
    <mergeCell ref="A6773:A6776"/>
    <mergeCell ref="B6773:B6776"/>
    <mergeCell ref="A6777:A6780"/>
    <mergeCell ref="B6777:B6780"/>
    <mergeCell ref="A6781:A6784"/>
    <mergeCell ref="B6781:B6784"/>
    <mergeCell ref="A6761:A6764"/>
    <mergeCell ref="B6761:B6764"/>
    <mergeCell ref="A6765:A6768"/>
    <mergeCell ref="B6765:B6768"/>
    <mergeCell ref="A6769:A6772"/>
    <mergeCell ref="B6769:B6772"/>
    <mergeCell ref="A6749:A6752"/>
    <mergeCell ref="B6749:B6752"/>
    <mergeCell ref="A6753:A6756"/>
    <mergeCell ref="B6753:B6756"/>
    <mergeCell ref="A6757:A6760"/>
    <mergeCell ref="B6757:B6760"/>
    <mergeCell ref="A6737:A6740"/>
    <mergeCell ref="B6737:B6740"/>
    <mergeCell ref="A6741:A6744"/>
    <mergeCell ref="B6741:B6744"/>
    <mergeCell ref="A6745:A6748"/>
    <mergeCell ref="B6745:B6748"/>
    <mergeCell ref="A6725:A6728"/>
    <mergeCell ref="B6725:B6728"/>
    <mergeCell ref="A6729:A6732"/>
    <mergeCell ref="B6729:B6732"/>
    <mergeCell ref="A6733:A6736"/>
    <mergeCell ref="B6733:B6736"/>
    <mergeCell ref="A6713:A6716"/>
    <mergeCell ref="B6713:B6716"/>
    <mergeCell ref="A6717:A6720"/>
    <mergeCell ref="B6717:B6720"/>
    <mergeCell ref="A6721:A6724"/>
    <mergeCell ref="B6721:B6724"/>
    <mergeCell ref="A6701:A6704"/>
    <mergeCell ref="B6701:B6704"/>
    <mergeCell ref="A6705:A6708"/>
    <mergeCell ref="B6705:B6708"/>
    <mergeCell ref="A6709:A6712"/>
    <mergeCell ref="B6709:B6712"/>
    <mergeCell ref="A6689:A6692"/>
    <mergeCell ref="B6689:B6692"/>
    <mergeCell ref="A6693:A6696"/>
    <mergeCell ref="B6693:B6696"/>
    <mergeCell ref="A6697:A6700"/>
    <mergeCell ref="B6697:B6700"/>
    <mergeCell ref="A6677:A6680"/>
    <mergeCell ref="B6677:B6680"/>
    <mergeCell ref="A6681:A6684"/>
    <mergeCell ref="B6681:B6684"/>
    <mergeCell ref="A6685:A6688"/>
    <mergeCell ref="B6685:B6688"/>
    <mergeCell ref="A6665:A6668"/>
    <mergeCell ref="B6665:B6668"/>
    <mergeCell ref="A6669:A6672"/>
    <mergeCell ref="B6669:B6672"/>
    <mergeCell ref="A6673:A6676"/>
    <mergeCell ref="B6673:B6676"/>
    <mergeCell ref="A6653:A6656"/>
    <mergeCell ref="B6653:B6656"/>
    <mergeCell ref="A6657:A6660"/>
    <mergeCell ref="B6657:B6660"/>
    <mergeCell ref="A6661:A6664"/>
    <mergeCell ref="B6661:B6664"/>
    <mergeCell ref="A6641:A6644"/>
    <mergeCell ref="B6641:B6644"/>
    <mergeCell ref="A6645:A6648"/>
    <mergeCell ref="B6645:B6648"/>
    <mergeCell ref="A6649:A6652"/>
    <mergeCell ref="B6649:B6652"/>
    <mergeCell ref="A6629:A6632"/>
    <mergeCell ref="B6629:B6632"/>
    <mergeCell ref="A6633:A6636"/>
    <mergeCell ref="B6633:B6636"/>
    <mergeCell ref="A6637:A6640"/>
    <mergeCell ref="B6637:B6640"/>
    <mergeCell ref="A6617:A6620"/>
    <mergeCell ref="B6617:B6620"/>
    <mergeCell ref="A6621:A6624"/>
    <mergeCell ref="B6621:B6624"/>
    <mergeCell ref="A6625:A6628"/>
    <mergeCell ref="B6625:B6628"/>
    <mergeCell ref="A6605:A6608"/>
    <mergeCell ref="B6605:B6608"/>
    <mergeCell ref="A6609:A6612"/>
    <mergeCell ref="B6609:B6612"/>
    <mergeCell ref="A6613:A6616"/>
    <mergeCell ref="B6613:B6616"/>
    <mergeCell ref="A6593:A6596"/>
    <mergeCell ref="B6593:B6596"/>
    <mergeCell ref="A6597:A6600"/>
    <mergeCell ref="B6597:B6600"/>
    <mergeCell ref="A6601:A6604"/>
    <mergeCell ref="B6601:B6604"/>
    <mergeCell ref="A6581:A6584"/>
    <mergeCell ref="B6581:B6584"/>
    <mergeCell ref="A6585:A6588"/>
    <mergeCell ref="B6585:B6588"/>
    <mergeCell ref="A6589:A6592"/>
    <mergeCell ref="B6589:B6592"/>
    <mergeCell ref="A6569:A6572"/>
    <mergeCell ref="B6569:B6572"/>
    <mergeCell ref="A6573:A6576"/>
    <mergeCell ref="B6573:B6576"/>
    <mergeCell ref="A6577:A6580"/>
    <mergeCell ref="B6577:B6580"/>
    <mergeCell ref="A6557:A6560"/>
    <mergeCell ref="B6557:B6560"/>
    <mergeCell ref="A6561:A6564"/>
    <mergeCell ref="B6561:B6564"/>
    <mergeCell ref="A6565:A6568"/>
    <mergeCell ref="B6565:B6568"/>
    <mergeCell ref="A6545:A6548"/>
    <mergeCell ref="B6545:B6548"/>
    <mergeCell ref="A6549:A6552"/>
    <mergeCell ref="B6549:B6552"/>
    <mergeCell ref="A6553:A6556"/>
    <mergeCell ref="B6553:B6556"/>
    <mergeCell ref="A6533:A6536"/>
    <mergeCell ref="B6533:B6536"/>
    <mergeCell ref="A6537:A6540"/>
    <mergeCell ref="B6537:B6540"/>
    <mergeCell ref="A6541:A6544"/>
    <mergeCell ref="B6541:B6544"/>
    <mergeCell ref="A6521:A6524"/>
    <mergeCell ref="B6521:B6524"/>
    <mergeCell ref="A6525:A6528"/>
    <mergeCell ref="B6525:B6528"/>
    <mergeCell ref="A6529:A6532"/>
    <mergeCell ref="B6529:B6532"/>
    <mergeCell ref="A6509:A6512"/>
    <mergeCell ref="B6509:B6512"/>
    <mergeCell ref="A6513:A6516"/>
    <mergeCell ref="B6513:B6516"/>
    <mergeCell ref="A6517:A6520"/>
    <mergeCell ref="B6517:B6520"/>
    <mergeCell ref="A6497:A6500"/>
    <mergeCell ref="B6497:B6500"/>
    <mergeCell ref="A6501:A6504"/>
    <mergeCell ref="B6501:B6504"/>
    <mergeCell ref="A6505:A6508"/>
    <mergeCell ref="B6505:B6508"/>
    <mergeCell ref="A6482:A6488"/>
    <mergeCell ref="B6482:B6488"/>
    <mergeCell ref="A6489:A6492"/>
    <mergeCell ref="B6489:B6492"/>
    <mergeCell ref="A6493:A6496"/>
    <mergeCell ref="B6493:B6496"/>
    <mergeCell ref="A6461:A6467"/>
    <mergeCell ref="B6461:B6467"/>
    <mergeCell ref="A6468:A6474"/>
    <mergeCell ref="B6468:B6474"/>
    <mergeCell ref="A6475:A6481"/>
    <mergeCell ref="B6475:B6481"/>
    <mergeCell ref="A6440:A6444"/>
    <mergeCell ref="B6440:B6444"/>
    <mergeCell ref="A6445:A6453"/>
    <mergeCell ref="B6445:B6453"/>
    <mergeCell ref="A6454:A6460"/>
    <mergeCell ref="B6454:B6460"/>
    <mergeCell ref="A6423:A6427"/>
    <mergeCell ref="B6423:B6427"/>
    <mergeCell ref="A6428:A6432"/>
    <mergeCell ref="B6428:B6432"/>
    <mergeCell ref="A6433:A6439"/>
    <mergeCell ref="B6433:B6439"/>
    <mergeCell ref="A6410:A6413"/>
    <mergeCell ref="B6410:B6413"/>
    <mergeCell ref="A6414:A6417"/>
    <mergeCell ref="B6414:B6417"/>
    <mergeCell ref="A6418:A6422"/>
    <mergeCell ref="B6418:B6422"/>
    <mergeCell ref="A6394:A6400"/>
    <mergeCell ref="B6394:B6400"/>
    <mergeCell ref="A6401:A6404"/>
    <mergeCell ref="B6401:B6404"/>
    <mergeCell ref="A6405:A6409"/>
    <mergeCell ref="B6405:B6409"/>
    <mergeCell ref="A6366:A6380"/>
    <mergeCell ref="B6366:B6380"/>
    <mergeCell ref="A6381:A6387"/>
    <mergeCell ref="B6381:B6387"/>
    <mergeCell ref="A6388:A6393"/>
    <mergeCell ref="B6388:B6393"/>
    <mergeCell ref="A6338:A6346"/>
    <mergeCell ref="B6338:B6346"/>
    <mergeCell ref="A6347:A6351"/>
    <mergeCell ref="B6347:B6351"/>
    <mergeCell ref="A6352:A6365"/>
    <mergeCell ref="B6352:B6365"/>
    <mergeCell ref="A6294:A6303"/>
    <mergeCell ref="B6294:B6303"/>
    <mergeCell ref="A6304:A6327"/>
    <mergeCell ref="B6304:B6327"/>
    <mergeCell ref="A6328:A6337"/>
    <mergeCell ref="B6328:B6337"/>
    <mergeCell ref="A6271:A6278"/>
    <mergeCell ref="B6271:B6278"/>
    <mergeCell ref="A6279:A6286"/>
    <mergeCell ref="B6279:B6286"/>
    <mergeCell ref="A6287:A6293"/>
    <mergeCell ref="B6287:B6293"/>
    <mergeCell ref="A6245:A6250"/>
    <mergeCell ref="B6245:B6250"/>
    <mergeCell ref="A6251:A6259"/>
    <mergeCell ref="B6251:B6259"/>
    <mergeCell ref="A6260:A6270"/>
    <mergeCell ref="B6260:B6270"/>
    <mergeCell ref="A6226:A6231"/>
    <mergeCell ref="B6226:B6231"/>
    <mergeCell ref="A6232:A6238"/>
    <mergeCell ref="B6232:B6238"/>
    <mergeCell ref="A6239:A6244"/>
    <mergeCell ref="B6239:B6244"/>
    <mergeCell ref="A6202:A6209"/>
    <mergeCell ref="B6202:B6209"/>
    <mergeCell ref="A6210:A6218"/>
    <mergeCell ref="B6210:B6218"/>
    <mergeCell ref="A6219:A6225"/>
    <mergeCell ref="B6219:B6225"/>
    <mergeCell ref="A6184:A6188"/>
    <mergeCell ref="B6184:B6188"/>
    <mergeCell ref="A6189:A6193"/>
    <mergeCell ref="B6189:B6193"/>
    <mergeCell ref="A6194:A6201"/>
    <mergeCell ref="B6194:B6201"/>
    <mergeCell ref="A6155:A6165"/>
    <mergeCell ref="B6155:B6165"/>
    <mergeCell ref="A6166:A6176"/>
    <mergeCell ref="B6166:B6176"/>
    <mergeCell ref="A6177:A6183"/>
    <mergeCell ref="B6177:B6183"/>
    <mergeCell ref="A6143:A6146"/>
    <mergeCell ref="B6143:B6146"/>
    <mergeCell ref="A6147:A6150"/>
    <mergeCell ref="B6147:B6150"/>
    <mergeCell ref="A6151:A6154"/>
    <mergeCell ref="B6151:B6154"/>
    <mergeCell ref="A6127:A6130"/>
    <mergeCell ref="B6127:B6130"/>
    <mergeCell ref="A6131:A6134"/>
    <mergeCell ref="B6131:B6134"/>
    <mergeCell ref="A6135:A6142"/>
    <mergeCell ref="B6135:B6142"/>
    <mergeCell ref="A6115:A6118"/>
    <mergeCell ref="B6115:B6118"/>
    <mergeCell ref="A6119:A6122"/>
    <mergeCell ref="B6119:B6122"/>
    <mergeCell ref="A6123:A6126"/>
    <mergeCell ref="B6123:B6126"/>
    <mergeCell ref="A6103:A6106"/>
    <mergeCell ref="B6103:B6106"/>
    <mergeCell ref="A6107:A6110"/>
    <mergeCell ref="B6107:B6110"/>
    <mergeCell ref="A6111:A6114"/>
    <mergeCell ref="B6111:B6114"/>
    <mergeCell ref="A6091:A6094"/>
    <mergeCell ref="B6091:B6094"/>
    <mergeCell ref="A6095:A6098"/>
    <mergeCell ref="B6095:B6098"/>
    <mergeCell ref="A6099:A6102"/>
    <mergeCell ref="B6099:B6102"/>
    <mergeCell ref="A6079:A6082"/>
    <mergeCell ref="B6079:B6082"/>
    <mergeCell ref="A6083:A6086"/>
    <mergeCell ref="B6083:B6086"/>
    <mergeCell ref="A6087:A6090"/>
    <mergeCell ref="B6087:B6090"/>
    <mergeCell ref="A6067:A6070"/>
    <mergeCell ref="B6067:B6070"/>
    <mergeCell ref="A6071:A6074"/>
    <mergeCell ref="B6071:B6074"/>
    <mergeCell ref="A6075:A6078"/>
    <mergeCell ref="B6075:B6078"/>
    <mergeCell ref="A6055:A6058"/>
    <mergeCell ref="B6055:B6058"/>
    <mergeCell ref="A6059:A6062"/>
    <mergeCell ref="B6059:B6062"/>
    <mergeCell ref="A6063:A6066"/>
    <mergeCell ref="B6063:B6066"/>
    <mergeCell ref="A6043:A6046"/>
    <mergeCell ref="B6043:B6046"/>
    <mergeCell ref="A6047:A6050"/>
    <mergeCell ref="B6047:B6050"/>
    <mergeCell ref="A6051:A6054"/>
    <mergeCell ref="B6051:B6054"/>
    <mergeCell ref="A6031:A6034"/>
    <mergeCell ref="B6031:B6034"/>
    <mergeCell ref="A6035:A6038"/>
    <mergeCell ref="B6035:B6038"/>
    <mergeCell ref="A6039:A6042"/>
    <mergeCell ref="B6039:B6042"/>
    <mergeCell ref="A6019:A6022"/>
    <mergeCell ref="B6019:B6022"/>
    <mergeCell ref="A6023:A6026"/>
    <mergeCell ref="B6023:B6026"/>
    <mergeCell ref="A6027:A6030"/>
    <mergeCell ref="B6027:B6030"/>
    <mergeCell ref="A6007:A6010"/>
    <mergeCell ref="B6007:B6010"/>
    <mergeCell ref="A6011:A6014"/>
    <mergeCell ref="B6011:B6014"/>
    <mergeCell ref="A6015:A6018"/>
    <mergeCell ref="B6015:B6018"/>
    <mergeCell ref="A5995:A5998"/>
    <mergeCell ref="B5995:B5998"/>
    <mergeCell ref="A5999:A6002"/>
    <mergeCell ref="B5999:B6002"/>
    <mergeCell ref="A6003:A6006"/>
    <mergeCell ref="B6003:B6006"/>
    <mergeCell ref="A5983:A5986"/>
    <mergeCell ref="B5983:B5986"/>
    <mergeCell ref="A5987:A5990"/>
    <mergeCell ref="B5987:B5990"/>
    <mergeCell ref="A5991:A5994"/>
    <mergeCell ref="B5991:B5994"/>
    <mergeCell ref="A5971:A5974"/>
    <mergeCell ref="B5971:B5974"/>
    <mergeCell ref="A5975:A5978"/>
    <mergeCell ref="B5975:B5978"/>
    <mergeCell ref="A5979:A5982"/>
    <mergeCell ref="B5979:B5982"/>
    <mergeCell ref="A5959:A5962"/>
    <mergeCell ref="B5959:B5962"/>
    <mergeCell ref="A5963:A5966"/>
    <mergeCell ref="B5963:B5966"/>
    <mergeCell ref="A5967:A5970"/>
    <mergeCell ref="B5967:B5970"/>
    <mergeCell ref="A5947:A5950"/>
    <mergeCell ref="B5947:B5950"/>
    <mergeCell ref="A5951:A5954"/>
    <mergeCell ref="B5951:B5954"/>
    <mergeCell ref="A5955:A5958"/>
    <mergeCell ref="B5955:B5958"/>
    <mergeCell ref="A5935:A5938"/>
    <mergeCell ref="B5935:B5938"/>
    <mergeCell ref="A5939:A5942"/>
    <mergeCell ref="B5939:B5942"/>
    <mergeCell ref="A5943:A5946"/>
    <mergeCell ref="B5943:B5946"/>
    <mergeCell ref="A5923:A5926"/>
    <mergeCell ref="B5923:B5926"/>
    <mergeCell ref="A5927:A5930"/>
    <mergeCell ref="B5927:B5930"/>
    <mergeCell ref="A5931:A5934"/>
    <mergeCell ref="B5931:B5934"/>
    <mergeCell ref="A5911:A5914"/>
    <mergeCell ref="B5911:B5914"/>
    <mergeCell ref="A5915:A5918"/>
    <mergeCell ref="B5915:B5918"/>
    <mergeCell ref="A5919:A5922"/>
    <mergeCell ref="B5919:B5922"/>
    <mergeCell ref="A5899:A5902"/>
    <mergeCell ref="B5899:B5902"/>
    <mergeCell ref="A5903:A5906"/>
    <mergeCell ref="B5903:B5906"/>
    <mergeCell ref="A5907:A5910"/>
    <mergeCell ref="B5907:B5910"/>
    <mergeCell ref="A5887:A5890"/>
    <mergeCell ref="B5887:B5890"/>
    <mergeCell ref="A5891:A5894"/>
    <mergeCell ref="B5891:B5894"/>
    <mergeCell ref="A5895:A5898"/>
    <mergeCell ref="B5895:B5898"/>
    <mergeCell ref="A5875:A5878"/>
    <mergeCell ref="B5875:B5878"/>
    <mergeCell ref="A5879:A5882"/>
    <mergeCell ref="B5879:B5882"/>
    <mergeCell ref="A5883:A5886"/>
    <mergeCell ref="B5883:B5886"/>
    <mergeCell ref="A5863:A5866"/>
    <mergeCell ref="B5863:B5866"/>
    <mergeCell ref="A5867:A5870"/>
    <mergeCell ref="B5867:B5870"/>
    <mergeCell ref="A5871:A5874"/>
    <mergeCell ref="B5871:B5874"/>
    <mergeCell ref="A5851:A5854"/>
    <mergeCell ref="B5851:B5854"/>
    <mergeCell ref="A5855:A5858"/>
    <mergeCell ref="B5855:B5858"/>
    <mergeCell ref="A5859:A5862"/>
    <mergeCell ref="B5859:B5862"/>
    <mergeCell ref="A5839:A5842"/>
    <mergeCell ref="B5839:B5842"/>
    <mergeCell ref="A5843:A5846"/>
    <mergeCell ref="B5843:B5846"/>
    <mergeCell ref="A5847:A5850"/>
    <mergeCell ref="B5847:B5850"/>
    <mergeCell ref="A5827:A5830"/>
    <mergeCell ref="B5827:B5830"/>
    <mergeCell ref="A5831:A5834"/>
    <mergeCell ref="B5831:B5834"/>
    <mergeCell ref="A5835:A5838"/>
    <mergeCell ref="B5835:B5838"/>
    <mergeCell ref="A5815:A5818"/>
    <mergeCell ref="B5815:B5818"/>
    <mergeCell ref="A5819:A5822"/>
    <mergeCell ref="B5819:B5822"/>
    <mergeCell ref="A5823:A5826"/>
    <mergeCell ref="B5823:B5826"/>
    <mergeCell ref="A5803:A5806"/>
    <mergeCell ref="B5803:B5806"/>
    <mergeCell ref="A5807:A5810"/>
    <mergeCell ref="B5807:B5810"/>
    <mergeCell ref="A5811:A5814"/>
    <mergeCell ref="B5811:B5814"/>
    <mergeCell ref="A5791:A5794"/>
    <mergeCell ref="B5791:B5794"/>
    <mergeCell ref="A5795:A5798"/>
    <mergeCell ref="B5795:B5798"/>
    <mergeCell ref="A5799:A5802"/>
    <mergeCell ref="B5799:B5802"/>
    <mergeCell ref="A5779:A5782"/>
    <mergeCell ref="B5779:B5782"/>
    <mergeCell ref="A5783:A5786"/>
    <mergeCell ref="B5783:B5786"/>
    <mergeCell ref="A5787:A5790"/>
    <mergeCell ref="B5787:B5790"/>
    <mergeCell ref="A5767:A5770"/>
    <mergeCell ref="B5767:B5770"/>
    <mergeCell ref="A5771:A5774"/>
    <mergeCell ref="B5771:B5774"/>
    <mergeCell ref="A5775:A5778"/>
    <mergeCell ref="B5775:B5778"/>
    <mergeCell ref="A5755:A5758"/>
    <mergeCell ref="B5755:B5758"/>
    <mergeCell ref="A5759:A5762"/>
    <mergeCell ref="B5759:B5762"/>
    <mergeCell ref="A5763:A5766"/>
    <mergeCell ref="B5763:B5766"/>
    <mergeCell ref="A5743:A5746"/>
    <mergeCell ref="B5743:B5746"/>
    <mergeCell ref="A5747:A5750"/>
    <mergeCell ref="B5747:B5750"/>
    <mergeCell ref="A5751:A5754"/>
    <mergeCell ref="B5751:B5754"/>
    <mergeCell ref="A5731:A5734"/>
    <mergeCell ref="B5731:B5734"/>
    <mergeCell ref="A5735:A5738"/>
    <mergeCell ref="B5735:B5738"/>
    <mergeCell ref="A5739:A5742"/>
    <mergeCell ref="B5739:B5742"/>
    <mergeCell ref="A5719:A5722"/>
    <mergeCell ref="B5719:B5722"/>
    <mergeCell ref="A5723:A5726"/>
    <mergeCell ref="B5723:B5726"/>
    <mergeCell ref="A5727:A5730"/>
    <mergeCell ref="B5727:B5730"/>
    <mergeCell ref="A5707:A5710"/>
    <mergeCell ref="B5707:B5710"/>
    <mergeCell ref="A5711:A5714"/>
    <mergeCell ref="B5711:B5714"/>
    <mergeCell ref="A5715:A5718"/>
    <mergeCell ref="B5715:B5718"/>
    <mergeCell ref="A5695:A5698"/>
    <mergeCell ref="B5695:B5698"/>
    <mergeCell ref="A5699:A5702"/>
    <mergeCell ref="B5699:B5702"/>
    <mergeCell ref="A5703:A5706"/>
    <mergeCell ref="B5703:B5706"/>
    <mergeCell ref="A5683:A5686"/>
    <mergeCell ref="B5683:B5686"/>
    <mergeCell ref="A5687:A5690"/>
    <mergeCell ref="B5687:B5690"/>
    <mergeCell ref="A5691:A5694"/>
    <mergeCell ref="B5691:B5694"/>
    <mergeCell ref="A5671:A5674"/>
    <mergeCell ref="B5671:B5674"/>
    <mergeCell ref="A5675:A5678"/>
    <mergeCell ref="B5675:B5678"/>
    <mergeCell ref="A5679:A5682"/>
    <mergeCell ref="B5679:B5682"/>
    <mergeCell ref="A5659:A5662"/>
    <mergeCell ref="B5659:B5662"/>
    <mergeCell ref="A5663:A5666"/>
    <mergeCell ref="B5663:B5666"/>
    <mergeCell ref="A5667:A5670"/>
    <mergeCell ref="B5667:B5670"/>
    <mergeCell ref="A5647:A5650"/>
    <mergeCell ref="B5647:B5650"/>
    <mergeCell ref="A5651:A5654"/>
    <mergeCell ref="B5651:B5654"/>
    <mergeCell ref="A5655:A5658"/>
    <mergeCell ref="B5655:B5658"/>
    <mergeCell ref="A5635:A5638"/>
    <mergeCell ref="B5635:B5638"/>
    <mergeCell ref="A5639:A5642"/>
    <mergeCell ref="B5639:B5642"/>
    <mergeCell ref="A5643:A5646"/>
    <mergeCell ref="B5643:B5646"/>
    <mergeCell ref="A5623:A5626"/>
    <mergeCell ref="B5623:B5626"/>
    <mergeCell ref="A5627:A5630"/>
    <mergeCell ref="B5627:B5630"/>
    <mergeCell ref="A5631:A5634"/>
    <mergeCell ref="B5631:B5634"/>
    <mergeCell ref="A5609:A5614"/>
    <mergeCell ref="B5609:B5614"/>
    <mergeCell ref="A5615:A5618"/>
    <mergeCell ref="B5615:B5618"/>
    <mergeCell ref="A5619:A5622"/>
    <mergeCell ref="B5619:B5622"/>
    <mergeCell ref="A5591:A5596"/>
    <mergeCell ref="B5591:B5596"/>
    <mergeCell ref="A5597:A5602"/>
    <mergeCell ref="B5597:B5602"/>
    <mergeCell ref="A5603:A5608"/>
    <mergeCell ref="B5603:B5608"/>
    <mergeCell ref="A5573:A5578"/>
    <mergeCell ref="B5573:B5578"/>
    <mergeCell ref="A5579:A5584"/>
    <mergeCell ref="B5579:B5584"/>
    <mergeCell ref="A5585:A5590"/>
    <mergeCell ref="B5585:B5590"/>
    <mergeCell ref="A5555:A5560"/>
    <mergeCell ref="B5555:B5560"/>
    <mergeCell ref="A5561:A5566"/>
    <mergeCell ref="B5561:B5566"/>
    <mergeCell ref="A5567:A5572"/>
    <mergeCell ref="B5567:B5572"/>
    <mergeCell ref="A5537:A5542"/>
    <mergeCell ref="B5537:B5542"/>
    <mergeCell ref="A5543:A5548"/>
    <mergeCell ref="B5543:B5548"/>
    <mergeCell ref="A5549:A5554"/>
    <mergeCell ref="B5549:B5554"/>
    <mergeCell ref="A5519:A5524"/>
    <mergeCell ref="B5519:B5524"/>
    <mergeCell ref="A5525:A5530"/>
    <mergeCell ref="B5525:B5530"/>
    <mergeCell ref="A5531:A5536"/>
    <mergeCell ref="B5531:B5536"/>
    <mergeCell ref="A5501:A5506"/>
    <mergeCell ref="B5501:B5506"/>
    <mergeCell ref="A5507:A5512"/>
    <mergeCell ref="B5507:B5512"/>
    <mergeCell ref="A5513:A5518"/>
    <mergeCell ref="B5513:B5518"/>
    <mergeCell ref="A5484:A5490"/>
    <mergeCell ref="B5484:B5490"/>
    <mergeCell ref="A5491:A5494"/>
    <mergeCell ref="B5491:B5494"/>
    <mergeCell ref="A5495:A5500"/>
    <mergeCell ref="B5495:B5500"/>
    <mergeCell ref="A5468:A5473"/>
    <mergeCell ref="B5468:B5473"/>
    <mergeCell ref="A5474:A5479"/>
    <mergeCell ref="B5474:B5479"/>
    <mergeCell ref="A5480:A5483"/>
    <mergeCell ref="B5480:B5483"/>
    <mergeCell ref="A5449:A5454"/>
    <mergeCell ref="B5449:B5454"/>
    <mergeCell ref="A5455:A5461"/>
    <mergeCell ref="B5455:B5461"/>
    <mergeCell ref="A5462:A5467"/>
    <mergeCell ref="B5462:B5467"/>
    <mergeCell ref="A5421:A5430"/>
    <mergeCell ref="B5421:B5430"/>
    <mergeCell ref="A5431:A5442"/>
    <mergeCell ref="B5431:B5442"/>
    <mergeCell ref="A5443:A5448"/>
    <mergeCell ref="B5443:B5448"/>
    <mergeCell ref="A5398:A5405"/>
    <mergeCell ref="B5398:B5405"/>
    <mergeCell ref="A5406:A5413"/>
    <mergeCell ref="B5406:B5413"/>
    <mergeCell ref="A5414:A5420"/>
    <mergeCell ref="B5414:B5420"/>
    <mergeCell ref="A5378:A5383"/>
    <mergeCell ref="B5378:B5383"/>
    <mergeCell ref="A5384:A5389"/>
    <mergeCell ref="B5384:B5389"/>
    <mergeCell ref="A5390:A5397"/>
    <mergeCell ref="B5390:B5397"/>
    <mergeCell ref="A5359:A5364"/>
    <mergeCell ref="B5359:B5364"/>
    <mergeCell ref="A5365:A5370"/>
    <mergeCell ref="B5365:B5370"/>
    <mergeCell ref="A5371:A5377"/>
    <mergeCell ref="B5371:B5377"/>
    <mergeCell ref="A5338:A5344"/>
    <mergeCell ref="B5338:B5344"/>
    <mergeCell ref="A5345:A5351"/>
    <mergeCell ref="B5345:B5351"/>
    <mergeCell ref="A5352:A5358"/>
    <mergeCell ref="B5352:B5358"/>
    <mergeCell ref="A5320:A5325"/>
    <mergeCell ref="B5320:B5325"/>
    <mergeCell ref="A5326:A5331"/>
    <mergeCell ref="B5326:B5331"/>
    <mergeCell ref="A5332:A5337"/>
    <mergeCell ref="B5332:B5337"/>
    <mergeCell ref="A5302:A5307"/>
    <mergeCell ref="B5302:B5307"/>
    <mergeCell ref="A5308:A5313"/>
    <mergeCell ref="B5308:B5313"/>
    <mergeCell ref="A5314:A5319"/>
    <mergeCell ref="B5314:B5319"/>
    <mergeCell ref="A5283:A5288"/>
    <mergeCell ref="B5283:B5288"/>
    <mergeCell ref="A5289:A5295"/>
    <mergeCell ref="B5289:B5295"/>
    <mergeCell ref="A5296:A5301"/>
    <mergeCell ref="B5296:B5301"/>
    <mergeCell ref="A5256:A5262"/>
    <mergeCell ref="B5256:B5262"/>
    <mergeCell ref="A5263:A5274"/>
    <mergeCell ref="B5263:B5274"/>
    <mergeCell ref="A5275:A5282"/>
    <mergeCell ref="B5275:B5282"/>
    <mergeCell ref="A5237:A5243"/>
    <mergeCell ref="B5237:B5243"/>
    <mergeCell ref="A5244:A5249"/>
    <mergeCell ref="B5244:B5249"/>
    <mergeCell ref="A5250:A5255"/>
    <mergeCell ref="B5250:B5255"/>
    <mergeCell ref="A5200:A5214"/>
    <mergeCell ref="B5200:B5214"/>
    <mergeCell ref="A5215:A5229"/>
    <mergeCell ref="B5215:B5229"/>
    <mergeCell ref="A5230:A5236"/>
    <mergeCell ref="B5230:B5236"/>
    <mergeCell ref="A5176:A5183"/>
    <mergeCell ref="B5176:B5183"/>
    <mergeCell ref="A5184:A5191"/>
    <mergeCell ref="B5184:B5191"/>
    <mergeCell ref="A5192:A5199"/>
    <mergeCell ref="B5192:B5199"/>
    <mergeCell ref="A5156:A5161"/>
    <mergeCell ref="B5156:B5161"/>
    <mergeCell ref="A5162:A5169"/>
    <mergeCell ref="B5162:B5169"/>
    <mergeCell ref="A5170:A5175"/>
    <mergeCell ref="B5170:B5175"/>
    <mergeCell ref="A5132:A5139"/>
    <mergeCell ref="B5132:B5139"/>
    <mergeCell ref="A5140:A5147"/>
    <mergeCell ref="B5140:B5147"/>
    <mergeCell ref="A5148:A5155"/>
    <mergeCell ref="B5148:B5155"/>
    <mergeCell ref="A5107:A5117"/>
    <mergeCell ref="B5107:B5117"/>
    <mergeCell ref="A5118:A5123"/>
    <mergeCell ref="B5118:B5123"/>
    <mergeCell ref="A5124:A5131"/>
    <mergeCell ref="B5124:B5131"/>
    <mergeCell ref="A5087:A5092"/>
    <mergeCell ref="B5087:B5092"/>
    <mergeCell ref="A5093:A5099"/>
    <mergeCell ref="B5093:B5099"/>
    <mergeCell ref="A5100:A5106"/>
    <mergeCell ref="B5100:B5106"/>
    <mergeCell ref="A5069:A5074"/>
    <mergeCell ref="B5069:B5074"/>
    <mergeCell ref="A5075:A5080"/>
    <mergeCell ref="B5075:B5080"/>
    <mergeCell ref="A5081:A5086"/>
    <mergeCell ref="B5081:B5086"/>
    <mergeCell ref="A5047:A5053"/>
    <mergeCell ref="B5047:B5053"/>
    <mergeCell ref="A5054:A5060"/>
    <mergeCell ref="B5054:B5060"/>
    <mergeCell ref="A5061:A5068"/>
    <mergeCell ref="B5061:B5068"/>
    <mergeCell ref="A5027:A5032"/>
    <mergeCell ref="B5027:B5032"/>
    <mergeCell ref="A5033:A5038"/>
    <mergeCell ref="B5033:B5038"/>
    <mergeCell ref="A5039:A5046"/>
    <mergeCell ref="B5039:B5046"/>
    <mergeCell ref="A5009:A5016"/>
    <mergeCell ref="B5009:B5016"/>
    <mergeCell ref="A5017:A5022"/>
    <mergeCell ref="B5017:B5022"/>
    <mergeCell ref="A5023:A5026"/>
    <mergeCell ref="B5023:B5026"/>
    <mergeCell ref="A4991:A4996"/>
    <mergeCell ref="B4991:B4996"/>
    <mergeCell ref="A4997:A5003"/>
    <mergeCell ref="B4997:B5003"/>
    <mergeCell ref="A5004:A5008"/>
    <mergeCell ref="B5004:B5008"/>
    <mergeCell ref="A4973:A4978"/>
    <mergeCell ref="B4973:B4978"/>
    <mergeCell ref="A4979:A4984"/>
    <mergeCell ref="B4979:B4984"/>
    <mergeCell ref="A4985:A4990"/>
    <mergeCell ref="B4985:B4990"/>
    <mergeCell ref="A4954:A4960"/>
    <mergeCell ref="B4954:B4960"/>
    <mergeCell ref="A4961:A4967"/>
    <mergeCell ref="B4961:B4967"/>
    <mergeCell ref="A4968:A4972"/>
    <mergeCell ref="B4968:B4972"/>
    <mergeCell ref="A4935:A4939"/>
    <mergeCell ref="B4935:B4939"/>
    <mergeCell ref="A4940:A4946"/>
    <mergeCell ref="B4940:B4946"/>
    <mergeCell ref="A4947:A4953"/>
    <mergeCell ref="B4947:B4953"/>
    <mergeCell ref="A4914:A4920"/>
    <mergeCell ref="B4914:B4920"/>
    <mergeCell ref="A4921:A4927"/>
    <mergeCell ref="B4921:B4927"/>
    <mergeCell ref="A4928:A4934"/>
    <mergeCell ref="B4928:B4934"/>
    <mergeCell ref="A4891:A4899"/>
    <mergeCell ref="B4891:B4899"/>
    <mergeCell ref="A4900:A4906"/>
    <mergeCell ref="B4900:B4906"/>
    <mergeCell ref="A4907:A4913"/>
    <mergeCell ref="B4907:B4913"/>
    <mergeCell ref="A4865:A4872"/>
    <mergeCell ref="B4865:B4872"/>
    <mergeCell ref="A4873:A4880"/>
    <mergeCell ref="B4873:B4880"/>
    <mergeCell ref="A4881:A4890"/>
    <mergeCell ref="B4881:B4890"/>
    <mergeCell ref="A4841:A4848"/>
    <mergeCell ref="B4841:B4848"/>
    <mergeCell ref="A4849:A4856"/>
    <mergeCell ref="B4849:B4856"/>
    <mergeCell ref="A4857:A4864"/>
    <mergeCell ref="B4857:B4864"/>
    <mergeCell ref="A4817:A4824"/>
    <mergeCell ref="B4817:B4824"/>
    <mergeCell ref="A4825:A4832"/>
    <mergeCell ref="B4825:B4832"/>
    <mergeCell ref="A4833:A4840"/>
    <mergeCell ref="B4833:B4840"/>
    <mergeCell ref="A4802:A4806"/>
    <mergeCell ref="B4802:B4806"/>
    <mergeCell ref="A4807:A4811"/>
    <mergeCell ref="B4807:B4811"/>
    <mergeCell ref="A4812:A4816"/>
    <mergeCell ref="B4812:B4816"/>
    <mergeCell ref="A4777:A4781"/>
    <mergeCell ref="B4777:B4781"/>
    <mergeCell ref="A4782:A4791"/>
    <mergeCell ref="B4782:B4791"/>
    <mergeCell ref="A4792:A4801"/>
    <mergeCell ref="B4792:B4801"/>
    <mergeCell ref="A4758:A4761"/>
    <mergeCell ref="B4758:B4761"/>
    <mergeCell ref="A4762:A4765"/>
    <mergeCell ref="B4762:B4765"/>
    <mergeCell ref="A4766:A4776"/>
    <mergeCell ref="B4766:B4776"/>
    <mergeCell ref="A4746:A4749"/>
    <mergeCell ref="B4746:B4749"/>
    <mergeCell ref="A4750:A4753"/>
    <mergeCell ref="B4750:B4753"/>
    <mergeCell ref="A4754:A4757"/>
    <mergeCell ref="B4754:B4757"/>
    <mergeCell ref="A4734:A4737"/>
    <mergeCell ref="B4734:B4737"/>
    <mergeCell ref="A4738:A4741"/>
    <mergeCell ref="B4738:B4741"/>
    <mergeCell ref="A4742:A4745"/>
    <mergeCell ref="B4742:B4745"/>
    <mergeCell ref="A4716:A4721"/>
    <mergeCell ref="B4716:B4721"/>
    <mergeCell ref="A4722:A4729"/>
    <mergeCell ref="B4722:B4729"/>
    <mergeCell ref="A4730:A4733"/>
    <mergeCell ref="B4730:B4733"/>
    <mergeCell ref="A4691:A4699"/>
    <mergeCell ref="B4691:B4699"/>
    <mergeCell ref="A4700:A4711"/>
    <mergeCell ref="B4700:B4711"/>
    <mergeCell ref="A4712:A4715"/>
    <mergeCell ref="B4712:B4715"/>
    <mergeCell ref="A4666:A4676"/>
    <mergeCell ref="B4666:B4676"/>
    <mergeCell ref="A4677:A4682"/>
    <mergeCell ref="B4677:B4682"/>
    <mergeCell ref="A4683:A4690"/>
    <mergeCell ref="B4683:B4690"/>
    <mergeCell ref="A4644:A4649"/>
    <mergeCell ref="B4644:B4649"/>
    <mergeCell ref="A4650:A4657"/>
    <mergeCell ref="B4650:B4657"/>
    <mergeCell ref="A4658:A4665"/>
    <mergeCell ref="B4658:B4665"/>
    <mergeCell ref="A4618:A4623"/>
    <mergeCell ref="B4618:B4623"/>
    <mergeCell ref="A4624:A4635"/>
    <mergeCell ref="B4624:B4635"/>
    <mergeCell ref="A4636:A4643"/>
    <mergeCell ref="B4636:B4643"/>
    <mergeCell ref="A4593:A4600"/>
    <mergeCell ref="B4593:B4600"/>
    <mergeCell ref="A4601:A4609"/>
    <mergeCell ref="B4601:B4609"/>
    <mergeCell ref="A4610:A4617"/>
    <mergeCell ref="B4610:B4617"/>
    <mergeCell ref="A4550:A4561"/>
    <mergeCell ref="B4550:B4561"/>
    <mergeCell ref="A4562:A4573"/>
    <mergeCell ref="B4562:B4573"/>
    <mergeCell ref="A4574:A4592"/>
    <mergeCell ref="B4574:B4592"/>
    <mergeCell ref="A4530:A4538"/>
    <mergeCell ref="B4530:B4538"/>
    <mergeCell ref="A4539:A4543"/>
    <mergeCell ref="B4539:B4543"/>
    <mergeCell ref="A4544:A4549"/>
    <mergeCell ref="B4544:B4549"/>
    <mergeCell ref="A4511:A4515"/>
    <mergeCell ref="B4511:B4515"/>
    <mergeCell ref="A4516:A4520"/>
    <mergeCell ref="B4516:B4520"/>
    <mergeCell ref="A4521:A4529"/>
    <mergeCell ref="B4521:B4529"/>
    <mergeCell ref="A4489:A4496"/>
    <mergeCell ref="B4489:B4496"/>
    <mergeCell ref="A4497:A4504"/>
    <mergeCell ref="B4497:B4504"/>
    <mergeCell ref="A4505:A4510"/>
    <mergeCell ref="B4505:B4510"/>
    <mergeCell ref="A4454:A4462"/>
    <mergeCell ref="B4454:B4462"/>
    <mergeCell ref="A4463:A4468"/>
    <mergeCell ref="B4463:B4468"/>
    <mergeCell ref="A4469:A4488"/>
    <mergeCell ref="B4469:B4488"/>
    <mergeCell ref="A4421:A4430"/>
    <mergeCell ref="B4421:B4430"/>
    <mergeCell ref="A4431:A4438"/>
    <mergeCell ref="B4431:B4438"/>
    <mergeCell ref="A4439:A4453"/>
    <mergeCell ref="B4439:B4453"/>
    <mergeCell ref="A4393:A4400"/>
    <mergeCell ref="B4393:B4400"/>
    <mergeCell ref="A4401:A4410"/>
    <mergeCell ref="B4401:B4410"/>
    <mergeCell ref="A4411:A4420"/>
    <mergeCell ref="B4411:B4420"/>
    <mergeCell ref="A4366:A4374"/>
    <mergeCell ref="B4366:B4374"/>
    <mergeCell ref="A4375:A4384"/>
    <mergeCell ref="B4375:B4384"/>
    <mergeCell ref="A4385:A4392"/>
    <mergeCell ref="B4385:B4392"/>
    <mergeCell ref="A4339:A4347"/>
    <mergeCell ref="B4339:B4347"/>
    <mergeCell ref="A4348:A4356"/>
    <mergeCell ref="B4348:B4356"/>
    <mergeCell ref="A4357:A4365"/>
    <mergeCell ref="B4357:B4365"/>
    <mergeCell ref="A4294:A4320"/>
    <mergeCell ref="B4294:B4320"/>
    <mergeCell ref="A4321:A4327"/>
    <mergeCell ref="B4321:B4327"/>
    <mergeCell ref="A4328:A4338"/>
    <mergeCell ref="B4328:B4338"/>
    <mergeCell ref="A4261:A4268"/>
    <mergeCell ref="B4261:B4268"/>
    <mergeCell ref="A4269:A4277"/>
    <mergeCell ref="B4269:B4277"/>
    <mergeCell ref="A4278:A4293"/>
    <mergeCell ref="B4278:B4293"/>
    <mergeCell ref="A4240:A4248"/>
    <mergeCell ref="B4240:B4248"/>
    <mergeCell ref="A4249:A4255"/>
    <mergeCell ref="B4249:B4255"/>
    <mergeCell ref="A4256:A4260"/>
    <mergeCell ref="B4256:B4260"/>
    <mergeCell ref="A4218:A4223"/>
    <mergeCell ref="B4218:B4223"/>
    <mergeCell ref="A4224:A4231"/>
    <mergeCell ref="B4224:B4231"/>
    <mergeCell ref="A4232:A4239"/>
    <mergeCell ref="B4232:B4239"/>
    <mergeCell ref="A4196:A4201"/>
    <mergeCell ref="B4196:B4201"/>
    <mergeCell ref="A4202:A4207"/>
    <mergeCell ref="B4202:B4207"/>
    <mergeCell ref="A4208:A4217"/>
    <mergeCell ref="B4208:B4217"/>
    <mergeCell ref="A4176:A4182"/>
    <mergeCell ref="B4176:B4182"/>
    <mergeCell ref="A4183:A4189"/>
    <mergeCell ref="B4183:B4189"/>
    <mergeCell ref="A4190:A4195"/>
    <mergeCell ref="B4190:B4195"/>
    <mergeCell ref="A4150:A4160"/>
    <mergeCell ref="B4150:B4160"/>
    <mergeCell ref="A4161:A4171"/>
    <mergeCell ref="B4161:B4171"/>
    <mergeCell ref="A4172:A4175"/>
    <mergeCell ref="B4172:B4175"/>
    <mergeCell ref="A4130:A4137"/>
    <mergeCell ref="B4130:B4137"/>
    <mergeCell ref="A4138:A4141"/>
    <mergeCell ref="B4138:B4141"/>
    <mergeCell ref="A4142:A4149"/>
    <mergeCell ref="B4142:B4149"/>
    <mergeCell ref="A4107:A4113"/>
    <mergeCell ref="B4107:B4113"/>
    <mergeCell ref="A4114:A4121"/>
    <mergeCell ref="B4114:B4121"/>
    <mergeCell ref="A4122:A4129"/>
    <mergeCell ref="B4122:B4129"/>
    <mergeCell ref="A4090:A4096"/>
    <mergeCell ref="B4090:B4096"/>
    <mergeCell ref="A4097:A4102"/>
    <mergeCell ref="B4097:B4102"/>
    <mergeCell ref="A4103:A4106"/>
    <mergeCell ref="B4103:B4106"/>
    <mergeCell ref="A4069:A4077"/>
    <mergeCell ref="B4069:B4077"/>
    <mergeCell ref="A4078:A4083"/>
    <mergeCell ref="B4078:B4083"/>
    <mergeCell ref="A4084:A4089"/>
    <mergeCell ref="B4084:B4089"/>
    <mergeCell ref="A4042:A4050"/>
    <mergeCell ref="B4042:B4050"/>
    <mergeCell ref="A4051:A4059"/>
    <mergeCell ref="B4051:B4059"/>
    <mergeCell ref="A4060:A4068"/>
    <mergeCell ref="B4060:B4068"/>
    <mergeCell ref="A4020:A4023"/>
    <mergeCell ref="B4020:B4023"/>
    <mergeCell ref="A4024:A4032"/>
    <mergeCell ref="B4024:B4032"/>
    <mergeCell ref="A4033:A4041"/>
    <mergeCell ref="B4033:B4041"/>
    <mergeCell ref="A3998:A4010"/>
    <mergeCell ref="B3998:B4010"/>
    <mergeCell ref="A4011:A4015"/>
    <mergeCell ref="B4011:B4015"/>
    <mergeCell ref="A4016:A4019"/>
    <mergeCell ref="B4016:B4019"/>
    <mergeCell ref="A3970:A3976"/>
    <mergeCell ref="B3970:B3976"/>
    <mergeCell ref="A3977:A3984"/>
    <mergeCell ref="B3977:B3984"/>
    <mergeCell ref="A3985:A3997"/>
    <mergeCell ref="B3985:B3997"/>
    <mergeCell ref="A3943:A3951"/>
    <mergeCell ref="B3943:B3951"/>
    <mergeCell ref="A3952:A3959"/>
    <mergeCell ref="B3952:B3959"/>
    <mergeCell ref="A3960:A3969"/>
    <mergeCell ref="B3960:B3969"/>
    <mergeCell ref="A3924:A3929"/>
    <mergeCell ref="B3924:B3929"/>
    <mergeCell ref="A3930:A3935"/>
    <mergeCell ref="B3930:B3935"/>
    <mergeCell ref="A3936:A3942"/>
    <mergeCell ref="B3936:B3942"/>
    <mergeCell ref="A3893:A3899"/>
    <mergeCell ref="B3893:B3899"/>
    <mergeCell ref="A3900:A3917"/>
    <mergeCell ref="B3900:B3917"/>
    <mergeCell ref="A3918:A3923"/>
    <mergeCell ref="B3918:B3923"/>
    <mergeCell ref="A3858:A3865"/>
    <mergeCell ref="B3858:B3865"/>
    <mergeCell ref="A3866:A3877"/>
    <mergeCell ref="B3866:B3877"/>
    <mergeCell ref="A3878:A3892"/>
    <mergeCell ref="B3878:B3892"/>
    <mergeCell ref="A3827:A3838"/>
    <mergeCell ref="B3827:B3838"/>
    <mergeCell ref="A3839:A3848"/>
    <mergeCell ref="B3839:B3848"/>
    <mergeCell ref="A3849:A3857"/>
    <mergeCell ref="B3849:B3857"/>
    <mergeCell ref="A3810:A3815"/>
    <mergeCell ref="B3810:B3815"/>
    <mergeCell ref="A3816:A3821"/>
    <mergeCell ref="B3816:B3821"/>
    <mergeCell ref="A3822:A3826"/>
    <mergeCell ref="B3822:B3826"/>
    <mergeCell ref="A3792:A3797"/>
    <mergeCell ref="B3792:B3797"/>
    <mergeCell ref="A3798:A3803"/>
    <mergeCell ref="B3798:B3803"/>
    <mergeCell ref="A3804:A3809"/>
    <mergeCell ref="B3804:B3809"/>
    <mergeCell ref="A3774:A3779"/>
    <mergeCell ref="B3774:B3779"/>
    <mergeCell ref="A3780:A3785"/>
    <mergeCell ref="B3780:B3785"/>
    <mergeCell ref="A3786:A3791"/>
    <mergeCell ref="B3786:B3791"/>
    <mergeCell ref="A3758:A3761"/>
    <mergeCell ref="B3758:B3761"/>
    <mergeCell ref="A3762:A3767"/>
    <mergeCell ref="B3762:B3767"/>
    <mergeCell ref="A3768:A3773"/>
    <mergeCell ref="B3768:B3773"/>
    <mergeCell ref="A3743:A3749"/>
    <mergeCell ref="B3743:B3749"/>
    <mergeCell ref="A3750:A3753"/>
    <mergeCell ref="B3750:B3753"/>
    <mergeCell ref="A3754:A3757"/>
    <mergeCell ref="B3754:B3757"/>
    <mergeCell ref="A3719:A3728"/>
    <mergeCell ref="B3719:B3728"/>
    <mergeCell ref="A3729:A3733"/>
    <mergeCell ref="B3729:B3733"/>
    <mergeCell ref="A3734:A3742"/>
    <mergeCell ref="B3734:B3742"/>
    <mergeCell ref="A3691:A3703"/>
    <mergeCell ref="B3691:B3703"/>
    <mergeCell ref="A3704:A3714"/>
    <mergeCell ref="B3704:B3714"/>
    <mergeCell ref="A3715:A3718"/>
    <mergeCell ref="B3715:B3718"/>
    <mergeCell ref="A3656:A3670"/>
    <mergeCell ref="B3656:B3670"/>
    <mergeCell ref="A3671:A3678"/>
    <mergeCell ref="B3671:B3678"/>
    <mergeCell ref="A3679:A3690"/>
    <mergeCell ref="B3679:B3690"/>
    <mergeCell ref="A3638:A3645"/>
    <mergeCell ref="B3638:B3645"/>
    <mergeCell ref="A3646:A3649"/>
    <mergeCell ref="B3646:B3649"/>
    <mergeCell ref="A3650:A3655"/>
    <mergeCell ref="B3650:B3655"/>
    <mergeCell ref="A3618:A3627"/>
    <mergeCell ref="B3618:B3627"/>
    <mergeCell ref="A3628:A3632"/>
    <mergeCell ref="B3628:B3632"/>
    <mergeCell ref="A3633:A3637"/>
    <mergeCell ref="B3633:B3637"/>
    <mergeCell ref="A3600:A3604"/>
    <mergeCell ref="B3600:B3604"/>
    <mergeCell ref="A3605:A3611"/>
    <mergeCell ref="B3605:B3611"/>
    <mergeCell ref="A3612:A3617"/>
    <mergeCell ref="B3612:B3617"/>
    <mergeCell ref="A3578:A3584"/>
    <mergeCell ref="B3578:B3584"/>
    <mergeCell ref="A3585:A3589"/>
    <mergeCell ref="B3585:B3589"/>
    <mergeCell ref="A3590:A3599"/>
    <mergeCell ref="B3590:B3599"/>
    <mergeCell ref="A3558:A3563"/>
    <mergeCell ref="B3558:B3563"/>
    <mergeCell ref="A3564:A3569"/>
    <mergeCell ref="B3564:B3569"/>
    <mergeCell ref="A3570:A3577"/>
    <mergeCell ref="B3570:B3577"/>
    <mergeCell ref="A3526:A3534"/>
    <mergeCell ref="B3526:B3534"/>
    <mergeCell ref="A3535:A3541"/>
    <mergeCell ref="B3535:B3541"/>
    <mergeCell ref="A3542:A3557"/>
    <mergeCell ref="B3542:B3557"/>
    <mergeCell ref="A3491:A3498"/>
    <mergeCell ref="B3491:B3498"/>
    <mergeCell ref="A3499:A3515"/>
    <mergeCell ref="B3499:B3515"/>
    <mergeCell ref="A3516:A3525"/>
    <mergeCell ref="B3516:B3525"/>
    <mergeCell ref="A3455:A3465"/>
    <mergeCell ref="B3455:B3465"/>
    <mergeCell ref="A3466:A3473"/>
    <mergeCell ref="B3466:B3473"/>
    <mergeCell ref="A3474:A3490"/>
    <mergeCell ref="B3474:B3490"/>
    <mergeCell ref="A3430:A3433"/>
    <mergeCell ref="B3430:B3433"/>
    <mergeCell ref="A3434:A3443"/>
    <mergeCell ref="B3434:B3443"/>
    <mergeCell ref="A3444:A3454"/>
    <mergeCell ref="B3444:B3454"/>
    <mergeCell ref="A3416:A3420"/>
    <mergeCell ref="B3416:B3420"/>
    <mergeCell ref="A3421:A3425"/>
    <mergeCell ref="B3421:B3425"/>
    <mergeCell ref="A3426:A3429"/>
    <mergeCell ref="B3426:B3429"/>
    <mergeCell ref="A3397:A3403"/>
    <mergeCell ref="B3397:B3403"/>
    <mergeCell ref="A3404:A3410"/>
    <mergeCell ref="B3404:B3410"/>
    <mergeCell ref="A3411:A3415"/>
    <mergeCell ref="B3411:B3415"/>
    <mergeCell ref="A3382:A3385"/>
    <mergeCell ref="B3382:B3385"/>
    <mergeCell ref="A3386:A3389"/>
    <mergeCell ref="B3386:B3389"/>
    <mergeCell ref="A3390:A3396"/>
    <mergeCell ref="B3390:B3396"/>
    <mergeCell ref="A3369:A3372"/>
    <mergeCell ref="B3369:B3372"/>
    <mergeCell ref="A3373:A3376"/>
    <mergeCell ref="B3373:B3376"/>
    <mergeCell ref="A3377:A3381"/>
    <mergeCell ref="B3377:B3381"/>
    <mergeCell ref="A3348:A3354"/>
    <mergeCell ref="B3348:B3354"/>
    <mergeCell ref="A3355:A3361"/>
    <mergeCell ref="B3355:B3361"/>
    <mergeCell ref="A3362:A3368"/>
    <mergeCell ref="B3362:B3368"/>
    <mergeCell ref="A3328:A3333"/>
    <mergeCell ref="B3328:B3333"/>
    <mergeCell ref="A3334:A3342"/>
    <mergeCell ref="B3334:B3342"/>
    <mergeCell ref="A3343:A3347"/>
    <mergeCell ref="B3343:B3347"/>
    <mergeCell ref="A3308:A3314"/>
    <mergeCell ref="B3308:B3314"/>
    <mergeCell ref="A3315:A3321"/>
    <mergeCell ref="B3315:B3321"/>
    <mergeCell ref="A3322:A3327"/>
    <mergeCell ref="B3322:B3327"/>
    <mergeCell ref="A3287:A3293"/>
    <mergeCell ref="B3287:B3293"/>
    <mergeCell ref="A3294:A3300"/>
    <mergeCell ref="B3294:B3300"/>
    <mergeCell ref="A3301:A3307"/>
    <mergeCell ref="B3301:B3307"/>
    <mergeCell ref="A3266:A3272"/>
    <mergeCell ref="B3266:B3272"/>
    <mergeCell ref="A3273:A3279"/>
    <mergeCell ref="B3273:B3279"/>
    <mergeCell ref="A3280:A3286"/>
    <mergeCell ref="B3280:B3286"/>
    <mergeCell ref="A3247:A3251"/>
    <mergeCell ref="B3247:B3251"/>
    <mergeCell ref="A3252:A3258"/>
    <mergeCell ref="B3252:B3258"/>
    <mergeCell ref="A3259:A3265"/>
    <mergeCell ref="B3259:B3265"/>
    <mergeCell ref="A3225:A3230"/>
    <mergeCell ref="B3225:B3230"/>
    <mergeCell ref="A3231:A3236"/>
    <mergeCell ref="B3231:B3236"/>
    <mergeCell ref="A3237:A3246"/>
    <mergeCell ref="B3237:B3246"/>
    <mergeCell ref="A3199:A3205"/>
    <mergeCell ref="B3199:B3205"/>
    <mergeCell ref="A3206:A3218"/>
    <mergeCell ref="B3206:B3218"/>
    <mergeCell ref="A3219:A3224"/>
    <mergeCell ref="B3219:B3224"/>
    <mergeCell ref="A3182:A3189"/>
    <mergeCell ref="B3182:B3189"/>
    <mergeCell ref="A3190:A3194"/>
    <mergeCell ref="B3190:B3194"/>
    <mergeCell ref="A3195:A3198"/>
    <mergeCell ref="B3195:B3198"/>
    <mergeCell ref="A3160:A3164"/>
    <mergeCell ref="B3160:B3164"/>
    <mergeCell ref="A3165:A3173"/>
    <mergeCell ref="B3165:B3173"/>
    <mergeCell ref="A3174:A3181"/>
    <mergeCell ref="B3174:B3181"/>
    <mergeCell ref="A3143:A3148"/>
    <mergeCell ref="B3143:B3148"/>
    <mergeCell ref="A3149:A3153"/>
    <mergeCell ref="B3149:B3153"/>
    <mergeCell ref="A3154:A3159"/>
    <mergeCell ref="B3154:B3159"/>
    <mergeCell ref="A3125:A3130"/>
    <mergeCell ref="B3125:B3130"/>
    <mergeCell ref="A3131:A3136"/>
    <mergeCell ref="B3131:B3136"/>
    <mergeCell ref="A3137:A3142"/>
    <mergeCell ref="B3137:B3142"/>
    <mergeCell ref="A3110:A3114"/>
    <mergeCell ref="B3110:B3114"/>
    <mergeCell ref="A3115:A3119"/>
    <mergeCell ref="B3115:B3119"/>
    <mergeCell ref="A3120:A3124"/>
    <mergeCell ref="B3120:B3124"/>
    <mergeCell ref="A3095:A3099"/>
    <mergeCell ref="B3095:B3099"/>
    <mergeCell ref="A3100:A3104"/>
    <mergeCell ref="B3100:B3104"/>
    <mergeCell ref="A3105:A3109"/>
    <mergeCell ref="B3105:B3109"/>
    <mergeCell ref="A3080:A3084"/>
    <mergeCell ref="B3080:B3084"/>
    <mergeCell ref="A3085:A3089"/>
    <mergeCell ref="B3085:B3089"/>
    <mergeCell ref="A3090:A3094"/>
    <mergeCell ref="B3090:B3094"/>
    <mergeCell ref="A3059:A3066"/>
    <mergeCell ref="B3059:B3066"/>
    <mergeCell ref="A3067:A3071"/>
    <mergeCell ref="B3067:B3071"/>
    <mergeCell ref="A3072:A3079"/>
    <mergeCell ref="B3072:B3079"/>
    <mergeCell ref="A3042:A3046"/>
    <mergeCell ref="B3042:B3046"/>
    <mergeCell ref="A3047:A3054"/>
    <mergeCell ref="B3047:B3054"/>
    <mergeCell ref="A3055:A3058"/>
    <mergeCell ref="B3055:B3058"/>
    <mergeCell ref="A3024:A3028"/>
    <mergeCell ref="B3024:B3028"/>
    <mergeCell ref="A3029:A3033"/>
    <mergeCell ref="B3029:B3033"/>
    <mergeCell ref="A3034:A3041"/>
    <mergeCell ref="B3034:B3041"/>
    <mergeCell ref="A3009:A3013"/>
    <mergeCell ref="B3009:B3013"/>
    <mergeCell ref="A3014:A3018"/>
    <mergeCell ref="B3014:B3018"/>
    <mergeCell ref="A3019:A3023"/>
    <mergeCell ref="B3019:B3023"/>
    <mergeCell ref="A2994:A2998"/>
    <mergeCell ref="B2994:B2998"/>
    <mergeCell ref="A2999:A3003"/>
    <mergeCell ref="B2999:B3003"/>
    <mergeCell ref="A3004:A3008"/>
    <mergeCell ref="B3004:B3008"/>
    <mergeCell ref="A2974:A2978"/>
    <mergeCell ref="B2974:B2978"/>
    <mergeCell ref="A2979:A2988"/>
    <mergeCell ref="B2979:B2988"/>
    <mergeCell ref="A2989:A2993"/>
    <mergeCell ref="B2989:B2993"/>
    <mergeCell ref="A2959:A2963"/>
    <mergeCell ref="B2959:B2963"/>
    <mergeCell ref="A2964:A2968"/>
    <mergeCell ref="B2964:B2968"/>
    <mergeCell ref="A2969:A2973"/>
    <mergeCell ref="B2969:B2973"/>
    <mergeCell ref="A2944:A2948"/>
    <mergeCell ref="B2944:B2948"/>
    <mergeCell ref="A2949:A2953"/>
    <mergeCell ref="B2949:B2953"/>
    <mergeCell ref="A2954:A2958"/>
    <mergeCell ref="B2954:B2958"/>
    <mergeCell ref="A2929:A2933"/>
    <mergeCell ref="B2929:B2933"/>
    <mergeCell ref="A2934:A2938"/>
    <mergeCell ref="B2934:B2938"/>
    <mergeCell ref="A2939:A2943"/>
    <mergeCell ref="B2939:B2943"/>
    <mergeCell ref="A2905:A2912"/>
    <mergeCell ref="B2905:B2912"/>
    <mergeCell ref="A2913:A2920"/>
    <mergeCell ref="B2913:B2920"/>
    <mergeCell ref="A2921:A2928"/>
    <mergeCell ref="B2921:B2928"/>
    <mergeCell ref="A2884:A2888"/>
    <mergeCell ref="B2884:B2888"/>
    <mergeCell ref="A2889:A2896"/>
    <mergeCell ref="B2889:B2896"/>
    <mergeCell ref="A2897:A2904"/>
    <mergeCell ref="B2897:B2904"/>
    <mergeCell ref="A2867:A2873"/>
    <mergeCell ref="B2867:B2873"/>
    <mergeCell ref="A2874:A2878"/>
    <mergeCell ref="B2874:B2878"/>
    <mergeCell ref="A2879:A2883"/>
    <mergeCell ref="B2879:B2883"/>
    <mergeCell ref="A2852:A2856"/>
    <mergeCell ref="B2852:B2856"/>
    <mergeCell ref="A2857:A2861"/>
    <mergeCell ref="B2857:B2861"/>
    <mergeCell ref="A2862:A2866"/>
    <mergeCell ref="B2862:B2866"/>
    <mergeCell ref="A2837:A2841"/>
    <mergeCell ref="B2837:B2841"/>
    <mergeCell ref="A2842:A2846"/>
    <mergeCell ref="B2842:B2846"/>
    <mergeCell ref="A2847:A2851"/>
    <mergeCell ref="B2847:B2851"/>
    <mergeCell ref="A2820:A2826"/>
    <mergeCell ref="B2820:B2826"/>
    <mergeCell ref="A2827:A2831"/>
    <mergeCell ref="B2827:B2831"/>
    <mergeCell ref="A2832:A2836"/>
    <mergeCell ref="B2832:B2836"/>
    <mergeCell ref="A2805:A2809"/>
    <mergeCell ref="B2805:B2809"/>
    <mergeCell ref="A2810:A2814"/>
    <mergeCell ref="B2810:B2814"/>
    <mergeCell ref="A2815:A2819"/>
    <mergeCell ref="B2815:B2819"/>
    <mergeCell ref="A2785:A2789"/>
    <mergeCell ref="B2785:B2789"/>
    <mergeCell ref="A2790:A2794"/>
    <mergeCell ref="B2790:B2794"/>
    <mergeCell ref="A2795:A2804"/>
    <mergeCell ref="B2795:B2804"/>
    <mergeCell ref="A2764:A2768"/>
    <mergeCell ref="B2764:B2768"/>
    <mergeCell ref="A2769:A2778"/>
    <mergeCell ref="B2769:B2778"/>
    <mergeCell ref="A2779:A2784"/>
    <mergeCell ref="B2779:B2784"/>
    <mergeCell ref="A2752:A2755"/>
    <mergeCell ref="B2752:B2755"/>
    <mergeCell ref="A2756:A2759"/>
    <mergeCell ref="B2756:B2759"/>
    <mergeCell ref="A2760:A2763"/>
    <mergeCell ref="B2760:B2763"/>
    <mergeCell ref="A2740:A2743"/>
    <mergeCell ref="B2740:B2743"/>
    <mergeCell ref="A2744:A2747"/>
    <mergeCell ref="B2744:B2747"/>
    <mergeCell ref="A2748:A2751"/>
    <mergeCell ref="B2748:B2751"/>
    <mergeCell ref="A2728:A2731"/>
    <mergeCell ref="B2728:B2731"/>
    <mergeCell ref="A2732:A2735"/>
    <mergeCell ref="B2732:B2735"/>
    <mergeCell ref="A2736:A2739"/>
    <mergeCell ref="B2736:B2739"/>
    <mergeCell ref="A2716:A2719"/>
    <mergeCell ref="B2716:B2719"/>
    <mergeCell ref="A2720:A2723"/>
    <mergeCell ref="B2720:B2723"/>
    <mergeCell ref="A2724:A2727"/>
    <mergeCell ref="B2724:B2727"/>
    <mergeCell ref="A2702:A2707"/>
    <mergeCell ref="B2702:B2707"/>
    <mergeCell ref="A2708:A2711"/>
    <mergeCell ref="B2708:B2711"/>
    <mergeCell ref="A2712:A2715"/>
    <mergeCell ref="B2712:B2715"/>
    <mergeCell ref="A2684:A2689"/>
    <mergeCell ref="B2684:B2689"/>
    <mergeCell ref="A2690:A2695"/>
    <mergeCell ref="B2690:B2695"/>
    <mergeCell ref="A2696:A2701"/>
    <mergeCell ref="B2696:B2701"/>
    <mergeCell ref="A2666:A2671"/>
    <mergeCell ref="B2666:B2671"/>
    <mergeCell ref="A2672:A2677"/>
    <mergeCell ref="B2672:B2677"/>
    <mergeCell ref="A2678:A2683"/>
    <mergeCell ref="B2678:B2683"/>
    <mergeCell ref="A2648:A2653"/>
    <mergeCell ref="B2648:B2653"/>
    <mergeCell ref="A2654:A2659"/>
    <mergeCell ref="B2654:B2659"/>
    <mergeCell ref="A2660:A2665"/>
    <mergeCell ref="B2660:B2665"/>
    <mergeCell ref="A2636:A2639"/>
    <mergeCell ref="B2636:B2639"/>
    <mergeCell ref="A2640:A2643"/>
    <mergeCell ref="B2640:B2643"/>
    <mergeCell ref="A2644:A2647"/>
    <mergeCell ref="B2644:B2647"/>
    <mergeCell ref="A2624:A2627"/>
    <mergeCell ref="B2624:B2627"/>
    <mergeCell ref="A2628:A2631"/>
    <mergeCell ref="B2628:B2631"/>
    <mergeCell ref="A2632:A2635"/>
    <mergeCell ref="B2632:B2635"/>
    <mergeCell ref="A2612:A2615"/>
    <mergeCell ref="B2612:B2615"/>
    <mergeCell ref="A2616:A2619"/>
    <mergeCell ref="B2616:B2619"/>
    <mergeCell ref="A2620:A2623"/>
    <mergeCell ref="B2620:B2623"/>
    <mergeCell ref="A2600:A2603"/>
    <mergeCell ref="B2600:B2603"/>
    <mergeCell ref="A2604:A2607"/>
    <mergeCell ref="B2604:B2607"/>
    <mergeCell ref="A2608:A2611"/>
    <mergeCell ref="B2608:B2611"/>
    <mergeCell ref="A2588:A2591"/>
    <mergeCell ref="B2588:B2591"/>
    <mergeCell ref="A2592:A2595"/>
    <mergeCell ref="B2592:B2595"/>
    <mergeCell ref="A2596:A2599"/>
    <mergeCell ref="B2596:B2599"/>
    <mergeCell ref="A2568:A2575"/>
    <mergeCell ref="B2568:B2575"/>
    <mergeCell ref="A2576:A2583"/>
    <mergeCell ref="B2576:B2583"/>
    <mergeCell ref="A2584:A2587"/>
    <mergeCell ref="B2584:B2587"/>
    <mergeCell ref="A2552:A2555"/>
    <mergeCell ref="B2552:B2555"/>
    <mergeCell ref="A2556:A2559"/>
    <mergeCell ref="B2556:B2559"/>
    <mergeCell ref="A2560:A2567"/>
    <mergeCell ref="B2560:B2567"/>
    <mergeCell ref="A2540:A2543"/>
    <mergeCell ref="B2540:B2543"/>
    <mergeCell ref="A2544:A2547"/>
    <mergeCell ref="B2544:B2547"/>
    <mergeCell ref="A2548:A2551"/>
    <mergeCell ref="B2548:B2551"/>
    <mergeCell ref="A2528:A2531"/>
    <mergeCell ref="B2528:B2531"/>
    <mergeCell ref="A2532:A2535"/>
    <mergeCell ref="B2532:B2535"/>
    <mergeCell ref="A2536:A2539"/>
    <mergeCell ref="B2536:B2539"/>
    <mergeCell ref="A2516:A2519"/>
    <mergeCell ref="B2516:B2519"/>
    <mergeCell ref="A2520:A2523"/>
    <mergeCell ref="B2520:B2523"/>
    <mergeCell ref="A2524:A2527"/>
    <mergeCell ref="B2524:B2527"/>
    <mergeCell ref="A2504:A2507"/>
    <mergeCell ref="B2504:B2507"/>
    <mergeCell ref="A2508:A2511"/>
    <mergeCell ref="B2508:B2511"/>
    <mergeCell ref="A2512:A2515"/>
    <mergeCell ref="B2512:B2515"/>
    <mergeCell ref="A2492:A2495"/>
    <mergeCell ref="B2492:B2495"/>
    <mergeCell ref="A2496:A2499"/>
    <mergeCell ref="B2496:B2499"/>
    <mergeCell ref="A2500:A2503"/>
    <mergeCell ref="B2500:B2503"/>
    <mergeCell ref="A2480:A2483"/>
    <mergeCell ref="B2480:B2483"/>
    <mergeCell ref="A2484:A2487"/>
    <mergeCell ref="B2484:B2487"/>
    <mergeCell ref="A2488:A2491"/>
    <mergeCell ref="B2488:B2491"/>
    <mergeCell ref="A2468:A2471"/>
    <mergeCell ref="B2468:B2471"/>
    <mergeCell ref="A2472:A2475"/>
    <mergeCell ref="B2472:B2475"/>
    <mergeCell ref="A2476:A2479"/>
    <mergeCell ref="B2476:B2479"/>
    <mergeCell ref="A2456:A2459"/>
    <mergeCell ref="B2456:B2459"/>
    <mergeCell ref="A2460:A2463"/>
    <mergeCell ref="B2460:B2463"/>
    <mergeCell ref="A2464:A2467"/>
    <mergeCell ref="B2464:B2467"/>
    <mergeCell ref="A2444:A2447"/>
    <mergeCell ref="B2444:B2447"/>
    <mergeCell ref="A2448:A2451"/>
    <mergeCell ref="B2448:B2451"/>
    <mergeCell ref="A2452:A2455"/>
    <mergeCell ref="B2452:B2455"/>
    <mergeCell ref="A2432:A2435"/>
    <mergeCell ref="B2432:B2435"/>
    <mergeCell ref="A2436:A2439"/>
    <mergeCell ref="B2436:B2439"/>
    <mergeCell ref="A2440:A2443"/>
    <mergeCell ref="B2440:B2443"/>
    <mergeCell ref="A2420:A2423"/>
    <mergeCell ref="B2420:B2423"/>
    <mergeCell ref="A2424:A2427"/>
    <mergeCell ref="B2424:B2427"/>
    <mergeCell ref="A2428:A2431"/>
    <mergeCell ref="B2428:B2431"/>
    <mergeCell ref="A2408:A2411"/>
    <mergeCell ref="B2408:B2411"/>
    <mergeCell ref="A2412:A2415"/>
    <mergeCell ref="B2412:B2415"/>
    <mergeCell ref="A2416:A2419"/>
    <mergeCell ref="B2416:B2419"/>
    <mergeCell ref="A2396:A2399"/>
    <mergeCell ref="B2396:B2399"/>
    <mergeCell ref="A2400:A2403"/>
    <mergeCell ref="B2400:B2403"/>
    <mergeCell ref="A2404:A2407"/>
    <mergeCell ref="B2404:B2407"/>
    <mergeCell ref="A2384:A2387"/>
    <mergeCell ref="B2384:B2387"/>
    <mergeCell ref="A2388:A2391"/>
    <mergeCell ref="B2388:B2391"/>
    <mergeCell ref="A2392:A2395"/>
    <mergeCell ref="B2392:B2395"/>
    <mergeCell ref="A2365:A2370"/>
    <mergeCell ref="B2365:B2370"/>
    <mergeCell ref="A2371:A2377"/>
    <mergeCell ref="B2371:B2377"/>
    <mergeCell ref="A2378:A2383"/>
    <mergeCell ref="B2378:B2383"/>
    <mergeCell ref="A2344:A2349"/>
    <mergeCell ref="B2344:B2349"/>
    <mergeCell ref="A2350:A2357"/>
    <mergeCell ref="B2350:B2357"/>
    <mergeCell ref="A2358:A2364"/>
    <mergeCell ref="B2358:B2364"/>
    <mergeCell ref="A2329:A2333"/>
    <mergeCell ref="B2329:B2333"/>
    <mergeCell ref="A2334:A2338"/>
    <mergeCell ref="B2334:B2338"/>
    <mergeCell ref="A2339:A2343"/>
    <mergeCell ref="B2339:B2343"/>
    <mergeCell ref="A2311:A2316"/>
    <mergeCell ref="B2311:B2316"/>
    <mergeCell ref="A2317:A2322"/>
    <mergeCell ref="B2317:B2322"/>
    <mergeCell ref="A2323:A2328"/>
    <mergeCell ref="B2323:B2328"/>
    <mergeCell ref="A2291:A2297"/>
    <mergeCell ref="B2291:B2297"/>
    <mergeCell ref="A2298:A2304"/>
    <mergeCell ref="B2298:B2304"/>
    <mergeCell ref="A2305:A2310"/>
    <mergeCell ref="B2305:B2310"/>
    <mergeCell ref="A2261:A2270"/>
    <mergeCell ref="B2261:B2270"/>
    <mergeCell ref="A2271:A2280"/>
    <mergeCell ref="B2271:B2280"/>
    <mergeCell ref="A2281:A2290"/>
    <mergeCell ref="B2281:B2290"/>
    <mergeCell ref="A2235:A2240"/>
    <mergeCell ref="B2235:B2240"/>
    <mergeCell ref="A2241:A2250"/>
    <mergeCell ref="B2241:B2250"/>
    <mergeCell ref="A2251:A2260"/>
    <mergeCell ref="B2251:B2260"/>
    <mergeCell ref="A2209:A2214"/>
    <mergeCell ref="B2209:B2214"/>
    <mergeCell ref="A2215:A2220"/>
    <mergeCell ref="B2215:B2220"/>
    <mergeCell ref="A2221:A2234"/>
    <mergeCell ref="B2221:B2234"/>
    <mergeCell ref="A2190:A2194"/>
    <mergeCell ref="B2190:B2194"/>
    <mergeCell ref="A2195:A2201"/>
    <mergeCell ref="B2195:B2201"/>
    <mergeCell ref="A2202:A2208"/>
    <mergeCell ref="B2202:B2208"/>
    <mergeCell ref="A2166:A2173"/>
    <mergeCell ref="B2166:B2173"/>
    <mergeCell ref="A2174:A2181"/>
    <mergeCell ref="B2174:B2181"/>
    <mergeCell ref="A2182:A2189"/>
    <mergeCell ref="B2182:B2189"/>
    <mergeCell ref="A2142:A2149"/>
    <mergeCell ref="B2142:B2149"/>
    <mergeCell ref="A2150:A2157"/>
    <mergeCell ref="B2150:B2157"/>
    <mergeCell ref="A2158:A2165"/>
    <mergeCell ref="B2158:B2165"/>
    <mergeCell ref="A2120:A2125"/>
    <mergeCell ref="B2120:B2125"/>
    <mergeCell ref="A2126:A2133"/>
    <mergeCell ref="B2126:B2133"/>
    <mergeCell ref="A2134:A2141"/>
    <mergeCell ref="B2134:B2141"/>
    <mergeCell ref="A2102:A2107"/>
    <mergeCell ref="B2102:B2107"/>
    <mergeCell ref="A2108:A2113"/>
    <mergeCell ref="B2108:B2113"/>
    <mergeCell ref="A2114:A2119"/>
    <mergeCell ref="B2114:B2119"/>
    <mergeCell ref="A2080:A2087"/>
    <mergeCell ref="B2080:B2087"/>
    <mergeCell ref="A2088:A2095"/>
    <mergeCell ref="B2088:B2095"/>
    <mergeCell ref="A2096:A2101"/>
    <mergeCell ref="B2096:B2101"/>
    <mergeCell ref="A2056:A2063"/>
    <mergeCell ref="B2056:B2063"/>
    <mergeCell ref="A2064:A2071"/>
    <mergeCell ref="B2064:B2071"/>
    <mergeCell ref="A2072:A2079"/>
    <mergeCell ref="B2072:B2079"/>
    <mergeCell ref="A2032:A2039"/>
    <mergeCell ref="B2032:B2039"/>
    <mergeCell ref="A2040:A2047"/>
    <mergeCell ref="B2040:B2047"/>
    <mergeCell ref="A2048:A2055"/>
    <mergeCell ref="B2048:B2055"/>
    <mergeCell ref="A2008:A2015"/>
    <mergeCell ref="B2008:B2015"/>
    <mergeCell ref="A2016:A2023"/>
    <mergeCell ref="B2016:B2023"/>
    <mergeCell ref="A2024:A2031"/>
    <mergeCell ref="B2024:B2031"/>
    <mergeCell ref="A1988:A1994"/>
    <mergeCell ref="B1988:B1994"/>
    <mergeCell ref="A1995:A2001"/>
    <mergeCell ref="B1995:B2001"/>
    <mergeCell ref="A2002:A2007"/>
    <mergeCell ref="B2002:B2007"/>
    <mergeCell ref="A1966:A1973"/>
    <mergeCell ref="B1966:B1973"/>
    <mergeCell ref="A1974:A1980"/>
    <mergeCell ref="B1974:B1980"/>
    <mergeCell ref="A1981:A1987"/>
    <mergeCell ref="B1981:B1987"/>
    <mergeCell ref="A1944:A1950"/>
    <mergeCell ref="B1944:B1950"/>
    <mergeCell ref="A1951:A1957"/>
    <mergeCell ref="B1951:B1957"/>
    <mergeCell ref="A1958:A1965"/>
    <mergeCell ref="B1958:B1965"/>
    <mergeCell ref="A1925:A1931"/>
    <mergeCell ref="B1925:B1931"/>
    <mergeCell ref="A1932:A1937"/>
    <mergeCell ref="B1932:B1937"/>
    <mergeCell ref="A1938:A1943"/>
    <mergeCell ref="B1938:B1943"/>
    <mergeCell ref="A1909:A1914"/>
    <mergeCell ref="B1909:B1914"/>
    <mergeCell ref="A1915:A1919"/>
    <mergeCell ref="B1915:B1919"/>
    <mergeCell ref="A1920:A1924"/>
    <mergeCell ref="B1920:B1924"/>
    <mergeCell ref="A1894:A1898"/>
    <mergeCell ref="B1894:B1898"/>
    <mergeCell ref="A1899:A1903"/>
    <mergeCell ref="B1899:B1903"/>
    <mergeCell ref="A1904:A1908"/>
    <mergeCell ref="B1904:B1908"/>
    <mergeCell ref="A1876:A1881"/>
    <mergeCell ref="B1876:B1881"/>
    <mergeCell ref="A1882:A1887"/>
    <mergeCell ref="B1882:B1887"/>
    <mergeCell ref="A1888:A1893"/>
    <mergeCell ref="B1888:B1893"/>
    <mergeCell ref="A1858:A1863"/>
    <mergeCell ref="B1858:B1863"/>
    <mergeCell ref="A1864:A1869"/>
    <mergeCell ref="B1864:B1869"/>
    <mergeCell ref="A1870:A1875"/>
    <mergeCell ref="B1870:B1875"/>
    <mergeCell ref="A1840:A1845"/>
    <mergeCell ref="B1840:B1845"/>
    <mergeCell ref="A1846:A1851"/>
    <mergeCell ref="B1846:B1851"/>
    <mergeCell ref="A1852:A1857"/>
    <mergeCell ref="B1852:B1857"/>
    <mergeCell ref="A1822:A1827"/>
    <mergeCell ref="B1822:B1827"/>
    <mergeCell ref="A1828:A1833"/>
    <mergeCell ref="B1828:B1833"/>
    <mergeCell ref="A1834:A1839"/>
    <mergeCell ref="B1834:B1839"/>
    <mergeCell ref="A1803:A1808"/>
    <mergeCell ref="B1803:B1808"/>
    <mergeCell ref="A1809:A1814"/>
    <mergeCell ref="B1809:B1814"/>
    <mergeCell ref="A1815:A1821"/>
    <mergeCell ref="B1815:B1821"/>
    <mergeCell ref="A1786:A1792"/>
    <mergeCell ref="B1786:B1792"/>
    <mergeCell ref="A1793:A1797"/>
    <mergeCell ref="B1793:B1797"/>
    <mergeCell ref="A1798:A1802"/>
    <mergeCell ref="B1798:B1802"/>
    <mergeCell ref="A1765:A1771"/>
    <mergeCell ref="B1765:B1771"/>
    <mergeCell ref="A1772:A1778"/>
    <mergeCell ref="B1772:B1778"/>
    <mergeCell ref="A1779:A1785"/>
    <mergeCell ref="B1779:B1785"/>
    <mergeCell ref="A1744:A1750"/>
    <mergeCell ref="B1744:B1750"/>
    <mergeCell ref="A1751:A1757"/>
    <mergeCell ref="B1751:B1757"/>
    <mergeCell ref="A1758:A1764"/>
    <mergeCell ref="B1758:B1764"/>
    <mergeCell ref="A1717:A1726"/>
    <mergeCell ref="B1717:B1726"/>
    <mergeCell ref="A1727:A1736"/>
    <mergeCell ref="B1727:B1736"/>
    <mergeCell ref="A1737:A1743"/>
    <mergeCell ref="B1737:B1743"/>
    <mergeCell ref="A1689:A1696"/>
    <mergeCell ref="B1689:B1696"/>
    <mergeCell ref="A1697:A1706"/>
    <mergeCell ref="B1697:B1706"/>
    <mergeCell ref="A1707:A1716"/>
    <mergeCell ref="B1707:B1716"/>
    <mergeCell ref="A1669:A1675"/>
    <mergeCell ref="B1669:B1675"/>
    <mergeCell ref="A1676:A1682"/>
    <mergeCell ref="B1676:B1682"/>
    <mergeCell ref="A1683:A1688"/>
    <mergeCell ref="B1683:B1688"/>
    <mergeCell ref="A1653:A1657"/>
    <mergeCell ref="B1653:B1657"/>
    <mergeCell ref="A1658:A1662"/>
    <mergeCell ref="B1658:B1662"/>
    <mergeCell ref="A1663:A1668"/>
    <mergeCell ref="B1663:B1668"/>
    <mergeCell ref="A1636:A1641"/>
    <mergeCell ref="B1636:B1641"/>
    <mergeCell ref="A1642:A1647"/>
    <mergeCell ref="B1642:B1647"/>
    <mergeCell ref="A1648:A1652"/>
    <mergeCell ref="B1648:B1652"/>
    <mergeCell ref="A1619:A1623"/>
    <mergeCell ref="B1619:B1623"/>
    <mergeCell ref="A1624:A1629"/>
    <mergeCell ref="B1624:B1629"/>
    <mergeCell ref="A1630:A1635"/>
    <mergeCell ref="B1630:B1635"/>
    <mergeCell ref="A1602:A1606"/>
    <mergeCell ref="B1602:B1606"/>
    <mergeCell ref="A1607:A1612"/>
    <mergeCell ref="B1607:B1612"/>
    <mergeCell ref="A1613:A1618"/>
    <mergeCell ref="B1613:B1618"/>
    <mergeCell ref="A1581:A1587"/>
    <mergeCell ref="B1581:B1587"/>
    <mergeCell ref="A1588:A1594"/>
    <mergeCell ref="B1588:B1594"/>
    <mergeCell ref="A1595:A1601"/>
    <mergeCell ref="B1595:B1601"/>
    <mergeCell ref="A1552:A1558"/>
    <mergeCell ref="B1552:B1558"/>
    <mergeCell ref="A1559:A1573"/>
    <mergeCell ref="B1559:B1573"/>
    <mergeCell ref="A1574:A1580"/>
    <mergeCell ref="B1574:B1580"/>
    <mergeCell ref="A1531:A1537"/>
    <mergeCell ref="B1531:B1537"/>
    <mergeCell ref="A1538:A1544"/>
    <mergeCell ref="B1538:B1544"/>
    <mergeCell ref="A1545:A1551"/>
    <mergeCell ref="B1545:B1551"/>
    <mergeCell ref="A1513:A1518"/>
    <mergeCell ref="B1513:B1518"/>
    <mergeCell ref="A1519:A1524"/>
    <mergeCell ref="B1519:B1524"/>
    <mergeCell ref="A1525:A1530"/>
    <mergeCell ref="B1525:B1530"/>
    <mergeCell ref="A1486:A1500"/>
    <mergeCell ref="B1486:B1500"/>
    <mergeCell ref="A1501:A1506"/>
    <mergeCell ref="B1501:B1506"/>
    <mergeCell ref="A1507:A1512"/>
    <mergeCell ref="B1507:B1512"/>
    <mergeCell ref="A1441:A1455"/>
    <mergeCell ref="B1441:B1455"/>
    <mergeCell ref="A1456:A1470"/>
    <mergeCell ref="B1456:B1470"/>
    <mergeCell ref="A1471:A1485"/>
    <mergeCell ref="B1471:B1485"/>
    <mergeCell ref="A1396:A1410"/>
    <mergeCell ref="B1396:B1410"/>
    <mergeCell ref="A1411:A1425"/>
    <mergeCell ref="B1411:B1425"/>
    <mergeCell ref="A1426:A1440"/>
    <mergeCell ref="B1426:B1440"/>
    <mergeCell ref="A1377:A1382"/>
    <mergeCell ref="B1377:B1382"/>
    <mergeCell ref="A1383:A1388"/>
    <mergeCell ref="B1383:B1388"/>
    <mergeCell ref="A1389:A1395"/>
    <mergeCell ref="B1389:B1395"/>
    <mergeCell ref="A1358:A1363"/>
    <mergeCell ref="B1358:B1363"/>
    <mergeCell ref="A1364:A1370"/>
    <mergeCell ref="B1364:B1370"/>
    <mergeCell ref="A1371:A1376"/>
    <mergeCell ref="B1371:B1376"/>
    <mergeCell ref="A1339:A1344"/>
    <mergeCell ref="B1339:B1344"/>
    <mergeCell ref="A1345:A1351"/>
    <mergeCell ref="B1345:B1351"/>
    <mergeCell ref="A1352:A1357"/>
    <mergeCell ref="B1352:B1357"/>
    <mergeCell ref="A1320:A1325"/>
    <mergeCell ref="B1320:B1325"/>
    <mergeCell ref="A1326:A1331"/>
    <mergeCell ref="B1326:B1331"/>
    <mergeCell ref="A1332:A1338"/>
    <mergeCell ref="B1332:B1338"/>
    <mergeCell ref="A1299:A1307"/>
    <mergeCell ref="B1299:B1307"/>
    <mergeCell ref="A1308:A1313"/>
    <mergeCell ref="B1308:B1313"/>
    <mergeCell ref="A1314:A1319"/>
    <mergeCell ref="B1314:B1319"/>
    <mergeCell ref="A1277:A1283"/>
    <mergeCell ref="B1277:B1283"/>
    <mergeCell ref="A1284:A1290"/>
    <mergeCell ref="B1284:B1290"/>
    <mergeCell ref="A1291:A1298"/>
    <mergeCell ref="B1291:B1298"/>
    <mergeCell ref="A1257:A1262"/>
    <mergeCell ref="B1257:B1262"/>
    <mergeCell ref="A1263:A1269"/>
    <mergeCell ref="B1263:B1269"/>
    <mergeCell ref="A1270:A1276"/>
    <mergeCell ref="B1270:B1276"/>
    <mergeCell ref="A1236:A1242"/>
    <mergeCell ref="B1236:B1242"/>
    <mergeCell ref="A1243:A1249"/>
    <mergeCell ref="B1243:B1249"/>
    <mergeCell ref="A1250:A1256"/>
    <mergeCell ref="B1250:B1256"/>
    <mergeCell ref="A1218:A1223"/>
    <mergeCell ref="B1218:B1223"/>
    <mergeCell ref="A1224:A1229"/>
    <mergeCell ref="B1224:B1229"/>
    <mergeCell ref="A1230:A1235"/>
    <mergeCell ref="B1230:B1235"/>
    <mergeCell ref="A1198:A1204"/>
    <mergeCell ref="B1198:B1204"/>
    <mergeCell ref="A1205:A1211"/>
    <mergeCell ref="B1205:B1211"/>
    <mergeCell ref="A1212:A1217"/>
    <mergeCell ref="B1212:B1217"/>
    <mergeCell ref="A1177:A1183"/>
    <mergeCell ref="B1177:B1183"/>
    <mergeCell ref="A1184:A1190"/>
    <mergeCell ref="B1184:B1190"/>
    <mergeCell ref="A1191:A1197"/>
    <mergeCell ref="B1191:B1197"/>
    <mergeCell ref="A1156:A1162"/>
    <mergeCell ref="B1156:B1162"/>
    <mergeCell ref="A1163:A1169"/>
    <mergeCell ref="B1163:B1169"/>
    <mergeCell ref="A1170:A1176"/>
    <mergeCell ref="B1170:B1176"/>
    <mergeCell ref="A1135:A1141"/>
    <mergeCell ref="B1135:B1141"/>
    <mergeCell ref="A1142:A1148"/>
    <mergeCell ref="B1142:B1148"/>
    <mergeCell ref="A1149:A1155"/>
    <mergeCell ref="B1149:B1155"/>
    <mergeCell ref="A1117:A1122"/>
    <mergeCell ref="B1117:B1122"/>
    <mergeCell ref="A1123:A1127"/>
    <mergeCell ref="B1123:B1127"/>
    <mergeCell ref="A1128:A1134"/>
    <mergeCell ref="B1128:B1134"/>
    <mergeCell ref="A1099:A1106"/>
    <mergeCell ref="B1099:B1106"/>
    <mergeCell ref="A1107:A1111"/>
    <mergeCell ref="B1107:B1111"/>
    <mergeCell ref="A1112:A1116"/>
    <mergeCell ref="B1112:B1116"/>
    <mergeCell ref="A1073:A1080"/>
    <mergeCell ref="B1073:B1080"/>
    <mergeCell ref="A1081:A1088"/>
    <mergeCell ref="B1081:B1088"/>
    <mergeCell ref="A1089:A1098"/>
    <mergeCell ref="B1089:B1098"/>
    <mergeCell ref="A1050:A1056"/>
    <mergeCell ref="B1050:B1056"/>
    <mergeCell ref="A1057:A1063"/>
    <mergeCell ref="B1057:B1063"/>
    <mergeCell ref="A1064:A1072"/>
    <mergeCell ref="B1064:B1072"/>
    <mergeCell ref="A1027:A1035"/>
    <mergeCell ref="B1027:B1035"/>
    <mergeCell ref="A1036:A1042"/>
    <mergeCell ref="B1036:B1042"/>
    <mergeCell ref="A1043:A1049"/>
    <mergeCell ref="B1043:B1049"/>
    <mergeCell ref="A1003:A1011"/>
    <mergeCell ref="B1003:B1011"/>
    <mergeCell ref="A1012:A1016"/>
    <mergeCell ref="B1012:B1016"/>
    <mergeCell ref="A1017:A1026"/>
    <mergeCell ref="B1017:B1026"/>
    <mergeCell ref="A984:A992"/>
    <mergeCell ref="B984:B992"/>
    <mergeCell ref="A993:A997"/>
    <mergeCell ref="B993:B997"/>
    <mergeCell ref="A998:A1002"/>
    <mergeCell ref="B998:B1002"/>
    <mergeCell ref="A961:A967"/>
    <mergeCell ref="B961:B967"/>
    <mergeCell ref="A968:A974"/>
    <mergeCell ref="B968:B974"/>
    <mergeCell ref="A975:A983"/>
    <mergeCell ref="B975:B983"/>
    <mergeCell ref="A941:A947"/>
    <mergeCell ref="B941:B947"/>
    <mergeCell ref="A948:A953"/>
    <mergeCell ref="B948:B953"/>
    <mergeCell ref="A954:A960"/>
    <mergeCell ref="B954:B960"/>
    <mergeCell ref="A920:A926"/>
    <mergeCell ref="B920:B926"/>
    <mergeCell ref="A927:A933"/>
    <mergeCell ref="B927:B933"/>
    <mergeCell ref="A934:A940"/>
    <mergeCell ref="B934:B940"/>
    <mergeCell ref="A903:A906"/>
    <mergeCell ref="B903:B906"/>
    <mergeCell ref="A907:A912"/>
    <mergeCell ref="B907:B912"/>
    <mergeCell ref="A913:A919"/>
    <mergeCell ref="B913:B919"/>
    <mergeCell ref="A883:A890"/>
    <mergeCell ref="B883:B890"/>
    <mergeCell ref="A891:A895"/>
    <mergeCell ref="B891:B895"/>
    <mergeCell ref="A896:A902"/>
    <mergeCell ref="B896:B902"/>
    <mergeCell ref="A862:A866"/>
    <mergeCell ref="B862:B866"/>
    <mergeCell ref="A867:A874"/>
    <mergeCell ref="B867:B874"/>
    <mergeCell ref="A875:A882"/>
    <mergeCell ref="B875:B88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736:A743"/>
    <mergeCell ref="B736:B743"/>
    <mergeCell ref="A744:A747"/>
    <mergeCell ref="B744:B747"/>
    <mergeCell ref="A748:A754"/>
    <mergeCell ref="B748:B754"/>
    <mergeCell ref="A714:A722"/>
    <mergeCell ref="B714:B722"/>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52:A655"/>
    <mergeCell ref="B652:B655"/>
    <mergeCell ref="A656:A659"/>
    <mergeCell ref="B656:B659"/>
    <mergeCell ref="A660:A663"/>
    <mergeCell ref="B660:B663"/>
    <mergeCell ref="A637:A643"/>
    <mergeCell ref="B637:B643"/>
    <mergeCell ref="A644:A647"/>
    <mergeCell ref="B644:B647"/>
    <mergeCell ref="A648:A651"/>
    <mergeCell ref="B648:B651"/>
    <mergeCell ref="A615:A620"/>
    <mergeCell ref="B615:B620"/>
    <mergeCell ref="A621:A628"/>
    <mergeCell ref="B621:B628"/>
    <mergeCell ref="A629:A636"/>
    <mergeCell ref="B629:B636"/>
    <mergeCell ref="A588:A595"/>
    <mergeCell ref="B588:B595"/>
    <mergeCell ref="A596:A605"/>
    <mergeCell ref="B596:B605"/>
    <mergeCell ref="A606:A614"/>
    <mergeCell ref="B606:B614"/>
    <mergeCell ref="A561:A568"/>
    <mergeCell ref="B561:B568"/>
    <mergeCell ref="A569:A578"/>
    <mergeCell ref="B569:B578"/>
    <mergeCell ref="A579:A587"/>
    <mergeCell ref="B579:B587"/>
    <mergeCell ref="A537:A544"/>
    <mergeCell ref="B537:B544"/>
    <mergeCell ref="A545:A552"/>
    <mergeCell ref="B545:B552"/>
    <mergeCell ref="A553:A560"/>
    <mergeCell ref="B553:B560"/>
    <mergeCell ref="A517:A523"/>
    <mergeCell ref="B517:B523"/>
    <mergeCell ref="A524:A530"/>
    <mergeCell ref="B524:B530"/>
    <mergeCell ref="A531:A536"/>
    <mergeCell ref="B531:B536"/>
    <mergeCell ref="A497:A503"/>
    <mergeCell ref="B497:B503"/>
    <mergeCell ref="A504:A510"/>
    <mergeCell ref="B504:B510"/>
    <mergeCell ref="A511:A516"/>
    <mergeCell ref="B511:B516"/>
    <mergeCell ref="A471:A482"/>
    <mergeCell ref="B471:B482"/>
    <mergeCell ref="A483:A488"/>
    <mergeCell ref="B483:B488"/>
    <mergeCell ref="A489:A496"/>
    <mergeCell ref="B489:B496"/>
    <mergeCell ref="A446:A453"/>
    <mergeCell ref="B446:B453"/>
    <mergeCell ref="A454:A463"/>
    <mergeCell ref="B454:B463"/>
    <mergeCell ref="A464:A470"/>
    <mergeCell ref="B464:B470"/>
    <mergeCell ref="A422:A433"/>
    <mergeCell ref="B422:B433"/>
    <mergeCell ref="A434:A439"/>
    <mergeCell ref="B434:B439"/>
    <mergeCell ref="A440:A445"/>
    <mergeCell ref="B440:B445"/>
    <mergeCell ref="A394:A400"/>
    <mergeCell ref="B394:B400"/>
    <mergeCell ref="A401:A414"/>
    <mergeCell ref="B401:B414"/>
    <mergeCell ref="A415:A421"/>
    <mergeCell ref="B415:B421"/>
    <mergeCell ref="A365:A370"/>
    <mergeCell ref="B365:B370"/>
    <mergeCell ref="A371:A379"/>
    <mergeCell ref="B371:B379"/>
    <mergeCell ref="A380:A393"/>
    <mergeCell ref="B380:B393"/>
    <mergeCell ref="A326:A340"/>
    <mergeCell ref="B326:B340"/>
    <mergeCell ref="A341:A350"/>
    <mergeCell ref="B341:B350"/>
    <mergeCell ref="A351:A364"/>
    <mergeCell ref="B351:B364"/>
    <mergeCell ref="A290:A304"/>
    <mergeCell ref="B290:B304"/>
    <mergeCell ref="A305:A319"/>
    <mergeCell ref="B305:B319"/>
    <mergeCell ref="A320:A325"/>
    <mergeCell ref="B320:B325"/>
    <mergeCell ref="A268:A275"/>
    <mergeCell ref="B268:B275"/>
    <mergeCell ref="A276:A282"/>
    <mergeCell ref="B276:B282"/>
    <mergeCell ref="A283:A289"/>
    <mergeCell ref="B283:B289"/>
    <mergeCell ref="A240:A247"/>
    <mergeCell ref="B240:B247"/>
    <mergeCell ref="A248:A262"/>
    <mergeCell ref="B248:B262"/>
    <mergeCell ref="A263:A267"/>
    <mergeCell ref="B263:B267"/>
    <mergeCell ref="A228:A231"/>
    <mergeCell ref="B228:B231"/>
    <mergeCell ref="A232:A235"/>
    <mergeCell ref="B232:B235"/>
    <mergeCell ref="A236:A239"/>
    <mergeCell ref="B236:B239"/>
    <mergeCell ref="A214:A218"/>
    <mergeCell ref="B214:B218"/>
    <mergeCell ref="A219:A223"/>
    <mergeCell ref="B219:B223"/>
    <mergeCell ref="A224:A227"/>
    <mergeCell ref="B224:B227"/>
    <mergeCell ref="A201:A204"/>
    <mergeCell ref="B201:B204"/>
    <mergeCell ref="A205:A209"/>
    <mergeCell ref="B205:B209"/>
    <mergeCell ref="A210:A213"/>
    <mergeCell ref="B210:B213"/>
    <mergeCell ref="A183:A189"/>
    <mergeCell ref="B183:B189"/>
    <mergeCell ref="A190:A196"/>
    <mergeCell ref="B190:B196"/>
    <mergeCell ref="A197:A200"/>
    <mergeCell ref="B197:B200"/>
    <mergeCell ref="A171:A174"/>
    <mergeCell ref="B171:B174"/>
    <mergeCell ref="A175:A178"/>
    <mergeCell ref="B175:B178"/>
    <mergeCell ref="A179:A182"/>
    <mergeCell ref="B179:B182"/>
    <mergeCell ref="A154:A160"/>
    <mergeCell ref="B154:B160"/>
    <mergeCell ref="A161:A165"/>
    <mergeCell ref="B161:B165"/>
    <mergeCell ref="A166:A170"/>
    <mergeCell ref="B166:B170"/>
    <mergeCell ref="A139:A143"/>
    <mergeCell ref="B139:B143"/>
    <mergeCell ref="A144:A148"/>
    <mergeCell ref="B144:B148"/>
    <mergeCell ref="A149:A153"/>
    <mergeCell ref="B149:B153"/>
    <mergeCell ref="A126:A130"/>
    <mergeCell ref="B126:B130"/>
    <mergeCell ref="A131:A134"/>
    <mergeCell ref="B131:B134"/>
    <mergeCell ref="A135:A138"/>
    <mergeCell ref="B135:B138"/>
    <mergeCell ref="A111:A115"/>
    <mergeCell ref="B111:B115"/>
    <mergeCell ref="A116:A120"/>
    <mergeCell ref="B116:B120"/>
    <mergeCell ref="A121:A125"/>
    <mergeCell ref="B121:B125"/>
    <mergeCell ref="A97:A101"/>
    <mergeCell ref="B97:B101"/>
    <mergeCell ref="A102:A105"/>
    <mergeCell ref="B102:B105"/>
    <mergeCell ref="A106:A110"/>
    <mergeCell ref="B106:B110"/>
    <mergeCell ref="A82:A86"/>
    <mergeCell ref="B82:B86"/>
    <mergeCell ref="A87:A91"/>
    <mergeCell ref="B87:B91"/>
    <mergeCell ref="A92:A96"/>
    <mergeCell ref="B92:B96"/>
    <mergeCell ref="A18:A22"/>
    <mergeCell ref="B18:B22"/>
    <mergeCell ref="A23:A27"/>
    <mergeCell ref="B23:B27"/>
    <mergeCell ref="A28:A32"/>
    <mergeCell ref="B28:B32"/>
    <mergeCell ref="A6:A9"/>
    <mergeCell ref="B6:B9"/>
    <mergeCell ref="A10:A13"/>
    <mergeCell ref="B10:B13"/>
    <mergeCell ref="A14:A17"/>
    <mergeCell ref="B14:B17"/>
    <mergeCell ref="A64:A68"/>
    <mergeCell ref="B64:B68"/>
    <mergeCell ref="A69:A76"/>
    <mergeCell ref="B69:B76"/>
    <mergeCell ref="A77:A81"/>
    <mergeCell ref="B77:B81"/>
    <mergeCell ref="A47:A51"/>
    <mergeCell ref="B47:B51"/>
    <mergeCell ref="A52:A58"/>
    <mergeCell ref="B52:B58"/>
    <mergeCell ref="A59:A63"/>
    <mergeCell ref="B59:B63"/>
    <mergeCell ref="A33:A36"/>
    <mergeCell ref="B33:B36"/>
    <mergeCell ref="A37:A41"/>
    <mergeCell ref="B37:B41"/>
    <mergeCell ref="A42:A46"/>
    <mergeCell ref="B42:B46"/>
  </mergeCells>
  <conditionalFormatting sqref="D3376 D262 D2395 D2234:E2234 E4895 D5008 D5022 D5274 D861:E861 E878 E992 E983 E937:E939 D3602:D3603 D4456:D4457 D4459:D4461">
    <cfRule type="containsText" dxfId="2822" priority="5195" operator="containsText" text="Pesquisa de Preços">
      <formula>NOT(ISERROR(SEARCH("Pesquisa de Preços",D262)))</formula>
    </cfRule>
  </conditionalFormatting>
  <conditionalFormatting sqref="D9">
    <cfRule type="containsText" dxfId="2821" priority="5194" operator="containsText" text="Pesquisa de Preços">
      <formula>NOT(ISERROR(SEARCH("Pesquisa de Preços",D9)))</formula>
    </cfRule>
  </conditionalFormatting>
  <conditionalFormatting sqref="D7">
    <cfRule type="containsText" dxfId="2820" priority="5193" operator="containsText" text="Pesquisa de Preços">
      <formula>NOT(ISERROR(SEARCH("Pesquisa de Preços",D7)))</formula>
    </cfRule>
  </conditionalFormatting>
  <conditionalFormatting sqref="D6 D10 D14 D18 D23 D28 D33 D37 D42 D47 D52 D59 D64 D69 D77 D82 D87 D92 D97 D102 D106 D111 D116 D121 D126 D131 D135 D139 D144 D149 D154 D161 D166 D171 D175 D179 D183 D190 D197 D201 D205 D210 D214 D219 D224 D228 D232 D236 D240 D248 D263 D268 D276 D283 D290 D305 D320 D326 D341 D351 D365 D371 D380 D394 D401 D415 D422 D434 D440 D446 D454 D464 D471 D483 D489 D497 D504 D511 D517 D524 D531 D537 D545 D553 D561 D569 D579 D588 D596 D606 D615 D621 D629 D637 D644 D648 D652 D656 D660 D664 D668 D676 D686 D696 D704 D714 D723 D730 D736 D744 D748 D755 D766 D772 D783 D790 D804 D814 D818 D823 D827 D832 D839 D845 D850 D856 D862 D867 D875 D883 D891 D896 D903 D907 D913 D920 D927 D934 D941 D948 D954 D961 D968 D975 D984 D993 D998 D1003 D1012 D1017 D1027 D1036 D1043 D1050 D1057 D1064 D1073 D1081 D1089 D1099 D1107 D1112 D1117 D1123 D1128 D1135 D1142 D1149 D1156 D1163 D1170 D1177 D1184 D1191 D1198 D1205 D1212 D1218 D1224 D1236 D1243 D1250 D1257 D1263 D1270 D1277 D1284 D1291 D1299 D1308 D1314 D1320 D1326 D1332 D1339 D1345 D1352 D1358 D1364 D1371 D1377 D1383 D1389 D1396 D1411 D1426 D1441 D1456 D1471 D1486 D1501 D1507 D1513 D1519 D1525 D1531 D1538 D1545 D1552 D1559 D1574 D1581 D1588 D1595 D1602 D1607 D1613 D1619 D1624 D1630 D1636 D1642 D1648 D1653 D1658 D1663 D1669 D1676 D1683 D1689 D1697 D1707 D1717 D1727 D1737 D1744 D1751 D1758 D1765 D1772 D1779 D1786 D1793 D1798 D1803 D1809 D1815 D1822 D1828 D1834 D1840 D1846 D1852 D1858 D1864 D1870 D1876 D1882 D1888 D1894 D1899 D1904 D1909 D1915 D1920 D1925 D1932 D1938 D1944 D1951 D1958 D1966 D1974 D1981 D1988 D1995 D2002 D2008 D2016 D2024 D2032 D2040 D2048 D2056 D2064 D2072 D2080 D2088 D2096 D2102 D2108 D2114 D2120 D2126 D2134 D2142 D2150 D2158 D2166 D2174 D2182 D2190 D2195 D2202 D2209 D2215 D2221 D2235 D2241 D2251 D2261 D2271 D2281 D2291 D2298 D2305 D2311 D2317 D2323 D2329 D2334 D2339 D2344 D2350 D2358 D2365 D2371 D2378 D2392 D2420 D2540 D2544 D2548 D2552 D2556 D2560 D2568 D2576 D2584 D2588 D2592 D2596 D2600 D2604 D2608 D2612 D2616 D2620 D2624 D2636 D2648 D2654 D2660 D2666 D2672 D2678 D2684 D2690 D2696 D2702 D2764 D2769 D2779 D2795 D2805 D2810 D2815 D2820 D2827 D2832 D2837 D2842 D2847 D2852 D2857 D2862 D2867 D2874 D2879 D2884 D2889 D2897 D2905 D2913 D2921 D2929 D2934 D2939 D2944 D2949 D2954 D2959 D2964 D2969 D2974 D2979 D2989 D2994 D2999 D3004 D3009 D3014 D3019 D3024 D3029 D3034 D3042 D3047 D3055 D3059 D3067 D3072 D3080 D3085 D3090 D3095 D3100 D3105 D3110 D3115 D3120 D3125 D3131 D3137 D3143 D3149 D3154 D3160 D3165 D3174 D3182 D3190 D3195 D3199 D3206 D3219 D3225 D3231 D3237 D3247 D3252 D3259 D3266 D3273 D3280 D3287 D3294 D3301 D3308 D3315 D3322 D3328 D3334 D3343 D3348 D3355 D3362 D3369 D3373 D3377 D3382 D3386 D3390 D3397 D3404 D3411 D3416 D3421 D3426 D3430 D3434 D3444 D3466 D3474 D3491 D3499 D3516 D3535 D3542 D3558 D3564 D3570 D3578 D3585 D3590 D3600 D3605 D3612 D3618 D3628 D3633 D3638 D3646 D3650 D3656 D3671 D3679 D3691 D3704 D3715 D3719 D3729 D3734 D3743 D3750 D3754 D3758 D3816 D3822 D3827 D3839 D3849 D3858 D3866 D3878 D3893 D3900 D3918 D3924 D3930 D3936 D3943 D3952 D3960 D3970 D3977 D3985 D3998 D4011 D4016 D4020 D4024 D4033 D4042 D4051 D4060 D4069 D4078 D4084 D4090 D4097 D4103 D4107 D4114 D4122 D4130 D4138 D4142 D4150 D4161 D4172 D4176 D4183 D4190 D4196 D4202 D4208 D4218 D4224 D4232 D4240 D4249 D4256 D4261 D4269 D4278 D4294 D4321 D4328 D4339 D4348 D4357 D4366 D4375 D4385 D4393 D4401 D4411 D4421 D4431 D4439 D4454 D4463 D4469 D4489 D4497 D4505 D4511 D4516 D4521 D4530 D4539 D4544 D4550 D4562 D4574 D4593 D4601 D4610 D4618 D4624 D4636 D4644 D4650 D4658 D4666 D4677 D4683 D4691 D4700 D4716 D4722 D4766 D4777">
    <cfRule type="containsText" dxfId="2819" priority="5192" operator="containsText" text="Pesquisa de Preços">
      <formula>NOT(ISERROR(SEARCH("Pesquisa de Preços",D6)))</formula>
    </cfRule>
  </conditionalFormatting>
  <conditionalFormatting sqref="D13">
    <cfRule type="containsText" dxfId="2818" priority="5190" operator="containsText" text="Pesquisa de Preços">
      <formula>NOT(ISERROR(SEARCH("Pesquisa de Preços",D13)))</formula>
    </cfRule>
  </conditionalFormatting>
  <conditionalFormatting sqref="D15">
    <cfRule type="containsText" dxfId="2817" priority="5191" operator="containsText" text="Pesquisa de Preços">
      <formula>NOT(ISERROR(SEARCH("Pesquisa de Preços",D15)))</formula>
    </cfRule>
  </conditionalFormatting>
  <conditionalFormatting sqref="D11">
    <cfRule type="containsText" dxfId="2816" priority="5189" operator="containsText" text="Pesquisa de Preços">
      <formula>NOT(ISERROR(SEARCH("Pesquisa de Preços",D11)))</formula>
    </cfRule>
  </conditionalFormatting>
  <conditionalFormatting sqref="D225">
    <cfRule type="containsText" dxfId="2815" priority="5187" operator="containsText" text="Pesquisa de Preços">
      <formula>NOT(ISERROR(SEARCH("Pesquisa de Preços",D225)))</formula>
    </cfRule>
  </conditionalFormatting>
  <conditionalFormatting sqref="D227">
    <cfRule type="containsText" dxfId="2814" priority="5188" operator="containsText" text="Pesquisa de Preços">
      <formula>NOT(ISERROR(SEARCH("Pesquisa de Preços",D227)))</formula>
    </cfRule>
  </conditionalFormatting>
  <conditionalFormatting sqref="D150">
    <cfRule type="containsText" dxfId="2813" priority="5184" operator="containsText" text="Pesquisa de Preços">
      <formula>NOT(ISERROR(SEARCH("Pesquisa de Preços",D150)))</formula>
    </cfRule>
  </conditionalFormatting>
  <conditionalFormatting sqref="D490 D493:D496">
    <cfRule type="containsText" dxfId="2812" priority="5118" operator="containsText" text="Pesquisa de Preços">
      <formula>NOT(ISERROR(SEARCH("Pesquisa de Preços",D490)))</formula>
    </cfRule>
  </conditionalFormatting>
  <conditionalFormatting sqref="D78">
    <cfRule type="containsText" dxfId="2811" priority="5185" operator="containsText" text="Pesquisa de Preços">
      <formula>NOT(ISERROR(SEARCH("Pesquisa de Preços",D78)))</formula>
    </cfRule>
  </conditionalFormatting>
  <conditionalFormatting sqref="D162">
    <cfRule type="containsText" dxfId="2810" priority="5183" operator="containsText" text="Pesquisa de Preços">
      <formula>NOT(ISERROR(SEARCH("Pesquisa de Preços",D162)))</formula>
    </cfRule>
  </conditionalFormatting>
  <conditionalFormatting sqref="D81">
    <cfRule type="containsText" dxfId="2809" priority="5186" operator="containsText" text="Pesquisa de Preços">
      <formula>NOT(ISERROR(SEARCH("Pesquisa de Preços",D81)))</formula>
    </cfRule>
  </conditionalFormatting>
  <conditionalFormatting sqref="D88">
    <cfRule type="containsText" dxfId="2808" priority="5182" operator="containsText" text="Pesquisa de Preços">
      <formula>NOT(ISERROR(SEARCH("Pesquisa de Preços",D88)))</formula>
    </cfRule>
  </conditionalFormatting>
  <conditionalFormatting sqref="D60">
    <cfRule type="containsText" dxfId="2807" priority="5181" operator="containsText" text="Pesquisa de Preços">
      <formula>NOT(ISERROR(SEARCH("Pesquisa de Preços",D60)))</formula>
    </cfRule>
  </conditionalFormatting>
  <conditionalFormatting sqref="D53">
    <cfRule type="containsText" dxfId="2806" priority="5180" operator="containsText" text="Pesquisa de Preços">
      <formula>NOT(ISERROR(SEARCH("Pesquisa de Preços",D53)))</formula>
    </cfRule>
  </conditionalFormatting>
  <conditionalFormatting sqref="D34">
    <cfRule type="containsText" dxfId="2805" priority="5179" operator="containsText" text="Pesquisa de Preços">
      <formula>NOT(ISERROR(SEARCH("Pesquisa de Preços",D34)))</formula>
    </cfRule>
  </conditionalFormatting>
  <conditionalFormatting sqref="D98">
    <cfRule type="containsText" dxfId="2804" priority="5177" operator="containsText" text="Pesquisa de Preços">
      <formula>NOT(ISERROR(SEARCH("Pesquisa de Preços",D98)))</formula>
    </cfRule>
  </conditionalFormatting>
  <conditionalFormatting sqref="D29">
    <cfRule type="containsText" dxfId="2803" priority="5178" operator="containsText" text="Pesquisa de Preços">
      <formula>NOT(ISERROR(SEARCH("Pesquisa de Preços",D29)))</formula>
    </cfRule>
  </conditionalFormatting>
  <conditionalFormatting sqref="D145">
    <cfRule type="containsText" dxfId="2802" priority="5176" operator="containsText" text="Pesquisa de Preços">
      <formula>NOT(ISERROR(SEARCH("Pesquisa de Preços",D145)))</formula>
    </cfRule>
  </conditionalFormatting>
  <conditionalFormatting sqref="D180">
    <cfRule type="containsText" dxfId="2801" priority="5172" operator="containsText" text="Pesquisa de Preços">
      <formula>NOT(ISERROR(SEARCH("Pesquisa de Preços",D180)))</formula>
    </cfRule>
  </conditionalFormatting>
  <conditionalFormatting sqref="D24">
    <cfRule type="containsText" dxfId="2800" priority="5174" operator="containsText" text="Pesquisa de Preços">
      <formula>NOT(ISERROR(SEARCH("Pesquisa de Preços",D24)))</formula>
    </cfRule>
  </conditionalFormatting>
  <conditionalFormatting sqref="D43">
    <cfRule type="containsText" dxfId="2799" priority="5175" operator="containsText" text="Pesquisa de Preços">
      <formula>NOT(ISERROR(SEARCH("Pesquisa de Preços",D43)))</formula>
    </cfRule>
  </conditionalFormatting>
  <conditionalFormatting sqref="D117">
    <cfRule type="containsText" dxfId="2798" priority="5171" operator="containsText" text="Pesquisa de Preços">
      <formula>NOT(ISERROR(SEARCH("Pesquisa de Preços",D117)))</formula>
    </cfRule>
  </conditionalFormatting>
  <conditionalFormatting sqref="D38">
    <cfRule type="containsText" dxfId="2797" priority="5173" operator="containsText" text="Pesquisa de Preços">
      <formula>NOT(ISERROR(SEARCH("Pesquisa de Preços",D38)))</formula>
    </cfRule>
  </conditionalFormatting>
  <conditionalFormatting sqref="D677">
    <cfRule type="containsText" dxfId="2796" priority="5108" operator="containsText" text="Pesquisa de Preços">
      <formula>NOT(ISERROR(SEARCH("Pesquisa de Preços",D677)))</formula>
    </cfRule>
  </conditionalFormatting>
  <conditionalFormatting sqref="D669">
    <cfRule type="containsText" dxfId="2795" priority="5107" operator="containsText" text="Pesquisa de Preços">
      <formula>NOT(ISERROR(SEARCH("Pesquisa de Preços",D669)))</formula>
    </cfRule>
  </conditionalFormatting>
  <conditionalFormatting sqref="D176">
    <cfRule type="containsText" dxfId="2794" priority="5170" operator="containsText" text="Pesquisa de Preços">
      <formula>NOT(ISERROR(SEARCH("Pesquisa de Preços",D176)))</formula>
    </cfRule>
  </conditionalFormatting>
  <conditionalFormatting sqref="D220">
    <cfRule type="containsText" dxfId="2793" priority="5169" operator="containsText" text="Pesquisa de Preços">
      <formula>NOT(ISERROR(SEARCH("Pesquisa de Preços",D220)))</formula>
    </cfRule>
  </conditionalFormatting>
  <conditionalFormatting sqref="D687 D695">
    <cfRule type="containsText" dxfId="2792" priority="5106" operator="containsText" text="Pesquisa de Preços">
      <formula>NOT(ISERROR(SEARCH("Pesquisa de Preços",D687)))</formula>
    </cfRule>
  </conditionalFormatting>
  <conditionalFormatting sqref="D127">
    <cfRule type="containsText" dxfId="2791" priority="5168" operator="containsText" text="Pesquisa de Preços">
      <formula>NOT(ISERROR(SEARCH("Pesquisa de Preços",D127)))</formula>
    </cfRule>
  </conditionalFormatting>
  <conditionalFormatting sqref="D715">
    <cfRule type="containsText" dxfId="2790" priority="5104" operator="containsText" text="Pesquisa de Preços">
      <formula>NOT(ISERROR(SEARCH("Pesquisa de Preços",D715)))</formula>
    </cfRule>
  </conditionalFormatting>
  <conditionalFormatting sqref="D167">
    <cfRule type="containsText" dxfId="2789" priority="5167" operator="containsText" text="Pesquisa de Preços">
      <formula>NOT(ISERROR(SEARCH("Pesquisa de Preços",D167)))</formula>
    </cfRule>
  </conditionalFormatting>
  <conditionalFormatting sqref="D731">
    <cfRule type="containsText" dxfId="2788" priority="5103" operator="containsText" text="Pesquisa de Preços">
      <formula>NOT(ISERROR(SEARCH("Pesquisa de Preços",D731)))</formula>
    </cfRule>
  </conditionalFormatting>
  <conditionalFormatting sqref="D83">
    <cfRule type="containsText" dxfId="2787" priority="5166" operator="containsText" text="Pesquisa de Preços">
      <formula>NOT(ISERROR(SEARCH("Pesquisa de Preços",D83)))</formula>
    </cfRule>
  </conditionalFormatting>
  <conditionalFormatting sqref="D112">
    <cfRule type="containsText" dxfId="2786" priority="5165" operator="containsText" text="Pesquisa de Preços">
      <formula>NOT(ISERROR(SEARCH("Pesquisa de Preços",D112)))</formula>
    </cfRule>
  </conditionalFormatting>
  <conditionalFormatting sqref="D211">
    <cfRule type="containsText" dxfId="2785" priority="5164" operator="containsText" text="Pesquisa de Preços">
      <formula>NOT(ISERROR(SEARCH("Pesquisa de Preços",D211)))</formula>
    </cfRule>
  </conditionalFormatting>
  <conditionalFormatting sqref="D202">
    <cfRule type="containsText" dxfId="2784" priority="5163" operator="containsText" text="Pesquisa de Preços">
      <formula>NOT(ISERROR(SEARCH("Pesquisa de Preços",D202)))</formula>
    </cfRule>
  </conditionalFormatting>
  <conditionalFormatting sqref="D198">
    <cfRule type="containsText" dxfId="2783" priority="5161" operator="containsText" text="Pesquisa de Preços">
      <formula>NOT(ISERROR(SEARCH("Pesquisa de Preços",D198)))</formula>
    </cfRule>
  </conditionalFormatting>
  <conditionalFormatting sqref="D204">
    <cfRule type="containsText" dxfId="2782" priority="5162" operator="containsText" text="Pesquisa de Preços">
      <formula>NOT(ISERROR(SEARCH("Pesquisa de Preços",D204)))</formula>
    </cfRule>
  </conditionalFormatting>
  <conditionalFormatting sqref="D70 D76">
    <cfRule type="containsText" dxfId="2781" priority="5160" operator="containsText" text="Pesquisa de Preços">
      <formula>NOT(ISERROR(SEARCH("Pesquisa de Preços",D70)))</formula>
    </cfRule>
  </conditionalFormatting>
  <conditionalFormatting sqref="D136">
    <cfRule type="containsText" dxfId="2780" priority="5159" operator="containsText" text="Pesquisa de Preços">
      <formula>NOT(ISERROR(SEARCH("Pesquisa de Preços",D136)))</formula>
    </cfRule>
  </conditionalFormatting>
  <conditionalFormatting sqref="D140">
    <cfRule type="containsText" dxfId="2779" priority="5158" operator="containsText" text="Pesquisa de Preços">
      <formula>NOT(ISERROR(SEARCH("Pesquisa de Preços",D140)))</formula>
    </cfRule>
  </conditionalFormatting>
  <conditionalFormatting sqref="D791">
    <cfRule type="containsText" dxfId="2778" priority="5100" operator="containsText" text="Pesquisa de Preços">
      <formula>NOT(ISERROR(SEARCH("Pesquisa de Preços",D791)))</formula>
    </cfRule>
  </conditionalFormatting>
  <conditionalFormatting sqref="D155">
    <cfRule type="containsText" dxfId="2777" priority="5157" operator="containsText" text="Pesquisa de Preços">
      <formula>NOT(ISERROR(SEARCH("Pesquisa de Preços",D155)))</formula>
    </cfRule>
  </conditionalFormatting>
  <conditionalFormatting sqref="D833">
    <cfRule type="containsText" dxfId="2776" priority="5099" operator="containsText" text="Pesquisa de Preços">
      <formula>NOT(ISERROR(SEARCH("Pesquisa de Preços",D833)))</formula>
    </cfRule>
  </conditionalFormatting>
  <conditionalFormatting sqref="D93">
    <cfRule type="containsText" dxfId="2775" priority="5156" operator="containsText" text="Pesquisa de Preços">
      <formula>NOT(ISERROR(SEARCH("Pesquisa de Preços",D93)))</formula>
    </cfRule>
  </conditionalFormatting>
  <conditionalFormatting sqref="D815">
    <cfRule type="containsText" dxfId="2774" priority="5098" operator="containsText" text="Pesquisa de Preços">
      <formula>NOT(ISERROR(SEARCH("Pesquisa de Preços",D815)))</formula>
    </cfRule>
  </conditionalFormatting>
  <conditionalFormatting sqref="D48">
    <cfRule type="containsText" dxfId="2773" priority="5155" operator="containsText" text="Pesquisa de Preços">
      <formula>NOT(ISERROR(SEARCH("Pesquisa de Preços",D48)))</formula>
    </cfRule>
  </conditionalFormatting>
  <conditionalFormatting sqref="D191">
    <cfRule type="containsText" dxfId="2772" priority="5154" operator="containsText" text="Pesquisa de Preços">
      <formula>NOT(ISERROR(SEARCH("Pesquisa de Preços",D191)))</formula>
    </cfRule>
  </conditionalFormatting>
  <conditionalFormatting sqref="D749 D754">
    <cfRule type="containsText" dxfId="2771" priority="5097" operator="containsText" text="Pesquisa de Preços">
      <formula>NOT(ISERROR(SEARCH("Pesquisa de Preços",D749)))</formula>
    </cfRule>
  </conditionalFormatting>
  <conditionalFormatting sqref="D215">
    <cfRule type="containsText" dxfId="2770" priority="5153" operator="containsText" text="Pesquisa de Preços">
      <formula>NOT(ISERROR(SEARCH("Pesquisa de Preços",D215)))</formula>
    </cfRule>
  </conditionalFormatting>
  <conditionalFormatting sqref="D122">
    <cfRule type="containsText" dxfId="2769" priority="5152" operator="containsText" text="Pesquisa de Preços">
      <formula>NOT(ISERROR(SEARCH("Pesquisa de Preços",D122)))</formula>
    </cfRule>
  </conditionalFormatting>
  <conditionalFormatting sqref="D756">
    <cfRule type="containsText" dxfId="2768" priority="5095" operator="containsText" text="Pesquisa de Preços">
      <formula>NOT(ISERROR(SEARCH("Pesquisa de Preços",D756)))</formula>
    </cfRule>
  </conditionalFormatting>
  <conditionalFormatting sqref="D107">
    <cfRule type="containsText" dxfId="2767" priority="5151" operator="containsText" text="Pesquisa de Preços">
      <formula>NOT(ISERROR(SEARCH("Pesquisa de Preços",D107)))</formula>
    </cfRule>
  </conditionalFormatting>
  <conditionalFormatting sqref="D824 D826">
    <cfRule type="containsText" dxfId="2766" priority="5094" operator="containsText" text="Pesquisa de Preços">
      <formula>NOT(ISERROR(SEARCH("Pesquisa de Preços",D824)))</formula>
    </cfRule>
  </conditionalFormatting>
  <conditionalFormatting sqref="D132">
    <cfRule type="containsText" dxfId="2765" priority="5150" operator="containsText" text="Pesquisa de Preços">
      <formula>NOT(ISERROR(SEARCH("Pesquisa de Preços",D132)))</formula>
    </cfRule>
  </conditionalFormatting>
  <conditionalFormatting sqref="D828">
    <cfRule type="containsText" dxfId="2764" priority="5093" operator="containsText" text="Pesquisa de Preços">
      <formula>NOT(ISERROR(SEARCH("Pesquisa de Preços",D828)))</formula>
    </cfRule>
  </conditionalFormatting>
  <conditionalFormatting sqref="D65">
    <cfRule type="containsText" dxfId="2763" priority="5149" operator="containsText" text="Pesquisa de Preços">
      <formula>NOT(ISERROR(SEARCH("Pesquisa de Preços",D65)))</formula>
    </cfRule>
  </conditionalFormatting>
  <conditionalFormatting sqref="D805">
    <cfRule type="containsText" dxfId="2762" priority="5092" operator="containsText" text="Pesquisa de Preços">
      <formula>NOT(ISERROR(SEARCH("Pesquisa de Preços",D805)))</formula>
    </cfRule>
  </conditionalFormatting>
  <conditionalFormatting sqref="D321">
    <cfRule type="containsText" dxfId="2761" priority="5141" operator="containsText" text="Pesquisa de Preços">
      <formula>NOT(ISERROR(SEARCH("Pesquisa de Preços",D321)))</formula>
    </cfRule>
  </conditionalFormatting>
  <conditionalFormatting sqref="D342">
    <cfRule type="containsText" dxfId="2760" priority="5139" operator="containsText" text="Pesquisa de Preços">
      <formula>NOT(ISERROR(SEARCH("Pesquisa de Preços",D342)))</formula>
    </cfRule>
  </conditionalFormatting>
  <conditionalFormatting sqref="D327">
    <cfRule type="containsText" dxfId="2759" priority="5135" operator="containsText" text="Pesquisa de Preços">
      <formula>NOT(ISERROR(SEARCH("Pesquisa de Preços",D327)))</formula>
    </cfRule>
  </conditionalFormatting>
  <conditionalFormatting sqref="D416 D421">
    <cfRule type="containsText" dxfId="2758" priority="5130" operator="containsText" text="Pesquisa de Preços">
      <formula>NOT(ISERROR(SEARCH("Pesquisa de Preços",D416)))</formula>
    </cfRule>
  </conditionalFormatting>
  <conditionalFormatting sqref="D247">
    <cfRule type="containsText" dxfId="2757" priority="5148" operator="containsText" text="Pesquisa de Preços">
      <formula>NOT(ISERROR(SEARCH("Pesquisa de Preços",D247)))</formula>
    </cfRule>
  </conditionalFormatting>
  <conditionalFormatting sqref="D249">
    <cfRule type="containsText" dxfId="2756" priority="5147" operator="containsText" text="Pesquisa de Preços">
      <formula>NOT(ISERROR(SEARCH("Pesquisa de Preços",D249)))</formula>
    </cfRule>
  </conditionalFormatting>
  <conditionalFormatting sqref="D252 D259 D261">
    <cfRule type="containsText" dxfId="2755" priority="5146" operator="containsText" text="Pesquisa de Preços">
      <formula>NOT(ISERROR(SEARCH("Pesquisa de Preços",D252)))</formula>
    </cfRule>
  </conditionalFormatting>
  <conditionalFormatting sqref="D264">
    <cfRule type="containsText" dxfId="2754" priority="5145" operator="containsText" text="Pesquisa de Preços">
      <formula>NOT(ISERROR(SEARCH("Pesquisa de Preços",D264)))</formula>
    </cfRule>
  </conditionalFormatting>
  <conditionalFormatting sqref="D277 D282">
    <cfRule type="containsText" dxfId="2753" priority="5144" operator="containsText" text="Pesquisa de Preços">
      <formula>NOT(ISERROR(SEARCH("Pesquisa de Preços",D277)))</formula>
    </cfRule>
  </conditionalFormatting>
  <conditionalFormatting sqref="D284 D289">
    <cfRule type="containsText" dxfId="2752" priority="5143" operator="containsText" text="Pesquisa de Preços">
      <formula>NOT(ISERROR(SEARCH("Pesquisa de Preços",D284)))</formula>
    </cfRule>
  </conditionalFormatting>
  <conditionalFormatting sqref="D269 D275">
    <cfRule type="containsText" dxfId="2751" priority="5142" operator="containsText" text="Pesquisa de Preços">
      <formula>NOT(ISERROR(SEARCH("Pesquisa de Preços",D269)))</formula>
    </cfRule>
  </conditionalFormatting>
  <conditionalFormatting sqref="D532 D536">
    <cfRule type="containsText" dxfId="2750" priority="5119" operator="containsText" text="Pesquisa de Preços">
      <formula>NOT(ISERROR(SEARCH("Pesquisa de Preços",D532)))</formula>
    </cfRule>
  </conditionalFormatting>
  <conditionalFormatting sqref="D306">
    <cfRule type="containsText" dxfId="2749" priority="5140" operator="containsText" text="Pesquisa de Preços">
      <formula>NOT(ISERROR(SEARCH("Pesquisa de Preços",D306)))</formula>
    </cfRule>
  </conditionalFormatting>
  <conditionalFormatting sqref="D352">
    <cfRule type="containsText" dxfId="2748" priority="5138" operator="containsText" text="Pesquisa de Preços">
      <formula>NOT(ISERROR(SEARCH("Pesquisa de Preços",D352)))</formula>
    </cfRule>
  </conditionalFormatting>
  <conditionalFormatting sqref="D358">
    <cfRule type="containsText" dxfId="2747" priority="5137" operator="containsText" text="Pesquisa de Preços">
      <formula>NOT(ISERROR(SEARCH("Pesquisa de Preços",D358)))</formula>
    </cfRule>
  </conditionalFormatting>
  <conditionalFormatting sqref="D291">
    <cfRule type="containsText" dxfId="2746" priority="5136" operator="containsText" text="Pesquisa de Preços">
      <formula>NOT(ISERROR(SEARCH("Pesquisa de Preços",D291)))</formula>
    </cfRule>
  </conditionalFormatting>
  <conditionalFormatting sqref="D330 D333 D336:D339">
    <cfRule type="containsText" dxfId="2745" priority="5134" operator="containsText" text="Pesquisa de Preços">
      <formula>NOT(ISERROR(SEARCH("Pesquisa de Preços",D330)))</formula>
    </cfRule>
  </conditionalFormatting>
  <conditionalFormatting sqref="D366 D370">
    <cfRule type="containsText" dxfId="2744" priority="5133" operator="containsText" text="Pesquisa de Preços">
      <formula>NOT(ISERROR(SEARCH("Pesquisa de Preços",D366)))</formula>
    </cfRule>
  </conditionalFormatting>
  <conditionalFormatting sqref="D372 D379">
    <cfRule type="containsText" dxfId="2743" priority="5132" operator="containsText" text="Pesquisa de Preços">
      <formula>NOT(ISERROR(SEARCH("Pesquisa de Preços",D372)))</formula>
    </cfRule>
  </conditionalFormatting>
  <conditionalFormatting sqref="D402">
    <cfRule type="containsText" dxfId="2742" priority="5131" operator="containsText" text="Pesquisa de Preços">
      <formula>NOT(ISERROR(SEARCH("Pesquisa de Preços",D402)))</formula>
    </cfRule>
  </conditionalFormatting>
  <conditionalFormatting sqref="D441 D445">
    <cfRule type="containsText" dxfId="2741" priority="5129" operator="containsText" text="Pesquisa de Preços">
      <formula>NOT(ISERROR(SEARCH("Pesquisa de Preços",D441)))</formula>
    </cfRule>
  </conditionalFormatting>
  <conditionalFormatting sqref="D435 D439">
    <cfRule type="containsText" dxfId="2740" priority="5128" operator="containsText" text="Pesquisa de Preços">
      <formula>NOT(ISERROR(SEARCH("Pesquisa de Preços",D435)))</formula>
    </cfRule>
  </conditionalFormatting>
  <conditionalFormatting sqref="D455 D460:D463">
    <cfRule type="containsText" dxfId="2739" priority="5127" operator="containsText" text="Pesquisa de Preços">
      <formula>NOT(ISERROR(SEARCH("Pesquisa de Preços",D455)))</formula>
    </cfRule>
  </conditionalFormatting>
  <conditionalFormatting sqref="D465 D470">
    <cfRule type="containsText" dxfId="2738" priority="5126" operator="containsText" text="Pesquisa de Preços">
      <formula>NOT(ISERROR(SEARCH("Pesquisa de Preços",D465)))</formula>
    </cfRule>
  </conditionalFormatting>
  <conditionalFormatting sqref="D472 D482">
    <cfRule type="containsText" dxfId="2737" priority="5125" operator="containsText" text="Pesquisa de Preços">
      <formula>NOT(ISERROR(SEARCH("Pesquisa de Preços",D472)))</formula>
    </cfRule>
  </conditionalFormatting>
  <conditionalFormatting sqref="D447 D451 D453">
    <cfRule type="containsText" dxfId="2736" priority="5124" operator="containsText" text="Pesquisa de Preços">
      <formula>NOT(ISERROR(SEARCH("Pesquisa de Preços",D447)))</formula>
    </cfRule>
  </conditionalFormatting>
  <conditionalFormatting sqref="D484 D488">
    <cfRule type="containsText" dxfId="2735" priority="5123" operator="containsText" text="Pesquisa de Preços">
      <formula>NOT(ISERROR(SEARCH("Pesquisa de Preços",D484)))</formula>
    </cfRule>
  </conditionalFormatting>
  <conditionalFormatting sqref="D505 D510">
    <cfRule type="containsText" dxfId="2734" priority="5122" operator="containsText" text="Pesquisa de Preços">
      <formula>NOT(ISERROR(SEARCH("Pesquisa de Preços",D505)))</formula>
    </cfRule>
  </conditionalFormatting>
  <conditionalFormatting sqref="D503 D498">
    <cfRule type="containsText" dxfId="2733" priority="5121" operator="containsText" text="Pesquisa de Preços">
      <formula>NOT(ISERROR(SEARCH("Pesquisa de Preços",D498)))</formula>
    </cfRule>
  </conditionalFormatting>
  <conditionalFormatting sqref="D512 D516">
    <cfRule type="containsText" dxfId="2732" priority="5120" operator="containsText" text="Pesquisa de Preços">
      <formula>NOT(ISERROR(SEARCH("Pesquisa de Preços",D512)))</formula>
    </cfRule>
  </conditionalFormatting>
  <conditionalFormatting sqref="D525 D530">
    <cfRule type="containsText" dxfId="2731" priority="5117" operator="containsText" text="Pesquisa de Preços">
      <formula>NOT(ISERROR(SEARCH("Pesquisa de Preços",D525)))</formula>
    </cfRule>
  </conditionalFormatting>
  <conditionalFormatting sqref="D518 D523">
    <cfRule type="containsText" dxfId="2730" priority="5116" operator="containsText" text="Pesquisa de Preços">
      <formula>NOT(ISERROR(SEARCH("Pesquisa de Preços",D518)))</formula>
    </cfRule>
  </conditionalFormatting>
  <conditionalFormatting sqref="D546 D552">
    <cfRule type="containsText" dxfId="2729" priority="5115" operator="containsText" text="Pesquisa de Preços">
      <formula>NOT(ISERROR(SEARCH("Pesquisa de Preços",D546)))</formula>
    </cfRule>
  </conditionalFormatting>
  <conditionalFormatting sqref="D554 D560">
    <cfRule type="containsText" dxfId="2728" priority="5114" operator="containsText" text="Pesquisa de Preços">
      <formula>NOT(ISERROR(SEARCH("Pesquisa de Preços",D554)))</formula>
    </cfRule>
  </conditionalFormatting>
  <conditionalFormatting sqref="D538 D544">
    <cfRule type="containsText" dxfId="2727" priority="5113" operator="containsText" text="Pesquisa de Preços">
      <formula>NOT(ISERROR(SEARCH("Pesquisa de Preços",D538)))</formula>
    </cfRule>
  </conditionalFormatting>
  <conditionalFormatting sqref="D562 D567:D568">
    <cfRule type="containsText" dxfId="2726" priority="5112" operator="containsText" text="Pesquisa de Preços">
      <formula>NOT(ISERROR(SEARCH("Pesquisa de Preços",D562)))</formula>
    </cfRule>
  </conditionalFormatting>
  <conditionalFormatting sqref="D570:D571">
    <cfRule type="containsText" dxfId="2725" priority="5111" operator="containsText" text="Pesquisa de Preços">
      <formula>NOT(ISERROR(SEARCH("Pesquisa de Preços",D570)))</formula>
    </cfRule>
  </conditionalFormatting>
  <conditionalFormatting sqref="D580:D581 D585:D587">
    <cfRule type="containsText" dxfId="2724" priority="5110" operator="containsText" text="Pesquisa de Preços">
      <formula>NOT(ISERROR(SEARCH("Pesquisa de Preços",D580)))</formula>
    </cfRule>
  </conditionalFormatting>
  <conditionalFormatting sqref="D622 D627:D628">
    <cfRule type="containsText" dxfId="2723" priority="5109" operator="containsText" text="Pesquisa de Preços">
      <formula>NOT(ISERROR(SEARCH("Pesquisa de Preços",D622)))</formula>
    </cfRule>
  </conditionalFormatting>
  <conditionalFormatting sqref="D689">
    <cfRule type="containsText" dxfId="2722" priority="5105" operator="containsText" text="Pesquisa de Preços">
      <formula>NOT(ISERROR(SEARCH("Pesquisa de Preços",D689)))</formula>
    </cfRule>
  </conditionalFormatting>
  <conditionalFormatting sqref="D724">
    <cfRule type="containsText" dxfId="2721" priority="5102" operator="containsText" text="Pesquisa de Preços">
      <formula>NOT(ISERROR(SEARCH("Pesquisa de Preços",D724)))</formula>
    </cfRule>
  </conditionalFormatting>
  <conditionalFormatting sqref="D767">
    <cfRule type="containsText" dxfId="2720" priority="5090" operator="containsText" text="Pesquisa de Preços">
      <formula>NOT(ISERROR(SEARCH("Pesquisa de Preços",D767)))</formula>
    </cfRule>
  </conditionalFormatting>
  <conditionalFormatting sqref="D745:D746">
    <cfRule type="containsText" dxfId="2719" priority="5101" operator="containsText" text="Pesquisa de Preços">
      <formula>NOT(ISERROR(SEARCH("Pesquisa de Preços",D745)))</formula>
    </cfRule>
  </conditionalFormatting>
  <conditionalFormatting sqref="D751">
    <cfRule type="containsText" dxfId="2718" priority="5096" operator="containsText" text="Pesquisa de Preços">
      <formula>NOT(ISERROR(SEARCH("Pesquisa de Preços",D751)))</formula>
    </cfRule>
  </conditionalFormatting>
  <conditionalFormatting sqref="D942">
    <cfRule type="containsText" dxfId="2717" priority="5079" operator="containsText" text="Pesquisa de Preços">
      <formula>NOT(ISERROR(SEARCH("Pesquisa de Preços",D942)))</formula>
    </cfRule>
  </conditionalFormatting>
  <conditionalFormatting sqref="D819 D822">
    <cfRule type="containsText" dxfId="2716" priority="5091" operator="containsText" text="Pesquisa de Preços">
      <formula>NOT(ISERROR(SEARCH("Pesquisa de Preços",D819)))</formula>
    </cfRule>
  </conditionalFormatting>
  <conditionalFormatting sqref="D184">
    <cfRule type="containsText" dxfId="2715" priority="5089" operator="containsText" text="Pesquisa de Preços">
      <formula>NOT(ISERROR(SEARCH("Pesquisa de Preços",D184)))</formula>
    </cfRule>
  </conditionalFormatting>
  <conditionalFormatting sqref="D187:D188">
    <cfRule type="containsText" dxfId="2714" priority="5088" operator="containsText" text="Pesquisa de Preços">
      <formula>NOT(ISERROR(SEARCH("Pesquisa de Preços",D187)))</formula>
    </cfRule>
  </conditionalFormatting>
  <conditionalFormatting sqref="D840 D844">
    <cfRule type="containsText" dxfId="2713" priority="5087" operator="containsText" text="Pesquisa de Preços">
      <formula>NOT(ISERROR(SEARCH("Pesquisa de Preços",D840)))</formula>
    </cfRule>
  </conditionalFormatting>
  <conditionalFormatting sqref="D914">
    <cfRule type="containsText" dxfId="2712" priority="5086" operator="containsText" text="Pesquisa de Preços">
      <formula>NOT(ISERROR(SEARCH("Pesquisa de Preços",D914)))</formula>
    </cfRule>
  </conditionalFormatting>
  <conditionalFormatting sqref="D935">
    <cfRule type="containsText" dxfId="2711" priority="5085" operator="containsText" text="Pesquisa de Preços">
      <formula>NOT(ISERROR(SEARCH("Pesquisa de Preços",D935)))</formula>
    </cfRule>
  </conditionalFormatting>
  <conditionalFormatting sqref="D928">
    <cfRule type="containsText" dxfId="2710" priority="5084" operator="containsText" text="Pesquisa de Preços">
      <formula>NOT(ISERROR(SEARCH("Pesquisa de Preços",D928)))</formula>
    </cfRule>
  </conditionalFormatting>
  <conditionalFormatting sqref="D921 D926">
    <cfRule type="containsText" dxfId="2709" priority="5083" operator="containsText" text="Pesquisa de Preços">
      <formula>NOT(ISERROR(SEARCH("Pesquisa de Preços",D921)))</formula>
    </cfRule>
  </conditionalFormatting>
  <conditionalFormatting sqref="D962">
    <cfRule type="containsText" dxfId="2708" priority="5082" operator="containsText" text="Pesquisa de Preços">
      <formula>NOT(ISERROR(SEARCH("Pesquisa de Preços",D962)))</formula>
    </cfRule>
  </conditionalFormatting>
  <conditionalFormatting sqref="D955">
    <cfRule type="containsText" dxfId="2707" priority="5081" operator="containsText" text="Pesquisa de Preços">
      <formula>NOT(ISERROR(SEARCH("Pesquisa de Preços",D955)))</formula>
    </cfRule>
  </conditionalFormatting>
  <conditionalFormatting sqref="D949 D953">
    <cfRule type="containsText" dxfId="2706" priority="5080" operator="containsText" text="Pesquisa de Preços">
      <formula>NOT(ISERROR(SEARCH("Pesquisa de Preços",D949)))</formula>
    </cfRule>
  </conditionalFormatting>
  <conditionalFormatting sqref="D969:D970 D974">
    <cfRule type="containsText" dxfId="2705" priority="5078" operator="containsText" text="Pesquisa de Preços">
      <formula>NOT(ISERROR(SEARCH("Pesquisa de Preços",D969)))</formula>
    </cfRule>
  </conditionalFormatting>
  <conditionalFormatting sqref="D976 D983">
    <cfRule type="containsText" dxfId="2704" priority="5077" operator="containsText" text="Pesquisa de Preços">
      <formula>NOT(ISERROR(SEARCH("Pesquisa de Preços",D976)))</formula>
    </cfRule>
  </conditionalFormatting>
  <conditionalFormatting sqref="D985 D992">
    <cfRule type="containsText" dxfId="2703" priority="5076" operator="containsText" text="Pesquisa de Preços">
      <formula>NOT(ISERROR(SEARCH("Pesquisa de Preços",D985)))</formula>
    </cfRule>
  </conditionalFormatting>
  <conditionalFormatting sqref="D1004 D1011">
    <cfRule type="containsText" dxfId="2702" priority="5075" operator="containsText" text="Pesquisa de Preços">
      <formula>NOT(ISERROR(SEARCH("Pesquisa de Preços",D1004)))</formula>
    </cfRule>
  </conditionalFormatting>
  <conditionalFormatting sqref="D994:D995">
    <cfRule type="containsText" dxfId="2701" priority="5074" operator="containsText" text="Pesquisa de Preços">
      <formula>NOT(ISERROR(SEARCH("Pesquisa de Preços",D994)))</formula>
    </cfRule>
  </conditionalFormatting>
  <conditionalFormatting sqref="D999:D1000">
    <cfRule type="containsText" dxfId="2700" priority="5073" operator="containsText" text="Pesquisa de Preços">
      <formula>NOT(ISERROR(SEARCH("Pesquisa de Preços",D999)))</formula>
    </cfRule>
  </conditionalFormatting>
  <conditionalFormatting sqref="D1018 D1026">
    <cfRule type="containsText" dxfId="2699" priority="5072" operator="containsText" text="Pesquisa de Preços">
      <formula>NOT(ISERROR(SEARCH("Pesquisa de Preços",D1018)))</formula>
    </cfRule>
  </conditionalFormatting>
  <conditionalFormatting sqref="D1028:D1029 D1035">
    <cfRule type="containsText" dxfId="2698" priority="5071" operator="containsText" text="Pesquisa de Preços">
      <formula>NOT(ISERROR(SEARCH("Pesquisa de Preços",D1028)))</formula>
    </cfRule>
  </conditionalFormatting>
  <conditionalFormatting sqref="D1013:D1014">
    <cfRule type="containsText" dxfId="2697" priority="5070" operator="containsText" text="Pesquisa de Preços">
      <formula>NOT(ISERROR(SEARCH("Pesquisa de Preços",D1013)))</formula>
    </cfRule>
  </conditionalFormatting>
  <conditionalFormatting sqref="D1090 D1098">
    <cfRule type="containsText" dxfId="2696" priority="5069" operator="containsText" text="Pesquisa de Preços">
      <formula>NOT(ISERROR(SEARCH("Pesquisa de Preços",D1090)))</formula>
    </cfRule>
  </conditionalFormatting>
  <conditionalFormatting sqref="D1037:D1038 D1042">
    <cfRule type="containsText" dxfId="2695" priority="5068" operator="containsText" text="Pesquisa de Preços">
      <formula>NOT(ISERROR(SEARCH("Pesquisa de Preços",D1037)))</formula>
    </cfRule>
  </conditionalFormatting>
  <conditionalFormatting sqref="D1051:D1052 D1056">
    <cfRule type="containsText" dxfId="2694" priority="5067" operator="containsText" text="Pesquisa de Preços">
      <formula>NOT(ISERROR(SEARCH("Pesquisa de Preços",D1051)))</formula>
    </cfRule>
  </conditionalFormatting>
  <conditionalFormatting sqref="D1082 D1088">
    <cfRule type="containsText" dxfId="2693" priority="5066" operator="containsText" text="Pesquisa de Preços">
      <formula>NOT(ISERROR(SEARCH("Pesquisa de Preços",D1082)))</formula>
    </cfRule>
  </conditionalFormatting>
  <conditionalFormatting sqref="D1044:D1045">
    <cfRule type="containsText" dxfId="2692" priority="5065" operator="containsText" text="Pesquisa de Preços">
      <formula>NOT(ISERROR(SEARCH("Pesquisa de Preços",D1044)))</formula>
    </cfRule>
  </conditionalFormatting>
  <conditionalFormatting sqref="D1058">
    <cfRule type="containsText" dxfId="2691" priority="5064" operator="containsText" text="Pesquisa de Preços">
      <formula>NOT(ISERROR(SEARCH("Pesquisa de Preços",D1058)))</formula>
    </cfRule>
  </conditionalFormatting>
  <conditionalFormatting sqref="D1074 D1080">
    <cfRule type="containsText" dxfId="2690" priority="5063" operator="containsText" text="Pesquisa de Preços">
      <formula>NOT(ISERROR(SEARCH("Pesquisa de Preços",D1074)))</formula>
    </cfRule>
  </conditionalFormatting>
  <conditionalFormatting sqref="D1065 D1072">
    <cfRule type="containsText" dxfId="2689" priority="5062" operator="containsText" text="Pesquisa de Preços">
      <formula>NOT(ISERROR(SEARCH("Pesquisa de Preços",D1065)))</formula>
    </cfRule>
  </conditionalFormatting>
  <conditionalFormatting sqref="D1113:D1114">
    <cfRule type="containsText" dxfId="2688" priority="5061" operator="containsText" text="Pesquisa de Preços">
      <formula>NOT(ISERROR(SEARCH("Pesquisa de Preços",D1113)))</formula>
    </cfRule>
  </conditionalFormatting>
  <conditionalFormatting sqref="D1108:D1109">
    <cfRule type="containsText" dxfId="2687" priority="5060" operator="containsText" text="Pesquisa de Preços">
      <formula>NOT(ISERROR(SEARCH("Pesquisa de Preços",D1108)))</formula>
    </cfRule>
  </conditionalFormatting>
  <conditionalFormatting sqref="D1235">
    <cfRule type="containsText" dxfId="2686" priority="5059" operator="containsText" text="Pesquisa de Preços">
      <formula>NOT(ISERROR(SEARCH("Pesquisa de Preços",D1235)))</formula>
    </cfRule>
  </conditionalFormatting>
  <conditionalFormatting sqref="D1225:D1226 D1229">
    <cfRule type="containsText" dxfId="2685" priority="5058" operator="containsText" text="Pesquisa de Preços">
      <formula>NOT(ISERROR(SEARCH("Pesquisa de Preços",D1225)))</formula>
    </cfRule>
  </conditionalFormatting>
  <conditionalFormatting sqref="D1219:D1220 D1223">
    <cfRule type="containsText" dxfId="2684" priority="5057" operator="containsText" text="Pesquisa de Preços">
      <formula>NOT(ISERROR(SEARCH("Pesquisa de Preços",D1219)))</formula>
    </cfRule>
  </conditionalFormatting>
  <conditionalFormatting sqref="D1213:D1214 D1217">
    <cfRule type="containsText" dxfId="2683" priority="5056" operator="containsText" text="Pesquisa de Preços">
      <formula>NOT(ISERROR(SEARCH("Pesquisa de Preços",D1213)))</formula>
    </cfRule>
  </conditionalFormatting>
  <conditionalFormatting sqref="D1129 D1134">
    <cfRule type="containsText" dxfId="2682" priority="5055" operator="containsText" text="Pesquisa de Preços">
      <formula>NOT(ISERROR(SEARCH("Pesquisa de Preços",D1129)))</formula>
    </cfRule>
  </conditionalFormatting>
  <conditionalFormatting sqref="D1118:D1119 D1122">
    <cfRule type="containsText" dxfId="2681" priority="5054" operator="containsText" text="Pesquisa de Preços">
      <formula>NOT(ISERROR(SEARCH("Pesquisa de Preços",D1118)))</formula>
    </cfRule>
  </conditionalFormatting>
  <conditionalFormatting sqref="D1251 D1256">
    <cfRule type="containsText" dxfId="2680" priority="5053" operator="containsText" text="Pesquisa de Preços">
      <formula>NOT(ISERROR(SEARCH("Pesquisa de Preços",D1251)))</formula>
    </cfRule>
  </conditionalFormatting>
  <conditionalFormatting sqref="D1237 D1242">
    <cfRule type="containsText" dxfId="2679" priority="5052" operator="containsText" text="Pesquisa de Preços">
      <formula>NOT(ISERROR(SEARCH("Pesquisa de Preços",D1237)))</formula>
    </cfRule>
  </conditionalFormatting>
  <conditionalFormatting sqref="D1143 D1148">
    <cfRule type="containsText" dxfId="2678" priority="5051" operator="containsText" text="Pesquisa de Preços">
      <formula>NOT(ISERROR(SEARCH("Pesquisa de Preços",D1143)))</formula>
    </cfRule>
  </conditionalFormatting>
  <conditionalFormatting sqref="D1178:D1179 D1183">
    <cfRule type="containsText" dxfId="2677" priority="5050" operator="containsText" text="Pesquisa de Preços">
      <formula>NOT(ISERROR(SEARCH("Pesquisa de Preços",D1178)))</formula>
    </cfRule>
  </conditionalFormatting>
  <conditionalFormatting sqref="D1185:D1186 D1190">
    <cfRule type="containsText" dxfId="2676" priority="5049" operator="containsText" text="Pesquisa de Preços">
      <formula>NOT(ISERROR(SEARCH("Pesquisa de Preços",D1185)))</formula>
    </cfRule>
  </conditionalFormatting>
  <conditionalFormatting sqref="D1192 D1197">
    <cfRule type="containsText" dxfId="2675" priority="5048" operator="containsText" text="Pesquisa de Preços">
      <formula>NOT(ISERROR(SEARCH("Pesquisa de Preços",D1192)))</formula>
    </cfRule>
  </conditionalFormatting>
  <conditionalFormatting sqref="D1171:D1172 D1176">
    <cfRule type="containsText" dxfId="2674" priority="5047" operator="containsText" text="Pesquisa de Preços">
      <formula>NOT(ISERROR(SEARCH("Pesquisa de Preços",D1171)))</formula>
    </cfRule>
  </conditionalFormatting>
  <conditionalFormatting sqref="D1136:D1137 D1141">
    <cfRule type="containsText" dxfId="2673" priority="5046" operator="containsText" text="Pesquisa de Preços">
      <formula>NOT(ISERROR(SEARCH("Pesquisa de Preços",D1136)))</formula>
    </cfRule>
  </conditionalFormatting>
  <conditionalFormatting sqref="D1157:D1158 D1162">
    <cfRule type="containsText" dxfId="2672" priority="5045" operator="containsText" text="Pesquisa de Preços">
      <formula>NOT(ISERROR(SEARCH("Pesquisa de Preços",D1157)))</formula>
    </cfRule>
  </conditionalFormatting>
  <conditionalFormatting sqref="D1164 D1169">
    <cfRule type="containsText" dxfId="2671" priority="5044" operator="containsText" text="Pesquisa de Preços">
      <formula>NOT(ISERROR(SEARCH("Pesquisa de Preços",D1164)))</formula>
    </cfRule>
  </conditionalFormatting>
  <conditionalFormatting sqref="D1199:D1200 D1204">
    <cfRule type="containsText" dxfId="2670" priority="5043" operator="containsText" text="Pesquisa de Preços">
      <formula>NOT(ISERROR(SEARCH("Pesquisa de Preços",D1199)))</formula>
    </cfRule>
  </conditionalFormatting>
  <conditionalFormatting sqref="D1124">
    <cfRule type="containsText" dxfId="2669" priority="5042" operator="containsText" text="Pesquisa de Preços">
      <formula>NOT(ISERROR(SEARCH("Pesquisa de Preços",D1124)))</formula>
    </cfRule>
  </conditionalFormatting>
  <conditionalFormatting sqref="D1258 D1261:D1262">
    <cfRule type="containsText" dxfId="2668" priority="5041" operator="containsText" text="Pesquisa de Preços">
      <formula>NOT(ISERROR(SEARCH("Pesquisa de Preços",D1258)))</formula>
    </cfRule>
  </conditionalFormatting>
  <conditionalFormatting sqref="D1292:D1293 D1298">
    <cfRule type="containsText" dxfId="2667" priority="5040" operator="containsText" text="Pesquisa de Preços">
      <formula>NOT(ISERROR(SEARCH("Pesquisa de Preços",D1292)))</formula>
    </cfRule>
  </conditionalFormatting>
  <conditionalFormatting sqref="D1300 D1306:D1307">
    <cfRule type="containsText" dxfId="2666" priority="5039" operator="containsText" text="Pesquisa de Preços">
      <formula>NOT(ISERROR(SEARCH("Pesquisa de Preços",D1300)))</formula>
    </cfRule>
  </conditionalFormatting>
  <conditionalFormatting sqref="D1390 D1395">
    <cfRule type="containsText" dxfId="2665" priority="5026" operator="containsText" text="Pesquisa de Preços">
      <formula>NOT(ISERROR(SEARCH("Pesquisa de Preços",D1390)))</formula>
    </cfRule>
  </conditionalFormatting>
  <conditionalFormatting sqref="D1264:D1265">
    <cfRule type="containsText" dxfId="2664" priority="5038" operator="containsText" text="Pesquisa de Preços">
      <formula>NOT(ISERROR(SEARCH("Pesquisa de Preços",D1264)))</formula>
    </cfRule>
  </conditionalFormatting>
  <conditionalFormatting sqref="D1271:D1272 D1276">
    <cfRule type="containsText" dxfId="2663" priority="5037" operator="containsText" text="Pesquisa de Preços">
      <formula>NOT(ISERROR(SEARCH("Pesquisa de Preços",D1271)))</formula>
    </cfRule>
  </conditionalFormatting>
  <conditionalFormatting sqref="D1278:D1279 D1283">
    <cfRule type="containsText" dxfId="2662" priority="5036" operator="containsText" text="Pesquisa de Preços">
      <formula>NOT(ISERROR(SEARCH("Pesquisa de Preços",D1278)))</formula>
    </cfRule>
  </conditionalFormatting>
  <conditionalFormatting sqref="D1285 D1288 D1290">
    <cfRule type="containsText" dxfId="2661" priority="5035" operator="containsText" text="Pesquisa de Preços">
      <formula>NOT(ISERROR(SEARCH("Pesquisa de Preços",D1285)))</formula>
    </cfRule>
  </conditionalFormatting>
  <conditionalFormatting sqref="D1321:D1322">
    <cfRule type="containsText" dxfId="2660" priority="5033" operator="containsText" text="Pesquisa de Preços">
      <formula>NOT(ISERROR(SEARCH("Pesquisa de Preços",D1321)))</formula>
    </cfRule>
  </conditionalFormatting>
  <conditionalFormatting sqref="D1327:D1328">
    <cfRule type="containsText" dxfId="2659" priority="5034" operator="containsText" text="Pesquisa de Preços">
      <formula>NOT(ISERROR(SEARCH("Pesquisa de Preços",D1327)))</formula>
    </cfRule>
  </conditionalFormatting>
  <conditionalFormatting sqref="D1309:D1310">
    <cfRule type="containsText" dxfId="2658" priority="5031" operator="containsText" text="Pesquisa de Preços">
      <formula>NOT(ISERROR(SEARCH("Pesquisa de Preços",D1309)))</formula>
    </cfRule>
  </conditionalFormatting>
  <conditionalFormatting sqref="D1315:D1316">
    <cfRule type="containsText" dxfId="2657" priority="5032" operator="containsText" text="Pesquisa de Preços">
      <formula>NOT(ISERROR(SEARCH("Pesquisa de Preços",D1315)))</formula>
    </cfRule>
  </conditionalFormatting>
  <conditionalFormatting sqref="D1333 D1338">
    <cfRule type="containsText" dxfId="2656" priority="5030" operator="containsText" text="Pesquisa de Preços">
      <formula>NOT(ISERROR(SEARCH("Pesquisa de Preços",D1333)))</formula>
    </cfRule>
  </conditionalFormatting>
  <conditionalFormatting sqref="D1506">
    <cfRule type="containsText" dxfId="2655" priority="5016" operator="containsText" text="Pesquisa de Preços">
      <formula>NOT(ISERROR(SEARCH("Pesquisa de Preços",D1506)))</formula>
    </cfRule>
  </conditionalFormatting>
  <conditionalFormatting sqref="D1353 D1356:D1357">
    <cfRule type="containsText" dxfId="2654" priority="5027" operator="containsText" text="Pesquisa de Preços">
      <formula>NOT(ISERROR(SEARCH("Pesquisa de Preços",D1353)))</formula>
    </cfRule>
  </conditionalFormatting>
  <conditionalFormatting sqref="D1346 D1351">
    <cfRule type="containsText" dxfId="2653" priority="5029" operator="containsText" text="Pesquisa de Preços">
      <formula>NOT(ISERROR(SEARCH("Pesquisa de Preços",D1346)))</formula>
    </cfRule>
  </conditionalFormatting>
  <conditionalFormatting sqref="D1512">
    <cfRule type="containsText" dxfId="2652" priority="5017" operator="containsText" text="Pesquisa de Preços">
      <formula>NOT(ISERROR(SEARCH("Pesquisa de Preços",D1512)))</formula>
    </cfRule>
  </conditionalFormatting>
  <conditionalFormatting sqref="D1340 D1343:D1344">
    <cfRule type="containsText" dxfId="2651" priority="5028" operator="containsText" text="Pesquisa de Preços">
      <formula>NOT(ISERROR(SEARCH("Pesquisa de Preços",D1340)))</formula>
    </cfRule>
  </conditionalFormatting>
  <conditionalFormatting sqref="D1381:D1382 D1378">
    <cfRule type="containsText" dxfId="2650" priority="5025" operator="containsText" text="Pesquisa de Preços">
      <formula>NOT(ISERROR(SEARCH("Pesquisa de Preços",D1378)))</formula>
    </cfRule>
  </conditionalFormatting>
  <conditionalFormatting sqref="D1359 D1362:D1363">
    <cfRule type="containsText" dxfId="2649" priority="5024" operator="containsText" text="Pesquisa de Preços">
      <formula>NOT(ISERROR(SEARCH("Pesquisa de Preços",D1359)))</formula>
    </cfRule>
  </conditionalFormatting>
  <conditionalFormatting sqref="D1365 D1370">
    <cfRule type="containsText" dxfId="2648" priority="5023" operator="containsText" text="Pesquisa de Preços">
      <formula>NOT(ISERROR(SEARCH("Pesquisa de Preços",D1365)))</formula>
    </cfRule>
  </conditionalFormatting>
  <conditionalFormatting sqref="D1372 D1376">
    <cfRule type="containsText" dxfId="2647" priority="5022" operator="containsText" text="Pesquisa de Preços">
      <formula>NOT(ISERROR(SEARCH("Pesquisa de Preços",D1372)))</formula>
    </cfRule>
  </conditionalFormatting>
  <conditionalFormatting sqref="D1397 D1410">
    <cfRule type="containsText" dxfId="2646" priority="5011" operator="containsText" text="Pesquisa de Preços">
      <formula>NOT(ISERROR(SEARCH("Pesquisa de Preços",D1397)))</formula>
    </cfRule>
  </conditionalFormatting>
  <conditionalFormatting sqref="D1539">
    <cfRule type="containsText" dxfId="2645" priority="5021" operator="containsText" text="Pesquisa de Preços">
      <formula>NOT(ISERROR(SEARCH("Pesquisa de Preços",D1539)))</formula>
    </cfRule>
  </conditionalFormatting>
  <conditionalFormatting sqref="D1532">
    <cfRule type="containsText" dxfId="2644" priority="5020" operator="containsText" text="Pesquisa de Preços">
      <formula>NOT(ISERROR(SEARCH("Pesquisa de Preços",D1532)))</formula>
    </cfRule>
  </conditionalFormatting>
  <conditionalFormatting sqref="D1526 D1530">
    <cfRule type="containsText" dxfId="2643" priority="5019" operator="containsText" text="Pesquisa de Preços">
      <formula>NOT(ISERROR(SEARCH("Pesquisa de Preços",D1526)))</formula>
    </cfRule>
  </conditionalFormatting>
  <conditionalFormatting sqref="D1514">
    <cfRule type="containsText" dxfId="2642" priority="5018" operator="containsText" text="Pesquisa de Preços">
      <formula>NOT(ISERROR(SEARCH("Pesquisa de Preços",D1514)))</formula>
    </cfRule>
  </conditionalFormatting>
  <conditionalFormatting sqref="D1546 D1551">
    <cfRule type="containsText" dxfId="2641" priority="5013" operator="containsText" text="Pesquisa de Preços">
      <formula>NOT(ISERROR(SEARCH("Pesquisa de Preços",D1546)))</formula>
    </cfRule>
  </conditionalFormatting>
  <conditionalFormatting sqref="D1485">
    <cfRule type="containsText" dxfId="2640" priority="5006" operator="containsText" text="Pesquisa de Preços">
      <formula>NOT(ISERROR(SEARCH("Pesquisa de Preços",D1485)))</formula>
    </cfRule>
  </conditionalFormatting>
  <conditionalFormatting sqref="D1487 D1500">
    <cfRule type="containsText" dxfId="2639" priority="5012" operator="containsText" text="Pesquisa de Preços">
      <formula>NOT(ISERROR(SEARCH("Pesquisa de Preços",D1487)))</formula>
    </cfRule>
  </conditionalFormatting>
  <conditionalFormatting sqref="D1524">
    <cfRule type="containsText" dxfId="2638" priority="5015" operator="containsText" text="Pesquisa de Preços">
      <formula>NOT(ISERROR(SEARCH("Pesquisa de Preços",D1524)))</formula>
    </cfRule>
  </conditionalFormatting>
  <conditionalFormatting sqref="D1553 D1558">
    <cfRule type="containsText" dxfId="2637" priority="5014" operator="containsText" text="Pesquisa de Preços">
      <formula>NOT(ISERROR(SEARCH("Pesquisa de Preços",D1553)))</formula>
    </cfRule>
  </conditionalFormatting>
  <conditionalFormatting sqref="D1596 D1600:D1601">
    <cfRule type="containsText" dxfId="2636" priority="4991" operator="containsText" text="Pesquisa de Preços">
      <formula>NOT(ISERROR(SEARCH("Pesquisa de Preços",D1596)))</formula>
    </cfRule>
  </conditionalFormatting>
  <conditionalFormatting sqref="D1427 D1440">
    <cfRule type="containsText" dxfId="2635" priority="5010" operator="containsText" text="Pesquisa de Preços">
      <formula>NOT(ISERROR(SEARCH("Pesquisa de Preços",D1427)))</formula>
    </cfRule>
  </conditionalFormatting>
  <conditionalFormatting sqref="D1614 D1618">
    <cfRule type="containsText" dxfId="2634" priority="4997" operator="containsText" text="Pesquisa de Preços">
      <formula>NOT(ISERROR(SEARCH("Pesquisa de Preços",D1614)))</formula>
    </cfRule>
  </conditionalFormatting>
  <conditionalFormatting sqref="D1412 D1425">
    <cfRule type="containsText" dxfId="2633" priority="5009" operator="containsText" text="Pesquisa de Preços">
      <formula>NOT(ISERROR(SEARCH("Pesquisa de Preços",D1412)))</formula>
    </cfRule>
  </conditionalFormatting>
  <conditionalFormatting sqref="D1457 D1470">
    <cfRule type="containsText" dxfId="2632" priority="5008" operator="containsText" text="Pesquisa de Preços">
      <formula>NOT(ISERROR(SEARCH("Pesquisa de Preços",D1457)))</formula>
    </cfRule>
  </conditionalFormatting>
  <conditionalFormatting sqref="D1677 D1680:D1682">
    <cfRule type="containsText" dxfId="2631" priority="4998" operator="containsText" text="Pesquisa de Preços">
      <formula>NOT(ISERROR(SEARCH("Pesquisa de Preços",D1677)))</formula>
    </cfRule>
  </conditionalFormatting>
  <conditionalFormatting sqref="D1455">
    <cfRule type="containsText" dxfId="2630" priority="5007" operator="containsText" text="Pesquisa de Preços">
      <formula>NOT(ISERROR(SEARCH("Pesquisa de Preços",D1455)))</formula>
    </cfRule>
  </conditionalFormatting>
  <conditionalFormatting sqref="D1575 D1580">
    <cfRule type="containsText" dxfId="2629" priority="5002" operator="containsText" text="Pesquisa de Preços">
      <formula>NOT(ISERROR(SEARCH("Pesquisa de Preços",D1575)))</formula>
    </cfRule>
  </conditionalFormatting>
  <conditionalFormatting sqref="D1560:D1561 D1572:D1573">
    <cfRule type="containsText" dxfId="2628" priority="5005" operator="containsText" text="Pesquisa de Preços">
      <formula>NOT(ISERROR(SEARCH("Pesquisa de Preços",D1560)))</formula>
    </cfRule>
  </conditionalFormatting>
  <conditionalFormatting sqref="D1564:D1566 D1571 D1568:D1569">
    <cfRule type="containsText" dxfId="2627" priority="5004" operator="containsText" text="Pesquisa de Preços">
      <formula>NOT(ISERROR(SEARCH("Pesquisa de Preços",D1564)))</formula>
    </cfRule>
  </conditionalFormatting>
  <conditionalFormatting sqref="D1384:D1385 D1388">
    <cfRule type="containsText" dxfId="2626" priority="5003" operator="containsText" text="Pesquisa de Preços">
      <formula>NOT(ISERROR(SEARCH("Pesquisa de Preços",D1384)))</formula>
    </cfRule>
  </conditionalFormatting>
  <conditionalFormatting sqref="D1620 D1622:D1623">
    <cfRule type="containsText" dxfId="2625" priority="4994" operator="containsText" text="Pesquisa de Preços">
      <formula>NOT(ISERROR(SEARCH("Pesquisa de Preços",D1620)))</formula>
    </cfRule>
  </conditionalFormatting>
  <conditionalFormatting sqref="D1582 D1587">
    <cfRule type="containsText" dxfId="2624" priority="5001" operator="containsText" text="Pesquisa de Preços">
      <formula>NOT(ISERROR(SEARCH("Pesquisa de Preços",D1582)))</formula>
    </cfRule>
  </conditionalFormatting>
  <conditionalFormatting sqref="D1594">
    <cfRule type="containsText" dxfId="2623" priority="5000" operator="containsText" text="Pesquisa de Preços">
      <formula>NOT(ISERROR(SEARCH("Pesquisa de Preços",D1594)))</formula>
    </cfRule>
  </conditionalFormatting>
  <conditionalFormatting sqref="D1631">
    <cfRule type="containsText" dxfId="2622" priority="4999" operator="containsText" text="Pesquisa de Preços">
      <formula>NOT(ISERROR(SEARCH("Pesquisa de Preços",D1631)))</formula>
    </cfRule>
  </conditionalFormatting>
  <conditionalFormatting sqref="D1608 D1612">
    <cfRule type="containsText" dxfId="2621" priority="4996" operator="containsText" text="Pesquisa de Preços">
      <formula>NOT(ISERROR(SEARCH("Pesquisa de Preços",D1608)))</formula>
    </cfRule>
  </conditionalFormatting>
  <conditionalFormatting sqref="D1603 D1605:D1606">
    <cfRule type="containsText" dxfId="2620" priority="4995" operator="containsText" text="Pesquisa de Preços">
      <formula>NOT(ISERROR(SEARCH("Pesquisa de Preços",D1603)))</formula>
    </cfRule>
  </conditionalFormatting>
  <conditionalFormatting sqref="D1625 D1628:D1629">
    <cfRule type="containsText" dxfId="2619" priority="4993" operator="containsText" text="Pesquisa de Preços">
      <formula>NOT(ISERROR(SEARCH("Pesquisa de Preços",D1625)))</formula>
    </cfRule>
  </conditionalFormatting>
  <conditionalFormatting sqref="D1726 D1718:D1719">
    <cfRule type="containsText" dxfId="2618" priority="4985" operator="containsText" text="Pesquisa de Preços">
      <formula>NOT(ISERROR(SEARCH("Pesquisa de Preços",D1718)))</formula>
    </cfRule>
  </conditionalFormatting>
  <conditionalFormatting sqref="D1670 D1674:D1675">
    <cfRule type="containsText" dxfId="2617" priority="4992" operator="containsText" text="Pesquisa de Preços">
      <formula>NOT(ISERROR(SEARCH("Pesquisa de Preços",D1670)))</formula>
    </cfRule>
  </conditionalFormatting>
  <conditionalFormatting sqref="D1664 D1667:D1668">
    <cfRule type="containsText" dxfId="2616" priority="4990" operator="containsText" text="Pesquisa de Preços">
      <formula>NOT(ISERROR(SEARCH("Pesquisa de Preços",D1664)))</formula>
    </cfRule>
  </conditionalFormatting>
  <conditionalFormatting sqref="D1659 D1661:D1662">
    <cfRule type="containsText" dxfId="2615" priority="4989" operator="containsText" text="Pesquisa de Preços">
      <formula>NOT(ISERROR(SEARCH("Pesquisa de Preços",D1659)))</formula>
    </cfRule>
  </conditionalFormatting>
  <conditionalFormatting sqref="D1708:D1709 D1716">
    <cfRule type="containsText" dxfId="2614" priority="4982" operator="containsText" text="Pesquisa de Preços">
      <formula>NOT(ISERROR(SEARCH("Pesquisa de Preços",D1708)))</formula>
    </cfRule>
  </conditionalFormatting>
  <conditionalFormatting sqref="D1654">
    <cfRule type="containsText" dxfId="2613" priority="4987" operator="containsText" text="Pesquisa de Preços">
      <formula>NOT(ISERROR(SEARCH("Pesquisa de Preços",D1654)))</formula>
    </cfRule>
  </conditionalFormatting>
  <conditionalFormatting sqref="D1649">
    <cfRule type="containsText" dxfId="2612" priority="4988" operator="containsText" text="Pesquisa de Preços">
      <formula>NOT(ISERROR(SEARCH("Pesquisa de Preços",D1649)))</formula>
    </cfRule>
  </conditionalFormatting>
  <conditionalFormatting sqref="D1643 D1646:D1647">
    <cfRule type="containsText" dxfId="2611" priority="4986" operator="containsText" text="Pesquisa de Preços">
      <formula>NOT(ISERROR(SEARCH("Pesquisa de Preços",D1643)))</formula>
    </cfRule>
  </conditionalFormatting>
  <conditionalFormatting sqref="D1736 D1728:D1729">
    <cfRule type="containsText" dxfId="2610" priority="4984" operator="containsText" text="Pesquisa de Preços">
      <formula>NOT(ISERROR(SEARCH("Pesquisa de Preços",D1728)))</formula>
    </cfRule>
  </conditionalFormatting>
  <conditionalFormatting sqref="D1698:D1699 D1706">
    <cfRule type="containsText" dxfId="2609" priority="4983" operator="containsText" text="Pesquisa de Preços">
      <formula>NOT(ISERROR(SEARCH("Pesquisa de Preços",D1698)))</formula>
    </cfRule>
  </conditionalFormatting>
  <conditionalFormatting sqref="D1684:D1685 D1688">
    <cfRule type="containsText" dxfId="2608" priority="4981" operator="containsText" text="Pesquisa de Preços">
      <formula>NOT(ISERROR(SEARCH("Pesquisa de Preços",D1684)))</formula>
    </cfRule>
  </conditionalFormatting>
  <conditionalFormatting sqref="D1690">
    <cfRule type="containsText" dxfId="2607" priority="4980" operator="containsText" text="Pesquisa de Preços">
      <formula>NOT(ISERROR(SEARCH("Pesquisa de Preços",D1690)))</formula>
    </cfRule>
  </conditionalFormatting>
  <conditionalFormatting sqref="D1693:D1694">
    <cfRule type="containsText" dxfId="2606" priority="4979" operator="containsText" text="Pesquisa de Preços">
      <formula>NOT(ISERROR(SEARCH("Pesquisa de Preços",D1693)))</formula>
    </cfRule>
  </conditionalFormatting>
  <conditionalFormatting sqref="D1799">
    <cfRule type="containsText" dxfId="2605" priority="4978" operator="containsText" text="Pesquisa de Preços">
      <formula>NOT(ISERROR(SEARCH("Pesquisa de Preços",D1799)))</formula>
    </cfRule>
  </conditionalFormatting>
  <conditionalFormatting sqref="D1794">
    <cfRule type="containsText" dxfId="2604" priority="4977" operator="containsText" text="Pesquisa de Preços">
      <formula>NOT(ISERROR(SEARCH("Pesquisa de Preços",D1794)))</formula>
    </cfRule>
  </conditionalFormatting>
  <conditionalFormatting sqref="D1804 D1807:D1808">
    <cfRule type="containsText" dxfId="2603" priority="4976" operator="containsText" text="Pesquisa de Preços">
      <formula>NOT(ISERROR(SEARCH("Pesquisa de Preços",D1804)))</formula>
    </cfRule>
  </conditionalFormatting>
  <conditionalFormatting sqref="D1810 D1813:D1814">
    <cfRule type="containsText" dxfId="2602" priority="4975" operator="containsText" text="Pesquisa de Preços">
      <formula>NOT(ISERROR(SEARCH("Pesquisa de Preços",D1810)))</formula>
    </cfRule>
  </conditionalFormatting>
  <conditionalFormatting sqref="D1823 D1826:D1827">
    <cfRule type="containsText" dxfId="2601" priority="4974" operator="containsText" text="Pesquisa de Preços">
      <formula>NOT(ISERROR(SEARCH("Pesquisa de Preços",D1823)))</formula>
    </cfRule>
  </conditionalFormatting>
  <conditionalFormatting sqref="D1829 D1832:D1833">
    <cfRule type="containsText" dxfId="2600" priority="4973" operator="containsText" text="Pesquisa de Preços">
      <formula>NOT(ISERROR(SEARCH("Pesquisa de Preços",D1829)))</formula>
    </cfRule>
  </conditionalFormatting>
  <conditionalFormatting sqref="D1816 D1821">
    <cfRule type="containsText" dxfId="2599" priority="4972" operator="containsText" text="Pesquisa de Preços">
      <formula>NOT(ISERROR(SEARCH("Pesquisa de Preços",D1816)))</formula>
    </cfRule>
  </conditionalFormatting>
  <conditionalFormatting sqref="D1835 D1838:D1839">
    <cfRule type="containsText" dxfId="2598" priority="4971" operator="containsText" text="Pesquisa de Preços">
      <formula>NOT(ISERROR(SEARCH("Pesquisa de Preços",D1835)))</formula>
    </cfRule>
  </conditionalFormatting>
  <conditionalFormatting sqref="D1841 D1845">
    <cfRule type="containsText" dxfId="2597" priority="4970" operator="containsText" text="Pesquisa de Preços">
      <formula>NOT(ISERROR(SEARCH("Pesquisa de Preços",D1841)))</formula>
    </cfRule>
  </conditionalFormatting>
  <conditionalFormatting sqref="D1877 D1880:D1881">
    <cfRule type="containsText" dxfId="2596" priority="4969" operator="containsText" text="Pesquisa de Preços">
      <formula>NOT(ISERROR(SEARCH("Pesquisa de Preços",D1877)))</formula>
    </cfRule>
  </conditionalFormatting>
  <conditionalFormatting sqref="D1853 D1856:D1857">
    <cfRule type="containsText" dxfId="2595" priority="4968" operator="containsText" text="Pesquisa de Preços">
      <formula>NOT(ISERROR(SEARCH("Pesquisa de Preços",D1853)))</formula>
    </cfRule>
  </conditionalFormatting>
  <conditionalFormatting sqref="D1871 D1875">
    <cfRule type="containsText" dxfId="2594" priority="4967" operator="containsText" text="Pesquisa de Preços">
      <formula>NOT(ISERROR(SEARCH("Pesquisa de Preços",D1871)))</formula>
    </cfRule>
  </conditionalFormatting>
  <conditionalFormatting sqref="D1847 D1850:D1851">
    <cfRule type="containsText" dxfId="2593" priority="4966" operator="containsText" text="Pesquisa de Preços">
      <formula>NOT(ISERROR(SEARCH("Pesquisa de Preços",D1847)))</formula>
    </cfRule>
  </conditionalFormatting>
  <conditionalFormatting sqref="D1859 D1862:D1863">
    <cfRule type="containsText" dxfId="2592" priority="4965" operator="containsText" text="Pesquisa de Preços">
      <formula>NOT(ISERROR(SEARCH("Pesquisa de Preços",D1859)))</formula>
    </cfRule>
  </conditionalFormatting>
  <conditionalFormatting sqref="D1865 D1869">
    <cfRule type="containsText" dxfId="2591" priority="4964" operator="containsText" text="Pesquisa de Preços">
      <formula>NOT(ISERROR(SEARCH("Pesquisa de Preços",D1865)))</formula>
    </cfRule>
  </conditionalFormatting>
  <conditionalFormatting sqref="D1910 D1913:D1914">
    <cfRule type="containsText" dxfId="2590" priority="4958" operator="containsText" text="Pesquisa de Preços">
      <formula>NOT(ISERROR(SEARCH("Pesquisa de Preços",D1910)))</formula>
    </cfRule>
  </conditionalFormatting>
  <conditionalFormatting sqref="D1883 D1886:D1887">
    <cfRule type="containsText" dxfId="2589" priority="4963" operator="containsText" text="Pesquisa de Preços">
      <formula>NOT(ISERROR(SEARCH("Pesquisa de Preços",D1883)))</formula>
    </cfRule>
  </conditionalFormatting>
  <conditionalFormatting sqref="D1889 D1892:D1893">
    <cfRule type="containsText" dxfId="2588" priority="4962" operator="containsText" text="Pesquisa de Preços">
      <formula>NOT(ISERROR(SEARCH("Pesquisa de Preços",D1889)))</formula>
    </cfRule>
  </conditionalFormatting>
  <conditionalFormatting sqref="D1895">
    <cfRule type="containsText" dxfId="2587" priority="4961" operator="containsText" text="Pesquisa de Preços">
      <formula>NOT(ISERROR(SEARCH("Pesquisa de Preços",D1895)))</formula>
    </cfRule>
  </conditionalFormatting>
  <conditionalFormatting sqref="D1905 D1908">
    <cfRule type="containsText" dxfId="2586" priority="4960" operator="containsText" text="Pesquisa de Preços">
      <formula>NOT(ISERROR(SEARCH("Pesquisa de Preços",D1905)))</formula>
    </cfRule>
  </conditionalFormatting>
  <conditionalFormatting sqref="D1900">
    <cfRule type="containsText" dxfId="2585" priority="4959" operator="containsText" text="Pesquisa de Preços">
      <formula>NOT(ISERROR(SEARCH("Pesquisa de Preços",D1900)))</formula>
    </cfRule>
  </conditionalFormatting>
  <conditionalFormatting sqref="D1933 D1936:D1937">
    <cfRule type="containsText" dxfId="2584" priority="4957" operator="containsText" text="Pesquisa de Preços">
      <formula>NOT(ISERROR(SEARCH("Pesquisa de Preços",D1933)))</formula>
    </cfRule>
  </conditionalFormatting>
  <conditionalFormatting sqref="D1942:D1943">
    <cfRule type="containsText" dxfId="2583" priority="4956" operator="containsText" text="Pesquisa de Preços">
      <formula>NOT(ISERROR(SEARCH("Pesquisa de Preços",D1942)))</formula>
    </cfRule>
  </conditionalFormatting>
  <conditionalFormatting sqref="D1952 D1957">
    <cfRule type="containsText" dxfId="2582" priority="4953" operator="containsText" text="Pesquisa de Preços">
      <formula>NOT(ISERROR(SEARCH("Pesquisa de Preços",D1952)))</formula>
    </cfRule>
  </conditionalFormatting>
  <conditionalFormatting sqref="D1955">
    <cfRule type="containsText" dxfId="2581" priority="4952" operator="containsText" text="Pesquisa de Preços">
      <formula>NOT(ISERROR(SEARCH("Pesquisa de Preços",D1955)))</formula>
    </cfRule>
  </conditionalFormatting>
  <conditionalFormatting sqref="D1967 D1972:D1973">
    <cfRule type="containsText" dxfId="2580" priority="4955" operator="containsText" text="Pesquisa de Preços">
      <formula>NOT(ISERROR(SEARCH("Pesquisa de Preços",D1967)))</formula>
    </cfRule>
  </conditionalFormatting>
  <conditionalFormatting sqref="D1959 D1965">
    <cfRule type="containsText" dxfId="2579" priority="4954" operator="containsText" text="Pesquisa de Preços">
      <formula>NOT(ISERROR(SEARCH("Pesquisa de Preços",D1959)))</formula>
    </cfRule>
  </conditionalFormatting>
  <conditionalFormatting sqref="D1945 D1950">
    <cfRule type="containsText" dxfId="2578" priority="4951" operator="containsText" text="Pesquisa de Preços">
      <formula>NOT(ISERROR(SEARCH("Pesquisa de Preços",D1945)))</formula>
    </cfRule>
  </conditionalFormatting>
  <conditionalFormatting sqref="D1948">
    <cfRule type="containsText" dxfId="2577" priority="4950" operator="containsText" text="Pesquisa de Preços">
      <formula>NOT(ISERROR(SEARCH("Pesquisa de Preços",D1948)))</formula>
    </cfRule>
  </conditionalFormatting>
  <conditionalFormatting sqref="D1996 D2001">
    <cfRule type="containsText" dxfId="2576" priority="4949" operator="containsText" text="Pesquisa de Preços">
      <formula>NOT(ISERROR(SEARCH("Pesquisa de Preços",D1996)))</formula>
    </cfRule>
  </conditionalFormatting>
  <conditionalFormatting sqref="D1989 D1994">
    <cfRule type="containsText" dxfId="2575" priority="4948" operator="containsText" text="Pesquisa de Preços">
      <formula>NOT(ISERROR(SEARCH("Pesquisa de Preços",D1989)))</formula>
    </cfRule>
  </conditionalFormatting>
  <conditionalFormatting sqref="D1982 D1987">
    <cfRule type="containsText" dxfId="2574" priority="4947" operator="containsText" text="Pesquisa de Preços">
      <formula>NOT(ISERROR(SEARCH("Pesquisa de Preços",D1982)))</formula>
    </cfRule>
  </conditionalFormatting>
  <conditionalFormatting sqref="D1975 D1980">
    <cfRule type="containsText" dxfId="2573" priority="4946" operator="containsText" text="Pesquisa de Preços">
      <formula>NOT(ISERROR(SEARCH("Pesquisa de Preços",D1975)))</formula>
    </cfRule>
  </conditionalFormatting>
  <conditionalFormatting sqref="D2121">
    <cfRule type="containsText" dxfId="2572" priority="4945" operator="containsText" text="Pesquisa de Preços">
      <formula>NOT(ISERROR(SEARCH("Pesquisa de Preços",D2121)))</formula>
    </cfRule>
  </conditionalFormatting>
  <conditionalFormatting sqref="D2115">
    <cfRule type="containsText" dxfId="2571" priority="4944" operator="containsText" text="Pesquisa de Preços">
      <formula>NOT(ISERROR(SEARCH("Pesquisa de Preços",D2115)))</formula>
    </cfRule>
  </conditionalFormatting>
  <conditionalFormatting sqref="D2109">
    <cfRule type="containsText" dxfId="2570" priority="4943" operator="containsText" text="Pesquisa de Preços">
      <formula>NOT(ISERROR(SEARCH("Pesquisa de Preços",D2109)))</formula>
    </cfRule>
  </conditionalFormatting>
  <conditionalFormatting sqref="D2103">
    <cfRule type="containsText" dxfId="2569" priority="4942" operator="containsText" text="Pesquisa de Preços">
      <formula>NOT(ISERROR(SEARCH("Pesquisa de Preços",D2103)))</formula>
    </cfRule>
  </conditionalFormatting>
  <conditionalFormatting sqref="D2135 D2139:D2141">
    <cfRule type="containsText" dxfId="2568" priority="4941" operator="containsText" text="Pesquisa de Preços">
      <formula>NOT(ISERROR(SEARCH("Pesquisa de Preços",D2135)))</formula>
    </cfRule>
  </conditionalFormatting>
  <conditionalFormatting sqref="D2151 D2155:D2157">
    <cfRule type="containsText" dxfId="2567" priority="4940" operator="containsText" text="Pesquisa de Preços">
      <formula>NOT(ISERROR(SEARCH("Pesquisa de Preços",D2151)))</formula>
    </cfRule>
  </conditionalFormatting>
  <conditionalFormatting sqref="D2131:D2133">
    <cfRule type="containsText" dxfId="2566" priority="4939" operator="containsText" text="Pesquisa de Preços">
      <formula>NOT(ISERROR(SEARCH("Pesquisa de Preços",D2131)))</formula>
    </cfRule>
  </conditionalFormatting>
  <conditionalFormatting sqref="D2163:D2165">
    <cfRule type="containsText" dxfId="2565" priority="4938" operator="containsText" text="Pesquisa de Preços">
      <formula>NOT(ISERROR(SEARCH("Pesquisa de Preços",D2163)))</formula>
    </cfRule>
  </conditionalFormatting>
  <conditionalFormatting sqref="D2041 D2045:D2047">
    <cfRule type="containsText" dxfId="2564" priority="4934" operator="containsText" text="Pesquisa de Preços">
      <formula>NOT(ISERROR(SEARCH("Pesquisa de Preços",D2041)))</formula>
    </cfRule>
  </conditionalFormatting>
  <conditionalFormatting sqref="D2147:D2149">
    <cfRule type="containsText" dxfId="2563" priority="4937" operator="containsText" text="Pesquisa de Preços">
      <formula>NOT(ISERROR(SEARCH("Pesquisa de Preços",D2147)))</formula>
    </cfRule>
  </conditionalFormatting>
  <conditionalFormatting sqref="D2171:D2173">
    <cfRule type="containsText" dxfId="2562" priority="4936" operator="containsText" text="Pesquisa de Preços">
      <formula>NOT(ISERROR(SEARCH("Pesquisa de Preços",D2171)))</formula>
    </cfRule>
  </conditionalFormatting>
  <conditionalFormatting sqref="D2025 D2029:D2031">
    <cfRule type="containsText" dxfId="2561" priority="4935" operator="containsText" text="Pesquisa de Preços">
      <formula>NOT(ISERROR(SEARCH("Pesquisa de Preços",D2025)))</formula>
    </cfRule>
  </conditionalFormatting>
  <conditionalFormatting sqref="D2033 D2037:D2039">
    <cfRule type="containsText" dxfId="2560" priority="4931" operator="containsText" text="Pesquisa de Preços">
      <formula>NOT(ISERROR(SEARCH("Pesquisa de Preços",D2033)))</formula>
    </cfRule>
  </conditionalFormatting>
  <conditionalFormatting sqref="D2318:D2319 D2322">
    <cfRule type="containsText" dxfId="2559" priority="4910" operator="containsText" text="Pesquisa de Preços">
      <formula>NOT(ISERROR(SEARCH("Pesquisa de Preços",D2318)))</formula>
    </cfRule>
  </conditionalFormatting>
  <conditionalFormatting sqref="D2017 D2021:D2023">
    <cfRule type="containsText" dxfId="2558" priority="4933" operator="containsText" text="Pesquisa de Preços">
      <formula>NOT(ISERROR(SEARCH("Pesquisa de Preços",D2017)))</formula>
    </cfRule>
  </conditionalFormatting>
  <conditionalFormatting sqref="D2049 D2053:D2055">
    <cfRule type="containsText" dxfId="2557" priority="4932" operator="containsText" text="Pesquisa de Preços">
      <formula>NOT(ISERROR(SEARCH("Pesquisa de Preços",D2049)))</formula>
    </cfRule>
  </conditionalFormatting>
  <conditionalFormatting sqref="D2297">
    <cfRule type="containsText" dxfId="2556" priority="4912" operator="containsText" text="Pesquisa de Preços">
      <formula>NOT(ISERROR(SEARCH("Pesquisa de Preços",D2297)))</formula>
    </cfRule>
  </conditionalFormatting>
  <conditionalFormatting sqref="D2057 D2061:D2063">
    <cfRule type="containsText" dxfId="2555" priority="4930" operator="containsText" text="Pesquisa de Preços">
      <formula>NOT(ISERROR(SEARCH("Pesquisa de Preços",D2057)))</formula>
    </cfRule>
  </conditionalFormatting>
  <conditionalFormatting sqref="D2236">
    <cfRule type="containsText" dxfId="2554" priority="4919" operator="containsText" text="Pesquisa de Preços">
      <formula>NOT(ISERROR(SEARCH("Pesquisa de Preços",D2236)))</formula>
    </cfRule>
  </conditionalFormatting>
  <conditionalFormatting sqref="D2015">
    <cfRule type="containsText" dxfId="2553" priority="4929" operator="containsText" text="Pesquisa de Preços">
      <formula>NOT(ISERROR(SEARCH("Pesquisa de Preços",D2015)))</formula>
    </cfRule>
  </conditionalFormatting>
  <conditionalFormatting sqref="D2093:D2095">
    <cfRule type="containsText" dxfId="2552" priority="4928" operator="containsText" text="Pesquisa de Preços">
      <formula>NOT(ISERROR(SEARCH("Pesquisa de Preços",D2093)))</formula>
    </cfRule>
  </conditionalFormatting>
  <conditionalFormatting sqref="D2085:D2087">
    <cfRule type="containsText" dxfId="2551" priority="4927" operator="containsText" text="Pesquisa de Preços">
      <formula>NOT(ISERROR(SEARCH("Pesquisa de Preços",D2085)))</formula>
    </cfRule>
  </conditionalFormatting>
  <conditionalFormatting sqref="D2079">
    <cfRule type="containsText" dxfId="2550" priority="4926" operator="containsText" text="Pesquisa de Preços">
      <formula>NOT(ISERROR(SEARCH("Pesquisa de Preços",D2079)))</formula>
    </cfRule>
  </conditionalFormatting>
  <conditionalFormatting sqref="D2003 D2006:D2007">
    <cfRule type="containsText" dxfId="2549" priority="4925" operator="containsText" text="Pesquisa de Preços">
      <formula>NOT(ISERROR(SEARCH("Pesquisa de Preços",D2003)))</formula>
    </cfRule>
  </conditionalFormatting>
  <conditionalFormatting sqref="D2097">
    <cfRule type="containsText" dxfId="2548" priority="4924" operator="containsText" text="Pesquisa de Preços">
      <formula>NOT(ISERROR(SEARCH("Pesquisa de Preços",D2097)))</formula>
    </cfRule>
  </conditionalFormatting>
  <conditionalFormatting sqref="D2191">
    <cfRule type="containsText" dxfId="2547" priority="4923" operator="containsText" text="Pesquisa de Preços">
      <formula>NOT(ISERROR(SEARCH("Pesquisa de Preços",D2191)))</formula>
    </cfRule>
  </conditionalFormatting>
  <conditionalFormatting sqref="D2196">
    <cfRule type="containsText" dxfId="2546" priority="4922" operator="containsText" text="Pesquisa de Preços">
      <formula>NOT(ISERROR(SEARCH("Pesquisa de Preços",D2196)))</formula>
    </cfRule>
  </conditionalFormatting>
  <conditionalFormatting sqref="D2216 D2219:D2220">
    <cfRule type="containsText" dxfId="2545" priority="4921" operator="containsText" text="Pesquisa de Preços">
      <formula>NOT(ISERROR(SEARCH("Pesquisa de Preços",D2216)))</formula>
    </cfRule>
  </conditionalFormatting>
  <conditionalFormatting sqref="D2210 D2214">
    <cfRule type="containsText" dxfId="2544" priority="4920" operator="containsText" text="Pesquisa de Preços">
      <formula>NOT(ISERROR(SEARCH("Pesquisa de Preços",D2210)))</formula>
    </cfRule>
  </conditionalFormatting>
  <conditionalFormatting sqref="D2282">
    <cfRule type="containsText" dxfId="2543" priority="4917" operator="containsText" text="Pesquisa de Preços">
      <formula>NOT(ISERROR(SEARCH("Pesquisa de Preços",D2282)))</formula>
    </cfRule>
  </conditionalFormatting>
  <conditionalFormatting sqref="D2239">
    <cfRule type="containsText" dxfId="2542" priority="4918" operator="containsText" text="Pesquisa de Preços">
      <formula>NOT(ISERROR(SEARCH("Pesquisa de Preços",D2239)))</formula>
    </cfRule>
  </conditionalFormatting>
  <conditionalFormatting sqref="D2272">
    <cfRule type="containsText" dxfId="2541" priority="4916" operator="containsText" text="Pesquisa de Preços">
      <formula>NOT(ISERROR(SEARCH("Pesquisa de Preços",D2272)))</formula>
    </cfRule>
  </conditionalFormatting>
  <conditionalFormatting sqref="D2262 D2270">
    <cfRule type="containsText" dxfId="2540" priority="4915" operator="containsText" text="Pesquisa de Preços">
      <formula>NOT(ISERROR(SEARCH("Pesquisa de Preços",D2262)))</formula>
    </cfRule>
  </conditionalFormatting>
  <conditionalFormatting sqref="D2222">
    <cfRule type="containsText" dxfId="2539" priority="4914" operator="containsText" text="Pesquisa de Preços">
      <formula>NOT(ISERROR(SEARCH("Pesquisa de Preços",D2222)))</formula>
    </cfRule>
  </conditionalFormatting>
  <conditionalFormatting sqref="D2299">
    <cfRule type="containsText" dxfId="2538" priority="4913" operator="containsText" text="Pesquisa de Preços">
      <formula>NOT(ISERROR(SEARCH("Pesquisa de Preços",D2299)))</formula>
    </cfRule>
  </conditionalFormatting>
  <conditionalFormatting sqref="D2330">
    <cfRule type="containsText" dxfId="2537" priority="4911" operator="containsText" text="Pesquisa de Preços">
      <formula>NOT(ISERROR(SEARCH("Pesquisa de Preços",D2330)))</formula>
    </cfRule>
  </conditionalFormatting>
  <conditionalFormatting sqref="D2312:D2313 D2316">
    <cfRule type="containsText" dxfId="2536" priority="4909" operator="containsText" text="Pesquisa de Preços">
      <formula>NOT(ISERROR(SEARCH("Pesquisa de Preços",D2312)))</formula>
    </cfRule>
  </conditionalFormatting>
  <conditionalFormatting sqref="D2324:D2325 D2328">
    <cfRule type="containsText" dxfId="2535" priority="4908" operator="containsText" text="Pesquisa de Preços">
      <formula>NOT(ISERROR(SEARCH("Pesquisa de Preços",D2324)))</formula>
    </cfRule>
  </conditionalFormatting>
  <conditionalFormatting sqref="D2306 D2310">
    <cfRule type="containsText" dxfId="2534" priority="4907" operator="containsText" text="Pesquisa de Preços">
      <formula>NOT(ISERROR(SEARCH("Pesquisa de Preços",D2306)))</formula>
    </cfRule>
  </conditionalFormatting>
  <conditionalFormatting sqref="D2335 D2337:D2338">
    <cfRule type="containsText" dxfId="2533" priority="4906" operator="containsText" text="Pesquisa de Preços">
      <formula>NOT(ISERROR(SEARCH("Pesquisa de Preços",D2335)))</formula>
    </cfRule>
  </conditionalFormatting>
  <conditionalFormatting sqref="D2340 D2342:D2343">
    <cfRule type="containsText" dxfId="2532" priority="4905" operator="containsText" text="Pesquisa de Preços">
      <formula>NOT(ISERROR(SEARCH("Pesquisa de Preços",D2340)))</formula>
    </cfRule>
  </conditionalFormatting>
  <conditionalFormatting sqref="D897 D900:D902">
    <cfRule type="containsText" dxfId="2531" priority="4904" operator="containsText" text="Pesquisa de Preços">
      <formula>NOT(ISERROR(SEARCH("Pesquisa de Preços",D897)))</formula>
    </cfRule>
  </conditionalFormatting>
  <conditionalFormatting sqref="D857:D858">
    <cfRule type="containsText" dxfId="2530" priority="4901" operator="containsText" text="Pesquisa de Preços">
      <formula>NOT(ISERROR(SEARCH("Pesquisa de Preços",D857)))</formula>
    </cfRule>
  </conditionalFormatting>
  <conditionalFormatting sqref="D876 D882">
    <cfRule type="containsText" dxfId="2529" priority="4903" operator="containsText" text="Pesquisa de Preços">
      <formula>NOT(ISERROR(SEARCH("Pesquisa de Preços",D876)))</formula>
    </cfRule>
  </conditionalFormatting>
  <conditionalFormatting sqref="D884 D890">
    <cfRule type="containsText" dxfId="2528" priority="4902" operator="containsText" text="Pesquisa de Preços">
      <formula>NOT(ISERROR(SEARCH("Pesquisa de Preços",D884)))</formula>
    </cfRule>
  </conditionalFormatting>
  <conditionalFormatting sqref="D858">
    <cfRule type="containsText" dxfId="2527" priority="4900" operator="containsText" text="Pesquisa de Preços">
      <formula>NOT(ISERROR(SEARCH("Pesquisa de Preços",D858)))</formula>
    </cfRule>
  </conditionalFormatting>
  <conditionalFormatting sqref="D846 D848:D849">
    <cfRule type="containsText" dxfId="2526" priority="4899" operator="containsText" text="Pesquisa de Preços">
      <formula>NOT(ISERROR(SEARCH("Pesquisa de Preços",D846)))</formula>
    </cfRule>
  </conditionalFormatting>
  <conditionalFormatting sqref="D851 D855">
    <cfRule type="containsText" dxfId="2525" priority="4898" operator="containsText" text="Pesquisa de Preços">
      <formula>NOT(ISERROR(SEARCH("Pesquisa de Preços",D851)))</formula>
    </cfRule>
  </conditionalFormatting>
  <conditionalFormatting sqref="D868">
    <cfRule type="containsText" dxfId="2524" priority="4897" operator="containsText" text="Pesquisa de Preços">
      <formula>NOT(ISERROR(SEARCH("Pesquisa de Preços",D868)))</formula>
    </cfRule>
  </conditionalFormatting>
  <conditionalFormatting sqref="D863">
    <cfRule type="containsText" dxfId="2523" priority="4896" operator="containsText" text="Pesquisa de Preços">
      <formula>NOT(ISERROR(SEARCH("Pesquisa de Preços",D863)))</formula>
    </cfRule>
  </conditionalFormatting>
  <conditionalFormatting sqref="D892">
    <cfRule type="containsText" dxfId="2522" priority="4895" operator="containsText" text="Pesquisa de Preços">
      <formula>NOT(ISERROR(SEARCH("Pesquisa de Preços",D892)))</formula>
    </cfRule>
  </conditionalFormatting>
  <conditionalFormatting sqref="D904">
    <cfRule type="containsText" dxfId="2521" priority="4894" operator="containsText" text="Pesquisa de Preços">
      <formula>NOT(ISERROR(SEARCH("Pesquisa de Preços",D904)))</formula>
    </cfRule>
  </conditionalFormatting>
  <conditionalFormatting sqref="D2351:D2352">
    <cfRule type="containsText" dxfId="2520" priority="4893" operator="containsText" text="Pesquisa de Preços">
      <formula>NOT(ISERROR(SEARCH("Pesquisa de Preços",D2351)))</formula>
    </cfRule>
  </conditionalFormatting>
  <conditionalFormatting sqref="D2359 D2362 D2364">
    <cfRule type="containsText" dxfId="2519" priority="4892" operator="containsText" text="Pesquisa de Preços">
      <formula>NOT(ISERROR(SEARCH("Pesquisa de Preços",D2359)))</formula>
    </cfRule>
  </conditionalFormatting>
  <conditionalFormatting sqref="D2345 D2348:D2349">
    <cfRule type="containsText" dxfId="2518" priority="4891" operator="containsText" text="Pesquisa de Preços">
      <formula>NOT(ISERROR(SEARCH("Pesquisa de Preços",D2345)))</formula>
    </cfRule>
  </conditionalFormatting>
  <conditionalFormatting sqref="D2372 D2377">
    <cfRule type="containsText" dxfId="2517" priority="4890" operator="containsText" text="Pesquisa de Preços">
      <formula>NOT(ISERROR(SEARCH("Pesquisa de Preços",D2372)))</formula>
    </cfRule>
  </conditionalFormatting>
  <conditionalFormatting sqref="D2366">
    <cfRule type="containsText" dxfId="2516" priority="4889" operator="containsText" text="Pesquisa de Preços">
      <formula>NOT(ISERROR(SEARCH("Pesquisa de Preços",D2366)))</formula>
    </cfRule>
  </conditionalFormatting>
  <conditionalFormatting sqref="D1752 D1757">
    <cfRule type="containsText" dxfId="2515" priority="4887" operator="containsText" text="Pesquisa de Preços">
      <formula>NOT(ISERROR(SEARCH("Pesquisa de Preços",D1752)))</formula>
    </cfRule>
  </conditionalFormatting>
  <conditionalFormatting sqref="D1755">
    <cfRule type="containsText" dxfId="2514" priority="4886" operator="containsText" text="Pesquisa de Preços">
      <formula>NOT(ISERROR(SEARCH("Pesquisa de Preços",D1755)))</formula>
    </cfRule>
  </conditionalFormatting>
  <conditionalFormatting sqref="D1766 D1771">
    <cfRule type="containsText" dxfId="2513" priority="4884" operator="containsText" text="Pesquisa de Preços">
      <formula>NOT(ISERROR(SEARCH("Pesquisa de Preços",D1766)))</formula>
    </cfRule>
  </conditionalFormatting>
  <conditionalFormatting sqref="D1769">
    <cfRule type="containsText" dxfId="2512" priority="4883" operator="containsText" text="Pesquisa de Preços">
      <formula>NOT(ISERROR(SEARCH("Pesquisa de Preços",D1769)))</formula>
    </cfRule>
  </conditionalFormatting>
  <conditionalFormatting sqref="D1780 D1785">
    <cfRule type="containsText" dxfId="2511" priority="4881" operator="containsText" text="Pesquisa de Preços">
      <formula>NOT(ISERROR(SEARCH("Pesquisa de Preços",D1780)))</formula>
    </cfRule>
  </conditionalFormatting>
  <conditionalFormatting sqref="D1783">
    <cfRule type="containsText" dxfId="2510" priority="4880" operator="containsText" text="Pesquisa de Preços">
      <formula>NOT(ISERROR(SEARCH("Pesquisa de Preços",D1783)))</formula>
    </cfRule>
  </conditionalFormatting>
  <conditionalFormatting sqref="D1738 D1743">
    <cfRule type="containsText" dxfId="2509" priority="4878" operator="containsText" text="Pesquisa de Preços">
      <formula>NOT(ISERROR(SEARCH("Pesquisa de Preços",D1738)))</formula>
    </cfRule>
  </conditionalFormatting>
  <conditionalFormatting sqref="D1741">
    <cfRule type="containsText" dxfId="2508" priority="4877" operator="containsText" text="Pesquisa de Preços">
      <formula>NOT(ISERROR(SEARCH("Pesquisa de Preços",D1741)))</formula>
    </cfRule>
  </conditionalFormatting>
  <conditionalFormatting sqref="D1745 D1750">
    <cfRule type="containsText" dxfId="2507" priority="4875" operator="containsText" text="Pesquisa de Preços">
      <formula>NOT(ISERROR(SEARCH("Pesquisa de Preços",D1745)))</formula>
    </cfRule>
  </conditionalFormatting>
  <conditionalFormatting sqref="D594">
    <cfRule type="containsText" dxfId="2506" priority="4851" operator="containsText" text="Pesquisa de Preços">
      <formula>NOT(ISERROR(SEARCH("Pesquisa de Preços",D594)))</formula>
    </cfRule>
  </conditionalFormatting>
  <conditionalFormatting sqref="D1748">
    <cfRule type="containsText" dxfId="2505" priority="4874" operator="containsText" text="Pesquisa de Preços">
      <formula>NOT(ISERROR(SEARCH("Pesquisa de Preços",D1748)))</formula>
    </cfRule>
  </conditionalFormatting>
  <conditionalFormatting sqref="D1764 D1759">
    <cfRule type="containsText" dxfId="2504" priority="4872" operator="containsText" text="Pesquisa de Preços">
      <formula>NOT(ISERROR(SEARCH("Pesquisa de Preços",D1759)))</formula>
    </cfRule>
  </conditionalFormatting>
  <conditionalFormatting sqref="D1762">
    <cfRule type="containsText" dxfId="2503" priority="4871" operator="containsText" text="Pesquisa de Preços">
      <formula>NOT(ISERROR(SEARCH("Pesquisa de Preços",D1762)))</formula>
    </cfRule>
  </conditionalFormatting>
  <conditionalFormatting sqref="D1773 D1778">
    <cfRule type="containsText" dxfId="2502" priority="4870" operator="containsText" text="Pesquisa de Preços">
      <formula>NOT(ISERROR(SEARCH("Pesquisa de Preços",D1773)))</formula>
    </cfRule>
  </conditionalFormatting>
  <conditionalFormatting sqref="D1776">
    <cfRule type="containsText" dxfId="2501" priority="4869" operator="containsText" text="Pesquisa de Preços">
      <formula>NOT(ISERROR(SEARCH("Pesquisa de Preços",D1776)))</formula>
    </cfRule>
  </conditionalFormatting>
  <conditionalFormatting sqref="D1165">
    <cfRule type="containsText" dxfId="2500" priority="4868" operator="containsText" text="Pesquisa de Preços">
      <formula>NOT(ISERROR(SEARCH("Pesquisa de Preços",D1165)))</formula>
    </cfRule>
  </conditionalFormatting>
  <conditionalFormatting sqref="D1844">
    <cfRule type="containsText" dxfId="2499" priority="4867" operator="containsText" text="Pesquisa de Preços">
      <formula>NOT(ISERROR(SEARCH("Pesquisa de Preços",D1844)))</formula>
    </cfRule>
  </conditionalFormatting>
  <conditionalFormatting sqref="D1964">
    <cfRule type="containsText" dxfId="2498" priority="4866" operator="containsText" text="Pesquisa de Preços">
      <formula>NOT(ISERROR(SEARCH("Pesquisa de Preços",D1964)))</formula>
    </cfRule>
  </conditionalFormatting>
  <conditionalFormatting sqref="D2077:D2078">
    <cfRule type="containsText" dxfId="2497" priority="4865" operator="containsText" text="Pesquisa de Preços">
      <formula>NOT(ISERROR(SEARCH("Pesquisa de Preços",D2077)))</formula>
    </cfRule>
  </conditionalFormatting>
  <conditionalFormatting sqref="D2013:D2014">
    <cfRule type="containsText" dxfId="2496" priority="4864" operator="containsText" text="Pesquisa de Preços">
      <formula>NOT(ISERROR(SEARCH("Pesquisa de Preços",D2013)))</formula>
    </cfRule>
  </conditionalFormatting>
  <conditionalFormatting sqref="D1673">
    <cfRule type="containsText" dxfId="2495" priority="4831" operator="containsText" text="Pesquisa de Preços">
      <formula>NOT(ISERROR(SEARCH("Pesquisa de Preços",D1673)))</formula>
    </cfRule>
  </conditionalFormatting>
  <conditionalFormatting sqref="D450">
    <cfRule type="containsText" dxfId="2494" priority="4863" operator="containsText" text="Pesquisa de Preços">
      <formula>NOT(ISERROR(SEARCH("Pesquisa de Preços",D450)))</formula>
    </cfRule>
  </conditionalFormatting>
  <conditionalFormatting sqref="D206">
    <cfRule type="containsText" dxfId="2493" priority="4862" operator="containsText" text="Pesquisa de Preços">
      <formula>NOT(ISERROR(SEARCH("Pesquisa de Preços",D206)))</formula>
    </cfRule>
  </conditionalFormatting>
  <conditionalFormatting sqref="D103">
    <cfRule type="containsText" dxfId="2492" priority="4861" operator="containsText" text="Pesquisa de Preços">
      <formula>NOT(ISERROR(SEARCH("Pesquisa de Preços",D103)))</formula>
    </cfRule>
  </conditionalFormatting>
  <conditionalFormatting sqref="D423">
    <cfRule type="containsText" dxfId="2491" priority="4860" operator="containsText" text="Pesquisa de Preços">
      <formula>NOT(ISERROR(SEARCH("Pesquisa de Preços",D423)))</formula>
    </cfRule>
  </conditionalFormatting>
  <conditionalFormatting sqref="D616 D620">
    <cfRule type="containsText" dxfId="2490" priority="4859" operator="containsText" text="Pesquisa de Preços">
      <formula>NOT(ISERROR(SEARCH("Pesquisa de Preços",D616)))</formula>
    </cfRule>
  </conditionalFormatting>
  <conditionalFormatting sqref="D589 D595">
    <cfRule type="containsText" dxfId="2489" priority="4857" operator="containsText" text="Pesquisa de Preços">
      <formula>NOT(ISERROR(SEARCH("Pesquisa de Preços",D589)))</formula>
    </cfRule>
  </conditionalFormatting>
  <conditionalFormatting sqref="D638 D643">
    <cfRule type="containsText" dxfId="2488" priority="4855" operator="containsText" text="Pesquisa de Preços">
      <formula>NOT(ISERROR(SEARCH("Pesquisa de Preços",D638)))</formula>
    </cfRule>
  </conditionalFormatting>
  <conditionalFormatting sqref="D607 D614">
    <cfRule type="containsText" dxfId="2487" priority="4847" operator="containsText" text="Pesquisa de Preços">
      <formula>NOT(ISERROR(SEARCH("Pesquisa de Preços",D607)))</formula>
    </cfRule>
  </conditionalFormatting>
  <conditionalFormatting sqref="D737">
    <cfRule type="containsText" dxfId="2486" priority="4843" operator="containsText" text="Pesquisa de Preços">
      <formula>NOT(ISERROR(SEARCH("Pesquisa de Preços",D737)))</formula>
    </cfRule>
  </conditionalFormatting>
  <conditionalFormatting sqref="D1874">
    <cfRule type="containsText" dxfId="2485" priority="4853" operator="containsText" text="Pesquisa de Preços">
      <formula>NOT(ISERROR(SEARCH("Pesquisa de Preços",D1874)))</formula>
    </cfRule>
  </conditionalFormatting>
  <conditionalFormatting sqref="D1868">
    <cfRule type="containsText" dxfId="2484" priority="4852" operator="containsText" text="Pesquisa de Preços">
      <formula>NOT(ISERROR(SEARCH("Pesquisa de Preços",D1868)))</formula>
    </cfRule>
  </conditionalFormatting>
  <conditionalFormatting sqref="D381">
    <cfRule type="containsText" dxfId="2483" priority="4850" operator="containsText" text="Pesquisa de Preços">
      <formula>NOT(ISERROR(SEARCH("Pesquisa de Preços",D381)))</formula>
    </cfRule>
  </conditionalFormatting>
  <conditionalFormatting sqref="D1063">
    <cfRule type="containsText" dxfId="2482" priority="4824" operator="containsText" text="Pesquisa de Preços">
      <formula>NOT(ISERROR(SEARCH("Pesquisa de Preços",D1063)))</formula>
    </cfRule>
  </conditionalFormatting>
  <conditionalFormatting sqref="D605">
    <cfRule type="containsText" dxfId="2481" priority="4849" operator="containsText" text="Pesquisa de Preços">
      <formula>NOT(ISERROR(SEARCH("Pesquisa de Preços",D605)))</formula>
    </cfRule>
  </conditionalFormatting>
  <conditionalFormatting sqref="D597">
    <cfRule type="containsText" dxfId="2480" priority="4848" operator="containsText" text="Pesquisa de Preços">
      <formula>NOT(ISERROR(SEARCH("Pesquisa de Preços",D597)))</formula>
    </cfRule>
  </conditionalFormatting>
  <conditionalFormatting sqref="D598">
    <cfRule type="containsText" dxfId="2479" priority="4846" operator="containsText" text="Pesquisa de Preços">
      <formula>NOT(ISERROR(SEARCH("Pesquisa de Preços",D598)))</formula>
    </cfRule>
  </conditionalFormatting>
  <conditionalFormatting sqref="D608">
    <cfRule type="containsText" dxfId="2478" priority="4845" operator="containsText" text="Pesquisa de Preços">
      <formula>NOT(ISERROR(SEARCH("Pesquisa de Preços",D608)))</formula>
    </cfRule>
  </conditionalFormatting>
  <conditionalFormatting sqref="D630 D635:D636">
    <cfRule type="containsText" dxfId="2477" priority="4841" operator="containsText" text="Pesquisa de Preços">
      <formula>NOT(ISERROR(SEARCH("Pesquisa de Preços",D630)))</formula>
    </cfRule>
  </conditionalFormatting>
  <conditionalFormatting sqref="D1244 D1249">
    <cfRule type="containsText" dxfId="2476" priority="4839" operator="containsText" text="Pesquisa de Preços">
      <formula>NOT(ISERROR(SEARCH("Pesquisa de Preços",D1244)))</formula>
    </cfRule>
  </conditionalFormatting>
  <conditionalFormatting sqref="D1150 D1155">
    <cfRule type="containsText" dxfId="2475" priority="4837" operator="containsText" text="Pesquisa de Preços">
      <formula>NOT(ISERROR(SEARCH("Pesquisa de Preços",D1150)))</formula>
    </cfRule>
  </conditionalFormatting>
  <conditionalFormatting sqref="D1206 D1211">
    <cfRule type="containsText" dxfId="2474" priority="4835" operator="containsText" text="Pesquisa de Preços">
      <formula>NOT(ISERROR(SEARCH("Pesquisa de Preços",D1206)))</formula>
    </cfRule>
  </conditionalFormatting>
  <conditionalFormatting sqref="D670">
    <cfRule type="containsText" dxfId="2473" priority="4834" operator="containsText" text="Pesquisa de Preços">
      <formula>NOT(ISERROR(SEARCH("Pesquisa de Preços",D670)))</formula>
    </cfRule>
  </conditionalFormatting>
  <conditionalFormatting sqref="D738">
    <cfRule type="containsText" dxfId="2472" priority="4833" operator="containsText" text="Pesquisa de Preços">
      <formula>NOT(ISERROR(SEARCH("Pesquisa de Preços",D738)))</formula>
    </cfRule>
  </conditionalFormatting>
  <conditionalFormatting sqref="D866">
    <cfRule type="containsText" dxfId="2471" priority="4832" operator="containsText" text="Pesquisa de Preços">
      <formula>NOT(ISERROR(SEARCH("Pesquisa de Preços",D866)))</formula>
    </cfRule>
  </conditionalFormatting>
  <conditionalFormatting sqref="D1502">
    <cfRule type="containsText" dxfId="2470" priority="4823" operator="containsText" text="Pesquisa de Preços">
      <formula>NOT(ISERROR(SEARCH("Pesquisa de Preços",D1502)))</formula>
    </cfRule>
  </conditionalFormatting>
  <conditionalFormatting sqref="D1599">
    <cfRule type="containsText" dxfId="2469" priority="4830" operator="containsText" text="Pesquisa de Preços">
      <formula>NOT(ISERROR(SEARCH("Pesquisa de Preços",D1599)))</formula>
    </cfRule>
  </conditionalFormatting>
  <conditionalFormatting sqref="D1450">
    <cfRule type="containsText" dxfId="2468" priority="4822" operator="containsText" text="Pesquisa de Preços">
      <formula>NOT(ISERROR(SEARCH("Pesquisa de Preços",D1450)))</formula>
    </cfRule>
  </conditionalFormatting>
  <conditionalFormatting sqref="D1818">
    <cfRule type="containsText" dxfId="2467" priority="4829" operator="containsText" text="Pesquisa de Preços">
      <formula>NOT(ISERROR(SEARCH("Pesquisa de Preços",D1818)))</formula>
    </cfRule>
  </conditionalFormatting>
  <conditionalFormatting sqref="D838">
    <cfRule type="containsText" dxfId="2466" priority="4828" operator="containsText" text="Pesquisa de Preços">
      <formula>NOT(ISERROR(SEARCH("Pesquisa de Preços",D838)))</formula>
    </cfRule>
  </conditionalFormatting>
  <conditionalFormatting sqref="D838">
    <cfRule type="containsText" dxfId="2465" priority="4827" operator="containsText" text="Pesquisa de Preços">
      <formula>NOT(ISERROR(SEARCH("Pesquisa de Preços",D838)))</formula>
    </cfRule>
  </conditionalFormatting>
  <conditionalFormatting sqref="D872">
    <cfRule type="containsText" dxfId="2464" priority="4826" operator="containsText" text="Pesquisa de Preços">
      <formula>NOT(ISERROR(SEARCH("Pesquisa de Preços",D872)))</formula>
    </cfRule>
  </conditionalFormatting>
  <conditionalFormatting sqref="G2939">
    <cfRule type="notContainsText" dxfId="2463" priority="4821" operator="notContains" text="Sinapi">
      <formula>ISERROR(SEARCH("Sinapi",G2939))</formula>
    </cfRule>
  </conditionalFormatting>
  <conditionalFormatting sqref="G2944">
    <cfRule type="notContainsText" dxfId="2462" priority="4820" operator="notContains" text="Sinapi">
      <formula>ISERROR(SEARCH("Sinapi",G2944))</formula>
    </cfRule>
  </conditionalFormatting>
  <conditionalFormatting sqref="G2949">
    <cfRule type="notContainsText" dxfId="2461" priority="4819" operator="notContains" text="Sinapi">
      <formula>ISERROR(SEARCH("Sinapi",G2949))</formula>
    </cfRule>
  </conditionalFormatting>
  <conditionalFormatting sqref="G2954">
    <cfRule type="notContainsText" dxfId="2460" priority="4818" operator="notContains" text="Sinapi">
      <formula>ISERROR(SEARCH("Sinapi",G2954))</formula>
    </cfRule>
  </conditionalFormatting>
  <conditionalFormatting sqref="G2959">
    <cfRule type="notContainsText" dxfId="2459" priority="4817" operator="notContains" text="Sinapi">
      <formula>ISERROR(SEARCH("Sinapi",G2959))</formula>
    </cfRule>
  </conditionalFormatting>
  <conditionalFormatting sqref="G2964">
    <cfRule type="notContainsText" dxfId="2458" priority="4816" operator="notContains" text="Sinapi">
      <formula>ISERROR(SEARCH("Sinapi",G2964))</formula>
    </cfRule>
  </conditionalFormatting>
  <conditionalFormatting sqref="G2969">
    <cfRule type="notContainsText" dxfId="2457" priority="4815" operator="notContains" text="Sinapi">
      <formula>ISERROR(SEARCH("Sinapi",G2969))</formula>
    </cfRule>
  </conditionalFormatting>
  <conditionalFormatting sqref="G2974">
    <cfRule type="notContainsText" dxfId="2456" priority="4814" operator="notContains" text="Sinapi">
      <formula>ISERROR(SEARCH("Sinapi",G2974))</formula>
    </cfRule>
  </conditionalFormatting>
  <conditionalFormatting sqref="G2994">
    <cfRule type="notContainsText" dxfId="2455" priority="4812" operator="notContains" text="Sinapi">
      <formula>ISERROR(SEARCH("Sinapi",G2994))</formula>
    </cfRule>
  </conditionalFormatting>
  <conditionalFormatting sqref="G2989">
    <cfRule type="notContainsText" dxfId="2454" priority="4813" operator="notContains" text="Sinapi">
      <formula>ISERROR(SEARCH("Sinapi",G2989))</formula>
    </cfRule>
  </conditionalFormatting>
  <conditionalFormatting sqref="G2999">
    <cfRule type="notContainsText" dxfId="2453" priority="4811" operator="notContains" text="Sinapi">
      <formula>ISERROR(SEARCH("Sinapi",G2999))</formula>
    </cfRule>
  </conditionalFormatting>
  <conditionalFormatting sqref="G3004">
    <cfRule type="notContainsText" dxfId="2452" priority="4810" operator="notContains" text="Sinapi">
      <formula>ISERROR(SEARCH("Sinapi",G3004))</formula>
    </cfRule>
  </conditionalFormatting>
  <conditionalFormatting sqref="G3009">
    <cfRule type="notContainsText" dxfId="2451" priority="4809" operator="notContains" text="Sinapi">
      <formula>ISERROR(SEARCH("Sinapi",G3009))</formula>
    </cfRule>
  </conditionalFormatting>
  <conditionalFormatting sqref="G3014">
    <cfRule type="notContainsText" dxfId="2450" priority="4808" operator="notContains" text="Sinapi">
      <formula>ISERROR(SEARCH("Sinapi",G3014))</formula>
    </cfRule>
  </conditionalFormatting>
  <conditionalFormatting sqref="G3019">
    <cfRule type="notContainsText" dxfId="2449" priority="4807" operator="notContains" text="Sinapi">
      <formula>ISERROR(SEARCH("Sinapi",G3019))</formula>
    </cfRule>
  </conditionalFormatting>
  <conditionalFormatting sqref="G3024">
    <cfRule type="notContainsText" dxfId="2448" priority="4806" operator="notContains" text="Sinapi">
      <formula>ISERROR(SEARCH("Sinapi",G3024))</formula>
    </cfRule>
  </conditionalFormatting>
  <conditionalFormatting sqref="G3029">
    <cfRule type="notContainsText" dxfId="2447" priority="4805" operator="notContains" text="Sinapi">
      <formula>ISERROR(SEARCH("Sinapi",G3029))</formula>
    </cfRule>
  </conditionalFormatting>
  <conditionalFormatting sqref="G3042">
    <cfRule type="notContainsText" dxfId="2446" priority="4804" operator="notContains" text="Sinapi">
      <formula>ISERROR(SEARCH("Sinapi",G3042))</formula>
    </cfRule>
  </conditionalFormatting>
  <conditionalFormatting sqref="G3067">
    <cfRule type="notContainsText" dxfId="2445" priority="4803" operator="notContains" text="Sinapi">
      <formula>ISERROR(SEARCH("Sinapi",G3067))</formula>
    </cfRule>
  </conditionalFormatting>
  <conditionalFormatting sqref="G3080">
    <cfRule type="notContainsText" dxfId="2444" priority="4802" operator="notContains" text="Sinapi">
      <formula>ISERROR(SEARCH("Sinapi",G3080))</formula>
    </cfRule>
  </conditionalFormatting>
  <conditionalFormatting sqref="G3085">
    <cfRule type="notContainsText" dxfId="2443" priority="4801" operator="notContains" text="Sinapi">
      <formula>ISERROR(SEARCH("Sinapi",G3085))</formula>
    </cfRule>
  </conditionalFormatting>
  <conditionalFormatting sqref="G3090">
    <cfRule type="notContainsText" dxfId="2442" priority="4800" operator="notContains" text="Sinapi">
      <formula>ISERROR(SEARCH("Sinapi",G3090))</formula>
    </cfRule>
  </conditionalFormatting>
  <conditionalFormatting sqref="G3095">
    <cfRule type="notContainsText" dxfId="2441" priority="4799" operator="notContains" text="Sinapi">
      <formula>ISERROR(SEARCH("Sinapi",G3095))</formula>
    </cfRule>
  </conditionalFormatting>
  <conditionalFormatting sqref="G3100">
    <cfRule type="notContainsText" dxfId="2440" priority="4798" operator="notContains" text="Sinapi">
      <formula>ISERROR(SEARCH("Sinapi",G3100))</formula>
    </cfRule>
  </conditionalFormatting>
  <conditionalFormatting sqref="G3105">
    <cfRule type="notContainsText" dxfId="2439" priority="4797" operator="notContains" text="Sinapi">
      <formula>ISERROR(SEARCH("Sinapi",G3105))</formula>
    </cfRule>
  </conditionalFormatting>
  <conditionalFormatting sqref="G3110">
    <cfRule type="notContainsText" dxfId="2438" priority="4796" operator="notContains" text="Sinapi">
      <formula>ISERROR(SEARCH("Sinapi",G3110))</formula>
    </cfRule>
  </conditionalFormatting>
  <conditionalFormatting sqref="G3115">
    <cfRule type="notContainsText" dxfId="2437" priority="4795" operator="notContains" text="Sinapi">
      <formula>ISERROR(SEARCH("Sinapi",G3115))</formula>
    </cfRule>
  </conditionalFormatting>
  <conditionalFormatting sqref="G3120">
    <cfRule type="notContainsText" dxfId="2436" priority="4794" operator="notContains" text="Sinapi">
      <formula>ISERROR(SEARCH("Sinapi",G3120))</formula>
    </cfRule>
  </conditionalFormatting>
  <conditionalFormatting sqref="G3160">
    <cfRule type="notContainsText" dxfId="2435" priority="4793" operator="notContains" text="Sinapi">
      <formula>ISERROR(SEARCH("Sinapi",G3160))</formula>
    </cfRule>
  </conditionalFormatting>
  <conditionalFormatting sqref="G3343">
    <cfRule type="notContainsText" dxfId="2434" priority="4792" operator="notContains" text="Sinapi">
      <formula>ISERROR(SEARCH("Sinapi",G3343))</formula>
    </cfRule>
  </conditionalFormatting>
  <conditionalFormatting sqref="G3362">
    <cfRule type="notContainsText" dxfId="2433" priority="4791" operator="notContains" text="Sinapi">
      <formula>ISERROR(SEARCH("Sinapi",G3362))</formula>
    </cfRule>
  </conditionalFormatting>
  <conditionalFormatting sqref="G3373">
    <cfRule type="notContainsText" dxfId="2432" priority="4790" operator="notContains" text="Sinapi">
      <formula>ISERROR(SEARCH("Sinapi",G3373))</formula>
    </cfRule>
  </conditionalFormatting>
  <conditionalFormatting sqref="G3377">
    <cfRule type="notContainsText" dxfId="2431" priority="4789" operator="notContains" text="Sinapi">
      <formula>ISERROR(SEARCH("Sinapi",G3377))</formula>
    </cfRule>
  </conditionalFormatting>
  <conditionalFormatting sqref="D172">
    <cfRule type="containsText" dxfId="2430" priority="4768" operator="containsText" text="Pesquisa de Preços">
      <formula>NOT(ISERROR(SEARCH("Pesquisa de Preços",D172)))</formula>
    </cfRule>
  </conditionalFormatting>
  <conditionalFormatting sqref="G3055">
    <cfRule type="notContainsText" dxfId="2429" priority="4767" operator="notContains" text="Sinapi">
      <formula>ISERROR(SEARCH("Sinapi",G3055))</formula>
    </cfRule>
  </conditionalFormatting>
  <conditionalFormatting sqref="E18 E3376 E262 E2395">
    <cfRule type="containsText" dxfId="2428" priority="4762" operator="containsText" text="Pesquisa de Preços">
      <formula>NOT(ISERROR(SEARCH("Pesquisa de Preços",E18)))</formula>
    </cfRule>
  </conditionalFormatting>
  <conditionalFormatting sqref="E9">
    <cfRule type="containsText" dxfId="2427" priority="4761" operator="containsText" text="Pesquisa de Preços">
      <formula>NOT(ISERROR(SEARCH("Pesquisa de Preços",E9)))</formula>
    </cfRule>
  </conditionalFormatting>
  <conditionalFormatting sqref="E7">
    <cfRule type="containsText" dxfId="2426" priority="4760" operator="containsText" text="Pesquisa de Preços">
      <formula>NOT(ISERROR(SEARCH("Pesquisa de Preços",E7)))</formula>
    </cfRule>
  </conditionalFormatting>
  <conditionalFormatting sqref="E6">
    <cfRule type="containsText" dxfId="2425" priority="4759" operator="containsText" text="Pesquisa de Preços">
      <formula>NOT(ISERROR(SEARCH("Pesquisa de Preços",E6)))</formula>
    </cfRule>
  </conditionalFormatting>
  <conditionalFormatting sqref="E8">
    <cfRule type="containsText" dxfId="2424" priority="4758" operator="containsText" text="Pesquisa de Preços">
      <formula>NOT(ISERROR(SEARCH("Pesquisa de Preços",E8)))</formula>
    </cfRule>
  </conditionalFormatting>
  <conditionalFormatting sqref="E15">
    <cfRule type="containsText" dxfId="2423" priority="4757" operator="containsText" text="Pesquisa de Preços">
      <formula>NOT(ISERROR(SEARCH("Pesquisa de Preços",E15)))</formula>
    </cfRule>
  </conditionalFormatting>
  <conditionalFormatting sqref="E14">
    <cfRule type="containsText" dxfId="2422" priority="4756" operator="containsText" text="Pesquisa de Preços">
      <formula>NOT(ISERROR(SEARCH("Pesquisa de Preços",E14)))</formula>
    </cfRule>
  </conditionalFormatting>
  <conditionalFormatting sqref="E16">
    <cfRule type="containsText" dxfId="2421" priority="4755" operator="containsText" text="Pesquisa de Preços">
      <formula>NOT(ISERROR(SEARCH("Pesquisa de Preços",E16)))</formula>
    </cfRule>
  </conditionalFormatting>
  <conditionalFormatting sqref="E12">
    <cfRule type="containsText" dxfId="2420" priority="4754" operator="containsText" text="Pesquisa de Preços">
      <formula>NOT(ISERROR(SEARCH("Pesquisa de Preços",E12)))</formula>
    </cfRule>
  </conditionalFormatting>
  <conditionalFormatting sqref="E10">
    <cfRule type="containsText" dxfId="2419" priority="4751" operator="containsText" text="Pesquisa de Preços">
      <formula>NOT(ISERROR(SEARCH("Pesquisa de Preços",E10)))</formula>
    </cfRule>
  </conditionalFormatting>
  <conditionalFormatting sqref="E13">
    <cfRule type="containsText" dxfId="2418" priority="4753" operator="containsText" text="Pesquisa de Preços">
      <formula>NOT(ISERROR(SEARCH("Pesquisa de Preços",E13)))</formula>
    </cfRule>
  </conditionalFormatting>
  <conditionalFormatting sqref="E11">
    <cfRule type="containsText" dxfId="2417" priority="4752" operator="containsText" text="Pesquisa de Preços">
      <formula>NOT(ISERROR(SEARCH("Pesquisa de Preços",E11)))</formula>
    </cfRule>
  </conditionalFormatting>
  <conditionalFormatting sqref="E225">
    <cfRule type="containsText" dxfId="2416" priority="4749" operator="containsText" text="Pesquisa de Preços">
      <formula>NOT(ISERROR(SEARCH("Pesquisa de Preços",E225)))</formula>
    </cfRule>
  </conditionalFormatting>
  <conditionalFormatting sqref="E227">
    <cfRule type="containsText" dxfId="2415" priority="4750" operator="containsText" text="Pesquisa de Preços">
      <formula>NOT(ISERROR(SEARCH("Pesquisa de Preços",E227)))</formula>
    </cfRule>
  </conditionalFormatting>
  <conditionalFormatting sqref="E224">
    <cfRule type="containsText" dxfId="2414" priority="4748" operator="containsText" text="Pesquisa de Preços">
      <formula>NOT(ISERROR(SEARCH("Pesquisa de Preços",E224)))</formula>
    </cfRule>
  </conditionalFormatting>
  <conditionalFormatting sqref="E514">
    <cfRule type="containsText" dxfId="2413" priority="4594" operator="containsText" text="Pesquisa de Preços">
      <formula>NOT(ISERROR(SEARCH("Pesquisa de Preços",E514)))</formula>
    </cfRule>
  </conditionalFormatting>
  <conditionalFormatting sqref="E150">
    <cfRule type="containsText" dxfId="2412" priority="4743" operator="containsText" text="Pesquisa de Preços">
      <formula>NOT(ISERROR(SEARCH("Pesquisa de Preços",E150)))</formula>
    </cfRule>
  </conditionalFormatting>
  <conditionalFormatting sqref="E490:E496">
    <cfRule type="containsText" dxfId="2411" priority="4590" operator="containsText" text="Pesquisa de Preços">
      <formula>NOT(ISERROR(SEARCH("Pesquisa de Preços",E490)))</formula>
    </cfRule>
  </conditionalFormatting>
  <conditionalFormatting sqref="E149">
    <cfRule type="containsText" dxfId="2410" priority="4742" operator="containsText" text="Pesquisa de Preços">
      <formula>NOT(ISERROR(SEARCH("Pesquisa de Preços",E149)))</formula>
    </cfRule>
  </conditionalFormatting>
  <conditionalFormatting sqref="E78">
    <cfRule type="containsText" dxfId="2409" priority="4745" operator="containsText" text="Pesquisa de Preços">
      <formula>NOT(ISERROR(SEARCH("Pesquisa de Preços",E78)))</formula>
    </cfRule>
  </conditionalFormatting>
  <conditionalFormatting sqref="E162">
    <cfRule type="containsText" dxfId="2408" priority="4741" operator="containsText" text="Pesquisa de Preços">
      <formula>NOT(ISERROR(SEARCH("Pesquisa de Preços",E162)))</formula>
    </cfRule>
  </conditionalFormatting>
  <conditionalFormatting sqref="E79">
    <cfRule type="containsText" dxfId="2407" priority="4747" operator="containsText" text="Pesquisa de Preços">
      <formula>NOT(ISERROR(SEARCH("Pesquisa de Preços",E79)))</formula>
    </cfRule>
  </conditionalFormatting>
  <conditionalFormatting sqref="E77">
    <cfRule type="containsText" dxfId="2406" priority="4744" operator="containsText" text="Pesquisa de Preços">
      <formula>NOT(ISERROR(SEARCH("Pesquisa de Preços",E77)))</formula>
    </cfRule>
  </conditionalFormatting>
  <conditionalFormatting sqref="E81">
    <cfRule type="containsText" dxfId="2405" priority="4746" operator="containsText" text="Pesquisa de Preços">
      <formula>NOT(ISERROR(SEARCH("Pesquisa de Preços",E81)))</formula>
    </cfRule>
  </conditionalFormatting>
  <conditionalFormatting sqref="E545">
    <cfRule type="containsText" dxfId="2404" priority="4583" operator="containsText" text="Pesquisa de Preços">
      <formula>NOT(ISERROR(SEARCH("Pesquisa de Preços",E545)))</formula>
    </cfRule>
  </conditionalFormatting>
  <conditionalFormatting sqref="E87">
    <cfRule type="containsText" dxfId="2403" priority="4738" operator="containsText" text="Pesquisa de Preços">
      <formula>NOT(ISERROR(SEARCH("Pesquisa de Preços",E87)))</formula>
    </cfRule>
  </conditionalFormatting>
  <conditionalFormatting sqref="E161">
    <cfRule type="containsText" dxfId="2402" priority="4740" operator="containsText" text="Pesquisa de Preços">
      <formula>NOT(ISERROR(SEARCH("Pesquisa de Preços",E161)))</formula>
    </cfRule>
  </conditionalFormatting>
  <conditionalFormatting sqref="E553">
    <cfRule type="containsText" dxfId="2401" priority="4580" operator="containsText" text="Pesquisa de Preços">
      <formula>NOT(ISERROR(SEARCH("Pesquisa de Preços",E553)))</formula>
    </cfRule>
  </conditionalFormatting>
  <conditionalFormatting sqref="E88">
    <cfRule type="containsText" dxfId="2400" priority="4739" operator="containsText" text="Pesquisa de Preços">
      <formula>NOT(ISERROR(SEARCH("Pesquisa de Preços",E88)))</formula>
    </cfRule>
  </conditionalFormatting>
  <conditionalFormatting sqref="E60">
    <cfRule type="containsText" dxfId="2399" priority="4737" operator="containsText" text="Pesquisa de Preços">
      <formula>NOT(ISERROR(SEARCH("Pesquisa de Preços",E60)))</formula>
    </cfRule>
  </conditionalFormatting>
  <conditionalFormatting sqref="E569">
    <cfRule type="containsText" dxfId="2398" priority="4571" operator="containsText" text="Pesquisa de Preços">
      <formula>NOT(ISERROR(SEARCH("Pesquisa de Preços",E569)))</formula>
    </cfRule>
  </conditionalFormatting>
  <conditionalFormatting sqref="E59">
    <cfRule type="containsText" dxfId="2397" priority="4736" operator="containsText" text="Pesquisa de Preços">
      <formula>NOT(ISERROR(SEARCH("Pesquisa de Preços",E59)))</formula>
    </cfRule>
  </conditionalFormatting>
  <conditionalFormatting sqref="E53">
    <cfRule type="containsText" dxfId="2396" priority="4735" operator="containsText" text="Pesquisa de Preços">
      <formula>NOT(ISERROR(SEARCH("Pesquisa de Preços",E53)))</formula>
    </cfRule>
  </conditionalFormatting>
  <conditionalFormatting sqref="E33">
    <cfRule type="containsText" dxfId="2395" priority="4732" operator="containsText" text="Pesquisa de Preços">
      <formula>NOT(ISERROR(SEARCH("Pesquisa de Preços",E33)))</formula>
    </cfRule>
  </conditionalFormatting>
  <conditionalFormatting sqref="E52">
    <cfRule type="containsText" dxfId="2394" priority="4734" operator="containsText" text="Pesquisa de Preços">
      <formula>NOT(ISERROR(SEARCH("Pesquisa de Preços",E52)))</formula>
    </cfRule>
  </conditionalFormatting>
  <conditionalFormatting sqref="E579">
    <cfRule type="containsText" dxfId="2393" priority="4569" operator="containsText" text="Pesquisa de Preços">
      <formula>NOT(ISERROR(SEARCH("Pesquisa de Preços",E579)))</formula>
    </cfRule>
  </conditionalFormatting>
  <conditionalFormatting sqref="E34">
    <cfRule type="containsText" dxfId="2392" priority="4733" operator="containsText" text="Pesquisa de Preços">
      <formula>NOT(ISERROR(SEARCH("Pesquisa de Preços",E34)))</formula>
    </cfRule>
  </conditionalFormatting>
  <conditionalFormatting sqref="E98:E99">
    <cfRule type="containsText" dxfId="2391" priority="4729" operator="containsText" text="Pesquisa de Preços">
      <formula>NOT(ISERROR(SEARCH("Pesquisa de Preços",E98)))</formula>
    </cfRule>
  </conditionalFormatting>
  <conditionalFormatting sqref="E29">
    <cfRule type="containsText" dxfId="2390" priority="4731" operator="containsText" text="Pesquisa de Preços">
      <formula>NOT(ISERROR(SEARCH("Pesquisa de Preços",E29)))</formula>
    </cfRule>
  </conditionalFormatting>
  <conditionalFormatting sqref="E28">
    <cfRule type="containsText" dxfId="2389" priority="4730" operator="containsText" text="Pesquisa de Preços">
      <formula>NOT(ISERROR(SEARCH("Pesquisa de Preços",E28)))</formula>
    </cfRule>
  </conditionalFormatting>
  <conditionalFormatting sqref="E145:E146">
    <cfRule type="containsText" dxfId="2388" priority="4726" operator="containsText" text="Pesquisa de Preços">
      <formula>NOT(ISERROR(SEARCH("Pesquisa de Preços",E145)))</formula>
    </cfRule>
  </conditionalFormatting>
  <conditionalFormatting sqref="E42">
    <cfRule type="containsText" dxfId="2387" priority="4722" operator="containsText" text="Pesquisa de Preços">
      <formula>NOT(ISERROR(SEARCH("Pesquisa de Preços",E42)))</formula>
    </cfRule>
  </conditionalFormatting>
  <conditionalFormatting sqref="E97">
    <cfRule type="containsText" dxfId="2386" priority="4728" operator="containsText" text="Pesquisa de Preços">
      <formula>NOT(ISERROR(SEARCH("Pesquisa de Preços",E97)))</formula>
    </cfRule>
  </conditionalFormatting>
  <conditionalFormatting sqref="E100">
    <cfRule type="containsText" dxfId="2385" priority="4727" operator="containsText" text="Pesquisa de Preços">
      <formula>NOT(ISERROR(SEARCH("Pesquisa de Preços",E100)))</formula>
    </cfRule>
  </conditionalFormatting>
  <conditionalFormatting sqref="E180">
    <cfRule type="containsText" dxfId="2384" priority="4717" operator="containsText" text="Pesquisa de Preços">
      <formula>NOT(ISERROR(SEARCH("Pesquisa de Preços",E180)))</formula>
    </cfRule>
  </conditionalFormatting>
  <conditionalFormatting sqref="E144">
    <cfRule type="containsText" dxfId="2383" priority="4725" operator="containsText" text="Pesquisa de Preços">
      <formula>NOT(ISERROR(SEARCH("Pesquisa de Preços",E144)))</formula>
    </cfRule>
  </conditionalFormatting>
  <conditionalFormatting sqref="E24">
    <cfRule type="containsText" dxfId="2382" priority="4721" operator="containsText" text="Pesquisa de Preços">
      <formula>NOT(ISERROR(SEARCH("Pesquisa de Preços",E24)))</formula>
    </cfRule>
  </conditionalFormatting>
  <conditionalFormatting sqref="E147">
    <cfRule type="containsText" dxfId="2381" priority="4724" operator="containsText" text="Pesquisa de Preços">
      <formula>NOT(ISERROR(SEARCH("Pesquisa de Preços",E147)))</formula>
    </cfRule>
  </conditionalFormatting>
  <conditionalFormatting sqref="E43">
    <cfRule type="containsText" dxfId="2380" priority="4723" operator="containsText" text="Pesquisa de Preços">
      <formula>NOT(ISERROR(SEARCH("Pesquisa de Preços",E43)))</formula>
    </cfRule>
  </conditionalFormatting>
  <conditionalFormatting sqref="E23">
    <cfRule type="containsText" dxfId="2379" priority="4720" operator="containsText" text="Pesquisa de Preços">
      <formula>NOT(ISERROR(SEARCH("Pesquisa de Preços",E23)))</formula>
    </cfRule>
  </conditionalFormatting>
  <conditionalFormatting sqref="E117">
    <cfRule type="containsText" dxfId="2378" priority="4715" operator="containsText" text="Pesquisa de Preços">
      <formula>NOT(ISERROR(SEARCH("Pesquisa de Preços",E117)))</formula>
    </cfRule>
  </conditionalFormatting>
  <conditionalFormatting sqref="E179">
    <cfRule type="containsText" dxfId="2377" priority="4716" operator="containsText" text="Pesquisa de Preços">
      <formula>NOT(ISERROR(SEARCH("Pesquisa de Preços",E179)))</formula>
    </cfRule>
  </conditionalFormatting>
  <conditionalFormatting sqref="E38:E40">
    <cfRule type="containsText" dxfId="2376" priority="4719" operator="containsText" text="Pesquisa de Preços">
      <formula>NOT(ISERROR(SEARCH("Pesquisa de Preços",E38)))</formula>
    </cfRule>
  </conditionalFormatting>
  <conditionalFormatting sqref="E37">
    <cfRule type="containsText" dxfId="2375" priority="4718" operator="containsText" text="Pesquisa de Preços">
      <formula>NOT(ISERROR(SEARCH("Pesquisa de Preços",E37)))</formula>
    </cfRule>
  </conditionalFormatting>
  <conditionalFormatting sqref="E116">
    <cfRule type="containsText" dxfId="2374" priority="4714" operator="containsText" text="Pesquisa de Preços">
      <formula>NOT(ISERROR(SEARCH("Pesquisa de Preços",E116)))</formula>
    </cfRule>
  </conditionalFormatting>
  <conditionalFormatting sqref="E677">
    <cfRule type="containsText" dxfId="2373" priority="4565" operator="containsText" text="Pesquisa de Preços">
      <formula>NOT(ISERROR(SEARCH("Pesquisa de Preços",E677)))</formula>
    </cfRule>
  </conditionalFormatting>
  <conditionalFormatting sqref="E669">
    <cfRule type="containsText" dxfId="2372" priority="4563" operator="containsText" text="Pesquisa de Preços">
      <formula>NOT(ISERROR(SEARCH("Pesquisa de Preços",E669)))</formula>
    </cfRule>
  </conditionalFormatting>
  <conditionalFormatting sqref="E175">
    <cfRule type="containsText" dxfId="2371" priority="4712" operator="containsText" text="Pesquisa de Preços">
      <formula>NOT(ISERROR(SEARCH("Pesquisa de Preços",E175)))</formula>
    </cfRule>
  </conditionalFormatting>
  <conditionalFormatting sqref="E176:E177">
    <cfRule type="containsText" dxfId="2370" priority="4713" operator="containsText" text="Pesquisa de Preços">
      <formula>NOT(ISERROR(SEARCH("Pesquisa de Preços",E176)))</formula>
    </cfRule>
  </conditionalFormatting>
  <conditionalFormatting sqref="E219">
    <cfRule type="containsText" dxfId="2369" priority="4710" operator="containsText" text="Pesquisa de Preços">
      <formula>NOT(ISERROR(SEARCH("Pesquisa de Preços",E219)))</formula>
    </cfRule>
  </conditionalFormatting>
  <conditionalFormatting sqref="E220:E221">
    <cfRule type="containsText" dxfId="2368" priority="4711" operator="containsText" text="Pesquisa de Preços">
      <formula>NOT(ISERROR(SEARCH("Pesquisa de Preços",E220)))</formula>
    </cfRule>
  </conditionalFormatting>
  <conditionalFormatting sqref="E126">
    <cfRule type="containsText" dxfId="2367" priority="4707" operator="containsText" text="Pesquisa de Preços">
      <formula>NOT(ISERROR(SEARCH("Pesquisa de Preços",E126)))</formula>
    </cfRule>
  </conditionalFormatting>
  <conditionalFormatting sqref="E687:E688 E694:E695">
    <cfRule type="containsText" dxfId="2366" priority="4561" operator="containsText" text="Pesquisa de Preços">
      <formula>NOT(ISERROR(SEARCH("Pesquisa de Preços",E687)))</formula>
    </cfRule>
  </conditionalFormatting>
  <conditionalFormatting sqref="E222">
    <cfRule type="containsText" dxfId="2365" priority="4709" operator="containsText" text="Pesquisa de Preços">
      <formula>NOT(ISERROR(SEARCH("Pesquisa de Preços",E222)))</formula>
    </cfRule>
  </conditionalFormatting>
  <conditionalFormatting sqref="E127">
    <cfRule type="containsText" dxfId="2364" priority="4708" operator="containsText" text="Pesquisa de Preços">
      <formula>NOT(ISERROR(SEARCH("Pesquisa de Preços",E127)))</formula>
    </cfRule>
  </conditionalFormatting>
  <conditionalFormatting sqref="E715">
    <cfRule type="containsText" dxfId="2363" priority="4558" operator="containsText" text="Pesquisa de Preços">
      <formula>NOT(ISERROR(SEARCH("Pesquisa de Preços",E715)))</formula>
    </cfRule>
  </conditionalFormatting>
  <conditionalFormatting sqref="E167:E168">
    <cfRule type="containsText" dxfId="2362" priority="4706" operator="containsText" text="Pesquisa de Preços">
      <formula>NOT(ISERROR(SEARCH("Pesquisa de Preços",E167)))</formula>
    </cfRule>
  </conditionalFormatting>
  <conditionalFormatting sqref="E166">
    <cfRule type="containsText" dxfId="2361" priority="4705" operator="containsText" text="Pesquisa de Preços">
      <formula>NOT(ISERROR(SEARCH("Pesquisa de Preços",E166)))</formula>
    </cfRule>
  </conditionalFormatting>
  <conditionalFormatting sqref="E731">
    <cfRule type="containsText" dxfId="2360" priority="4556" operator="containsText" text="Pesquisa de Preços">
      <formula>NOT(ISERROR(SEARCH("Pesquisa de Preços",E731)))</formula>
    </cfRule>
  </conditionalFormatting>
  <conditionalFormatting sqref="E169">
    <cfRule type="containsText" dxfId="2359" priority="4704" operator="containsText" text="Pesquisa de Preços">
      <formula>NOT(ISERROR(SEARCH("Pesquisa de Preços",E169)))</formula>
    </cfRule>
  </conditionalFormatting>
  <conditionalFormatting sqref="E83">
    <cfRule type="containsText" dxfId="2358" priority="4703" operator="containsText" text="Pesquisa de Preços">
      <formula>NOT(ISERROR(SEARCH("Pesquisa de Preços",E83)))</formula>
    </cfRule>
  </conditionalFormatting>
  <conditionalFormatting sqref="E82">
    <cfRule type="containsText" dxfId="2357" priority="4702" operator="containsText" text="Pesquisa de Preços">
      <formula>NOT(ISERROR(SEARCH("Pesquisa de Preços",E82)))</formula>
    </cfRule>
  </conditionalFormatting>
  <conditionalFormatting sqref="E112">
    <cfRule type="containsText" dxfId="2356" priority="4701" operator="containsText" text="Pesquisa de Preços">
      <formula>NOT(ISERROR(SEARCH("Pesquisa de Preços",E112)))</formula>
    </cfRule>
  </conditionalFormatting>
  <conditionalFormatting sqref="E211:E212">
    <cfRule type="containsText" dxfId="2355" priority="4699" operator="containsText" text="Pesquisa de Preços">
      <formula>NOT(ISERROR(SEARCH("Pesquisa de Preços",E211)))</formula>
    </cfRule>
  </conditionalFormatting>
  <conditionalFormatting sqref="E111">
    <cfRule type="containsText" dxfId="2354" priority="4700" operator="containsText" text="Pesquisa de Preços">
      <formula>NOT(ISERROR(SEARCH("Pesquisa de Preços",E111)))</formula>
    </cfRule>
  </conditionalFormatting>
  <conditionalFormatting sqref="E201">
    <cfRule type="containsText" dxfId="2353" priority="4696" operator="containsText" text="Pesquisa de Preços">
      <formula>NOT(ISERROR(SEARCH("Pesquisa de Preços",E201)))</formula>
    </cfRule>
  </conditionalFormatting>
  <conditionalFormatting sqref="E210">
    <cfRule type="containsText" dxfId="2352" priority="4698" operator="containsText" text="Pesquisa de Preços">
      <formula>NOT(ISERROR(SEARCH("Pesquisa de Preços",E210)))</formula>
    </cfRule>
  </conditionalFormatting>
  <conditionalFormatting sqref="E202">
    <cfRule type="containsText" dxfId="2351" priority="4697" operator="containsText" text="Pesquisa de Preços">
      <formula>NOT(ISERROR(SEARCH("Pesquisa de Preços",E202)))</formula>
    </cfRule>
  </conditionalFormatting>
  <conditionalFormatting sqref="E198:E199">
    <cfRule type="containsText" dxfId="2350" priority="4694" operator="containsText" text="Pesquisa de Preços">
      <formula>NOT(ISERROR(SEARCH("Pesquisa de Preços",E198)))</formula>
    </cfRule>
  </conditionalFormatting>
  <conditionalFormatting sqref="E203:E204">
    <cfRule type="containsText" dxfId="2349" priority="4695" operator="containsText" text="Pesquisa de Preços">
      <formula>NOT(ISERROR(SEARCH("Pesquisa de Preços",E203)))</formula>
    </cfRule>
  </conditionalFormatting>
  <conditionalFormatting sqref="E197">
    <cfRule type="containsText" dxfId="2348" priority="4693" operator="containsText" text="Pesquisa de Preços">
      <formula>NOT(ISERROR(SEARCH("Pesquisa de Preços",E197)))</formula>
    </cfRule>
  </conditionalFormatting>
  <conditionalFormatting sqref="E70:E71 E75:E76">
    <cfRule type="containsText" dxfId="2347" priority="4692" operator="containsText" text="Pesquisa de Preços">
      <formula>NOT(ISERROR(SEARCH("Pesquisa de Preços",E70)))</formula>
    </cfRule>
  </conditionalFormatting>
  <conditionalFormatting sqref="E69">
    <cfRule type="containsText" dxfId="2346" priority="4691" operator="containsText" text="Pesquisa de Preços">
      <formula>NOT(ISERROR(SEARCH("Pesquisa de Preços",E69)))</formula>
    </cfRule>
  </conditionalFormatting>
  <conditionalFormatting sqref="E72:E74">
    <cfRule type="containsText" dxfId="2345" priority="4690" operator="containsText" text="Pesquisa de Preços">
      <formula>NOT(ISERROR(SEARCH("Pesquisa de Preços",E72)))</formula>
    </cfRule>
  </conditionalFormatting>
  <conditionalFormatting sqref="E136:E137">
    <cfRule type="containsText" dxfId="2344" priority="4689" operator="containsText" text="Pesquisa de Preços">
      <formula>NOT(ISERROR(SEARCH("Pesquisa de Preços",E136)))</formula>
    </cfRule>
  </conditionalFormatting>
  <conditionalFormatting sqref="E135">
    <cfRule type="containsText" dxfId="2343" priority="4688" operator="containsText" text="Pesquisa de Preços">
      <formula>NOT(ISERROR(SEARCH("Pesquisa de Preços",E135)))</formula>
    </cfRule>
  </conditionalFormatting>
  <conditionalFormatting sqref="E140:E141">
    <cfRule type="containsText" dxfId="2342" priority="4687" operator="containsText" text="Pesquisa de Preços">
      <formula>NOT(ISERROR(SEARCH("Pesquisa de Preços",E140)))</formula>
    </cfRule>
  </conditionalFormatting>
  <conditionalFormatting sqref="E139">
    <cfRule type="containsText" dxfId="2341" priority="4686" operator="containsText" text="Pesquisa de Preços">
      <formula>NOT(ISERROR(SEARCH("Pesquisa de Preços",E139)))</formula>
    </cfRule>
  </conditionalFormatting>
  <conditionalFormatting sqref="E791 E793:E802">
    <cfRule type="containsText" dxfId="2340" priority="4550" operator="containsText" text="Pesquisa de Preços">
      <formula>NOT(ISERROR(SEARCH("Pesquisa de Preços",E791)))</formula>
    </cfRule>
  </conditionalFormatting>
  <conditionalFormatting sqref="E155:E157">
    <cfRule type="containsText" dxfId="2339" priority="4685" operator="containsText" text="Pesquisa de Preços">
      <formula>NOT(ISERROR(SEARCH("Pesquisa de Preços",E155)))</formula>
    </cfRule>
  </conditionalFormatting>
  <conditionalFormatting sqref="E154">
    <cfRule type="containsText" dxfId="2338" priority="4684" operator="containsText" text="Pesquisa de Preços">
      <formula>NOT(ISERROR(SEARCH("Pesquisa de Preços",E154)))</formula>
    </cfRule>
  </conditionalFormatting>
  <conditionalFormatting sqref="E833">
    <cfRule type="containsText" dxfId="2337" priority="4548" operator="containsText" text="Pesquisa de Preços">
      <formula>NOT(ISERROR(SEARCH("Pesquisa de Preços",E833)))</formula>
    </cfRule>
  </conditionalFormatting>
  <conditionalFormatting sqref="E93">
    <cfRule type="containsText" dxfId="2336" priority="4683" operator="containsText" text="Pesquisa de Preços">
      <formula>NOT(ISERROR(SEARCH("Pesquisa de Preços",E93)))</formula>
    </cfRule>
  </conditionalFormatting>
  <conditionalFormatting sqref="E92">
    <cfRule type="containsText" dxfId="2335" priority="4682" operator="containsText" text="Pesquisa de Preços">
      <formula>NOT(ISERROR(SEARCH("Pesquisa de Preços",E92)))</formula>
    </cfRule>
  </conditionalFormatting>
  <conditionalFormatting sqref="E815:E816">
    <cfRule type="containsText" dxfId="2334" priority="4546" operator="containsText" text="Pesquisa de Preços">
      <formula>NOT(ISERROR(SEARCH("Pesquisa de Preços",E815)))</formula>
    </cfRule>
  </conditionalFormatting>
  <conditionalFormatting sqref="E48:E49">
    <cfRule type="containsText" dxfId="2333" priority="4681" operator="containsText" text="Pesquisa de Preços">
      <formula>NOT(ISERROR(SEARCH("Pesquisa de Preços",E48)))</formula>
    </cfRule>
  </conditionalFormatting>
  <conditionalFormatting sqref="E47">
    <cfRule type="containsText" dxfId="2332" priority="4680" operator="containsText" text="Pesquisa de Preços">
      <formula>NOT(ISERROR(SEARCH("Pesquisa de Preços",E47)))</formula>
    </cfRule>
  </conditionalFormatting>
  <conditionalFormatting sqref="E50">
    <cfRule type="containsText" dxfId="2331" priority="4679" operator="containsText" text="Pesquisa de Preços">
      <formula>NOT(ISERROR(SEARCH("Pesquisa de Preços",E50)))</formula>
    </cfRule>
  </conditionalFormatting>
  <conditionalFormatting sqref="E191:E192">
    <cfRule type="containsText" dxfId="2330" priority="4678" operator="containsText" text="Pesquisa de Preços">
      <formula>NOT(ISERROR(SEARCH("Pesquisa de Preços",E191)))</formula>
    </cfRule>
  </conditionalFormatting>
  <conditionalFormatting sqref="E190">
    <cfRule type="containsText" dxfId="2329" priority="4677" operator="containsText" text="Pesquisa de Preços">
      <formula>NOT(ISERROR(SEARCH("Pesquisa de Preços",E190)))</formula>
    </cfRule>
  </conditionalFormatting>
  <conditionalFormatting sqref="E749:E750 E753:E754">
    <cfRule type="containsText" dxfId="2328" priority="4544" operator="containsText" text="Pesquisa de Preços">
      <formula>NOT(ISERROR(SEARCH("Pesquisa de Preços",E749)))</formula>
    </cfRule>
  </conditionalFormatting>
  <conditionalFormatting sqref="E193">
    <cfRule type="containsText" dxfId="2327" priority="4676" operator="containsText" text="Pesquisa de Preços">
      <formula>NOT(ISERROR(SEARCH("Pesquisa de Preços",E193)))</formula>
    </cfRule>
  </conditionalFormatting>
  <conditionalFormatting sqref="E215:E216">
    <cfRule type="containsText" dxfId="2326" priority="4675" operator="containsText" text="Pesquisa de Preços">
      <formula>NOT(ISERROR(SEARCH("Pesquisa de Preços",E215)))</formula>
    </cfRule>
  </conditionalFormatting>
  <conditionalFormatting sqref="E214">
    <cfRule type="containsText" dxfId="2325" priority="4674" operator="containsText" text="Pesquisa de Preços">
      <formula>NOT(ISERROR(SEARCH("Pesquisa de Preços",E214)))</formula>
    </cfRule>
  </conditionalFormatting>
  <conditionalFormatting sqref="E217">
    <cfRule type="containsText" dxfId="2324" priority="4673" operator="containsText" text="Pesquisa de Preços">
      <formula>NOT(ISERROR(SEARCH("Pesquisa de Preços",E217)))</formula>
    </cfRule>
  </conditionalFormatting>
  <conditionalFormatting sqref="E122:E123">
    <cfRule type="containsText" dxfId="2323" priority="4672" operator="containsText" text="Pesquisa de Preços">
      <formula>NOT(ISERROR(SEARCH("Pesquisa de Preços",E122)))</formula>
    </cfRule>
  </conditionalFormatting>
  <conditionalFormatting sqref="E121">
    <cfRule type="containsText" dxfId="2322" priority="4671" operator="containsText" text="Pesquisa de Preços">
      <formula>NOT(ISERROR(SEARCH("Pesquisa de Preços",E121)))</formula>
    </cfRule>
  </conditionalFormatting>
  <conditionalFormatting sqref="E756:E757">
    <cfRule type="containsText" dxfId="2321" priority="4541" operator="containsText" text="Pesquisa de Preços">
      <formula>NOT(ISERROR(SEARCH("Pesquisa de Preços",E756)))</formula>
    </cfRule>
  </conditionalFormatting>
  <conditionalFormatting sqref="E124">
    <cfRule type="containsText" dxfId="2320" priority="4670" operator="containsText" text="Pesquisa de Preços">
      <formula>NOT(ISERROR(SEARCH("Pesquisa de Preços",E124)))</formula>
    </cfRule>
  </conditionalFormatting>
  <conditionalFormatting sqref="E107:E108">
    <cfRule type="containsText" dxfId="2319" priority="4669" operator="containsText" text="Pesquisa de Preços">
      <formula>NOT(ISERROR(SEARCH("Pesquisa de Preços",E107)))</formula>
    </cfRule>
  </conditionalFormatting>
  <conditionalFormatting sqref="E106">
    <cfRule type="containsText" dxfId="2318" priority="4668" operator="containsText" text="Pesquisa de Preços">
      <formula>NOT(ISERROR(SEARCH("Pesquisa de Preços",E106)))</formula>
    </cfRule>
  </conditionalFormatting>
  <conditionalFormatting sqref="E824 E826">
    <cfRule type="containsText" dxfId="2317" priority="4538" operator="containsText" text="Pesquisa de Preços">
      <formula>NOT(ISERROR(SEARCH("Pesquisa de Preços",E824)))</formula>
    </cfRule>
  </conditionalFormatting>
  <conditionalFormatting sqref="E109">
    <cfRule type="containsText" dxfId="2316" priority="4667" operator="containsText" text="Pesquisa de Preços">
      <formula>NOT(ISERROR(SEARCH("Pesquisa de Preços",E109)))</formula>
    </cfRule>
  </conditionalFormatting>
  <conditionalFormatting sqref="E132">
    <cfRule type="containsText" dxfId="2315" priority="4666" operator="containsText" text="Pesquisa de Preços">
      <formula>NOT(ISERROR(SEARCH("Pesquisa de Preços",E132)))</formula>
    </cfRule>
  </conditionalFormatting>
  <conditionalFormatting sqref="E131">
    <cfRule type="containsText" dxfId="2314" priority="4665" operator="containsText" text="Pesquisa de Preços">
      <formula>NOT(ISERROR(SEARCH("Pesquisa de Preços",E131)))</formula>
    </cfRule>
  </conditionalFormatting>
  <conditionalFormatting sqref="E828">
    <cfRule type="containsText" dxfId="2313" priority="4536" operator="containsText" text="Pesquisa de Preços">
      <formula>NOT(ISERROR(SEARCH("Pesquisa de Preços",E828)))</formula>
    </cfRule>
  </conditionalFormatting>
  <conditionalFormatting sqref="E65:E66">
    <cfRule type="containsText" dxfId="2312" priority="4664" operator="containsText" text="Pesquisa de Preços">
      <formula>NOT(ISERROR(SEARCH("Pesquisa de Preços",E65)))</formula>
    </cfRule>
  </conditionalFormatting>
  <conditionalFormatting sqref="E64">
    <cfRule type="containsText" dxfId="2311" priority="4663" operator="containsText" text="Pesquisa de Preços">
      <formula>NOT(ISERROR(SEARCH("Pesquisa de Preços",E64)))</formula>
    </cfRule>
  </conditionalFormatting>
  <conditionalFormatting sqref="E805">
    <cfRule type="containsText" dxfId="2310" priority="4534" operator="containsText" text="Pesquisa de Preços">
      <formula>NOT(ISERROR(SEARCH("Pesquisa de Preços",E805)))</formula>
    </cfRule>
  </conditionalFormatting>
  <conditionalFormatting sqref="E67">
    <cfRule type="containsText" dxfId="2309" priority="4662" operator="containsText" text="Pesquisa de Preços">
      <formula>NOT(ISERROR(SEARCH("Pesquisa de Preços",E67)))</formula>
    </cfRule>
  </conditionalFormatting>
  <conditionalFormatting sqref="E283">
    <cfRule type="containsText" dxfId="2308" priority="4651" operator="containsText" text="Pesquisa de Preços">
      <formula>NOT(ISERROR(SEARCH("Pesquisa de Preços",E283)))</formula>
    </cfRule>
  </conditionalFormatting>
  <conditionalFormatting sqref="E268">
    <cfRule type="containsText" dxfId="2307" priority="4648" operator="containsText" text="Pesquisa de Preços">
      <formula>NOT(ISERROR(SEARCH("Pesquisa de Preços",E268)))</formula>
    </cfRule>
  </conditionalFormatting>
  <conditionalFormatting sqref="E321">
    <cfRule type="containsText" dxfId="2306" priority="4646" operator="containsText" text="Pesquisa de Preços">
      <formula>NOT(ISERROR(SEARCH("Pesquisa de Preços",E321)))</formula>
    </cfRule>
  </conditionalFormatting>
  <conditionalFormatting sqref="E305">
    <cfRule type="containsText" dxfId="2305" priority="4643" operator="containsText" text="Pesquisa de Preços">
      <formula>NOT(ISERROR(SEARCH("Pesquisa de Preços",E305)))</formula>
    </cfRule>
  </conditionalFormatting>
  <conditionalFormatting sqref="E342:E343">
    <cfRule type="containsText" dxfId="2304" priority="4641" operator="containsText" text="Pesquisa de Preços">
      <formula>NOT(ISERROR(SEARCH("Pesquisa de Preços",E342)))</formula>
    </cfRule>
  </conditionalFormatting>
  <conditionalFormatting sqref="E290">
    <cfRule type="containsText" dxfId="2303" priority="4635" operator="containsText" text="Pesquisa de Preços">
      <formula>NOT(ISERROR(SEARCH("Pesquisa de Preços",E290)))</formula>
    </cfRule>
  </conditionalFormatting>
  <conditionalFormatting sqref="E327:E328">
    <cfRule type="containsText" dxfId="2302" priority="4633" operator="containsText" text="Pesquisa de Preços">
      <formula>NOT(ISERROR(SEARCH("Pesquisa de Preços",E327)))</formula>
    </cfRule>
  </conditionalFormatting>
  <conditionalFormatting sqref="E401">
    <cfRule type="containsText" dxfId="2301" priority="4623" operator="containsText" text="Pesquisa de Preços">
      <formula>NOT(ISERROR(SEARCH("Pesquisa de Preços",E401)))</formula>
    </cfRule>
  </conditionalFormatting>
  <conditionalFormatting sqref="E416 E421">
    <cfRule type="containsText" dxfId="2300" priority="4622" operator="containsText" text="Pesquisa de Preços">
      <formula>NOT(ISERROR(SEARCH("Pesquisa de Preços",E416)))</formula>
    </cfRule>
  </conditionalFormatting>
  <conditionalFormatting sqref="E434">
    <cfRule type="containsText" dxfId="2299" priority="4616" operator="containsText" text="Pesquisa de Preços">
      <formula>NOT(ISERROR(SEARCH("Pesquisa de Preços",E434)))</formula>
    </cfRule>
  </conditionalFormatting>
  <conditionalFormatting sqref="E247">
    <cfRule type="containsText" dxfId="2298" priority="4661" operator="containsText" text="Pesquisa de Preços">
      <formula>NOT(ISERROR(SEARCH("Pesquisa de Preços",E247)))</formula>
    </cfRule>
  </conditionalFormatting>
  <conditionalFormatting sqref="E249:E250">
    <cfRule type="containsText" dxfId="2297" priority="4660" operator="containsText" text="Pesquisa de Preços">
      <formula>NOT(ISERROR(SEARCH("Pesquisa de Preços",E249)))</formula>
    </cfRule>
  </conditionalFormatting>
  <conditionalFormatting sqref="E248">
    <cfRule type="containsText" dxfId="2296" priority="4659" operator="containsText" text="Pesquisa de Preços">
      <formula>NOT(ISERROR(SEARCH("Pesquisa de Preços",E248)))</formula>
    </cfRule>
  </conditionalFormatting>
  <conditionalFormatting sqref="E1084:E1086">
    <cfRule type="containsText" dxfId="2295" priority="4472" operator="containsText" text="Pesquisa de Preços">
      <formula>NOT(ISERROR(SEARCH("Pesquisa de Preços",E1084)))</formula>
    </cfRule>
  </conditionalFormatting>
  <conditionalFormatting sqref="E251:E261">
    <cfRule type="containsText" dxfId="2294" priority="4658" operator="containsText" text="Pesquisa de Preços">
      <formula>NOT(ISERROR(SEARCH("Pesquisa de Preços",E251)))</formula>
    </cfRule>
  </conditionalFormatting>
  <conditionalFormatting sqref="E264:E265">
    <cfRule type="containsText" dxfId="2293" priority="4657" operator="containsText" text="Pesquisa de Preços">
      <formula>NOT(ISERROR(SEARCH("Pesquisa de Preços",E264)))</formula>
    </cfRule>
  </conditionalFormatting>
  <conditionalFormatting sqref="E263">
    <cfRule type="containsText" dxfId="2292" priority="4656" operator="containsText" text="Pesquisa de Preços">
      <formula>NOT(ISERROR(SEARCH("Pesquisa de Preços",E263)))</formula>
    </cfRule>
  </conditionalFormatting>
  <conditionalFormatting sqref="E277:E278 E281:E282">
    <cfRule type="containsText" dxfId="2291" priority="4655" operator="containsText" text="Pesquisa de Preços">
      <formula>NOT(ISERROR(SEARCH("Pesquisa de Preços",E277)))</formula>
    </cfRule>
  </conditionalFormatting>
  <conditionalFormatting sqref="E276">
    <cfRule type="containsText" dxfId="2290" priority="4654" operator="containsText" text="Pesquisa de Preços">
      <formula>NOT(ISERROR(SEARCH("Pesquisa de Preços",E276)))</formula>
    </cfRule>
  </conditionalFormatting>
  <conditionalFormatting sqref="E279:E280">
    <cfRule type="containsText" dxfId="2289" priority="4653" operator="containsText" text="Pesquisa de Preços">
      <formula>NOT(ISERROR(SEARCH("Pesquisa de Preços",E279)))</formula>
    </cfRule>
  </conditionalFormatting>
  <conditionalFormatting sqref="E284:E285 E288:E289">
    <cfRule type="containsText" dxfId="2288" priority="4652" operator="containsText" text="Pesquisa de Preços">
      <formula>NOT(ISERROR(SEARCH("Pesquisa de Preços",E284)))</formula>
    </cfRule>
  </conditionalFormatting>
  <conditionalFormatting sqref="E286:E287">
    <cfRule type="containsText" dxfId="2287" priority="4650" operator="containsText" text="Pesquisa de Preços">
      <formula>NOT(ISERROR(SEARCH("Pesquisa de Preços",E286)))</formula>
    </cfRule>
  </conditionalFormatting>
  <conditionalFormatting sqref="E269:E270 E274:E275">
    <cfRule type="containsText" dxfId="2286" priority="4649" operator="containsText" text="Pesquisa de Preços">
      <formula>NOT(ISERROR(SEARCH("Pesquisa de Preços",E269)))</formula>
    </cfRule>
  </conditionalFormatting>
  <conditionalFormatting sqref="E271:E273">
    <cfRule type="containsText" dxfId="2285" priority="4647" operator="containsText" text="Pesquisa de Preços">
      <formula>NOT(ISERROR(SEARCH("Pesquisa de Preços",E271)))</formula>
    </cfRule>
  </conditionalFormatting>
  <conditionalFormatting sqref="E320">
    <cfRule type="containsText" dxfId="2284" priority="4645" operator="containsText" text="Pesquisa de Preços">
      <formula>NOT(ISERROR(SEARCH("Pesquisa de Preços",E320)))</formula>
    </cfRule>
  </conditionalFormatting>
  <conditionalFormatting sqref="E532:E533 E535:E536">
    <cfRule type="containsText" dxfId="2283" priority="4593" operator="containsText" text="Pesquisa de Preços">
      <formula>NOT(ISERROR(SEARCH("Pesquisa de Preços",E532)))</formula>
    </cfRule>
  </conditionalFormatting>
  <conditionalFormatting sqref="E306">
    <cfRule type="containsText" dxfId="2282" priority="4644" operator="containsText" text="Pesquisa de Preços">
      <formula>NOT(ISERROR(SEARCH("Pesquisa de Preços",E306)))</formula>
    </cfRule>
  </conditionalFormatting>
  <conditionalFormatting sqref="E312:E314">
    <cfRule type="containsText" dxfId="2281" priority="4642" operator="containsText" text="Pesquisa de Preços">
      <formula>NOT(ISERROR(SEARCH("Pesquisa de Preços",E312)))</formula>
    </cfRule>
  </conditionalFormatting>
  <conditionalFormatting sqref="E341">
    <cfRule type="containsText" dxfId="2280" priority="4640" operator="containsText" text="Pesquisa de Preços">
      <formula>NOT(ISERROR(SEARCH("Pesquisa de Preços",E341)))</formula>
    </cfRule>
  </conditionalFormatting>
  <conditionalFormatting sqref="E1277">
    <cfRule type="containsText" dxfId="2279" priority="4401" operator="containsText" text="Pesquisa de Preços">
      <formula>NOT(ISERROR(SEARCH("Pesquisa de Preços",E1277)))</formula>
    </cfRule>
  </conditionalFormatting>
  <conditionalFormatting sqref="E352">
    <cfRule type="containsText" dxfId="2278" priority="4639" operator="containsText" text="Pesquisa de Preços">
      <formula>NOT(ISERROR(SEARCH("Pesquisa de Preços",E352)))</formula>
    </cfRule>
  </conditionalFormatting>
  <conditionalFormatting sqref="E351">
    <cfRule type="containsText" dxfId="2277" priority="4638" operator="containsText" text="Pesquisa de Preços">
      <formula>NOT(ISERROR(SEARCH("Pesquisa de Preços",E351)))</formula>
    </cfRule>
  </conditionalFormatting>
  <conditionalFormatting sqref="E355:E358">
    <cfRule type="containsText" dxfId="2276" priority="4637" operator="containsText" text="Pesquisa de Preços">
      <formula>NOT(ISERROR(SEARCH("Pesquisa de Preços",E355)))</formula>
    </cfRule>
  </conditionalFormatting>
  <conditionalFormatting sqref="E291:E292">
    <cfRule type="containsText" dxfId="2275" priority="4636" operator="containsText" text="Pesquisa de Preços">
      <formula>NOT(ISERROR(SEARCH("Pesquisa de Preços",E291)))</formula>
    </cfRule>
  </conditionalFormatting>
  <conditionalFormatting sqref="E298:E299">
    <cfRule type="containsText" dxfId="2274" priority="4634" operator="containsText" text="Pesquisa de Preços">
      <formula>NOT(ISERROR(SEARCH("Pesquisa de Preços",E298)))</formula>
    </cfRule>
  </conditionalFormatting>
  <conditionalFormatting sqref="E326">
    <cfRule type="containsText" dxfId="2273" priority="4632" operator="containsText" text="Pesquisa de Preços">
      <formula>NOT(ISERROR(SEARCH("Pesquisa de Preços",E326)))</formula>
    </cfRule>
  </conditionalFormatting>
  <conditionalFormatting sqref="E329:E339">
    <cfRule type="containsText" dxfId="2272" priority="4631" operator="containsText" text="Pesquisa de Preços">
      <formula>NOT(ISERROR(SEARCH("Pesquisa de Preços",E329)))</formula>
    </cfRule>
  </conditionalFormatting>
  <conditionalFormatting sqref="E366:E367 E369:E370">
    <cfRule type="containsText" dxfId="2271" priority="4630" operator="containsText" text="Pesquisa de Preços">
      <formula>NOT(ISERROR(SEARCH("Pesquisa de Preços",E366)))</formula>
    </cfRule>
  </conditionalFormatting>
  <conditionalFormatting sqref="E365">
    <cfRule type="containsText" dxfId="2270" priority="4629" operator="containsText" text="Pesquisa de Preços">
      <formula>NOT(ISERROR(SEARCH("Pesquisa de Preços",E365)))</formula>
    </cfRule>
  </conditionalFormatting>
  <conditionalFormatting sqref="E368">
    <cfRule type="containsText" dxfId="2269" priority="4628" operator="containsText" text="Pesquisa de Preços">
      <formula>NOT(ISERROR(SEARCH("Pesquisa de Preços",E368)))</formula>
    </cfRule>
  </conditionalFormatting>
  <conditionalFormatting sqref="E372:E373 E378:E379">
    <cfRule type="containsText" dxfId="2268" priority="4627" operator="containsText" text="Pesquisa de Preços">
      <formula>NOT(ISERROR(SEARCH("Pesquisa de Preços",E372)))</formula>
    </cfRule>
  </conditionalFormatting>
  <conditionalFormatting sqref="E371">
    <cfRule type="containsText" dxfId="2267" priority="4626" operator="containsText" text="Pesquisa de Preços">
      <formula>NOT(ISERROR(SEARCH("Pesquisa de Preços",E371)))</formula>
    </cfRule>
  </conditionalFormatting>
  <conditionalFormatting sqref="E374:E377">
    <cfRule type="containsText" dxfId="2266" priority="4625" operator="containsText" text="Pesquisa de Preços">
      <formula>NOT(ISERROR(SEARCH("Pesquisa de Preços",E374)))</formula>
    </cfRule>
  </conditionalFormatting>
  <conditionalFormatting sqref="E402">
    <cfRule type="containsText" dxfId="2265" priority="4624" operator="containsText" text="Pesquisa de Preços">
      <formula>NOT(ISERROR(SEARCH("Pesquisa de Preços",E402)))</formula>
    </cfRule>
  </conditionalFormatting>
  <conditionalFormatting sqref="E415">
    <cfRule type="containsText" dxfId="2264" priority="4621" operator="containsText" text="Pesquisa de Preços">
      <formula>NOT(ISERROR(SEARCH("Pesquisa de Preços",E415)))</formula>
    </cfRule>
  </conditionalFormatting>
  <conditionalFormatting sqref="E441:E442 E444:E445">
    <cfRule type="containsText" dxfId="2263" priority="4620" operator="containsText" text="Pesquisa de Preços">
      <formula>NOT(ISERROR(SEARCH("Pesquisa de Preços",E441)))</formula>
    </cfRule>
  </conditionalFormatting>
  <conditionalFormatting sqref="E440">
    <cfRule type="containsText" dxfId="2262" priority="4619" operator="containsText" text="Pesquisa de Preços">
      <formula>NOT(ISERROR(SEARCH("Pesquisa de Preços",E440)))</formula>
    </cfRule>
  </conditionalFormatting>
  <conditionalFormatting sqref="E443">
    <cfRule type="containsText" dxfId="2261" priority="4618" operator="containsText" text="Pesquisa de Preços">
      <formula>NOT(ISERROR(SEARCH("Pesquisa de Preços",E443)))</formula>
    </cfRule>
  </conditionalFormatting>
  <conditionalFormatting sqref="E435:E436 E438:E439">
    <cfRule type="containsText" dxfId="2260" priority="4617" operator="containsText" text="Pesquisa de Preços">
      <formula>NOT(ISERROR(SEARCH("Pesquisa de Preços",E435)))</formula>
    </cfRule>
  </conditionalFormatting>
  <conditionalFormatting sqref="E437">
    <cfRule type="containsText" dxfId="2259" priority="4615" operator="containsText" text="Pesquisa de Preços">
      <formula>NOT(ISERROR(SEARCH("Pesquisa de Preços",E437)))</formula>
    </cfRule>
  </conditionalFormatting>
  <conditionalFormatting sqref="E455:E456 E459:E463">
    <cfRule type="containsText" dxfId="2258" priority="4614" operator="containsText" text="Pesquisa de Preços">
      <formula>NOT(ISERROR(SEARCH("Pesquisa de Preços",E455)))</formula>
    </cfRule>
  </conditionalFormatting>
  <conditionalFormatting sqref="E454">
    <cfRule type="containsText" dxfId="2257" priority="4613" operator="containsText" text="Pesquisa de Preços">
      <formula>NOT(ISERROR(SEARCH("Pesquisa de Preços",E454)))</formula>
    </cfRule>
  </conditionalFormatting>
  <conditionalFormatting sqref="E458">
    <cfRule type="containsText" dxfId="2256" priority="4612" operator="containsText" text="Pesquisa de Preços">
      <formula>NOT(ISERROR(SEARCH("Pesquisa de Preços",E458)))</formula>
    </cfRule>
  </conditionalFormatting>
  <conditionalFormatting sqref="E465:E466 E469:E470">
    <cfRule type="containsText" dxfId="2255" priority="4611" operator="containsText" text="Pesquisa de Preços">
      <formula>NOT(ISERROR(SEARCH("Pesquisa de Preços",E465)))</formula>
    </cfRule>
  </conditionalFormatting>
  <conditionalFormatting sqref="E464">
    <cfRule type="containsText" dxfId="2254" priority="4610" operator="containsText" text="Pesquisa de Preços">
      <formula>NOT(ISERROR(SEARCH("Pesquisa de Preços",E464)))</formula>
    </cfRule>
  </conditionalFormatting>
  <conditionalFormatting sqref="E468">
    <cfRule type="containsText" dxfId="2253" priority="4609" operator="containsText" text="Pesquisa de Preços">
      <formula>NOT(ISERROR(SEARCH("Pesquisa de Preços",E468)))</formula>
    </cfRule>
  </conditionalFormatting>
  <conditionalFormatting sqref="E472 E482">
    <cfRule type="containsText" dxfId="2252" priority="4608" operator="containsText" text="Pesquisa de Preços">
      <formula>NOT(ISERROR(SEARCH("Pesquisa de Preços",E472)))</formula>
    </cfRule>
  </conditionalFormatting>
  <conditionalFormatting sqref="E471">
    <cfRule type="containsText" dxfId="2251" priority="4607" operator="containsText" text="Pesquisa de Preços">
      <formula>NOT(ISERROR(SEARCH("Pesquisa de Preços",E471)))</formula>
    </cfRule>
  </conditionalFormatting>
  <conditionalFormatting sqref="E447 E451 E453">
    <cfRule type="containsText" dxfId="2250" priority="4606" operator="containsText" text="Pesquisa de Preços">
      <formula>NOT(ISERROR(SEARCH("Pesquisa de Preços",E447)))</formula>
    </cfRule>
  </conditionalFormatting>
  <conditionalFormatting sqref="E446">
    <cfRule type="containsText" dxfId="2249" priority="4605" operator="containsText" text="Pesquisa de Preços">
      <formula>NOT(ISERROR(SEARCH("Pesquisa de Preços",E446)))</formula>
    </cfRule>
  </conditionalFormatting>
  <conditionalFormatting sqref="E484:E485 E487:E488">
    <cfRule type="containsText" dxfId="2248" priority="4604" operator="containsText" text="Pesquisa de Preços">
      <formula>NOT(ISERROR(SEARCH("Pesquisa de Preços",E484)))</formula>
    </cfRule>
  </conditionalFormatting>
  <conditionalFormatting sqref="E483">
    <cfRule type="containsText" dxfId="2247" priority="4603" operator="containsText" text="Pesquisa de Preços">
      <formula>NOT(ISERROR(SEARCH("Pesquisa de Preços",E483)))</formula>
    </cfRule>
  </conditionalFormatting>
  <conditionalFormatting sqref="E486">
    <cfRule type="containsText" dxfId="2246" priority="4602" operator="containsText" text="Pesquisa de Preços">
      <formula>NOT(ISERROR(SEARCH("Pesquisa de Preços",E486)))</formula>
    </cfRule>
  </conditionalFormatting>
  <conditionalFormatting sqref="E505:E506 E509:E510">
    <cfRule type="containsText" dxfId="2245" priority="4601" operator="containsText" text="Pesquisa de Preços">
      <formula>NOT(ISERROR(SEARCH("Pesquisa de Preços",E505)))</formula>
    </cfRule>
  </conditionalFormatting>
  <conditionalFormatting sqref="E504">
    <cfRule type="containsText" dxfId="2244" priority="4600" operator="containsText" text="Pesquisa de Preços">
      <formula>NOT(ISERROR(SEARCH("Pesquisa de Preços",E504)))</formula>
    </cfRule>
  </conditionalFormatting>
  <conditionalFormatting sqref="E1257">
    <cfRule type="containsText" dxfId="2243" priority="4414" operator="containsText" text="Pesquisa de Preços">
      <formula>NOT(ISERROR(SEARCH("Pesquisa de Preços",E1257)))</formula>
    </cfRule>
  </conditionalFormatting>
  <conditionalFormatting sqref="E507:E508">
    <cfRule type="containsText" dxfId="2242" priority="4599" operator="containsText" text="Pesquisa de Preços">
      <formula>NOT(ISERROR(SEARCH("Pesquisa de Preços",E507)))</formula>
    </cfRule>
  </conditionalFormatting>
  <conditionalFormatting sqref="E498 E503">
    <cfRule type="containsText" dxfId="2241" priority="4598" operator="containsText" text="Pesquisa de Preços">
      <formula>NOT(ISERROR(SEARCH("Pesquisa de Preços",E498)))</formula>
    </cfRule>
  </conditionalFormatting>
  <conditionalFormatting sqref="E497">
    <cfRule type="containsText" dxfId="2240" priority="4597" operator="containsText" text="Pesquisa de Preços">
      <formula>NOT(ISERROR(SEARCH("Pesquisa de Preços",E497)))</formula>
    </cfRule>
  </conditionalFormatting>
  <conditionalFormatting sqref="E1291">
    <cfRule type="containsText" dxfId="2239" priority="4411" operator="containsText" text="Pesquisa de Preços">
      <formula>NOT(ISERROR(SEARCH("Pesquisa de Preços",E1291)))</formula>
    </cfRule>
  </conditionalFormatting>
  <conditionalFormatting sqref="E512:E513 E515:E516">
    <cfRule type="containsText" dxfId="2238" priority="4596" operator="containsText" text="Pesquisa de Preços">
      <formula>NOT(ISERROR(SEARCH("Pesquisa de Preços",E512)))</formula>
    </cfRule>
  </conditionalFormatting>
  <conditionalFormatting sqref="E511">
    <cfRule type="containsText" dxfId="2237" priority="4595" operator="containsText" text="Pesquisa de Preços">
      <formula>NOT(ISERROR(SEARCH("Pesquisa de Preços",E511)))</formula>
    </cfRule>
  </conditionalFormatting>
  <conditionalFormatting sqref="E1299">
    <cfRule type="containsText" dxfId="2236" priority="4408" operator="containsText" text="Pesquisa de Preços">
      <formula>NOT(ISERROR(SEARCH("Pesquisa de Preços",E1299)))</formula>
    </cfRule>
  </conditionalFormatting>
  <conditionalFormatting sqref="E531">
    <cfRule type="containsText" dxfId="2235" priority="4592" operator="containsText" text="Pesquisa de Preços">
      <formula>NOT(ISERROR(SEARCH("Pesquisa de Preços",E531)))</formula>
    </cfRule>
  </conditionalFormatting>
  <conditionalFormatting sqref="E1263">
    <cfRule type="containsText" dxfId="2234" priority="4406" operator="containsText" text="Pesquisa de Preços">
      <formula>NOT(ISERROR(SEARCH("Pesquisa de Preços",E1263)))</formula>
    </cfRule>
  </conditionalFormatting>
  <conditionalFormatting sqref="E534">
    <cfRule type="containsText" dxfId="2233" priority="4591" operator="containsText" text="Pesquisa de Preços">
      <formula>NOT(ISERROR(SEARCH("Pesquisa de Preços",E534)))</formula>
    </cfRule>
  </conditionalFormatting>
  <conditionalFormatting sqref="E489">
    <cfRule type="containsText" dxfId="2232" priority="4589" operator="containsText" text="Pesquisa de Preços">
      <formula>NOT(ISERROR(SEARCH("Pesquisa de Preços",E489)))</formula>
    </cfRule>
  </conditionalFormatting>
  <conditionalFormatting sqref="E1270">
    <cfRule type="containsText" dxfId="2231" priority="4403" operator="containsText" text="Pesquisa de Preços">
      <formula>NOT(ISERROR(SEARCH("Pesquisa de Preços",E1270)))</formula>
    </cfRule>
  </conditionalFormatting>
  <conditionalFormatting sqref="E525:E530">
    <cfRule type="containsText" dxfId="2230" priority="4588" operator="containsText" text="Pesquisa de Preços">
      <formula>NOT(ISERROR(SEARCH("Pesquisa de Preços",E525)))</formula>
    </cfRule>
  </conditionalFormatting>
  <conditionalFormatting sqref="E524">
    <cfRule type="containsText" dxfId="2229" priority="4587" operator="containsText" text="Pesquisa de Preços">
      <formula>NOT(ISERROR(SEARCH("Pesquisa de Preços",E524)))</formula>
    </cfRule>
  </conditionalFormatting>
  <conditionalFormatting sqref="E518 E523">
    <cfRule type="containsText" dxfId="2228" priority="4586" operator="containsText" text="Pesquisa de Preços">
      <formula>NOT(ISERROR(SEARCH("Pesquisa de Preços",E518)))</formula>
    </cfRule>
  </conditionalFormatting>
  <conditionalFormatting sqref="E517">
    <cfRule type="containsText" dxfId="2227" priority="4585" operator="containsText" text="Pesquisa de Preços">
      <formula>NOT(ISERROR(SEARCH("Pesquisa de Preços",E517)))</formula>
    </cfRule>
  </conditionalFormatting>
  <conditionalFormatting sqref="E1284">
    <cfRule type="containsText" dxfId="2226" priority="4399" operator="containsText" text="Pesquisa de Preços">
      <formula>NOT(ISERROR(SEARCH("Pesquisa de Preços",E1284)))</formula>
    </cfRule>
  </conditionalFormatting>
  <conditionalFormatting sqref="E546:E547 E551:E552">
    <cfRule type="containsText" dxfId="2225" priority="4584" operator="containsText" text="Pesquisa de Preços">
      <formula>NOT(ISERROR(SEARCH("Pesquisa de Preços",E546)))</formula>
    </cfRule>
  </conditionalFormatting>
  <conditionalFormatting sqref="E1326">
    <cfRule type="containsText" dxfId="2224" priority="4397" operator="containsText" text="Pesquisa de Preços">
      <formula>NOT(ISERROR(SEARCH("Pesquisa de Preços",E1326)))</formula>
    </cfRule>
  </conditionalFormatting>
  <conditionalFormatting sqref="E548:E550">
    <cfRule type="containsText" dxfId="2223" priority="4582" operator="containsText" text="Pesquisa de Preços">
      <formula>NOT(ISERROR(SEARCH("Pesquisa de Preços",E548)))</formula>
    </cfRule>
  </conditionalFormatting>
  <conditionalFormatting sqref="E554:E555 E559:E560">
    <cfRule type="containsText" dxfId="2222" priority="4581" operator="containsText" text="Pesquisa de Preços">
      <formula>NOT(ISERROR(SEARCH("Pesquisa de Preços",E554)))</formula>
    </cfRule>
  </conditionalFormatting>
  <conditionalFormatting sqref="E1320">
    <cfRule type="containsText" dxfId="2221" priority="4395" operator="containsText" text="Pesquisa de Preços">
      <formula>NOT(ISERROR(SEARCH("Pesquisa de Preços",E1320)))</formula>
    </cfRule>
  </conditionalFormatting>
  <conditionalFormatting sqref="E556:E558">
    <cfRule type="containsText" dxfId="2220" priority="4579" operator="containsText" text="Pesquisa de Preços">
      <formula>NOT(ISERROR(SEARCH("Pesquisa de Preços",E556)))</formula>
    </cfRule>
  </conditionalFormatting>
  <conditionalFormatting sqref="E538:E539 E543:E544">
    <cfRule type="containsText" dxfId="2219" priority="4578" operator="containsText" text="Pesquisa de Preços">
      <formula>NOT(ISERROR(SEARCH("Pesquisa de Preços",E538)))</formula>
    </cfRule>
  </conditionalFormatting>
  <conditionalFormatting sqref="E537">
    <cfRule type="containsText" dxfId="2218" priority="4577" operator="containsText" text="Pesquisa de Preços">
      <formula>NOT(ISERROR(SEARCH("Pesquisa de Preços",E537)))</formula>
    </cfRule>
  </conditionalFormatting>
  <conditionalFormatting sqref="E1314">
    <cfRule type="containsText" dxfId="2217" priority="4393" operator="containsText" text="Pesquisa de Preços">
      <formula>NOT(ISERROR(SEARCH("Pesquisa de Preços",E1314)))</formula>
    </cfRule>
  </conditionalFormatting>
  <conditionalFormatting sqref="E540:E542">
    <cfRule type="containsText" dxfId="2216" priority="4576" operator="containsText" text="Pesquisa de Preços">
      <formula>NOT(ISERROR(SEARCH("Pesquisa de Preços",E540)))</formula>
    </cfRule>
  </conditionalFormatting>
  <conditionalFormatting sqref="E562:E563 E567:E568">
    <cfRule type="containsText" dxfId="2215" priority="4575" operator="containsText" text="Pesquisa de Preços">
      <formula>NOT(ISERROR(SEARCH("Pesquisa de Preços",E562)))</formula>
    </cfRule>
  </conditionalFormatting>
  <conditionalFormatting sqref="E561">
    <cfRule type="containsText" dxfId="2214" priority="4574" operator="containsText" text="Pesquisa de Preços">
      <formula>NOT(ISERROR(SEARCH("Pesquisa de Preços",E561)))</formula>
    </cfRule>
  </conditionalFormatting>
  <conditionalFormatting sqref="E1308">
    <cfRule type="containsText" dxfId="2213" priority="4391" operator="containsText" text="Pesquisa de Preços">
      <formula>NOT(ISERROR(SEARCH("Pesquisa de Preços",E1308)))</formula>
    </cfRule>
  </conditionalFormatting>
  <conditionalFormatting sqref="E564:E566">
    <cfRule type="containsText" dxfId="2212" priority="4573" operator="containsText" text="Pesquisa de Preços">
      <formula>NOT(ISERROR(SEARCH("Pesquisa de Preços",E564)))</formula>
    </cfRule>
  </conditionalFormatting>
  <conditionalFormatting sqref="E570:E571">
    <cfRule type="containsText" dxfId="2211" priority="4572" operator="containsText" text="Pesquisa de Preços">
      <formula>NOT(ISERROR(SEARCH("Pesquisa de Preços",E570)))</formula>
    </cfRule>
  </conditionalFormatting>
  <conditionalFormatting sqref="E1332">
    <cfRule type="containsText" dxfId="2210" priority="4389" operator="containsText" text="Pesquisa de Preços">
      <formula>NOT(ISERROR(SEARCH("Pesquisa de Preços",E1332)))</formula>
    </cfRule>
  </conditionalFormatting>
  <conditionalFormatting sqref="E580:E581 E584:E587">
    <cfRule type="containsText" dxfId="2209" priority="4570" operator="containsText" text="Pesquisa de Preços">
      <formula>NOT(ISERROR(SEARCH("Pesquisa de Preços",E580)))</formula>
    </cfRule>
  </conditionalFormatting>
  <conditionalFormatting sqref="E1345">
    <cfRule type="containsText" dxfId="2208" priority="4386" operator="containsText" text="Pesquisa de Preços">
      <formula>NOT(ISERROR(SEARCH("Pesquisa de Preços",E1345)))</formula>
    </cfRule>
  </conditionalFormatting>
  <conditionalFormatting sqref="E582:E583">
    <cfRule type="containsText" dxfId="2207" priority="4568" operator="containsText" text="Pesquisa de Preços">
      <formula>NOT(ISERROR(SEARCH("Pesquisa de Preços",E582)))</formula>
    </cfRule>
  </conditionalFormatting>
  <conditionalFormatting sqref="E622 E627:E628">
    <cfRule type="containsText" dxfId="2206" priority="4567" operator="containsText" text="Pesquisa de Preços">
      <formula>NOT(ISERROR(SEARCH("Pesquisa de Preços",E622)))</formula>
    </cfRule>
  </conditionalFormatting>
  <conditionalFormatting sqref="E621">
    <cfRule type="containsText" dxfId="2205" priority="4566" operator="containsText" text="Pesquisa de Preços">
      <formula>NOT(ISERROR(SEARCH("Pesquisa de Preços",E621)))</formula>
    </cfRule>
  </conditionalFormatting>
  <conditionalFormatting sqref="E1339">
    <cfRule type="containsText" dxfId="2204" priority="4383" operator="containsText" text="Pesquisa de Preços">
      <formula>NOT(ISERROR(SEARCH("Pesquisa de Preços",E1339)))</formula>
    </cfRule>
  </conditionalFormatting>
  <conditionalFormatting sqref="E1456">
    <cfRule type="containsText" dxfId="2203" priority="4346" operator="containsText" text="Pesquisa de Preços">
      <formula>NOT(ISERROR(SEARCH("Pesquisa de Preços",E1456)))</formula>
    </cfRule>
  </conditionalFormatting>
  <conditionalFormatting sqref="E832">
    <cfRule type="containsText" dxfId="2202" priority="4547" operator="containsText" text="Pesquisa de Preços">
      <formula>NOT(ISERROR(SEARCH("Pesquisa de Preços",E832)))</formula>
    </cfRule>
  </conditionalFormatting>
  <conditionalFormatting sqref="E1559">
    <cfRule type="containsText" dxfId="2201" priority="4342" operator="containsText" text="Pesquisa de Preços">
      <formula>NOT(ISERROR(SEARCH("Pesquisa de Preços",E1559)))</formula>
    </cfRule>
  </conditionalFormatting>
  <conditionalFormatting sqref="E748">
    <cfRule type="containsText" dxfId="2200" priority="4543" operator="containsText" text="Pesquisa de Preços">
      <formula>NOT(ISERROR(SEARCH("Pesquisa de Preços",E748)))</formula>
    </cfRule>
  </conditionalFormatting>
  <conditionalFormatting sqref="E676">
    <cfRule type="containsText" dxfId="2199" priority="4564" operator="containsText" text="Pesquisa de Preços">
      <formula>NOT(ISERROR(SEARCH("Pesquisa de Preços",E676)))</formula>
    </cfRule>
  </conditionalFormatting>
  <conditionalFormatting sqref="E668">
    <cfRule type="containsText" dxfId="2198" priority="4562" operator="containsText" text="Pesquisa de Preços">
      <formula>NOT(ISERROR(SEARCH("Pesquisa de Preços",E668)))</formula>
    </cfRule>
  </conditionalFormatting>
  <conditionalFormatting sqref="E714">
    <cfRule type="containsText" dxfId="2197" priority="4557" operator="containsText" text="Pesquisa de Preços">
      <formula>NOT(ISERROR(SEARCH("Pesquisa de Preços",E714)))</formula>
    </cfRule>
  </conditionalFormatting>
  <conditionalFormatting sqref="E686">
    <cfRule type="containsText" dxfId="2196" priority="4560" operator="containsText" text="Pesquisa de Preços">
      <formula>NOT(ISERROR(SEARCH("Pesquisa de Preços",E686)))</formula>
    </cfRule>
  </conditionalFormatting>
  <conditionalFormatting sqref="E758:E764">
    <cfRule type="containsText" dxfId="2195" priority="4539" operator="containsText" text="Pesquisa de Preços">
      <formula>NOT(ISERROR(SEARCH("Pesquisa de Preços",E758)))</formula>
    </cfRule>
  </conditionalFormatting>
  <conditionalFormatting sqref="E689:E691">
    <cfRule type="containsText" dxfId="2194" priority="4559" operator="containsText" text="Pesquisa de Preços">
      <formula>NOT(ISERROR(SEARCH("Pesquisa de Preços",E689)))</formula>
    </cfRule>
  </conditionalFormatting>
  <conditionalFormatting sqref="E724">
    <cfRule type="containsText" dxfId="2193" priority="4554" operator="containsText" text="Pesquisa de Preços">
      <formula>NOT(ISERROR(SEARCH("Pesquisa de Preços",E724)))</formula>
    </cfRule>
  </conditionalFormatting>
  <conditionalFormatting sqref="E730">
    <cfRule type="containsText" dxfId="2192" priority="4555" operator="containsText" text="Pesquisa de Preços">
      <formula>NOT(ISERROR(SEARCH("Pesquisa de Preços",E730)))</formula>
    </cfRule>
  </conditionalFormatting>
  <conditionalFormatting sqref="E827">
    <cfRule type="containsText" dxfId="2191" priority="4535" operator="containsText" text="Pesquisa de Preços">
      <formula>NOT(ISERROR(SEARCH("Pesquisa de Preços",E827)))</formula>
    </cfRule>
  </conditionalFormatting>
  <conditionalFormatting sqref="E723">
    <cfRule type="containsText" dxfId="2190" priority="4553" operator="containsText" text="Pesquisa de Preços">
      <formula>NOT(ISERROR(SEARCH("Pesquisa de Preços",E723)))</formula>
    </cfRule>
  </conditionalFormatting>
  <conditionalFormatting sqref="E767">
    <cfRule type="containsText" dxfId="2189" priority="4530" operator="containsText" text="Pesquisa de Preços">
      <formula>NOT(ISERROR(SEARCH("Pesquisa de Preços",E767)))</formula>
    </cfRule>
  </conditionalFormatting>
  <conditionalFormatting sqref="E839">
    <cfRule type="containsText" dxfId="2188" priority="4524" operator="containsText" text="Pesquisa de Preços">
      <formula>NOT(ISERROR(SEARCH("Pesquisa de Preços",E839)))</formula>
    </cfRule>
  </conditionalFormatting>
  <conditionalFormatting sqref="E745:E746">
    <cfRule type="containsText" dxfId="2187" priority="4552" operator="containsText" text="Pesquisa de Preços">
      <formula>NOT(ISERROR(SEARCH("Pesquisa de Preços",E745)))</formula>
    </cfRule>
  </conditionalFormatting>
  <conditionalFormatting sqref="E744">
    <cfRule type="containsText" dxfId="2186" priority="4551" operator="containsText" text="Pesquisa de Preços">
      <formula>NOT(ISERROR(SEARCH("Pesquisa de Preços",E744)))</formula>
    </cfRule>
  </conditionalFormatting>
  <conditionalFormatting sqref="E1411">
    <cfRule type="containsText" dxfId="2185" priority="4348" operator="containsText" text="Pesquisa de Preços">
      <formula>NOT(ISERROR(SEARCH("Pesquisa de Preços",E1411)))</formula>
    </cfRule>
  </conditionalFormatting>
  <conditionalFormatting sqref="E790">
    <cfRule type="containsText" dxfId="2184" priority="4549" operator="containsText" text="Pesquisa de Preços">
      <formula>NOT(ISERROR(SEARCH("Pesquisa de Preços",E790)))</formula>
    </cfRule>
  </conditionalFormatting>
  <conditionalFormatting sqref="E814">
    <cfRule type="containsText" dxfId="2183" priority="4545" operator="containsText" text="Pesquisa de Preços">
      <formula>NOT(ISERROR(SEARCH("Pesquisa de Preços",E814)))</formula>
    </cfRule>
  </conditionalFormatting>
  <conditionalFormatting sqref="E751:E752">
    <cfRule type="containsText" dxfId="2182" priority="4542" operator="containsText" text="Pesquisa de Preços">
      <formula>NOT(ISERROR(SEARCH("Pesquisa de Preços",E751)))</formula>
    </cfRule>
  </conditionalFormatting>
  <conditionalFormatting sqref="E755">
    <cfRule type="containsText" dxfId="2181" priority="4540" operator="containsText" text="Pesquisa de Preços">
      <formula>NOT(ISERROR(SEARCH("Pesquisa de Preços",E755)))</formula>
    </cfRule>
  </conditionalFormatting>
  <conditionalFormatting sqref="E942">
    <cfRule type="containsText" dxfId="2180" priority="4507" operator="containsText" text="Pesquisa de Preços">
      <formula>NOT(ISERROR(SEARCH("Pesquisa de Preços",E942)))</formula>
    </cfRule>
  </conditionalFormatting>
  <conditionalFormatting sqref="E823">
    <cfRule type="containsText" dxfId="2179" priority="4537" operator="containsText" text="Pesquisa de Preços">
      <formula>NOT(ISERROR(SEARCH("Pesquisa de Preços",E823)))</formula>
    </cfRule>
  </conditionalFormatting>
  <conditionalFormatting sqref="E1653">
    <cfRule type="containsText" dxfId="2178" priority="4306" operator="containsText" text="Pesquisa de Preços">
      <formula>NOT(ISERROR(SEARCH("Pesquisa de Preços",E1653)))</formula>
    </cfRule>
  </conditionalFormatting>
  <conditionalFormatting sqref="E804">
    <cfRule type="containsText" dxfId="2177" priority="4533" operator="containsText" text="Pesquisa de Preços">
      <formula>NOT(ISERROR(SEARCH("Pesquisa de Preços",E804)))</formula>
    </cfRule>
  </conditionalFormatting>
  <conditionalFormatting sqref="E975">
    <cfRule type="containsText" dxfId="2176" priority="4501" operator="containsText" text="Pesquisa de Preços">
      <formula>NOT(ISERROR(SEARCH("Pesquisa de Preços",E975)))</formula>
    </cfRule>
  </conditionalFormatting>
  <conditionalFormatting sqref="E819 E822">
    <cfRule type="containsText" dxfId="2175" priority="4532" operator="containsText" text="Pesquisa de Preços">
      <formula>NOT(ISERROR(SEARCH("Pesquisa de Preços",E819)))</formula>
    </cfRule>
  </conditionalFormatting>
  <conditionalFormatting sqref="E818">
    <cfRule type="containsText" dxfId="2174" priority="4531" operator="containsText" text="Pesquisa de Preços">
      <formula>NOT(ISERROR(SEARCH("Pesquisa de Preços",E818)))</formula>
    </cfRule>
  </conditionalFormatting>
  <conditionalFormatting sqref="E978:E982">
    <cfRule type="containsText" dxfId="2173" priority="4500" operator="containsText" text="Pesquisa de Preços">
      <formula>NOT(ISERROR(SEARCH("Pesquisa de Preços",E978)))</formula>
    </cfRule>
  </conditionalFormatting>
  <conditionalFormatting sqref="E766">
    <cfRule type="containsText" dxfId="2172" priority="4529" operator="containsText" text="Pesquisa de Preços">
      <formula>NOT(ISERROR(SEARCH("Pesquisa de Preços",E766)))</formula>
    </cfRule>
  </conditionalFormatting>
  <conditionalFormatting sqref="E1003">
    <cfRule type="containsText" dxfId="2171" priority="4495" operator="containsText" text="Pesquisa de Preços">
      <formula>NOT(ISERROR(SEARCH("Pesquisa de Preços",E1003)))</formula>
    </cfRule>
  </conditionalFormatting>
  <conditionalFormatting sqref="E184:E185">
    <cfRule type="containsText" dxfId="2170" priority="4528" operator="containsText" text="Pesquisa de Preços">
      <formula>NOT(ISERROR(SEARCH("Pesquisa de Preços",E184)))</formula>
    </cfRule>
  </conditionalFormatting>
  <conditionalFormatting sqref="E183">
    <cfRule type="containsText" dxfId="2169" priority="4527" operator="containsText" text="Pesquisa de Preços">
      <formula>NOT(ISERROR(SEARCH("Pesquisa de Preços",E183)))</formula>
    </cfRule>
  </conditionalFormatting>
  <conditionalFormatting sqref="E1006:E1009">
    <cfRule type="containsText" dxfId="2168" priority="4494" operator="containsText" text="Pesquisa de Preços">
      <formula>NOT(ISERROR(SEARCH("Pesquisa de Preços",E1006)))</formula>
    </cfRule>
  </conditionalFormatting>
  <conditionalFormatting sqref="E186:E188">
    <cfRule type="containsText" dxfId="2167" priority="4526" operator="containsText" text="Pesquisa de Preços">
      <formula>NOT(ISERROR(SEARCH("Pesquisa de Preços",E186)))</formula>
    </cfRule>
  </conditionalFormatting>
  <conditionalFormatting sqref="E840 E843:E844">
    <cfRule type="containsText" dxfId="2166" priority="4525" operator="containsText" text="Pesquisa de Preços">
      <formula>NOT(ISERROR(SEARCH("Pesquisa de Preços",E840)))</formula>
    </cfRule>
  </conditionalFormatting>
  <conditionalFormatting sqref="E1697">
    <cfRule type="containsText" dxfId="2165" priority="4298" operator="containsText" text="Pesquisa de Preços">
      <formula>NOT(ISERROR(SEARCH("Pesquisa de Preços",E1697)))</formula>
    </cfRule>
  </conditionalFormatting>
  <conditionalFormatting sqref="E842">
    <cfRule type="containsText" dxfId="2164" priority="4523" operator="containsText" text="Pesquisa de Preços">
      <formula>NOT(ISERROR(SEARCH("Pesquisa de Preços",E842)))</formula>
    </cfRule>
  </conditionalFormatting>
  <conditionalFormatting sqref="E914:E918">
    <cfRule type="containsText" dxfId="2163" priority="4522" operator="containsText" text="Pesquisa de Preços">
      <formula>NOT(ISERROR(SEARCH("Pesquisa de Preços",E914)))</formula>
    </cfRule>
  </conditionalFormatting>
  <conditionalFormatting sqref="E913">
    <cfRule type="containsText" dxfId="2162" priority="4521" operator="containsText" text="Pesquisa de Preços">
      <formula>NOT(ISERROR(SEARCH("Pesquisa de Preços",E913)))</formula>
    </cfRule>
  </conditionalFormatting>
  <conditionalFormatting sqref="E935">
    <cfRule type="containsText" dxfId="2161" priority="4520" operator="containsText" text="Pesquisa de Preços">
      <formula>NOT(ISERROR(SEARCH("Pesquisa de Preços",E935)))</formula>
    </cfRule>
  </conditionalFormatting>
  <conditionalFormatting sqref="E934">
    <cfRule type="containsText" dxfId="2160" priority="4519" operator="containsText" text="Pesquisa de Preços">
      <formula>NOT(ISERROR(SEARCH("Pesquisa de Preços",E934)))</formula>
    </cfRule>
  </conditionalFormatting>
  <conditionalFormatting sqref="E1619">
    <cfRule type="containsText" dxfId="2159" priority="4320" operator="containsText" text="Pesquisa de Preços">
      <formula>NOT(ISERROR(SEARCH("Pesquisa de Preços",E1619)))</formula>
    </cfRule>
  </conditionalFormatting>
  <conditionalFormatting sqref="E928">
    <cfRule type="containsText" dxfId="2158" priority="4518" operator="containsText" text="Pesquisa de Preços">
      <formula>NOT(ISERROR(SEARCH("Pesquisa de Preços",E928)))</formula>
    </cfRule>
  </conditionalFormatting>
  <conditionalFormatting sqref="E927">
    <cfRule type="containsText" dxfId="2157" priority="4517" operator="containsText" text="Pesquisa de Preços">
      <formula>NOT(ISERROR(SEARCH("Pesquisa de Preços",E927)))</formula>
    </cfRule>
  </conditionalFormatting>
  <conditionalFormatting sqref="E1624">
    <cfRule type="containsText" dxfId="2156" priority="4318" operator="containsText" text="Pesquisa de Preços">
      <formula>NOT(ISERROR(SEARCH("Pesquisa de Preços",E1624)))</formula>
    </cfRule>
  </conditionalFormatting>
  <conditionalFormatting sqref="E920">
    <cfRule type="containsText" dxfId="2155" priority="4515" operator="containsText" text="Pesquisa de Preços">
      <formula>NOT(ISERROR(SEARCH("Pesquisa de Preços",E920)))</formula>
    </cfRule>
  </conditionalFormatting>
  <conditionalFormatting sqref="E921 E926">
    <cfRule type="containsText" dxfId="2154" priority="4516" operator="containsText" text="Pesquisa de Preços">
      <formula>NOT(ISERROR(SEARCH("Pesquisa de Preços",E921)))</formula>
    </cfRule>
  </conditionalFormatting>
  <conditionalFormatting sqref="E1595">
    <cfRule type="containsText" dxfId="2153" priority="4314" operator="containsText" text="Pesquisa de Preços">
      <formula>NOT(ISERROR(SEARCH("Pesquisa de Preços",E1595)))</formula>
    </cfRule>
  </conditionalFormatting>
  <conditionalFormatting sqref="E964:E966">
    <cfRule type="containsText" dxfId="2152" priority="4512" operator="containsText" text="Pesquisa de Preços">
      <formula>NOT(ISERROR(SEARCH("Pesquisa de Preços",E964)))</formula>
    </cfRule>
  </conditionalFormatting>
  <conditionalFormatting sqref="E962:E963">
    <cfRule type="containsText" dxfId="2151" priority="4514" operator="containsText" text="Pesquisa de Preços">
      <formula>NOT(ISERROR(SEARCH("Pesquisa de Preços",E962)))</formula>
    </cfRule>
  </conditionalFormatting>
  <conditionalFormatting sqref="E961">
    <cfRule type="containsText" dxfId="2150" priority="4513" operator="containsText" text="Pesquisa de Preços">
      <formula>NOT(ISERROR(SEARCH("Pesquisa de Preços",E961)))</formula>
    </cfRule>
  </conditionalFormatting>
  <conditionalFormatting sqref="E955">
    <cfRule type="containsText" dxfId="2149" priority="4511" operator="containsText" text="Pesquisa de Preços">
      <formula>NOT(ISERROR(SEARCH("Pesquisa de Preços",E955)))</formula>
    </cfRule>
  </conditionalFormatting>
  <conditionalFormatting sqref="E954">
    <cfRule type="containsText" dxfId="2148" priority="4510" operator="containsText" text="Pesquisa de Preços">
      <formula>NOT(ISERROR(SEARCH("Pesquisa de Preços",E954)))</formula>
    </cfRule>
  </conditionalFormatting>
  <conditionalFormatting sqref="E949 E953">
    <cfRule type="containsText" dxfId="2147" priority="4509" operator="containsText" text="Pesquisa de Preços">
      <formula>NOT(ISERROR(SEARCH("Pesquisa de Preços",E949)))</formula>
    </cfRule>
  </conditionalFormatting>
  <conditionalFormatting sqref="E948">
    <cfRule type="containsText" dxfId="2146" priority="4508" operator="containsText" text="Pesquisa de Preços">
      <formula>NOT(ISERROR(SEARCH("Pesquisa de Preços",E948)))</formula>
    </cfRule>
  </conditionalFormatting>
  <conditionalFormatting sqref="E1050">
    <cfRule type="containsText" dxfId="2145" priority="4475" operator="containsText" text="Pesquisa de Preços">
      <formula>NOT(ISERROR(SEARCH("Pesquisa de Preços",E1050)))</formula>
    </cfRule>
  </conditionalFormatting>
  <conditionalFormatting sqref="E968">
    <cfRule type="containsText" dxfId="2144" priority="4504" operator="containsText" text="Pesquisa de Preços">
      <formula>NOT(ISERROR(SEARCH("Pesquisa de Preços",E968)))</formula>
    </cfRule>
  </conditionalFormatting>
  <conditionalFormatting sqref="E941">
    <cfRule type="containsText" dxfId="2143" priority="4506" operator="containsText" text="Pesquisa de Preços">
      <formula>NOT(ISERROR(SEARCH("Pesquisa de Preços",E941)))</formula>
    </cfRule>
  </conditionalFormatting>
  <conditionalFormatting sqref="E969:E970 E973:E974">
    <cfRule type="containsText" dxfId="2142" priority="4505" operator="containsText" text="Pesquisa de Preços">
      <formula>NOT(ISERROR(SEARCH("Pesquisa de Preços",E969)))</formula>
    </cfRule>
  </conditionalFormatting>
  <conditionalFormatting sqref="E971:E972">
    <cfRule type="containsText" dxfId="2141" priority="4503" operator="containsText" text="Pesquisa de Preços">
      <formula>NOT(ISERROR(SEARCH("Pesquisa de Preços",E971)))</formula>
    </cfRule>
  </conditionalFormatting>
  <conditionalFormatting sqref="E976:E977">
    <cfRule type="containsText" dxfId="2140" priority="4502" operator="containsText" text="Pesquisa de Preços">
      <formula>NOT(ISERROR(SEARCH("Pesquisa de Preços",E976)))</formula>
    </cfRule>
  </conditionalFormatting>
  <conditionalFormatting sqref="E1642">
    <cfRule type="containsText" dxfId="2139" priority="4304" operator="containsText" text="Pesquisa de Preços">
      <formula>NOT(ISERROR(SEARCH("Pesquisa de Preços",E1642)))</formula>
    </cfRule>
  </conditionalFormatting>
  <conditionalFormatting sqref="E985:E986">
    <cfRule type="containsText" dxfId="2138" priority="4499" operator="containsText" text="Pesquisa de Preços">
      <formula>NOT(ISERROR(SEARCH("Pesquisa de Preços",E985)))</formula>
    </cfRule>
  </conditionalFormatting>
  <conditionalFormatting sqref="E984">
    <cfRule type="containsText" dxfId="2137" priority="4498" operator="containsText" text="Pesquisa de Preços">
      <formula>NOT(ISERROR(SEARCH("Pesquisa de Preços",E984)))</formula>
    </cfRule>
  </conditionalFormatting>
  <conditionalFormatting sqref="E1717">
    <cfRule type="containsText" dxfId="2136" priority="4302" operator="containsText" text="Pesquisa de Preços">
      <formula>NOT(ISERROR(SEARCH("Pesquisa de Preços",E1717)))</formula>
    </cfRule>
  </conditionalFormatting>
  <conditionalFormatting sqref="E991 E987:E989">
    <cfRule type="containsText" dxfId="2135" priority="4497" operator="containsText" text="Pesquisa de Preços">
      <formula>NOT(ISERROR(SEARCH("Pesquisa de Preços",E987)))</formula>
    </cfRule>
  </conditionalFormatting>
  <conditionalFormatting sqref="E1004:E1005 E1010:E1011">
    <cfRule type="containsText" dxfId="2134" priority="4496" operator="containsText" text="Pesquisa de Preços">
      <formula>NOT(ISERROR(SEARCH("Pesquisa de Preços",E1004)))</formula>
    </cfRule>
  </conditionalFormatting>
  <conditionalFormatting sqref="E1727">
    <cfRule type="containsText" dxfId="2133" priority="4300" operator="containsText" text="Pesquisa de Preços">
      <formula>NOT(ISERROR(SEARCH("Pesquisa de Preços",E1727)))</formula>
    </cfRule>
  </conditionalFormatting>
  <conditionalFormatting sqref="E994:E995">
    <cfRule type="containsText" dxfId="2132" priority="4493" operator="containsText" text="Pesquisa de Preços">
      <formula>NOT(ISERROR(SEARCH("Pesquisa de Preços",E994)))</formula>
    </cfRule>
  </conditionalFormatting>
  <conditionalFormatting sqref="E993">
    <cfRule type="containsText" dxfId="2131" priority="4492" operator="containsText" text="Pesquisa de Preços">
      <formula>NOT(ISERROR(SEARCH("Pesquisa de Preços",E993)))</formula>
    </cfRule>
  </conditionalFormatting>
  <conditionalFormatting sqref="E998">
    <cfRule type="containsText" dxfId="2130" priority="4490" operator="containsText" text="Pesquisa de Preços">
      <formula>NOT(ISERROR(SEARCH("Pesquisa de Preços",E998)))</formula>
    </cfRule>
  </conditionalFormatting>
  <conditionalFormatting sqref="E999:E1000">
    <cfRule type="containsText" dxfId="2129" priority="4491" operator="containsText" text="Pesquisa de Preços">
      <formula>NOT(ISERROR(SEARCH("Pesquisa de Preços",E999)))</formula>
    </cfRule>
  </conditionalFormatting>
  <conditionalFormatting sqref="E1707">
    <cfRule type="containsText" dxfId="2128" priority="4296" operator="containsText" text="Pesquisa de Preços">
      <formula>NOT(ISERROR(SEARCH("Pesquisa de Preços",E1707)))</formula>
    </cfRule>
  </conditionalFormatting>
  <conditionalFormatting sqref="E1017">
    <cfRule type="containsText" dxfId="2127" priority="4488" operator="containsText" text="Pesquisa de Preços">
      <formula>NOT(ISERROR(SEARCH("Pesquisa de Preços",E1017)))</formula>
    </cfRule>
  </conditionalFormatting>
  <conditionalFormatting sqref="E1018:E1019 E1026">
    <cfRule type="containsText" dxfId="2126" priority="4489" operator="containsText" text="Pesquisa de Preços">
      <formula>NOT(ISERROR(SEARCH("Pesquisa de Preços",E1018)))</formula>
    </cfRule>
  </conditionalFormatting>
  <conditionalFormatting sqref="E1683">
    <cfRule type="containsText" dxfId="2125" priority="4294" operator="containsText" text="Pesquisa de Preços">
      <formula>NOT(ISERROR(SEARCH("Pesquisa de Preços",E1683)))</formula>
    </cfRule>
  </conditionalFormatting>
  <conditionalFormatting sqref="E1021:E1024">
    <cfRule type="containsText" dxfId="2124" priority="4487" operator="containsText" text="Pesquisa de Preços">
      <formula>NOT(ISERROR(SEARCH("Pesquisa de Preços",E1021)))</formula>
    </cfRule>
  </conditionalFormatting>
  <conditionalFormatting sqref="E1028:E1029 E1035">
    <cfRule type="containsText" dxfId="2123" priority="4486" operator="containsText" text="Pesquisa de Preços">
      <formula>NOT(ISERROR(SEARCH("Pesquisa de Preços",E1028)))</formula>
    </cfRule>
  </conditionalFormatting>
  <conditionalFormatting sqref="E1027">
    <cfRule type="containsText" dxfId="2122" priority="4485" operator="containsText" text="Pesquisa de Preços">
      <formula>NOT(ISERROR(SEARCH("Pesquisa de Preços",E1027)))</formula>
    </cfRule>
  </conditionalFormatting>
  <conditionalFormatting sqref="E1689">
    <cfRule type="containsText" dxfId="2121" priority="4292" operator="containsText" text="Pesquisa de Preços">
      <formula>NOT(ISERROR(SEARCH("Pesquisa de Preços",E1689)))</formula>
    </cfRule>
  </conditionalFormatting>
  <conditionalFormatting sqref="E1013:E1014">
    <cfRule type="containsText" dxfId="2120" priority="4484" operator="containsText" text="Pesquisa de Preços">
      <formula>NOT(ISERROR(SEARCH("Pesquisa de Preços",E1013)))</formula>
    </cfRule>
  </conditionalFormatting>
  <conditionalFormatting sqref="E1012">
    <cfRule type="containsText" dxfId="2119" priority="4483" operator="containsText" text="Pesquisa de Preços">
      <formula>NOT(ISERROR(SEARCH("Pesquisa de Preços",E1012)))</formula>
    </cfRule>
  </conditionalFormatting>
  <conditionalFormatting sqref="E1015">
    <cfRule type="containsText" dxfId="2118" priority="4482" operator="containsText" text="Pesquisa de Preços">
      <formula>NOT(ISERROR(SEARCH("Pesquisa de Preços",E1015)))</formula>
    </cfRule>
  </conditionalFormatting>
  <conditionalFormatting sqref="E1090:E1091">
    <cfRule type="containsText" dxfId="2117" priority="4481" operator="containsText" text="Pesquisa de Preços">
      <formula>NOT(ISERROR(SEARCH("Pesquisa de Preços",E1090)))</formula>
    </cfRule>
  </conditionalFormatting>
  <conditionalFormatting sqref="E1089">
    <cfRule type="containsText" dxfId="2116" priority="4480" operator="containsText" text="Pesquisa de Preços">
      <formula>NOT(ISERROR(SEARCH("Pesquisa de Preços",E1089)))</formula>
    </cfRule>
  </conditionalFormatting>
  <conditionalFormatting sqref="E1037:E1038 E1041:E1042">
    <cfRule type="containsText" dxfId="2115" priority="4479" operator="containsText" text="Pesquisa de Preços">
      <formula>NOT(ISERROR(SEARCH("Pesquisa de Preços",E1037)))</formula>
    </cfRule>
  </conditionalFormatting>
  <conditionalFormatting sqref="E1036">
    <cfRule type="containsText" dxfId="2114" priority="4478" operator="containsText" text="Pesquisa de Preços">
      <formula>NOT(ISERROR(SEARCH("Pesquisa de Preços",E1036)))</formula>
    </cfRule>
  </conditionalFormatting>
  <conditionalFormatting sqref="E1039:E1040">
    <cfRule type="containsText" dxfId="2113" priority="4477" operator="containsText" text="Pesquisa de Preços">
      <formula>NOT(ISERROR(SEARCH("Pesquisa de Preços",E1039)))</formula>
    </cfRule>
  </conditionalFormatting>
  <conditionalFormatting sqref="E1051:E1052 E1056">
    <cfRule type="containsText" dxfId="2112" priority="4476" operator="containsText" text="Pesquisa de Preços">
      <formula>NOT(ISERROR(SEARCH("Pesquisa de Preços",E1051)))</formula>
    </cfRule>
  </conditionalFormatting>
  <conditionalFormatting sqref="E1082:E1083 E1088">
    <cfRule type="containsText" dxfId="2111" priority="4474" operator="containsText" text="Pesquisa de Preços">
      <formula>NOT(ISERROR(SEARCH("Pesquisa de Preços",E1082)))</formula>
    </cfRule>
  </conditionalFormatting>
  <conditionalFormatting sqref="E1081">
    <cfRule type="containsText" dxfId="2110" priority="4473" operator="containsText" text="Pesquisa de Preços">
      <formula>NOT(ISERROR(SEARCH("Pesquisa de Preços",E1081)))</formula>
    </cfRule>
  </conditionalFormatting>
  <conditionalFormatting sqref="E1044:E1045">
    <cfRule type="containsText" dxfId="2109" priority="4471" operator="containsText" text="Pesquisa de Preços">
      <formula>NOT(ISERROR(SEARCH("Pesquisa de Preços",E1044)))</formula>
    </cfRule>
  </conditionalFormatting>
  <conditionalFormatting sqref="E1043">
    <cfRule type="containsText" dxfId="2108" priority="4470" operator="containsText" text="Pesquisa de Preços">
      <formula>NOT(ISERROR(SEARCH("Pesquisa de Preços",E1043)))</formula>
    </cfRule>
  </conditionalFormatting>
  <conditionalFormatting sqref="E1046:E1048">
    <cfRule type="containsText" dxfId="2107" priority="4469" operator="containsText" text="Pesquisa de Preços">
      <formula>NOT(ISERROR(SEARCH("Pesquisa de Preços",E1046)))</formula>
    </cfRule>
  </conditionalFormatting>
  <conditionalFormatting sqref="E1058">
    <cfRule type="containsText" dxfId="2106" priority="4468" operator="containsText" text="Pesquisa de Preços">
      <formula>NOT(ISERROR(SEARCH("Pesquisa de Preços",E1058)))</formula>
    </cfRule>
  </conditionalFormatting>
  <conditionalFormatting sqref="E1057">
    <cfRule type="containsText" dxfId="2105" priority="4467" operator="containsText" text="Pesquisa de Preços">
      <formula>NOT(ISERROR(SEARCH("Pesquisa de Preços",E1057)))</formula>
    </cfRule>
  </conditionalFormatting>
  <conditionalFormatting sqref="E1074 E1080">
    <cfRule type="containsText" dxfId="2104" priority="4466" operator="containsText" text="Pesquisa de Preços">
      <formula>NOT(ISERROR(SEARCH("Pesquisa de Preços",E1074)))</formula>
    </cfRule>
  </conditionalFormatting>
  <conditionalFormatting sqref="E1073">
    <cfRule type="containsText" dxfId="2103" priority="4465" operator="containsText" text="Pesquisa de Preços">
      <formula>NOT(ISERROR(SEARCH("Pesquisa de Preços",E1073)))</formula>
    </cfRule>
  </conditionalFormatting>
  <conditionalFormatting sqref="E1065 E1072">
    <cfRule type="containsText" dxfId="2102" priority="4464" operator="containsText" text="Pesquisa de Preços">
      <formula>NOT(ISERROR(SEARCH("Pesquisa de Preços",E1065)))</formula>
    </cfRule>
  </conditionalFormatting>
  <conditionalFormatting sqref="E1064">
    <cfRule type="containsText" dxfId="2101" priority="4463" operator="containsText" text="Pesquisa de Preços">
      <formula>NOT(ISERROR(SEARCH("Pesquisa de Preços",E1064)))</formula>
    </cfRule>
  </conditionalFormatting>
  <conditionalFormatting sqref="E1113:E1114">
    <cfRule type="containsText" dxfId="2100" priority="4462" operator="containsText" text="Pesquisa de Preços">
      <formula>NOT(ISERROR(SEARCH("Pesquisa de Preços",E1113)))</formula>
    </cfRule>
  </conditionalFormatting>
  <conditionalFormatting sqref="E1112">
    <cfRule type="containsText" dxfId="2099" priority="4461" operator="containsText" text="Pesquisa de Preços">
      <formula>NOT(ISERROR(SEARCH("Pesquisa de Preços",E1112)))</formula>
    </cfRule>
  </conditionalFormatting>
  <conditionalFormatting sqref="E1115">
    <cfRule type="containsText" dxfId="2098" priority="4460" operator="containsText" text="Pesquisa de Preços">
      <formula>NOT(ISERROR(SEARCH("Pesquisa de Preços",E1115)))</formula>
    </cfRule>
  </conditionalFormatting>
  <conditionalFormatting sqref="E1108:E1109">
    <cfRule type="containsText" dxfId="2097" priority="4459" operator="containsText" text="Pesquisa de Preços">
      <formula>NOT(ISERROR(SEARCH("Pesquisa de Preços",E1108)))</formula>
    </cfRule>
  </conditionalFormatting>
  <conditionalFormatting sqref="E1107">
    <cfRule type="containsText" dxfId="2096" priority="4458" operator="containsText" text="Pesquisa de Preços">
      <formula>NOT(ISERROR(SEARCH("Pesquisa de Preços",E1107)))</formula>
    </cfRule>
  </conditionalFormatting>
  <conditionalFormatting sqref="E1822">
    <cfRule type="containsText" dxfId="2095" priority="4281" operator="containsText" text="Pesquisa de Preços">
      <formula>NOT(ISERROR(SEARCH("Pesquisa de Preços",E1822)))</formula>
    </cfRule>
  </conditionalFormatting>
  <conditionalFormatting sqref="E1235">
    <cfRule type="containsText" dxfId="2094" priority="4457" operator="containsText" text="Pesquisa de Preços">
      <formula>NOT(ISERROR(SEARCH("Pesquisa de Preços",E1235)))</formula>
    </cfRule>
  </conditionalFormatting>
  <conditionalFormatting sqref="E1218">
    <cfRule type="containsText" dxfId="2093" priority="4454" operator="containsText" text="Pesquisa de Preços">
      <formula>NOT(ISERROR(SEARCH("Pesquisa de Preços",E1218)))</formula>
    </cfRule>
  </conditionalFormatting>
  <conditionalFormatting sqref="E1828">
    <cfRule type="containsText" dxfId="2092" priority="4278" operator="containsText" text="Pesquisa de Preços">
      <formula>NOT(ISERROR(SEARCH("Pesquisa de Preços",E1828)))</formula>
    </cfRule>
  </conditionalFormatting>
  <conditionalFormatting sqref="E1229">
    <cfRule type="containsText" dxfId="2091" priority="4456" operator="containsText" text="Pesquisa de Preços">
      <formula>NOT(ISERROR(SEARCH("Pesquisa de Preços",E1229)))</formula>
    </cfRule>
  </conditionalFormatting>
  <conditionalFormatting sqref="E1128">
    <cfRule type="containsText" dxfId="2090" priority="4450" operator="containsText" text="Pesquisa de Preços">
      <formula>NOT(ISERROR(SEARCH("Pesquisa de Preços",E1128)))</formula>
    </cfRule>
  </conditionalFormatting>
  <conditionalFormatting sqref="E1815">
    <cfRule type="containsText" dxfId="2089" priority="4275" operator="containsText" text="Pesquisa de Preços">
      <formula>NOT(ISERROR(SEARCH("Pesquisa de Preços",E1815)))</formula>
    </cfRule>
  </conditionalFormatting>
  <conditionalFormatting sqref="E1219:E1220 E1223">
    <cfRule type="containsText" dxfId="2088" priority="4455" operator="containsText" text="Pesquisa de Preços">
      <formula>NOT(ISERROR(SEARCH("Pesquisa de Preços",E1219)))</formula>
    </cfRule>
  </conditionalFormatting>
  <conditionalFormatting sqref="E1834">
    <cfRule type="containsText" dxfId="2087" priority="4273" operator="containsText" text="Pesquisa de Preços">
      <formula>NOT(ISERROR(SEARCH("Pesquisa de Preços",E1834)))</formula>
    </cfRule>
  </conditionalFormatting>
  <conditionalFormatting sqref="E1213:E1214 E1217">
    <cfRule type="containsText" dxfId="2086" priority="4453" operator="containsText" text="Pesquisa de Preços">
      <formula>NOT(ISERROR(SEARCH("Pesquisa de Preços",E1213)))</formula>
    </cfRule>
  </conditionalFormatting>
  <conditionalFormatting sqref="E1212">
    <cfRule type="containsText" dxfId="2085" priority="4452" operator="containsText" text="Pesquisa de Preços">
      <formula>NOT(ISERROR(SEARCH("Pesquisa de Preços",E1212)))</formula>
    </cfRule>
  </conditionalFormatting>
  <conditionalFormatting sqref="E1129:E1130 E1133:E1134">
    <cfRule type="containsText" dxfId="2084" priority="4451" operator="containsText" text="Pesquisa de Preços">
      <formula>NOT(ISERROR(SEARCH("Pesquisa de Preços",E1129)))</formula>
    </cfRule>
  </conditionalFormatting>
  <conditionalFormatting sqref="E1131:E1132">
    <cfRule type="containsText" dxfId="2083" priority="4449" operator="containsText" text="Pesquisa de Preços">
      <formula>NOT(ISERROR(SEARCH("Pesquisa de Preços",E1131)))</formula>
    </cfRule>
  </conditionalFormatting>
  <conditionalFormatting sqref="E1118:E1119 E1121:E1122">
    <cfRule type="containsText" dxfId="2082" priority="4448" operator="containsText" text="Pesquisa de Preços">
      <formula>NOT(ISERROR(SEARCH("Pesquisa de Preços",E1118)))</formula>
    </cfRule>
  </conditionalFormatting>
  <conditionalFormatting sqref="E1117">
    <cfRule type="containsText" dxfId="2081" priority="4447" operator="containsText" text="Pesquisa de Preços">
      <formula>NOT(ISERROR(SEARCH("Pesquisa de Preços",E1117)))</formula>
    </cfRule>
  </conditionalFormatting>
  <conditionalFormatting sqref="E1120">
    <cfRule type="containsText" dxfId="2080" priority="4446" operator="containsText" text="Pesquisa de Preços">
      <formula>NOT(ISERROR(SEARCH("Pesquisa de Preços",E1120)))</formula>
    </cfRule>
  </conditionalFormatting>
  <conditionalFormatting sqref="E1251 E1256">
    <cfRule type="containsText" dxfId="2079" priority="4445" operator="containsText" text="Pesquisa de Preços">
      <formula>NOT(ISERROR(SEARCH("Pesquisa de Preços",E1251)))</formula>
    </cfRule>
  </conditionalFormatting>
  <conditionalFormatting sqref="E1250">
    <cfRule type="containsText" dxfId="2078" priority="4444" operator="containsText" text="Pesquisa de Preços">
      <formula>NOT(ISERROR(SEARCH("Pesquisa de Preços",E1250)))</formula>
    </cfRule>
  </conditionalFormatting>
  <conditionalFormatting sqref="E1239:E1240">
    <cfRule type="containsText" dxfId="2077" priority="4441" operator="containsText" text="Pesquisa de Preços">
      <formula>NOT(ISERROR(SEARCH("Pesquisa de Preços",E1239)))</formula>
    </cfRule>
  </conditionalFormatting>
  <conditionalFormatting sqref="E1237:E1238 E1241:E1242">
    <cfRule type="containsText" dxfId="2076" priority="4443" operator="containsText" text="Pesquisa de Preços">
      <formula>NOT(ISERROR(SEARCH("Pesquisa de Preços",E1237)))</formula>
    </cfRule>
  </conditionalFormatting>
  <conditionalFormatting sqref="E1236">
    <cfRule type="containsText" dxfId="2075" priority="4442" operator="containsText" text="Pesquisa de Preços">
      <formula>NOT(ISERROR(SEARCH("Pesquisa de Preços",E1236)))</formula>
    </cfRule>
  </conditionalFormatting>
  <conditionalFormatting sqref="E1143:E1144 E1147:E1148">
    <cfRule type="containsText" dxfId="2074" priority="4440" operator="containsText" text="Pesquisa de Preços">
      <formula>NOT(ISERROR(SEARCH("Pesquisa de Preços",E1143)))</formula>
    </cfRule>
  </conditionalFormatting>
  <conditionalFormatting sqref="E1142">
    <cfRule type="containsText" dxfId="2073" priority="4439" operator="containsText" text="Pesquisa de Preços">
      <formula>NOT(ISERROR(SEARCH("Pesquisa de Preços",E1142)))</formula>
    </cfRule>
  </conditionalFormatting>
  <conditionalFormatting sqref="E1145:E1146">
    <cfRule type="containsText" dxfId="2072" priority="4438" operator="containsText" text="Pesquisa de Preços">
      <formula>NOT(ISERROR(SEARCH("Pesquisa de Preços",E1145)))</formula>
    </cfRule>
  </conditionalFormatting>
  <conditionalFormatting sqref="E1178:E1179 E1183">
    <cfRule type="containsText" dxfId="2071" priority="4437" operator="containsText" text="Pesquisa de Preços">
      <formula>NOT(ISERROR(SEARCH("Pesquisa de Preços",E1178)))</formula>
    </cfRule>
  </conditionalFormatting>
  <conditionalFormatting sqref="E1177">
    <cfRule type="containsText" dxfId="2070" priority="4436" operator="containsText" text="Pesquisa de Preços">
      <formula>NOT(ISERROR(SEARCH("Pesquisa de Preços",E1177)))</formula>
    </cfRule>
  </conditionalFormatting>
  <conditionalFormatting sqref="E1185:E1186 E1190">
    <cfRule type="containsText" dxfId="2069" priority="4435" operator="containsText" text="Pesquisa de Preços">
      <formula>NOT(ISERROR(SEARCH("Pesquisa de Preços",E1185)))</formula>
    </cfRule>
  </conditionalFormatting>
  <conditionalFormatting sqref="E1184">
    <cfRule type="containsText" dxfId="2068" priority="4434" operator="containsText" text="Pesquisa de Preços">
      <formula>NOT(ISERROR(SEARCH("Pesquisa de Preços",E1184)))</formula>
    </cfRule>
  </conditionalFormatting>
  <conditionalFormatting sqref="E1882">
    <cfRule type="containsText" dxfId="2067" priority="4263" operator="containsText" text="Pesquisa de Preços">
      <formula>NOT(ISERROR(SEARCH("Pesquisa de Preços",E1882)))</formula>
    </cfRule>
  </conditionalFormatting>
  <conditionalFormatting sqref="E1192:E1193 E1197">
    <cfRule type="containsText" dxfId="2066" priority="4433" operator="containsText" text="Pesquisa de Preços">
      <formula>NOT(ISERROR(SEARCH("Pesquisa de Preços",E1192)))</formula>
    </cfRule>
  </conditionalFormatting>
  <conditionalFormatting sqref="E1191">
    <cfRule type="containsText" dxfId="2065" priority="4432" operator="containsText" text="Pesquisa de Preços">
      <formula>NOT(ISERROR(SEARCH("Pesquisa de Preços",E1191)))</formula>
    </cfRule>
  </conditionalFormatting>
  <conditionalFormatting sqref="E1888">
    <cfRule type="containsText" dxfId="2064" priority="4260" operator="containsText" text="Pesquisa de Preços">
      <formula>NOT(ISERROR(SEARCH("Pesquisa de Preços",E1888)))</formula>
    </cfRule>
  </conditionalFormatting>
  <conditionalFormatting sqref="E1171:E1172 E1175:E1176">
    <cfRule type="containsText" dxfId="2063" priority="4431" operator="containsText" text="Pesquisa de Preços">
      <formula>NOT(ISERROR(SEARCH("Pesquisa de Preços",E1171)))</formula>
    </cfRule>
  </conditionalFormatting>
  <conditionalFormatting sqref="E1170">
    <cfRule type="containsText" dxfId="2062" priority="4430" operator="containsText" text="Pesquisa de Preços">
      <formula>NOT(ISERROR(SEARCH("Pesquisa de Preços",E1170)))</formula>
    </cfRule>
  </conditionalFormatting>
  <conditionalFormatting sqref="E1173:E1174">
    <cfRule type="containsText" dxfId="2061" priority="4429" operator="containsText" text="Pesquisa de Preços">
      <formula>NOT(ISERROR(SEARCH("Pesquisa de Preços",E1173)))</formula>
    </cfRule>
  </conditionalFormatting>
  <conditionalFormatting sqref="E1136:E1137 E1140:E1141">
    <cfRule type="containsText" dxfId="2060" priority="4428" operator="containsText" text="Pesquisa de Preços">
      <formula>NOT(ISERROR(SEARCH("Pesquisa de Preços",E1136)))</formula>
    </cfRule>
  </conditionalFormatting>
  <conditionalFormatting sqref="E1135">
    <cfRule type="containsText" dxfId="2059" priority="4427" operator="containsText" text="Pesquisa de Preços">
      <formula>NOT(ISERROR(SEARCH("Pesquisa de Preços",E1135)))</formula>
    </cfRule>
  </conditionalFormatting>
  <conditionalFormatting sqref="E1904">
    <cfRule type="containsText" dxfId="2058" priority="4257" operator="containsText" text="Pesquisa de Preços">
      <formula>NOT(ISERROR(SEARCH("Pesquisa de Preços",E1904)))</formula>
    </cfRule>
  </conditionalFormatting>
  <conditionalFormatting sqref="E1138:E1139">
    <cfRule type="containsText" dxfId="2057" priority="4426" operator="containsText" text="Pesquisa de Preços">
      <formula>NOT(ISERROR(SEARCH("Pesquisa de Preços",E1138)))</formula>
    </cfRule>
  </conditionalFormatting>
  <conditionalFormatting sqref="E1157:E1158 E1161:E1162">
    <cfRule type="containsText" dxfId="2056" priority="4425" operator="containsText" text="Pesquisa de Preços">
      <formula>NOT(ISERROR(SEARCH("Pesquisa de Preços",E1157)))</formula>
    </cfRule>
  </conditionalFormatting>
  <conditionalFormatting sqref="E1156">
    <cfRule type="containsText" dxfId="2055" priority="4424" operator="containsText" text="Pesquisa de Preços">
      <formula>NOT(ISERROR(SEARCH("Pesquisa de Preços",E1156)))</formula>
    </cfRule>
  </conditionalFormatting>
  <conditionalFormatting sqref="E1899">
    <cfRule type="containsText" dxfId="2054" priority="4255" operator="containsText" text="Pesquisa de Preços">
      <formula>NOT(ISERROR(SEARCH("Pesquisa de Preços",E1899)))</formula>
    </cfRule>
  </conditionalFormatting>
  <conditionalFormatting sqref="E1159:E1160">
    <cfRule type="containsText" dxfId="2053" priority="4423" operator="containsText" text="Pesquisa de Preços">
      <formula>NOT(ISERROR(SEARCH("Pesquisa de Preços",E1159)))</formula>
    </cfRule>
  </conditionalFormatting>
  <conditionalFormatting sqref="E1164 E1169">
    <cfRule type="containsText" dxfId="2052" priority="4422" operator="containsText" text="Pesquisa de Preços">
      <formula>NOT(ISERROR(SEARCH("Pesquisa de Preços",E1164)))</formula>
    </cfRule>
  </conditionalFormatting>
  <conditionalFormatting sqref="E1163">
    <cfRule type="containsText" dxfId="2051" priority="4421" operator="containsText" text="Pesquisa de Preços">
      <formula>NOT(ISERROR(SEARCH("Pesquisa de Preços",E1163)))</formula>
    </cfRule>
  </conditionalFormatting>
  <conditionalFormatting sqref="E1909">
    <cfRule type="containsText" dxfId="2050" priority="4253" operator="containsText" text="Pesquisa de Preços">
      <formula>NOT(ISERROR(SEARCH("Pesquisa de Preços",E1909)))</formula>
    </cfRule>
  </conditionalFormatting>
  <conditionalFormatting sqref="E1198">
    <cfRule type="containsText" dxfId="2049" priority="4419" operator="containsText" text="Pesquisa de Preços">
      <formula>NOT(ISERROR(SEARCH("Pesquisa de Preços",E1198)))</formula>
    </cfRule>
  </conditionalFormatting>
  <conditionalFormatting sqref="E1199:E1200 E1204">
    <cfRule type="containsText" dxfId="2048" priority="4420" operator="containsText" text="Pesquisa de Preços">
      <formula>NOT(ISERROR(SEARCH("Pesquisa de Preços",E1199)))</formula>
    </cfRule>
  </conditionalFormatting>
  <conditionalFormatting sqref="E1932">
    <cfRule type="containsText" dxfId="2047" priority="4251" operator="containsText" text="Pesquisa de Preços">
      <formula>NOT(ISERROR(SEARCH("Pesquisa de Preços",E1932)))</formula>
    </cfRule>
  </conditionalFormatting>
  <conditionalFormatting sqref="E1201:E1202">
    <cfRule type="containsText" dxfId="2046" priority="4418" operator="containsText" text="Pesquisa de Preços">
      <formula>NOT(ISERROR(SEARCH("Pesquisa de Preços",E1201)))</formula>
    </cfRule>
  </conditionalFormatting>
  <conditionalFormatting sqref="E1124">
    <cfRule type="containsText" dxfId="2045" priority="4417" operator="containsText" text="Pesquisa de Preços">
      <formula>NOT(ISERROR(SEARCH("Pesquisa de Preços",E1124)))</formula>
    </cfRule>
  </conditionalFormatting>
  <conditionalFormatting sqref="E1123">
    <cfRule type="containsText" dxfId="2044" priority="4416" operator="containsText" text="Pesquisa de Preços">
      <formula>NOT(ISERROR(SEARCH("Pesquisa de Preços",E1123)))</formula>
    </cfRule>
  </conditionalFormatting>
  <conditionalFormatting sqref="E1258:E1259 E1261:E1262">
    <cfRule type="containsText" dxfId="2043" priority="4415" operator="containsText" text="Pesquisa de Preços">
      <formula>NOT(ISERROR(SEARCH("Pesquisa de Preços",E1258)))</formula>
    </cfRule>
  </conditionalFormatting>
  <conditionalFormatting sqref="E1260">
    <cfRule type="containsText" dxfId="2042" priority="4413" operator="containsText" text="Pesquisa de Preços">
      <formula>NOT(ISERROR(SEARCH("Pesquisa de Preços",E1260)))</formula>
    </cfRule>
  </conditionalFormatting>
  <conditionalFormatting sqref="E1292:E1293 E1297:E1298">
    <cfRule type="containsText" dxfId="2041" priority="4412" operator="containsText" text="Pesquisa de Preços">
      <formula>NOT(ISERROR(SEARCH("Pesquisa de Preços",E1292)))</formula>
    </cfRule>
  </conditionalFormatting>
  <conditionalFormatting sqref="E1294:E1296">
    <cfRule type="containsText" dxfId="2040" priority="4410" operator="containsText" text="Pesquisa de Preços">
      <formula>NOT(ISERROR(SEARCH("Pesquisa de Preços",E1294)))</formula>
    </cfRule>
  </conditionalFormatting>
  <conditionalFormatting sqref="E1300 E1306:E1307">
    <cfRule type="containsText" dxfId="2039" priority="4409" operator="containsText" text="Pesquisa de Preços">
      <formula>NOT(ISERROR(SEARCH("Pesquisa de Preços",E1300)))</formula>
    </cfRule>
  </conditionalFormatting>
  <conditionalFormatting sqref="E1390:E1391 E1394:E1395">
    <cfRule type="containsText" dxfId="2038" priority="4380" operator="containsText" text="Pesquisa de Preços">
      <formula>NOT(ISERROR(SEARCH("Pesquisa de Preços",E1390)))</formula>
    </cfRule>
  </conditionalFormatting>
  <conditionalFormatting sqref="E1264:E1265">
    <cfRule type="containsText" dxfId="2037" priority="4407" operator="containsText" text="Pesquisa de Preços">
      <formula>NOT(ISERROR(SEARCH("Pesquisa de Preços",E1264)))</formula>
    </cfRule>
  </conditionalFormatting>
  <conditionalFormatting sqref="E1266:E1268">
    <cfRule type="containsText" dxfId="2036" priority="4405" operator="containsText" text="Pesquisa de Preços">
      <formula>NOT(ISERROR(SEARCH("Pesquisa de Preços",E1266)))</formula>
    </cfRule>
  </conditionalFormatting>
  <conditionalFormatting sqref="E1271:E1272 E1276">
    <cfRule type="containsText" dxfId="2035" priority="4404" operator="containsText" text="Pesquisa de Preços">
      <formula>NOT(ISERROR(SEARCH("Pesquisa de Preços",E1271)))</formula>
    </cfRule>
  </conditionalFormatting>
  <conditionalFormatting sqref="E1958">
    <cfRule type="containsText" dxfId="2034" priority="4245" operator="containsText" text="Pesquisa de Preços">
      <formula>NOT(ISERROR(SEARCH("Pesquisa de Preços",E1958)))</formula>
    </cfRule>
  </conditionalFormatting>
  <conditionalFormatting sqref="E1278:E1279 E1283">
    <cfRule type="containsText" dxfId="2033" priority="4402" operator="containsText" text="Pesquisa de Preços">
      <formula>NOT(ISERROR(SEARCH("Pesquisa de Preços",E1278)))</formula>
    </cfRule>
  </conditionalFormatting>
  <conditionalFormatting sqref="E1951">
    <cfRule type="containsText" dxfId="2032" priority="4243" operator="containsText" text="Pesquisa de Preços">
      <formula>NOT(ISERROR(SEARCH("Pesquisa de Preços",E1951)))</formula>
    </cfRule>
  </conditionalFormatting>
  <conditionalFormatting sqref="E1285 E1288 E1290">
    <cfRule type="containsText" dxfId="2031" priority="4400" operator="containsText" text="Pesquisa de Preços">
      <formula>NOT(ISERROR(SEARCH("Pesquisa de Preços",E1285)))</formula>
    </cfRule>
  </conditionalFormatting>
  <conditionalFormatting sqref="E1321:E1322">
    <cfRule type="containsText" dxfId="2030" priority="4396" operator="containsText" text="Pesquisa de Preços">
      <formula>NOT(ISERROR(SEARCH("Pesquisa de Preços",E1321)))</formula>
    </cfRule>
  </conditionalFormatting>
  <conditionalFormatting sqref="E1327:E1328">
    <cfRule type="containsText" dxfId="2029" priority="4398" operator="containsText" text="Pesquisa de Preços">
      <formula>NOT(ISERROR(SEARCH("Pesquisa de Preços",E1327)))</formula>
    </cfRule>
  </conditionalFormatting>
  <conditionalFormatting sqref="E1995">
    <cfRule type="containsText" dxfId="2028" priority="4237" operator="containsText" text="Pesquisa de Preços">
      <formula>NOT(ISERROR(SEARCH("Pesquisa de Preços",E1995)))</formula>
    </cfRule>
  </conditionalFormatting>
  <conditionalFormatting sqref="E1309:E1310">
    <cfRule type="containsText" dxfId="2027" priority="4392" operator="containsText" text="Pesquisa de Preços">
      <formula>NOT(ISERROR(SEARCH("Pesquisa de Preços",E1309)))</formula>
    </cfRule>
  </conditionalFormatting>
  <conditionalFormatting sqref="E1988">
    <cfRule type="containsText" dxfId="2026" priority="4235" operator="containsText" text="Pesquisa de Preços">
      <formula>NOT(ISERROR(SEARCH("Pesquisa de Preços",E1988)))</formula>
    </cfRule>
  </conditionalFormatting>
  <conditionalFormatting sqref="E1315:E1316">
    <cfRule type="containsText" dxfId="2025" priority="4394" operator="containsText" text="Pesquisa de Preços">
      <formula>NOT(ISERROR(SEARCH("Pesquisa de Preços",E1315)))</formula>
    </cfRule>
  </conditionalFormatting>
  <conditionalFormatting sqref="E1981">
    <cfRule type="containsText" dxfId="2024" priority="4232" operator="containsText" text="Pesquisa de Preços">
      <formula>NOT(ISERROR(SEARCH("Pesquisa de Preços",E1981)))</formula>
    </cfRule>
  </conditionalFormatting>
  <conditionalFormatting sqref="E1974">
    <cfRule type="containsText" dxfId="2023" priority="4229" operator="containsText" text="Pesquisa de Preços">
      <formula>NOT(ISERROR(SEARCH("Pesquisa de Preços",E1974)))</formula>
    </cfRule>
  </conditionalFormatting>
  <conditionalFormatting sqref="E1333:E1334 E1337:E1338">
    <cfRule type="containsText" dxfId="2022" priority="4390" operator="containsText" text="Pesquisa de Preços">
      <formula>NOT(ISERROR(SEARCH("Pesquisa de Preços",E1333)))</formula>
    </cfRule>
  </conditionalFormatting>
  <conditionalFormatting sqref="E1506">
    <cfRule type="containsText" dxfId="2021" priority="4363" operator="containsText" text="Pesquisa de Preços">
      <formula>NOT(ISERROR(SEARCH("Pesquisa de Preços",E1506)))</formula>
    </cfRule>
  </conditionalFormatting>
  <conditionalFormatting sqref="E1335:E1336">
    <cfRule type="containsText" dxfId="2020" priority="4388" operator="containsText" text="Pesquisa de Preços">
      <formula>NOT(ISERROR(SEARCH("Pesquisa de Preços",E1335)))</formula>
    </cfRule>
  </conditionalFormatting>
  <conditionalFormatting sqref="E1346:E1347 E1350:E1351">
    <cfRule type="containsText" dxfId="2019" priority="4387" operator="containsText" text="Pesquisa de Preços">
      <formula>NOT(ISERROR(SEARCH("Pesquisa de Preços",E1346)))</formula>
    </cfRule>
  </conditionalFormatting>
  <conditionalFormatting sqref="E1512">
    <cfRule type="containsText" dxfId="2018" priority="4364" operator="containsText" text="Pesquisa de Preços">
      <formula>NOT(ISERROR(SEARCH("Pesquisa de Preços",E1512)))</formula>
    </cfRule>
  </conditionalFormatting>
  <conditionalFormatting sqref="E1348:E1349">
    <cfRule type="containsText" dxfId="2017" priority="4385" operator="containsText" text="Pesquisa de Preços">
      <formula>NOT(ISERROR(SEARCH("Pesquisa de Preços",E1348)))</formula>
    </cfRule>
  </conditionalFormatting>
  <conditionalFormatting sqref="E1340 E1343:E1344">
    <cfRule type="containsText" dxfId="2016" priority="4384" operator="containsText" text="Pesquisa de Preços">
      <formula>NOT(ISERROR(SEARCH("Pesquisa de Preços",E1340)))</formula>
    </cfRule>
  </conditionalFormatting>
  <conditionalFormatting sqref="E1389">
    <cfRule type="containsText" dxfId="2015" priority="4379" operator="containsText" text="Pesquisa de Preços">
      <formula>NOT(ISERROR(SEARCH("Pesquisa de Preços",E1389)))</formula>
    </cfRule>
  </conditionalFormatting>
  <conditionalFormatting sqref="E1353 E1356:E1357">
    <cfRule type="containsText" dxfId="2014" priority="4382" operator="containsText" text="Pesquisa de Preços">
      <formula>NOT(ISERROR(SEARCH("Pesquisa de Preços",E1353)))</formula>
    </cfRule>
  </conditionalFormatting>
  <conditionalFormatting sqref="E1352">
    <cfRule type="containsText" dxfId="2013" priority="4381" operator="containsText" text="Pesquisa de Preços">
      <formula>NOT(ISERROR(SEARCH("Pesquisa de Preços",E1352)))</formula>
    </cfRule>
  </conditionalFormatting>
  <conditionalFormatting sqref="E1393">
    <cfRule type="containsText" dxfId="2012" priority="4378" operator="containsText" text="Pesquisa de Preços">
      <formula>NOT(ISERROR(SEARCH("Pesquisa de Preços",E1393)))</formula>
    </cfRule>
  </conditionalFormatting>
  <conditionalFormatting sqref="E2150">
    <cfRule type="containsText" dxfId="2011" priority="4219" operator="containsText" text="Pesquisa de Preços">
      <formula>NOT(ISERROR(SEARCH("Pesquisa de Preços",E2150)))</formula>
    </cfRule>
  </conditionalFormatting>
  <conditionalFormatting sqref="E1359:E1360 E1362:E1363">
    <cfRule type="containsText" dxfId="2010" priority="4377" operator="containsText" text="Pesquisa de Preços">
      <formula>NOT(ISERROR(SEARCH("Pesquisa de Preços",E1359)))</formula>
    </cfRule>
  </conditionalFormatting>
  <conditionalFormatting sqref="E1358">
    <cfRule type="containsText" dxfId="2009" priority="4376" operator="containsText" text="Pesquisa de Preços">
      <formula>NOT(ISERROR(SEARCH("Pesquisa de Preços",E1358)))</formula>
    </cfRule>
  </conditionalFormatting>
  <conditionalFormatting sqref="E1370">
    <cfRule type="containsText" dxfId="2008" priority="4375" operator="containsText" text="Pesquisa de Preços">
      <formula>NOT(ISERROR(SEARCH("Pesquisa de Preços",E1370)))</formula>
    </cfRule>
  </conditionalFormatting>
  <conditionalFormatting sqref="E1376">
    <cfRule type="containsText" dxfId="2007" priority="4374" operator="containsText" text="Pesquisa de Preços">
      <formula>NOT(ISERROR(SEARCH("Pesquisa de Preços",E1376)))</formula>
    </cfRule>
  </conditionalFormatting>
  <conditionalFormatting sqref="E1397 E1410">
    <cfRule type="containsText" dxfId="2006" priority="4353" operator="containsText" text="Pesquisa de Preços">
      <formula>NOT(ISERROR(SEARCH("Pesquisa de Preços",E1397)))</formula>
    </cfRule>
  </conditionalFormatting>
  <conditionalFormatting sqref="E1538">
    <cfRule type="containsText" dxfId="2005" priority="4372" operator="containsText" text="Pesquisa de Preços">
      <formula>NOT(ISERROR(SEARCH("Pesquisa de Preços",E1538)))</formula>
    </cfRule>
  </conditionalFormatting>
  <conditionalFormatting sqref="E1539:E1540">
    <cfRule type="containsText" dxfId="2004" priority="4373" operator="containsText" text="Pesquisa de Preços">
      <formula>NOT(ISERROR(SEARCH("Pesquisa de Preços",E1539)))</formula>
    </cfRule>
  </conditionalFormatting>
  <conditionalFormatting sqref="E1543">
    <cfRule type="containsText" dxfId="2003" priority="4371" operator="containsText" text="Pesquisa de Preços">
      <formula>NOT(ISERROR(SEARCH("Pesquisa de Preços",E1543)))</formula>
    </cfRule>
  </conditionalFormatting>
  <conditionalFormatting sqref="E1532:E1533">
    <cfRule type="containsText" dxfId="2002" priority="4370" operator="containsText" text="Pesquisa de Preços">
      <formula>NOT(ISERROR(SEARCH("Pesquisa de Preços",E1532)))</formula>
    </cfRule>
  </conditionalFormatting>
  <conditionalFormatting sqref="E1531">
    <cfRule type="containsText" dxfId="2001" priority="4369" operator="containsText" text="Pesquisa de Preços">
      <formula>NOT(ISERROR(SEARCH("Pesquisa de Preços",E1531)))</formula>
    </cfRule>
  </conditionalFormatting>
  <conditionalFormatting sqref="E2024">
    <cfRule type="containsText" dxfId="2000" priority="4213" operator="containsText" text="Pesquisa de Preços">
      <formula>NOT(ISERROR(SEARCH("Pesquisa de Preços",E2024)))</formula>
    </cfRule>
  </conditionalFormatting>
  <conditionalFormatting sqref="E1526 E1530">
    <cfRule type="containsText" dxfId="1999" priority="4368" operator="containsText" text="Pesquisa de Preços">
      <formula>NOT(ISERROR(SEARCH("Pesquisa de Preços",E1526)))</formula>
    </cfRule>
  </conditionalFormatting>
  <conditionalFormatting sqref="E1525">
    <cfRule type="containsText" dxfId="1998" priority="4367" operator="containsText" text="Pesquisa de Preços">
      <formula>NOT(ISERROR(SEARCH("Pesquisa de Preços",E1525)))</formula>
    </cfRule>
  </conditionalFormatting>
  <conditionalFormatting sqref="E1514">
    <cfRule type="containsText" dxfId="1997" priority="4366" operator="containsText" text="Pesquisa de Preços">
      <formula>NOT(ISERROR(SEARCH("Pesquisa de Preços",E1514)))</formula>
    </cfRule>
  </conditionalFormatting>
  <conditionalFormatting sqref="E1513">
    <cfRule type="containsText" dxfId="1996" priority="4365" operator="containsText" text="Pesquisa de Preços">
      <formula>NOT(ISERROR(SEARCH("Pesquisa de Preços",E1513)))</formula>
    </cfRule>
  </conditionalFormatting>
  <conditionalFormatting sqref="E1546:E1547 E1551">
    <cfRule type="containsText" dxfId="1995" priority="4358" operator="containsText" text="Pesquisa de Preços">
      <formula>NOT(ISERROR(SEARCH("Pesquisa de Preços",E1546)))</formula>
    </cfRule>
  </conditionalFormatting>
  <conditionalFormatting sqref="E1485">
    <cfRule type="containsText" dxfId="1994" priority="4344" operator="containsText" text="Pesquisa de Preços">
      <formula>NOT(ISERROR(SEARCH("Pesquisa de Preços",E1485)))</formula>
    </cfRule>
  </conditionalFormatting>
  <conditionalFormatting sqref="E1487 E1500">
    <cfRule type="containsText" dxfId="1993" priority="4355" operator="containsText" text="Pesquisa de Preços">
      <formula>NOT(ISERROR(SEARCH("Pesquisa de Preços",E1487)))</formula>
    </cfRule>
  </conditionalFormatting>
  <conditionalFormatting sqref="E1486">
    <cfRule type="containsText" dxfId="1992" priority="4354" operator="containsText" text="Pesquisa de Preços">
      <formula>NOT(ISERROR(SEARCH("Pesquisa de Preços",E1486)))</formula>
    </cfRule>
  </conditionalFormatting>
  <conditionalFormatting sqref="E1524">
    <cfRule type="containsText" dxfId="1991" priority="4362" operator="containsText" text="Pesquisa de Preços">
      <formula>NOT(ISERROR(SEARCH("Pesquisa de Preços",E1524)))</formula>
    </cfRule>
  </conditionalFormatting>
  <conditionalFormatting sqref="E1553:E1554 E1558">
    <cfRule type="containsText" dxfId="1990" priority="4361" operator="containsText" text="Pesquisa de Preços">
      <formula>NOT(ISERROR(SEARCH("Pesquisa de Preços",E1553)))</formula>
    </cfRule>
  </conditionalFormatting>
  <conditionalFormatting sqref="E1552">
    <cfRule type="containsText" dxfId="1989" priority="4360" operator="containsText" text="Pesquisa de Preços">
      <formula>NOT(ISERROR(SEARCH("Pesquisa de Preços",E1552)))</formula>
    </cfRule>
  </conditionalFormatting>
  <conditionalFormatting sqref="E1556">
    <cfRule type="containsText" dxfId="1988" priority="4359" operator="containsText" text="Pesquisa de Preços">
      <formula>NOT(ISERROR(SEARCH("Pesquisa de Preços",E1556)))</formula>
    </cfRule>
  </conditionalFormatting>
  <conditionalFormatting sqref="E1545">
    <cfRule type="containsText" dxfId="1987" priority="4357" operator="containsText" text="Pesquisa de Preços">
      <formula>NOT(ISERROR(SEARCH("Pesquisa de Preços",E1545)))</formula>
    </cfRule>
  </conditionalFormatting>
  <conditionalFormatting sqref="E1548:E1549">
    <cfRule type="containsText" dxfId="1986" priority="4356" operator="containsText" text="Pesquisa de Preços">
      <formula>NOT(ISERROR(SEARCH("Pesquisa de Preços",E1548)))</formula>
    </cfRule>
  </conditionalFormatting>
  <conditionalFormatting sqref="E1602">
    <cfRule type="containsText" dxfId="1985" priority="4322" operator="containsText" text="Pesquisa de Preços">
      <formula>NOT(ISERROR(SEARCH("Pesquisa de Preços",E1602)))</formula>
    </cfRule>
  </conditionalFormatting>
  <conditionalFormatting sqref="E1396">
    <cfRule type="containsText" dxfId="1984" priority="4352" operator="containsText" text="Pesquisa de Preços">
      <formula>NOT(ISERROR(SEARCH("Pesquisa de Preços",E1396)))</formula>
    </cfRule>
  </conditionalFormatting>
  <conditionalFormatting sqref="E1596 E1600:E1601">
    <cfRule type="containsText" dxfId="1983" priority="4315" operator="containsText" text="Pesquisa de Preços">
      <formula>NOT(ISERROR(SEARCH("Pesquisa de Preços",E1596)))</formula>
    </cfRule>
  </conditionalFormatting>
  <conditionalFormatting sqref="E1427 E1440">
    <cfRule type="containsText" dxfId="1982" priority="4351" operator="containsText" text="Pesquisa de Preços">
      <formula>NOT(ISERROR(SEARCH("Pesquisa de Preços",E1427)))</formula>
    </cfRule>
  </conditionalFormatting>
  <conditionalFormatting sqref="E1426">
    <cfRule type="containsText" dxfId="1981" priority="4350" operator="containsText" text="Pesquisa de Preços">
      <formula>NOT(ISERROR(SEARCH("Pesquisa de Preços",E1426)))</formula>
    </cfRule>
  </conditionalFormatting>
  <conditionalFormatting sqref="E1614 E1618">
    <cfRule type="containsText" dxfId="1980" priority="4327" operator="containsText" text="Pesquisa de Preços">
      <formula>NOT(ISERROR(SEARCH("Pesquisa de Preços",E1614)))</formula>
    </cfRule>
  </conditionalFormatting>
  <conditionalFormatting sqref="E1412 E1425">
    <cfRule type="containsText" dxfId="1979" priority="4349" operator="containsText" text="Pesquisa de Preços">
      <formula>NOT(ISERROR(SEARCH("Pesquisa de Preços",E1412)))</formula>
    </cfRule>
  </conditionalFormatting>
  <conditionalFormatting sqref="E1457 E1470">
    <cfRule type="containsText" dxfId="1978" priority="4347" operator="containsText" text="Pesquisa de Preços">
      <formula>NOT(ISERROR(SEARCH("Pesquisa de Preços",E1457)))</formula>
    </cfRule>
  </conditionalFormatting>
  <conditionalFormatting sqref="E1677 E1680 E1682">
    <cfRule type="containsText" dxfId="1977" priority="4329" operator="containsText" text="Pesquisa de Preços">
      <formula>NOT(ISERROR(SEARCH("Pesquisa de Preços",E1677)))</formula>
    </cfRule>
  </conditionalFormatting>
  <conditionalFormatting sqref="E1455">
    <cfRule type="containsText" dxfId="1976" priority="4345" operator="containsText" text="Pesquisa de Preços">
      <formula>NOT(ISERROR(SEARCH("Pesquisa de Preços",E1455)))</formula>
    </cfRule>
  </conditionalFormatting>
  <conditionalFormatting sqref="E2261">
    <cfRule type="containsText" dxfId="1975" priority="4175" operator="containsText" text="Pesquisa de Preços">
      <formula>NOT(ISERROR(SEARCH("Pesquisa de Preços",E2261)))</formula>
    </cfRule>
  </conditionalFormatting>
  <conditionalFormatting sqref="E1575 E1580">
    <cfRule type="containsText" dxfId="1974" priority="4337" operator="containsText" text="Pesquisa de Preços">
      <formula>NOT(ISERROR(SEARCH("Pesquisa de Preços",E1575)))</formula>
    </cfRule>
  </conditionalFormatting>
  <conditionalFormatting sqref="E1560:E1561 E1572:E1573">
    <cfRule type="containsText" dxfId="1973" priority="4343" operator="containsText" text="Pesquisa de Preços">
      <formula>NOT(ISERROR(SEARCH("Pesquisa de Preços",E1560)))</formula>
    </cfRule>
  </conditionalFormatting>
  <conditionalFormatting sqref="E2195">
    <cfRule type="containsText" dxfId="1972" priority="4190" operator="containsText" text="Pesquisa de Preços">
      <formula>NOT(ISERROR(SEARCH("Pesquisa de Preços",E2195)))</formula>
    </cfRule>
  </conditionalFormatting>
  <conditionalFormatting sqref="E1562:E1571">
    <cfRule type="containsText" dxfId="1971" priority="4341" operator="containsText" text="Pesquisa de Preços">
      <formula>NOT(ISERROR(SEARCH("Pesquisa de Preços",E1562)))</formula>
    </cfRule>
  </conditionalFormatting>
  <conditionalFormatting sqref="E1384:E1385 E1387:E1388">
    <cfRule type="containsText" dxfId="1970" priority="4340" operator="containsText" text="Pesquisa de Preços">
      <formula>NOT(ISERROR(SEARCH("Pesquisa de Preços",E1384)))</formula>
    </cfRule>
  </conditionalFormatting>
  <conditionalFormatting sqref="E1383">
    <cfRule type="containsText" dxfId="1969" priority="4339" operator="containsText" text="Pesquisa de Preços">
      <formula>NOT(ISERROR(SEARCH("Pesquisa de Preços",E1383)))</formula>
    </cfRule>
  </conditionalFormatting>
  <conditionalFormatting sqref="E2215">
    <cfRule type="containsText" dxfId="1968" priority="4186" operator="containsText" text="Pesquisa de Preços">
      <formula>NOT(ISERROR(SEARCH("Pesquisa de Preços",E2215)))</formula>
    </cfRule>
  </conditionalFormatting>
  <conditionalFormatting sqref="E1386">
    <cfRule type="containsText" dxfId="1967" priority="4338" operator="containsText" text="Pesquisa de Preços">
      <formula>NOT(ISERROR(SEARCH("Pesquisa de Preços",E1386)))</formula>
    </cfRule>
  </conditionalFormatting>
  <conditionalFormatting sqref="E1574">
    <cfRule type="containsText" dxfId="1966" priority="4336" operator="containsText" text="Pesquisa de Preços">
      <formula>NOT(ISERROR(SEARCH("Pesquisa de Preços",E1574)))</formula>
    </cfRule>
  </conditionalFormatting>
  <conditionalFormatting sqref="E1620 E1622:E1623">
    <cfRule type="containsText" dxfId="1965" priority="4321" operator="containsText" text="Pesquisa de Preços">
      <formula>NOT(ISERROR(SEARCH("Pesquisa de Preços",E1620)))</formula>
    </cfRule>
  </conditionalFormatting>
  <conditionalFormatting sqref="E1582 E1587">
    <cfRule type="containsText" dxfId="1964" priority="4335" operator="containsText" text="Pesquisa de Preços">
      <formula>NOT(ISERROR(SEARCH("Pesquisa de Preços",E1582)))</formula>
    </cfRule>
  </conditionalFormatting>
  <conditionalFormatting sqref="E1581">
    <cfRule type="containsText" dxfId="1963" priority="4334" operator="containsText" text="Pesquisa de Preços">
      <formula>NOT(ISERROR(SEARCH("Pesquisa de Preços",E1581)))</formula>
    </cfRule>
  </conditionalFormatting>
  <conditionalFormatting sqref="E1630">
    <cfRule type="containsText" dxfId="1962" priority="4331" operator="containsText" text="Pesquisa de Preços">
      <formula>NOT(ISERROR(SEARCH("Pesquisa de Preços",E1630)))</formula>
    </cfRule>
  </conditionalFormatting>
  <conditionalFormatting sqref="E1594">
    <cfRule type="containsText" dxfId="1961" priority="4333" operator="containsText" text="Pesquisa de Preços">
      <formula>NOT(ISERROR(SEARCH("Pesquisa de Preços",E1594)))</formula>
    </cfRule>
  </conditionalFormatting>
  <conditionalFormatting sqref="E1631:E1632">
    <cfRule type="containsText" dxfId="1960" priority="4332" operator="containsText" text="Pesquisa de Preços">
      <formula>NOT(ISERROR(SEARCH("Pesquisa de Preços",E1631)))</formula>
    </cfRule>
  </conditionalFormatting>
  <conditionalFormatting sqref="E2235">
    <cfRule type="containsText" dxfId="1959" priority="4182" operator="containsText" text="Pesquisa de Preços">
      <formula>NOT(ISERROR(SEARCH("Pesquisa de Preços",E2235)))</formula>
    </cfRule>
  </conditionalFormatting>
  <conditionalFormatting sqref="E1633:E1634">
    <cfRule type="containsText" dxfId="1958" priority="4330" operator="containsText" text="Pesquisa de Preços">
      <formula>NOT(ISERROR(SEARCH("Pesquisa de Preços",E1633)))</formula>
    </cfRule>
  </conditionalFormatting>
  <conditionalFormatting sqref="E1676">
    <cfRule type="containsText" dxfId="1957" priority="4328" operator="containsText" text="Pesquisa de Preços">
      <formula>NOT(ISERROR(SEARCH("Pesquisa de Preços",E1676)))</formula>
    </cfRule>
  </conditionalFormatting>
  <conditionalFormatting sqref="E1608 E1612">
    <cfRule type="containsText" dxfId="1956" priority="4325" operator="containsText" text="Pesquisa de Preços">
      <formula>NOT(ISERROR(SEARCH("Pesquisa de Preços",E1608)))</formula>
    </cfRule>
  </conditionalFormatting>
  <conditionalFormatting sqref="E1613">
    <cfRule type="containsText" dxfId="1955" priority="4326" operator="containsText" text="Pesquisa de Preços">
      <formula>NOT(ISERROR(SEARCH("Pesquisa de Preços",E1613)))</formula>
    </cfRule>
  </conditionalFormatting>
  <conditionalFormatting sqref="E1607">
    <cfRule type="containsText" dxfId="1954" priority="4324" operator="containsText" text="Pesquisa de Preços">
      <formula>NOT(ISERROR(SEARCH("Pesquisa de Preços",E1607)))</formula>
    </cfRule>
  </conditionalFormatting>
  <conditionalFormatting sqref="E1603 E1605:E1606">
    <cfRule type="containsText" dxfId="1953" priority="4323" operator="containsText" text="Pesquisa de Preços">
      <formula>NOT(ISERROR(SEARCH("Pesquisa de Preços",E1603)))</formula>
    </cfRule>
  </conditionalFormatting>
  <conditionalFormatting sqref="E1625 E1628:E1629">
    <cfRule type="containsText" dxfId="1952" priority="4319" operator="containsText" text="Pesquisa de Preços">
      <formula>NOT(ISERROR(SEARCH("Pesquisa de Preços",E1625)))</formula>
    </cfRule>
  </conditionalFormatting>
  <conditionalFormatting sqref="E1726 E1718:E1719">
    <cfRule type="containsText" dxfId="1951" priority="4303" operator="containsText" text="Pesquisa de Preços">
      <formula>NOT(ISERROR(SEARCH("Pesquisa de Preços",E1718)))</formula>
    </cfRule>
  </conditionalFormatting>
  <conditionalFormatting sqref="E1670 E1674:E1675">
    <cfRule type="containsText" dxfId="1950" priority="4317" operator="containsText" text="Pesquisa de Preços">
      <formula>NOT(ISERROR(SEARCH("Pesquisa de Preços",E1670)))</formula>
    </cfRule>
  </conditionalFormatting>
  <conditionalFormatting sqref="E1669">
    <cfRule type="containsText" dxfId="1949" priority="4316" operator="containsText" text="Pesquisa de Preços">
      <formula>NOT(ISERROR(SEARCH("Pesquisa de Preços",E1669)))</formula>
    </cfRule>
  </conditionalFormatting>
  <conditionalFormatting sqref="E2339">
    <cfRule type="containsText" dxfId="1948" priority="4152" operator="containsText" text="Pesquisa de Preços">
      <formula>NOT(ISERROR(SEARCH("Pesquisa de Preços",E2339)))</formula>
    </cfRule>
  </conditionalFormatting>
  <conditionalFormatting sqref="E2334">
    <cfRule type="containsText" dxfId="1947" priority="4154" operator="containsText" text="Pesquisa de Preços">
      <formula>NOT(ISERROR(SEARCH("Pesquisa de Preços",E2334)))</formula>
    </cfRule>
  </conditionalFormatting>
  <conditionalFormatting sqref="E1664 E1667:E1668">
    <cfRule type="containsText" dxfId="1946" priority="4313" operator="containsText" text="Pesquisa de Preços">
      <formula>NOT(ISERROR(SEARCH("Pesquisa de Preços",E1664)))</formula>
    </cfRule>
  </conditionalFormatting>
  <conditionalFormatting sqref="E1663">
    <cfRule type="containsText" dxfId="1945" priority="4312" operator="containsText" text="Pesquisa de Preços">
      <formula>NOT(ISERROR(SEARCH("Pesquisa de Preços",E1663)))</formula>
    </cfRule>
  </conditionalFormatting>
  <conditionalFormatting sqref="E1659 E1661:E1662">
    <cfRule type="containsText" dxfId="1944" priority="4311" operator="containsText" text="Pesquisa de Preços">
      <formula>NOT(ISERROR(SEARCH("Pesquisa de Preços",E1659)))</formula>
    </cfRule>
  </conditionalFormatting>
  <conditionalFormatting sqref="E1658">
    <cfRule type="containsText" dxfId="1943" priority="4310" operator="containsText" text="Pesquisa de Preços">
      <formula>NOT(ISERROR(SEARCH("Pesquisa de Preços",E1658)))</formula>
    </cfRule>
  </conditionalFormatting>
  <conditionalFormatting sqref="E1708:E1709 E1716">
    <cfRule type="containsText" dxfId="1942" priority="4297" operator="containsText" text="Pesquisa de Preços">
      <formula>NOT(ISERROR(SEARCH("Pesquisa de Preços",E1708)))</formula>
    </cfRule>
  </conditionalFormatting>
  <conditionalFormatting sqref="E1654">
    <cfRule type="containsText" dxfId="1941" priority="4307" operator="containsText" text="Pesquisa de Preços">
      <formula>NOT(ISERROR(SEARCH("Pesquisa de Preços",E1654)))</formula>
    </cfRule>
  </conditionalFormatting>
  <conditionalFormatting sqref="E1649">
    <cfRule type="containsText" dxfId="1940" priority="4309" operator="containsText" text="Pesquisa de Preços">
      <formula>NOT(ISERROR(SEARCH("Pesquisa de Preços",E1649)))</formula>
    </cfRule>
  </conditionalFormatting>
  <conditionalFormatting sqref="E1648">
    <cfRule type="containsText" dxfId="1939" priority="4308" operator="containsText" text="Pesquisa de Preços">
      <formula>NOT(ISERROR(SEARCH("Pesquisa de Preços",E1648)))</formula>
    </cfRule>
  </conditionalFormatting>
  <conditionalFormatting sqref="E2311">
    <cfRule type="containsText" dxfId="1938" priority="4162" operator="containsText" text="Pesquisa de Preços">
      <formula>NOT(ISERROR(SEARCH("Pesquisa de Preços",E2311)))</formula>
    </cfRule>
  </conditionalFormatting>
  <conditionalFormatting sqref="E2323">
    <cfRule type="containsText" dxfId="1937" priority="4160" operator="containsText" text="Pesquisa de Preços">
      <formula>NOT(ISERROR(SEARCH("Pesquisa de Preços",E2323)))</formula>
    </cfRule>
  </conditionalFormatting>
  <conditionalFormatting sqref="E1643 E1646:E1647">
    <cfRule type="containsText" dxfId="1936" priority="4305" operator="containsText" text="Pesquisa de Preços">
      <formula>NOT(ISERROR(SEARCH("Pesquisa de Preços",E1643)))</formula>
    </cfRule>
  </conditionalFormatting>
  <conditionalFormatting sqref="E1728 E1736">
    <cfRule type="containsText" dxfId="1935" priority="4301" operator="containsText" text="Pesquisa de Preços">
      <formula>NOT(ISERROR(SEARCH("Pesquisa de Preços",E1728)))</formula>
    </cfRule>
  </conditionalFormatting>
  <conditionalFormatting sqref="E1698:E1699 E1706">
    <cfRule type="containsText" dxfId="1934" priority="4299" operator="containsText" text="Pesquisa de Preços">
      <formula>NOT(ISERROR(SEARCH("Pesquisa de Preços",E1698)))</formula>
    </cfRule>
  </conditionalFormatting>
  <conditionalFormatting sqref="E896">
    <cfRule type="containsText" dxfId="1933" priority="4150" operator="containsText" text="Pesquisa de Preços">
      <formula>NOT(ISERROR(SEARCH("Pesquisa de Preços",E896)))</formula>
    </cfRule>
  </conditionalFormatting>
  <conditionalFormatting sqref="E875">
    <cfRule type="containsText" dxfId="1932" priority="4148" operator="containsText" text="Pesquisa de Preços">
      <formula>NOT(ISERROR(SEARCH("Pesquisa de Preços",E875)))</formula>
    </cfRule>
  </conditionalFormatting>
  <conditionalFormatting sqref="E1684:E1685 E1687:E1688">
    <cfRule type="containsText" dxfId="1931" priority="4295" operator="containsText" text="Pesquisa de Preços">
      <formula>NOT(ISERROR(SEARCH("Pesquisa de Preços",E1684)))</formula>
    </cfRule>
  </conditionalFormatting>
  <conditionalFormatting sqref="E850">
    <cfRule type="containsText" dxfId="1930" priority="4140" operator="containsText" text="Pesquisa de Preços">
      <formula>NOT(ISERROR(SEARCH("Pesquisa de Preços",E850)))</formula>
    </cfRule>
  </conditionalFormatting>
  <conditionalFormatting sqref="E1690">
    <cfRule type="containsText" dxfId="1929" priority="4293" operator="containsText" text="Pesquisa de Preços">
      <formula>NOT(ISERROR(SEARCH("Pesquisa de Preços",E1690)))</formula>
    </cfRule>
  </conditionalFormatting>
  <conditionalFormatting sqref="E856">
    <cfRule type="containsText" dxfId="1928" priority="4145" operator="containsText" text="Pesquisa de Preços">
      <formula>NOT(ISERROR(SEARCH("Pesquisa de Preços",E856)))</formula>
    </cfRule>
  </conditionalFormatting>
  <conditionalFormatting sqref="E1693:E1694">
    <cfRule type="containsText" dxfId="1927" priority="4291" operator="containsText" text="Pesquisa de Preços">
      <formula>NOT(ISERROR(SEARCH("Pesquisa de Preços",E1693)))</formula>
    </cfRule>
  </conditionalFormatting>
  <conditionalFormatting sqref="E1799">
    <cfRule type="containsText" dxfId="1926" priority="4290" operator="containsText" text="Pesquisa de Preços">
      <formula>NOT(ISERROR(SEARCH("Pesquisa de Preços",E1799)))</formula>
    </cfRule>
  </conditionalFormatting>
  <conditionalFormatting sqref="E1798">
    <cfRule type="containsText" dxfId="1925" priority="4289" operator="containsText" text="Pesquisa de Preços">
      <formula>NOT(ISERROR(SEARCH("Pesquisa de Preços",E1798)))</formula>
    </cfRule>
  </conditionalFormatting>
  <conditionalFormatting sqref="E1825">
    <cfRule type="containsText" dxfId="1924" priority="4280" operator="containsText" text="Pesquisa de Preços">
      <formula>NOT(ISERROR(SEARCH("Pesquisa de Preços",E1825)))</formula>
    </cfRule>
  </conditionalFormatting>
  <conditionalFormatting sqref="E1794">
    <cfRule type="containsText" dxfId="1923" priority="4288" operator="containsText" text="Pesquisa de Preços">
      <formula>NOT(ISERROR(SEARCH("Pesquisa de Preços",E1794)))</formula>
    </cfRule>
  </conditionalFormatting>
  <conditionalFormatting sqref="E1793">
    <cfRule type="containsText" dxfId="1922" priority="4287" operator="containsText" text="Pesquisa de Preços">
      <formula>NOT(ISERROR(SEARCH("Pesquisa de Preços",E1793)))</formula>
    </cfRule>
  </conditionalFormatting>
  <conditionalFormatting sqref="E1804 E1807:E1808">
    <cfRule type="containsText" dxfId="1921" priority="4286" operator="containsText" text="Pesquisa de Preços">
      <formula>NOT(ISERROR(SEARCH("Pesquisa de Preços",E1804)))</formula>
    </cfRule>
  </conditionalFormatting>
  <conditionalFormatting sqref="E1803">
    <cfRule type="containsText" dxfId="1920" priority="4285" operator="containsText" text="Pesquisa de Preços">
      <formula>NOT(ISERROR(SEARCH("Pesquisa de Preços",E1803)))</formula>
    </cfRule>
  </conditionalFormatting>
  <conditionalFormatting sqref="E1806">
    <cfRule type="containsText" dxfId="1919" priority="4284" operator="containsText" text="Pesquisa de Preços">
      <formula>NOT(ISERROR(SEARCH("Pesquisa de Preços",E1806)))</formula>
    </cfRule>
  </conditionalFormatting>
  <conditionalFormatting sqref="E1814">
    <cfRule type="containsText" dxfId="1918" priority="4283" operator="containsText" text="Pesquisa de Preços">
      <formula>NOT(ISERROR(SEARCH("Pesquisa de Preços",E1814)))</formula>
    </cfRule>
  </conditionalFormatting>
  <conditionalFormatting sqref="E1823:E1824 E1826:E1827">
    <cfRule type="containsText" dxfId="1917" priority="4282" operator="containsText" text="Pesquisa de Preços">
      <formula>NOT(ISERROR(SEARCH("Pesquisa de Preços",E1823)))</formula>
    </cfRule>
  </conditionalFormatting>
  <conditionalFormatting sqref="E1829:E1830 E1832:E1833">
    <cfRule type="containsText" dxfId="1916" priority="4279" operator="containsText" text="Pesquisa de Preços">
      <formula>NOT(ISERROR(SEARCH("Pesquisa de Preços",E1829)))</formula>
    </cfRule>
  </conditionalFormatting>
  <conditionalFormatting sqref="E1837">
    <cfRule type="containsText" dxfId="1915" priority="4272" operator="containsText" text="Pesquisa de Preços">
      <formula>NOT(ISERROR(SEARCH("Pesquisa de Preços",E1837)))</formula>
    </cfRule>
  </conditionalFormatting>
  <conditionalFormatting sqref="E1831">
    <cfRule type="containsText" dxfId="1914" priority="4277" operator="containsText" text="Pesquisa de Preços">
      <formula>NOT(ISERROR(SEARCH("Pesquisa de Preços",E1831)))</formula>
    </cfRule>
  </conditionalFormatting>
  <conditionalFormatting sqref="E1816:E1817 E1821">
    <cfRule type="containsText" dxfId="1913" priority="4276" operator="containsText" text="Pesquisa de Preços">
      <formula>NOT(ISERROR(SEARCH("Pesquisa de Preços",E1816)))</formula>
    </cfRule>
  </conditionalFormatting>
  <conditionalFormatting sqref="E1835:E1836 E1838:E1839">
    <cfRule type="containsText" dxfId="1912" priority="4274" operator="containsText" text="Pesquisa de Preços">
      <formula>NOT(ISERROR(SEARCH("Pesquisa de Preços",E1835)))</formula>
    </cfRule>
  </conditionalFormatting>
  <conditionalFormatting sqref="E2344">
    <cfRule type="containsText" dxfId="1911" priority="4126" operator="containsText" text="Pesquisa de Preços">
      <formula>NOT(ISERROR(SEARCH("Pesquisa de Preços",E2344)))</formula>
    </cfRule>
  </conditionalFormatting>
  <conditionalFormatting sqref="E1845">
    <cfRule type="containsText" dxfId="1910" priority="4271" operator="containsText" text="Pesquisa de Preços">
      <formula>NOT(ISERROR(SEARCH("Pesquisa de Preços",E1845)))</formula>
    </cfRule>
  </conditionalFormatting>
  <conditionalFormatting sqref="E2371">
    <cfRule type="containsText" dxfId="1909" priority="4123" operator="containsText" text="Pesquisa de Preços">
      <formula>NOT(ISERROR(SEARCH("Pesquisa de Preços",E2371)))</formula>
    </cfRule>
  </conditionalFormatting>
  <conditionalFormatting sqref="E1881">
    <cfRule type="containsText" dxfId="1908" priority="4270" operator="containsText" text="Pesquisa de Preços">
      <formula>NOT(ISERROR(SEARCH("Pesquisa de Preços",E1881)))</formula>
    </cfRule>
  </conditionalFormatting>
  <conditionalFormatting sqref="E2365">
    <cfRule type="containsText" dxfId="1907" priority="4121" operator="containsText" text="Pesquisa de Preços">
      <formula>NOT(ISERROR(SEARCH("Pesquisa de Preços",E2365)))</formula>
    </cfRule>
  </conditionalFormatting>
  <conditionalFormatting sqref="E1857">
    <cfRule type="containsText" dxfId="1906" priority="4269" operator="containsText" text="Pesquisa de Preços">
      <formula>NOT(ISERROR(SEARCH("Pesquisa de Preços",E1857)))</formula>
    </cfRule>
  </conditionalFormatting>
  <conditionalFormatting sqref="E1875">
    <cfRule type="containsText" dxfId="1905" priority="4268" operator="containsText" text="Pesquisa de Preços">
      <formula>NOT(ISERROR(SEARCH("Pesquisa de Preços",E1875)))</formula>
    </cfRule>
  </conditionalFormatting>
  <conditionalFormatting sqref="E1851">
    <cfRule type="containsText" dxfId="1904" priority="4267" operator="containsText" text="Pesquisa de Preços">
      <formula>NOT(ISERROR(SEARCH("Pesquisa de Preços",E1851)))</formula>
    </cfRule>
  </conditionalFormatting>
  <conditionalFormatting sqref="E1863">
    <cfRule type="containsText" dxfId="1903" priority="4266" operator="containsText" text="Pesquisa de Preços">
      <formula>NOT(ISERROR(SEARCH("Pesquisa de Preços",E1863)))</formula>
    </cfRule>
  </conditionalFormatting>
  <conditionalFormatting sqref="E1885">
    <cfRule type="containsText" dxfId="1902" priority="4262" operator="containsText" text="Pesquisa de Preços">
      <formula>NOT(ISERROR(SEARCH("Pesquisa de Preços",E1885)))</formula>
    </cfRule>
  </conditionalFormatting>
  <conditionalFormatting sqref="E1869">
    <cfRule type="containsText" dxfId="1901" priority="4265" operator="containsText" text="Pesquisa de Preços">
      <formula>NOT(ISERROR(SEARCH("Pesquisa de Preços",E1869)))</formula>
    </cfRule>
  </conditionalFormatting>
  <conditionalFormatting sqref="E1910 E1913:E1914">
    <cfRule type="containsText" dxfId="1900" priority="4254" operator="containsText" text="Pesquisa de Preços">
      <formula>NOT(ISERROR(SEARCH("Pesquisa de Preços",E1910)))</formula>
    </cfRule>
  </conditionalFormatting>
  <conditionalFormatting sqref="E1883:E1884 E1886:E1887">
    <cfRule type="containsText" dxfId="1899" priority="4264" operator="containsText" text="Pesquisa de Preços">
      <formula>NOT(ISERROR(SEARCH("Pesquisa de Preços",E1883)))</formula>
    </cfRule>
  </conditionalFormatting>
  <conditionalFormatting sqref="E1891">
    <cfRule type="containsText" dxfId="1898" priority="4259" operator="containsText" text="Pesquisa de Preços">
      <formula>NOT(ISERROR(SEARCH("Pesquisa de Preços",E1891)))</formula>
    </cfRule>
  </conditionalFormatting>
  <conditionalFormatting sqref="E1889:E1890 E1892:E1893">
    <cfRule type="containsText" dxfId="1897" priority="4261" operator="containsText" text="Pesquisa de Preços">
      <formula>NOT(ISERROR(SEARCH("Pesquisa de Preços",E1889)))</formula>
    </cfRule>
  </conditionalFormatting>
  <conditionalFormatting sqref="E1905:E1906 E1908">
    <cfRule type="containsText" dxfId="1896" priority="4258" operator="containsText" text="Pesquisa de Preços">
      <formula>NOT(ISERROR(SEARCH("Pesquisa de Preços",E1905)))</formula>
    </cfRule>
  </conditionalFormatting>
  <conditionalFormatting sqref="E1900">
    <cfRule type="containsText" dxfId="1895" priority="4256" operator="containsText" text="Pesquisa de Preços">
      <formula>NOT(ISERROR(SEARCH("Pesquisa de Preços",E1900)))</formula>
    </cfRule>
  </conditionalFormatting>
  <conditionalFormatting sqref="E1933:E1934 E1936:E1937">
    <cfRule type="containsText" dxfId="1894" priority="4252" operator="containsText" text="Pesquisa de Preços">
      <formula>NOT(ISERROR(SEARCH("Pesquisa de Preços",E1933)))</formula>
    </cfRule>
  </conditionalFormatting>
  <conditionalFormatting sqref="E1935">
    <cfRule type="containsText" dxfId="1893" priority="4250" operator="containsText" text="Pesquisa de Preços">
      <formula>NOT(ISERROR(SEARCH("Pesquisa de Preços",E1935)))</formula>
    </cfRule>
  </conditionalFormatting>
  <conditionalFormatting sqref="E1942:E1943">
    <cfRule type="containsText" dxfId="1892" priority="4249" operator="containsText" text="Pesquisa de Preços">
      <formula>NOT(ISERROR(SEARCH("Pesquisa de Preços",E1942)))</formula>
    </cfRule>
  </conditionalFormatting>
  <conditionalFormatting sqref="E1952:E1953 E1956:E1957">
    <cfRule type="containsText" dxfId="1891" priority="4244" operator="containsText" text="Pesquisa de Preços">
      <formula>NOT(ISERROR(SEARCH("Pesquisa de Preços",E1952)))</formula>
    </cfRule>
  </conditionalFormatting>
  <conditionalFormatting sqref="E1954:E1955">
    <cfRule type="containsText" dxfId="1890" priority="4242" operator="containsText" text="Pesquisa de Preços">
      <formula>NOT(ISERROR(SEARCH("Pesquisa de Preços",E1954)))</formula>
    </cfRule>
  </conditionalFormatting>
  <conditionalFormatting sqref="E1967 E1972:E1973">
    <cfRule type="containsText" dxfId="1889" priority="4248" operator="containsText" text="Pesquisa de Preços">
      <formula>NOT(ISERROR(SEARCH("Pesquisa de Preços",E1967)))</formula>
    </cfRule>
  </conditionalFormatting>
  <conditionalFormatting sqref="E1966">
    <cfRule type="containsText" dxfId="1888" priority="4247" operator="containsText" text="Pesquisa de Preços">
      <formula>NOT(ISERROR(SEARCH("Pesquisa de Preços",E1966)))</formula>
    </cfRule>
  </conditionalFormatting>
  <conditionalFormatting sqref="E1959 E1965">
    <cfRule type="containsText" dxfId="1887" priority="4246" operator="containsText" text="Pesquisa de Preços">
      <formula>NOT(ISERROR(SEARCH("Pesquisa de Preços",E1959)))</formula>
    </cfRule>
  </conditionalFormatting>
  <conditionalFormatting sqref="E1944">
    <cfRule type="containsText" dxfId="1886" priority="4240" operator="containsText" text="Pesquisa de Preços">
      <formula>NOT(ISERROR(SEARCH("Pesquisa de Preços",E1944)))</formula>
    </cfRule>
  </conditionalFormatting>
  <conditionalFormatting sqref="E1945:E1946 E1949:E1950">
    <cfRule type="containsText" dxfId="1885" priority="4241" operator="containsText" text="Pesquisa de Preços">
      <formula>NOT(ISERROR(SEARCH("Pesquisa de Preços",E1945)))</formula>
    </cfRule>
  </conditionalFormatting>
  <conditionalFormatting sqref="E1947:E1948">
    <cfRule type="containsText" dxfId="1884" priority="4239" operator="containsText" text="Pesquisa de Preços">
      <formula>NOT(ISERROR(SEARCH("Pesquisa de Preços",E1947)))</formula>
    </cfRule>
  </conditionalFormatting>
  <conditionalFormatting sqref="E1996 E2001">
    <cfRule type="containsText" dxfId="1883" priority="4238" operator="containsText" text="Pesquisa de Preços">
      <formula>NOT(ISERROR(SEARCH("Pesquisa de Preços",E1996)))</formula>
    </cfRule>
  </conditionalFormatting>
  <conditionalFormatting sqref="E1991:E1992">
    <cfRule type="containsText" dxfId="1882" priority="4234" operator="containsText" text="Pesquisa de Preços">
      <formula>NOT(ISERROR(SEARCH("Pesquisa de Preços",E1991)))</formula>
    </cfRule>
  </conditionalFormatting>
  <conditionalFormatting sqref="E1994 E1989:E1990">
    <cfRule type="containsText" dxfId="1881" priority="4236" operator="containsText" text="Pesquisa de Preços">
      <formula>NOT(ISERROR(SEARCH("Pesquisa de Preços",E1989)))</formula>
    </cfRule>
  </conditionalFormatting>
  <conditionalFormatting sqref="E1984:E1985">
    <cfRule type="containsText" dxfId="1880" priority="4231" operator="containsText" text="Pesquisa de Preços">
      <formula>NOT(ISERROR(SEARCH("Pesquisa de Preços",E1984)))</formula>
    </cfRule>
  </conditionalFormatting>
  <conditionalFormatting sqref="E1987 E1982:E1983">
    <cfRule type="containsText" dxfId="1879" priority="4233" operator="containsText" text="Pesquisa de Preços">
      <formula>NOT(ISERROR(SEARCH("Pesquisa de Preços",E1982)))</formula>
    </cfRule>
  </conditionalFormatting>
  <conditionalFormatting sqref="E1975 E1980">
    <cfRule type="containsText" dxfId="1878" priority="4230" operator="containsText" text="Pesquisa de Preços">
      <formula>NOT(ISERROR(SEARCH("Pesquisa de Preços",E1975)))</formula>
    </cfRule>
  </conditionalFormatting>
  <conditionalFormatting sqref="E2120">
    <cfRule type="containsText" dxfId="1877" priority="4227" operator="containsText" text="Pesquisa de Preços">
      <formula>NOT(ISERROR(SEARCH("Pesquisa de Preços",E2120)))</formula>
    </cfRule>
  </conditionalFormatting>
  <conditionalFormatting sqref="E2121:E2122">
    <cfRule type="containsText" dxfId="1876" priority="4228" operator="containsText" text="Pesquisa de Preços">
      <formula>NOT(ISERROR(SEARCH("Pesquisa de Preços",E2121)))</formula>
    </cfRule>
  </conditionalFormatting>
  <conditionalFormatting sqref="E2123:E2124">
    <cfRule type="containsText" dxfId="1875" priority="4226" operator="containsText" text="Pesquisa de Preços">
      <formula>NOT(ISERROR(SEARCH("Pesquisa de Preços",E2123)))</formula>
    </cfRule>
  </conditionalFormatting>
  <conditionalFormatting sqref="E2109:E2110">
    <cfRule type="containsText" dxfId="1874" priority="4225" operator="containsText" text="Pesquisa de Preços">
      <formula>NOT(ISERROR(SEARCH("Pesquisa de Preços",E2109)))</formula>
    </cfRule>
  </conditionalFormatting>
  <conditionalFormatting sqref="E2108">
    <cfRule type="containsText" dxfId="1873" priority="4224" operator="containsText" text="Pesquisa de Preços">
      <formula>NOT(ISERROR(SEARCH("Pesquisa de Preços",E2108)))</formula>
    </cfRule>
  </conditionalFormatting>
  <conditionalFormatting sqref="E2135 E2139:E2141">
    <cfRule type="containsText" dxfId="1872" priority="4223" operator="containsText" text="Pesquisa de Preços">
      <formula>NOT(ISERROR(SEARCH("Pesquisa de Preços",E2135)))</formula>
    </cfRule>
  </conditionalFormatting>
  <conditionalFormatting sqref="E2134">
    <cfRule type="containsText" dxfId="1871" priority="4222" operator="containsText" text="Pesquisa de Preços">
      <formula>NOT(ISERROR(SEARCH("Pesquisa de Preços",E2134)))</formula>
    </cfRule>
  </conditionalFormatting>
  <conditionalFormatting sqref="E2138">
    <cfRule type="containsText" dxfId="1870" priority="4221" operator="containsText" text="Pesquisa de Preços">
      <formula>NOT(ISERROR(SEARCH("Pesquisa de Preços",E2138)))</formula>
    </cfRule>
  </conditionalFormatting>
  <conditionalFormatting sqref="E2151 E2155:E2157">
    <cfRule type="containsText" dxfId="1869" priority="4220" operator="containsText" text="Pesquisa de Preços">
      <formula>NOT(ISERROR(SEARCH("Pesquisa de Preços",E2151)))</formula>
    </cfRule>
  </conditionalFormatting>
  <conditionalFormatting sqref="E2131:E2133">
    <cfRule type="containsText" dxfId="1868" priority="4218" operator="containsText" text="Pesquisa de Preços">
      <formula>NOT(ISERROR(SEARCH("Pesquisa de Preços",E2131)))</formula>
    </cfRule>
  </conditionalFormatting>
  <conditionalFormatting sqref="E2163:E2165">
    <cfRule type="containsText" dxfId="1867" priority="4217" operator="containsText" text="Pesquisa de Preços">
      <formula>NOT(ISERROR(SEARCH("Pesquisa de Preços",E2163)))</formula>
    </cfRule>
  </conditionalFormatting>
  <conditionalFormatting sqref="E2041 E2045:E2047">
    <cfRule type="containsText" dxfId="1866" priority="4212" operator="containsText" text="Pesquisa de Preços">
      <formula>NOT(ISERROR(SEARCH("Pesquisa de Preços",E2041)))</formula>
    </cfRule>
  </conditionalFormatting>
  <conditionalFormatting sqref="E2147:E2149">
    <cfRule type="containsText" dxfId="1865" priority="4216" operator="containsText" text="Pesquisa de Preços">
      <formula>NOT(ISERROR(SEARCH("Pesquisa de Preços",E2147)))</formula>
    </cfRule>
  </conditionalFormatting>
  <conditionalFormatting sqref="E2040">
    <cfRule type="containsText" dxfId="1864" priority="4211" operator="containsText" text="Pesquisa de Preços">
      <formula>NOT(ISERROR(SEARCH("Pesquisa de Preços",E2040)))</formula>
    </cfRule>
  </conditionalFormatting>
  <conditionalFormatting sqref="E2171:E2173">
    <cfRule type="containsText" dxfId="1863" priority="4215" operator="containsText" text="Pesquisa de Preços">
      <formula>NOT(ISERROR(SEARCH("Pesquisa de Preços",E2171)))</formula>
    </cfRule>
  </conditionalFormatting>
  <conditionalFormatting sqref="E2224:E2227 E2229">
    <cfRule type="containsText" dxfId="1862" priority="4172" operator="containsText" text="Pesquisa de Preços">
      <formula>NOT(ISERROR(SEARCH("Pesquisa de Preços",E2224)))</formula>
    </cfRule>
  </conditionalFormatting>
  <conditionalFormatting sqref="E2025 E2029:E2031">
    <cfRule type="containsText" dxfId="1861" priority="4214" operator="containsText" text="Pesquisa de Preços">
      <formula>NOT(ISERROR(SEARCH("Pesquisa de Preços",E2025)))</formula>
    </cfRule>
  </conditionalFormatting>
  <conditionalFormatting sqref="E2033 E2037:E2039">
    <cfRule type="containsText" dxfId="1860" priority="4206" operator="containsText" text="Pesquisa de Preços">
      <formula>NOT(ISERROR(SEARCH("Pesquisa de Preços",E2033)))</formula>
    </cfRule>
  </conditionalFormatting>
  <conditionalFormatting sqref="E2318:E2319 E2322">
    <cfRule type="containsText" dxfId="1859" priority="4165" operator="containsText" text="Pesquisa de Preços">
      <formula>NOT(ISERROR(SEARCH("Pesquisa de Preços",E2318)))</formula>
    </cfRule>
  </conditionalFormatting>
  <conditionalFormatting sqref="E2017 E2021:E2023">
    <cfRule type="containsText" dxfId="1858" priority="4210" operator="containsText" text="Pesquisa de Preços">
      <formula>NOT(ISERROR(SEARCH("Pesquisa de Preços",E2017)))</formula>
    </cfRule>
  </conditionalFormatting>
  <conditionalFormatting sqref="E2016">
    <cfRule type="containsText" dxfId="1857" priority="4209" operator="containsText" text="Pesquisa de Preços">
      <formula>NOT(ISERROR(SEARCH("Pesquisa de Preços",E2016)))</formula>
    </cfRule>
  </conditionalFormatting>
  <conditionalFormatting sqref="E2049 E2053:E2055">
    <cfRule type="containsText" dxfId="1856" priority="4208" operator="containsText" text="Pesquisa de Preços">
      <formula>NOT(ISERROR(SEARCH("Pesquisa de Preços",E2049)))</formula>
    </cfRule>
  </conditionalFormatting>
  <conditionalFormatting sqref="E2048">
    <cfRule type="containsText" dxfId="1855" priority="4207" operator="containsText" text="Pesquisa de Preços">
      <formula>NOT(ISERROR(SEARCH("Pesquisa de Preços",E2048)))</formula>
    </cfRule>
  </conditionalFormatting>
  <conditionalFormatting sqref="E2299:E2300">
    <cfRule type="containsText" dxfId="1854" priority="4171" operator="containsText" text="Pesquisa de Preços">
      <formula>NOT(ISERROR(SEARCH("Pesquisa de Preços",E2299)))</formula>
    </cfRule>
  </conditionalFormatting>
  <conditionalFormatting sqref="E2032">
    <cfRule type="containsText" dxfId="1853" priority="4205" operator="containsText" text="Pesquisa de Preços">
      <formula>NOT(ISERROR(SEARCH("Pesquisa de Preços",E2032)))</formula>
    </cfRule>
  </conditionalFormatting>
  <conditionalFormatting sqref="E2281">
    <cfRule type="containsText" dxfId="1852" priority="4179" operator="containsText" text="Pesquisa de Preços">
      <formula>NOT(ISERROR(SEARCH("Pesquisa de Preços",E2281)))</formula>
    </cfRule>
  </conditionalFormatting>
  <conditionalFormatting sqref="E2057 E2061:E2063">
    <cfRule type="containsText" dxfId="1851" priority="4204" operator="containsText" text="Pesquisa de Preços">
      <formula>NOT(ISERROR(SEARCH("Pesquisa de Preços",E2057)))</formula>
    </cfRule>
  </conditionalFormatting>
  <conditionalFormatting sqref="E2056">
    <cfRule type="containsText" dxfId="1850" priority="4203" operator="containsText" text="Pesquisa de Preços">
      <formula>NOT(ISERROR(SEARCH("Pesquisa de Preços",E2056)))</formula>
    </cfRule>
  </conditionalFormatting>
  <conditionalFormatting sqref="E2236">
    <cfRule type="containsText" dxfId="1849" priority="4183" operator="containsText" text="Pesquisa de Preços">
      <formula>NOT(ISERROR(SEARCH("Pesquisa de Preços",E2236)))</formula>
    </cfRule>
  </conditionalFormatting>
  <conditionalFormatting sqref="E2015">
    <cfRule type="containsText" dxfId="1848" priority="4202" operator="containsText" text="Pesquisa de Preços">
      <formula>NOT(ISERROR(SEARCH("Pesquisa de Preços",E2015)))</formula>
    </cfRule>
  </conditionalFormatting>
  <conditionalFormatting sqref="E2093:E2095">
    <cfRule type="containsText" dxfId="1847" priority="4201" operator="containsText" text="Pesquisa de Preços">
      <formula>NOT(ISERROR(SEARCH("Pesquisa de Preços",E2093)))</formula>
    </cfRule>
  </conditionalFormatting>
  <conditionalFormatting sqref="E2209">
    <cfRule type="containsText" dxfId="1846" priority="4184" operator="containsText" text="Pesquisa de Preços">
      <formula>NOT(ISERROR(SEARCH("Pesquisa de Preços",E2209)))</formula>
    </cfRule>
  </conditionalFormatting>
  <conditionalFormatting sqref="E2085:E2087">
    <cfRule type="containsText" dxfId="1845" priority="4200" operator="containsText" text="Pesquisa de Preços">
      <formula>NOT(ISERROR(SEARCH("Pesquisa de Preços",E2085)))</formula>
    </cfRule>
  </conditionalFormatting>
  <conditionalFormatting sqref="E2200">
    <cfRule type="containsText" dxfId="1844" priority="4189" operator="containsText" text="Pesquisa de Preços">
      <formula>NOT(ISERROR(SEARCH("Pesquisa de Preços",E2200)))</formula>
    </cfRule>
  </conditionalFormatting>
  <conditionalFormatting sqref="E2202">
    <cfRule type="containsText" dxfId="1843" priority="4188" operator="containsText" text="Pesquisa de Preços">
      <formula>NOT(ISERROR(SEARCH("Pesquisa de Preços",E2202)))</formula>
    </cfRule>
  </conditionalFormatting>
  <conditionalFormatting sqref="E2079">
    <cfRule type="containsText" dxfId="1842" priority="4199" operator="containsText" text="Pesquisa de Preços">
      <formula>NOT(ISERROR(SEARCH("Pesquisa de Preços",E2079)))</formula>
    </cfRule>
  </conditionalFormatting>
  <conditionalFormatting sqref="E2005">
    <cfRule type="containsText" dxfId="1841" priority="4196" operator="containsText" text="Pesquisa de Preços">
      <formula>NOT(ISERROR(SEARCH("Pesquisa de Preços",E2005)))</formula>
    </cfRule>
  </conditionalFormatting>
  <conditionalFormatting sqref="E2003:E2004 E2006:E2007">
    <cfRule type="containsText" dxfId="1840" priority="4198" operator="containsText" text="Pesquisa de Preços">
      <formula>NOT(ISERROR(SEARCH("Pesquisa de Preços",E2003)))</formula>
    </cfRule>
  </conditionalFormatting>
  <conditionalFormatting sqref="E2002">
    <cfRule type="containsText" dxfId="1839" priority="4197" operator="containsText" text="Pesquisa de Preços">
      <formula>NOT(ISERROR(SEARCH("Pesquisa de Preços",E2002)))</formula>
    </cfRule>
  </conditionalFormatting>
  <conditionalFormatting sqref="E2097">
    <cfRule type="containsText" dxfId="1838" priority="4195" operator="containsText" text="Pesquisa de Preços">
      <formula>NOT(ISERROR(SEARCH("Pesquisa de Preços",E2097)))</formula>
    </cfRule>
  </conditionalFormatting>
  <conditionalFormatting sqref="E2096">
    <cfRule type="containsText" dxfId="1837" priority="4194" operator="containsText" text="Pesquisa de Preços">
      <formula>NOT(ISERROR(SEARCH("Pesquisa de Preços",E2096)))</formula>
    </cfRule>
  </conditionalFormatting>
  <conditionalFormatting sqref="E2191:E2192">
    <cfRule type="containsText" dxfId="1836" priority="4193" operator="containsText" text="Pesquisa de Preços">
      <formula>NOT(ISERROR(SEARCH("Pesquisa de Preços",E2191)))</formula>
    </cfRule>
  </conditionalFormatting>
  <conditionalFormatting sqref="E2190">
    <cfRule type="containsText" dxfId="1835" priority="4192" operator="containsText" text="Pesquisa de Preços">
      <formula>NOT(ISERROR(SEARCH("Pesquisa de Preços",E2190)))</formula>
    </cfRule>
  </conditionalFormatting>
  <conditionalFormatting sqref="E2196:E2197 E2199">
    <cfRule type="containsText" dxfId="1834" priority="4191" operator="containsText" text="Pesquisa de Preços">
      <formula>NOT(ISERROR(SEARCH("Pesquisa de Preços",E2196)))</formula>
    </cfRule>
  </conditionalFormatting>
  <conditionalFormatting sqref="E2216 E2219:E2220">
    <cfRule type="containsText" dxfId="1833" priority="4187" operator="containsText" text="Pesquisa de Preços">
      <formula>NOT(ISERROR(SEARCH("Pesquisa de Preços",E2216)))</formula>
    </cfRule>
  </conditionalFormatting>
  <conditionalFormatting sqref="E2210 E2214">
    <cfRule type="containsText" dxfId="1832" priority="4185" operator="containsText" text="Pesquisa de Preços">
      <formula>NOT(ISERROR(SEARCH("Pesquisa de Preços",E2210)))</formula>
    </cfRule>
  </conditionalFormatting>
  <conditionalFormatting sqref="E2282">
    <cfRule type="containsText" dxfId="1831" priority="4180" operator="containsText" text="Pesquisa de Preços">
      <formula>NOT(ISERROR(SEARCH("Pesquisa de Preços",E2282)))</formula>
    </cfRule>
  </conditionalFormatting>
  <conditionalFormatting sqref="E2239">
    <cfRule type="containsText" dxfId="1830" priority="4181" operator="containsText" text="Pesquisa de Preços">
      <formula>NOT(ISERROR(SEARCH("Pesquisa de Preços",E2239)))</formula>
    </cfRule>
  </conditionalFormatting>
  <conditionalFormatting sqref="E2271">
    <cfRule type="containsText" dxfId="1829" priority="4177" operator="containsText" text="Pesquisa de Preços">
      <formula>NOT(ISERROR(SEARCH("Pesquisa de Preços",E2271)))</formula>
    </cfRule>
  </conditionalFormatting>
  <conditionalFormatting sqref="E2272">
    <cfRule type="containsText" dxfId="1828" priority="4178" operator="containsText" text="Pesquisa de Preços">
      <formula>NOT(ISERROR(SEARCH("Pesquisa de Preços",E2272)))</formula>
    </cfRule>
  </conditionalFormatting>
  <conditionalFormatting sqref="E2262 E2270">
    <cfRule type="containsText" dxfId="1827" priority="4176" operator="containsText" text="Pesquisa de Preços">
      <formula>NOT(ISERROR(SEARCH("Pesquisa de Preços",E2262)))</formula>
    </cfRule>
  </conditionalFormatting>
  <conditionalFormatting sqref="E2221">
    <cfRule type="containsText" dxfId="1826" priority="4173" operator="containsText" text="Pesquisa de Preços">
      <formula>NOT(ISERROR(SEARCH("Pesquisa de Preços",E2221)))</formula>
    </cfRule>
  </conditionalFormatting>
  <conditionalFormatting sqref="E2222:E2223">
    <cfRule type="containsText" dxfId="1825" priority="4174" operator="containsText" text="Pesquisa de Preços">
      <formula>NOT(ISERROR(SEARCH("Pesquisa de Preços",E2222)))</formula>
    </cfRule>
  </conditionalFormatting>
  <conditionalFormatting sqref="E2298">
    <cfRule type="containsText" dxfId="1824" priority="4170" operator="containsText" text="Pesquisa de Preços">
      <formula>NOT(ISERROR(SEARCH("Pesquisa de Preços",E2298)))</formula>
    </cfRule>
  </conditionalFormatting>
  <conditionalFormatting sqref="E2303">
    <cfRule type="containsText" dxfId="1823" priority="4169" operator="containsText" text="Pesquisa de Preços">
      <formula>NOT(ISERROR(SEARCH("Pesquisa de Preços",E2303)))</formula>
    </cfRule>
  </conditionalFormatting>
  <conditionalFormatting sqref="E2297">
    <cfRule type="containsText" dxfId="1822" priority="4168" operator="containsText" text="Pesquisa de Preços">
      <formula>NOT(ISERROR(SEARCH("Pesquisa de Preços",E2297)))</formula>
    </cfRule>
  </conditionalFormatting>
  <conditionalFormatting sqref="E2330">
    <cfRule type="containsText" dxfId="1821" priority="4167" operator="containsText" text="Pesquisa de Preços">
      <formula>NOT(ISERROR(SEARCH("Pesquisa de Preços",E2330)))</formula>
    </cfRule>
  </conditionalFormatting>
  <conditionalFormatting sqref="E2329">
    <cfRule type="containsText" dxfId="1820" priority="4166" operator="containsText" text="Pesquisa de Preços">
      <formula>NOT(ISERROR(SEARCH("Pesquisa de Preços",E2329)))</formula>
    </cfRule>
  </conditionalFormatting>
  <conditionalFormatting sqref="E2317">
    <cfRule type="containsText" dxfId="1819" priority="4164" operator="containsText" text="Pesquisa de Preços">
      <formula>NOT(ISERROR(SEARCH("Pesquisa de Preços",E2317)))</formula>
    </cfRule>
  </conditionalFormatting>
  <conditionalFormatting sqref="E2312:E2313 E2316">
    <cfRule type="containsText" dxfId="1818" priority="4163" operator="containsText" text="Pesquisa de Preços">
      <formula>NOT(ISERROR(SEARCH("Pesquisa de Preços",E2312)))</formula>
    </cfRule>
  </conditionalFormatting>
  <conditionalFormatting sqref="E2324:E2325 E2327:E2328">
    <cfRule type="containsText" dxfId="1817" priority="4161" operator="containsText" text="Pesquisa de Preços">
      <formula>NOT(ISERROR(SEARCH("Pesquisa de Preços",E2324)))</formula>
    </cfRule>
  </conditionalFormatting>
  <conditionalFormatting sqref="E2326">
    <cfRule type="containsText" dxfId="1816" priority="4159" operator="containsText" text="Pesquisa de Preços">
      <formula>NOT(ISERROR(SEARCH("Pesquisa de Preços",E2326)))</formula>
    </cfRule>
  </conditionalFormatting>
  <conditionalFormatting sqref="E2306 E2309:E2310">
    <cfRule type="containsText" dxfId="1815" priority="4158" operator="containsText" text="Pesquisa de Preços">
      <formula>NOT(ISERROR(SEARCH("Pesquisa de Preços",E2306)))</formula>
    </cfRule>
  </conditionalFormatting>
  <conditionalFormatting sqref="E2305">
    <cfRule type="containsText" dxfId="1814" priority="4157" operator="containsText" text="Pesquisa de Preços">
      <formula>NOT(ISERROR(SEARCH("Pesquisa de Preços",E2305)))</formula>
    </cfRule>
  </conditionalFormatting>
  <conditionalFormatting sqref="E2308">
    <cfRule type="containsText" dxfId="1813" priority="4156" operator="containsText" text="Pesquisa de Preços">
      <formula>NOT(ISERROR(SEARCH("Pesquisa de Preços",E2308)))</formula>
    </cfRule>
  </conditionalFormatting>
  <conditionalFormatting sqref="E2335:E2338">
    <cfRule type="containsText" dxfId="1812" priority="4155" operator="containsText" text="Pesquisa de Preços">
      <formula>NOT(ISERROR(SEARCH("Pesquisa de Preços",E2335)))</formula>
    </cfRule>
  </conditionalFormatting>
  <conditionalFormatting sqref="E2340 E2342:E2343">
    <cfRule type="containsText" dxfId="1811" priority="4153" operator="containsText" text="Pesquisa de Preços">
      <formula>NOT(ISERROR(SEARCH("Pesquisa de Preços",E2340)))</formula>
    </cfRule>
  </conditionalFormatting>
  <conditionalFormatting sqref="E897:E898 E900:E902">
    <cfRule type="containsText" dxfId="1810" priority="4151" operator="containsText" text="Pesquisa de Preços">
      <formula>NOT(ISERROR(SEARCH("Pesquisa de Preços",E897)))</formula>
    </cfRule>
  </conditionalFormatting>
  <conditionalFormatting sqref="E857:E858">
    <cfRule type="containsText" dxfId="1809" priority="4146" operator="containsText" text="Pesquisa de Preços">
      <formula>NOT(ISERROR(SEARCH("Pesquisa de Preços",E857)))</formula>
    </cfRule>
  </conditionalFormatting>
  <conditionalFormatting sqref="E876 E881:E882">
    <cfRule type="containsText" dxfId="1808" priority="4149" operator="containsText" text="Pesquisa de Preços">
      <formula>NOT(ISERROR(SEARCH("Pesquisa de Preços",E876)))</formula>
    </cfRule>
  </conditionalFormatting>
  <conditionalFormatting sqref="E889:E890">
    <cfRule type="containsText" dxfId="1807" priority="4147" operator="containsText" text="Pesquisa de Preços">
      <formula>NOT(ISERROR(SEARCH("Pesquisa de Preços",E889)))</formula>
    </cfRule>
  </conditionalFormatting>
  <conditionalFormatting sqref="E868">
    <cfRule type="containsText" dxfId="1806" priority="4139" operator="containsText" text="Pesquisa de Preços">
      <formula>NOT(ISERROR(SEARCH("Pesquisa de Preços",E868)))</formula>
    </cfRule>
  </conditionalFormatting>
  <conditionalFormatting sqref="E858:E860">
    <cfRule type="containsText" dxfId="1805" priority="4144" operator="containsText" text="Pesquisa de Preços">
      <formula>NOT(ISERROR(SEARCH("Pesquisa de Preços",E858)))</formula>
    </cfRule>
  </conditionalFormatting>
  <conditionalFormatting sqref="E846:E849">
    <cfRule type="containsText" dxfId="1804" priority="4143" operator="containsText" text="Pesquisa de Preços">
      <formula>NOT(ISERROR(SEARCH("Pesquisa de Preços",E846)))</formula>
    </cfRule>
  </conditionalFormatting>
  <conditionalFormatting sqref="E845">
    <cfRule type="containsText" dxfId="1803" priority="4142" operator="containsText" text="Pesquisa de Preços">
      <formula>NOT(ISERROR(SEARCH("Pesquisa de Preços",E845)))</formula>
    </cfRule>
  </conditionalFormatting>
  <conditionalFormatting sqref="E851 E854:E855">
    <cfRule type="containsText" dxfId="1802" priority="4141" operator="containsText" text="Pesquisa de Preços">
      <formula>NOT(ISERROR(SEARCH("Pesquisa de Preços",E851)))</formula>
    </cfRule>
  </conditionalFormatting>
  <conditionalFormatting sqref="E867">
    <cfRule type="containsText" dxfId="1801" priority="4138" operator="containsText" text="Pesquisa de Preços">
      <formula>NOT(ISERROR(SEARCH("Pesquisa de Preços",E867)))</formula>
    </cfRule>
  </conditionalFormatting>
  <conditionalFormatting sqref="E863">
    <cfRule type="containsText" dxfId="1800" priority="4137" operator="containsText" text="Pesquisa de Preços">
      <formula>NOT(ISERROR(SEARCH("Pesquisa de Preços",E863)))</formula>
    </cfRule>
  </conditionalFormatting>
  <conditionalFormatting sqref="E862">
    <cfRule type="containsText" dxfId="1799" priority="4136" operator="containsText" text="Pesquisa de Preços">
      <formula>NOT(ISERROR(SEARCH("Pesquisa de Preços",E862)))</formula>
    </cfRule>
  </conditionalFormatting>
  <conditionalFormatting sqref="E892:E893">
    <cfRule type="containsText" dxfId="1798" priority="4135" operator="containsText" text="Pesquisa de Preços">
      <formula>NOT(ISERROR(SEARCH("Pesquisa de Preços",E892)))</formula>
    </cfRule>
  </conditionalFormatting>
  <conditionalFormatting sqref="E891">
    <cfRule type="containsText" dxfId="1797" priority="4134" operator="containsText" text="Pesquisa de Preços">
      <formula>NOT(ISERROR(SEARCH("Pesquisa de Preços",E891)))</formula>
    </cfRule>
  </conditionalFormatting>
  <conditionalFormatting sqref="E904:E905">
    <cfRule type="containsText" dxfId="1796" priority="4133" operator="containsText" text="Pesquisa de Preços">
      <formula>NOT(ISERROR(SEARCH("Pesquisa de Preços",E904)))</formula>
    </cfRule>
  </conditionalFormatting>
  <conditionalFormatting sqref="E903">
    <cfRule type="containsText" dxfId="1795" priority="4132" operator="containsText" text="Pesquisa de Preços">
      <formula>NOT(ISERROR(SEARCH("Pesquisa de Preços",E903)))</formula>
    </cfRule>
  </conditionalFormatting>
  <conditionalFormatting sqref="E2351:E2352">
    <cfRule type="containsText" dxfId="1794" priority="4131" operator="containsText" text="Pesquisa de Preços">
      <formula>NOT(ISERROR(SEARCH("Pesquisa de Preços",E2351)))</formula>
    </cfRule>
  </conditionalFormatting>
  <conditionalFormatting sqref="E2350">
    <cfRule type="containsText" dxfId="1793" priority="4130" operator="containsText" text="Pesquisa de Preços">
      <formula>NOT(ISERROR(SEARCH("Pesquisa de Preços",E2350)))</formula>
    </cfRule>
  </conditionalFormatting>
  <conditionalFormatting sqref="E2359 E2362 E2364">
    <cfRule type="containsText" dxfId="1792" priority="4129" operator="containsText" text="Pesquisa de Preços">
      <formula>NOT(ISERROR(SEARCH("Pesquisa de Preços",E2359)))</formula>
    </cfRule>
  </conditionalFormatting>
  <conditionalFormatting sqref="E2358">
    <cfRule type="containsText" dxfId="1791" priority="4128" operator="containsText" text="Pesquisa de Preços">
      <formula>NOT(ISERROR(SEARCH("Pesquisa de Preços",E2358)))</formula>
    </cfRule>
  </conditionalFormatting>
  <conditionalFormatting sqref="E2345:E2346 E2348:E2349">
    <cfRule type="containsText" dxfId="1790" priority="4127" operator="containsText" text="Pesquisa de Preços">
      <formula>NOT(ISERROR(SEARCH("Pesquisa de Preços",E2345)))</formula>
    </cfRule>
  </conditionalFormatting>
  <conditionalFormatting sqref="E2372 E2377">
    <cfRule type="containsText" dxfId="1789" priority="4124" operator="containsText" text="Pesquisa de Preços">
      <formula>NOT(ISERROR(SEARCH("Pesquisa de Preços",E2372)))</formula>
    </cfRule>
  </conditionalFormatting>
  <conditionalFormatting sqref="E2347">
    <cfRule type="containsText" dxfId="1788" priority="4125" operator="containsText" text="Pesquisa de Preços">
      <formula>NOT(ISERROR(SEARCH("Pesquisa de Preços",E2347)))</formula>
    </cfRule>
  </conditionalFormatting>
  <conditionalFormatting sqref="E2366">
    <cfRule type="containsText" dxfId="1787" priority="4122" operator="containsText" text="Pesquisa de Preços">
      <formula>NOT(ISERROR(SEARCH("Pesquisa de Preços",E2366)))</formula>
    </cfRule>
  </conditionalFormatting>
  <conditionalFormatting sqref="E1752:E1753 E1756:E1757">
    <cfRule type="containsText" dxfId="1786" priority="4120" operator="containsText" text="Pesquisa de Preços">
      <formula>NOT(ISERROR(SEARCH("Pesquisa de Preços",E1752)))</formula>
    </cfRule>
  </conditionalFormatting>
  <conditionalFormatting sqref="E1751">
    <cfRule type="containsText" dxfId="1785" priority="4119" operator="containsText" text="Pesquisa de Preços">
      <formula>NOT(ISERROR(SEARCH("Pesquisa de Preços",E1751)))</formula>
    </cfRule>
  </conditionalFormatting>
  <conditionalFormatting sqref="E1725">
    <cfRule type="containsText" dxfId="1784" priority="4053" operator="containsText" text="Pesquisa de Preços">
      <formula>NOT(ISERROR(SEARCH("Pesquisa de Preços",E1725)))</formula>
    </cfRule>
  </conditionalFormatting>
  <conditionalFormatting sqref="E1755">
    <cfRule type="containsText" dxfId="1783" priority="4118" operator="containsText" text="Pesquisa de Preços">
      <formula>NOT(ISERROR(SEARCH("Pesquisa de Preços",E1755)))</formula>
    </cfRule>
  </conditionalFormatting>
  <conditionalFormatting sqref="E1766:E1767 E1771">
    <cfRule type="containsText" dxfId="1782" priority="4117" operator="containsText" text="Pesquisa de Preços">
      <formula>NOT(ISERROR(SEARCH("Pesquisa de Preços",E1766)))</formula>
    </cfRule>
  </conditionalFormatting>
  <conditionalFormatting sqref="E1765">
    <cfRule type="containsText" dxfId="1781" priority="4116" operator="containsText" text="Pesquisa de Preços">
      <formula>NOT(ISERROR(SEARCH("Pesquisa de Preços",E1765)))</formula>
    </cfRule>
  </conditionalFormatting>
  <conditionalFormatting sqref="E1780 E1785">
    <cfRule type="containsText" dxfId="1780" priority="4115" operator="containsText" text="Pesquisa de Preços">
      <formula>NOT(ISERROR(SEARCH("Pesquisa de Preços",E1780)))</formula>
    </cfRule>
  </conditionalFormatting>
  <conditionalFormatting sqref="E1779">
    <cfRule type="containsText" dxfId="1779" priority="4114" operator="containsText" text="Pesquisa de Preços">
      <formula>NOT(ISERROR(SEARCH("Pesquisa de Preços",E1779)))</formula>
    </cfRule>
  </conditionalFormatting>
  <conditionalFormatting sqref="E1738:E1739 E1742:E1743">
    <cfRule type="containsText" dxfId="1778" priority="4113" operator="containsText" text="Pesquisa de Preços">
      <formula>NOT(ISERROR(SEARCH("Pesquisa de Preços",E1738)))</formula>
    </cfRule>
  </conditionalFormatting>
  <conditionalFormatting sqref="E1737">
    <cfRule type="containsText" dxfId="1777" priority="4112" operator="containsText" text="Pesquisa de Preços">
      <formula>NOT(ISERROR(SEARCH("Pesquisa de Preços",E1737)))</formula>
    </cfRule>
  </conditionalFormatting>
  <conditionalFormatting sqref="E1740:E1741">
    <cfRule type="containsText" dxfId="1776" priority="4111" operator="containsText" text="Pesquisa de Preços">
      <formula>NOT(ISERROR(SEARCH("Pesquisa de Preços",E1740)))</formula>
    </cfRule>
  </conditionalFormatting>
  <conditionalFormatting sqref="E1745:E1746 E1749:E1750">
    <cfRule type="containsText" dxfId="1775" priority="4110" operator="containsText" text="Pesquisa de Preços">
      <formula>NOT(ISERROR(SEARCH("Pesquisa de Preços",E1745)))</formula>
    </cfRule>
  </conditionalFormatting>
  <conditionalFormatting sqref="E1744">
    <cfRule type="containsText" dxfId="1774" priority="4109" operator="containsText" text="Pesquisa de Preços">
      <formula>NOT(ISERROR(SEARCH("Pesquisa de Preços",E1744)))</formula>
    </cfRule>
  </conditionalFormatting>
  <conditionalFormatting sqref="E590 E594">
    <cfRule type="containsText" dxfId="1773" priority="4052" operator="containsText" text="Pesquisa de Preços">
      <formula>NOT(ISERROR(SEARCH("Pesquisa de Preços",E590)))</formula>
    </cfRule>
  </conditionalFormatting>
  <conditionalFormatting sqref="E1747:E1748">
    <cfRule type="containsText" dxfId="1772" priority="4108" operator="containsText" text="Pesquisa de Preços">
      <formula>NOT(ISERROR(SEARCH("Pesquisa de Preços",E1747)))</formula>
    </cfRule>
  </conditionalFormatting>
  <conditionalFormatting sqref="E1759 E1764">
    <cfRule type="containsText" dxfId="1771" priority="4107" operator="containsText" text="Pesquisa de Preços">
      <formula>NOT(ISERROR(SEARCH("Pesquisa de Preços",E1759)))</formula>
    </cfRule>
  </conditionalFormatting>
  <conditionalFormatting sqref="E1758">
    <cfRule type="containsText" dxfId="1770" priority="4106" operator="containsText" text="Pesquisa de Preços">
      <formula>NOT(ISERROR(SEARCH("Pesquisa de Preços",E1758)))</formula>
    </cfRule>
  </conditionalFormatting>
  <conditionalFormatting sqref="E380">
    <cfRule type="containsText" dxfId="1769" priority="4049" operator="containsText" text="Pesquisa de Preços">
      <formula>NOT(ISERROR(SEARCH("Pesquisa de Preços",E380)))</formula>
    </cfRule>
  </conditionalFormatting>
  <conditionalFormatting sqref="E1778">
    <cfRule type="containsText" dxfId="1768" priority="4105" operator="containsText" text="Pesquisa de Preços">
      <formula>NOT(ISERROR(SEARCH("Pesquisa de Preços",E1778)))</formula>
    </cfRule>
  </conditionalFormatting>
  <conditionalFormatting sqref="E1165">
    <cfRule type="containsText" dxfId="1767" priority="4104" operator="containsText" text="Pesquisa de Preços">
      <formula>NOT(ISERROR(SEARCH("Pesquisa de Preços",E1165)))</formula>
    </cfRule>
  </conditionalFormatting>
  <conditionalFormatting sqref="E1964">
    <cfRule type="containsText" dxfId="1766" priority="4103" operator="containsText" text="Pesquisa de Preços">
      <formula>NOT(ISERROR(SEARCH("Pesquisa de Preços",E1964)))</formula>
    </cfRule>
  </conditionalFormatting>
  <conditionalFormatting sqref="E1997">
    <cfRule type="containsText" dxfId="1765" priority="4102" operator="containsText" text="Pesquisa de Preços">
      <formula>NOT(ISERROR(SEARCH("Pesquisa de Preços",E1997)))</formula>
    </cfRule>
  </conditionalFormatting>
  <conditionalFormatting sqref="E1998:E1999">
    <cfRule type="containsText" dxfId="1764" priority="4101" operator="containsText" text="Pesquisa de Preços">
      <formula>NOT(ISERROR(SEARCH("Pesquisa de Preços",E1998)))</formula>
    </cfRule>
  </conditionalFormatting>
  <conditionalFormatting sqref="E1976 E1979">
    <cfRule type="containsText" dxfId="1763" priority="4100" operator="containsText" text="Pesquisa de Preços">
      <formula>NOT(ISERROR(SEARCH("Pesquisa de Preços",E1976)))</formula>
    </cfRule>
  </conditionalFormatting>
  <conditionalFormatting sqref="E1977:E1978">
    <cfRule type="containsText" dxfId="1762" priority="4099" operator="containsText" text="Pesquisa de Preços">
      <formula>NOT(ISERROR(SEARCH("Pesquisa de Preços",E1977)))</formula>
    </cfRule>
  </conditionalFormatting>
  <conditionalFormatting sqref="E2077:E2078">
    <cfRule type="containsText" dxfId="1761" priority="4098" operator="containsText" text="Pesquisa de Preços">
      <formula>NOT(ISERROR(SEARCH("Pesquisa de Preços",E2077)))</formula>
    </cfRule>
  </conditionalFormatting>
  <conditionalFormatting sqref="E2013:E2014">
    <cfRule type="containsText" dxfId="1760" priority="4097" operator="containsText" text="Pesquisa de Preços">
      <formula>NOT(ISERROR(SEARCH("Pesquisa de Preços",E2013)))</formula>
    </cfRule>
  </conditionalFormatting>
  <conditionalFormatting sqref="E829">
    <cfRule type="containsText" dxfId="1759" priority="4032" operator="containsText" text="Pesquisa de Preços">
      <formula>NOT(ISERROR(SEARCH("Pesquisa de Preços",E829)))</formula>
    </cfRule>
  </conditionalFormatting>
  <conditionalFormatting sqref="E830">
    <cfRule type="containsText" dxfId="1758" priority="4031" operator="containsText" text="Pesquisa de Preços">
      <formula>NOT(ISERROR(SEARCH("Pesquisa de Preços",E830)))</formula>
    </cfRule>
  </conditionalFormatting>
  <conditionalFormatting sqref="E94:E95">
    <cfRule type="containsText" dxfId="1757" priority="4029" operator="containsText" text="Pesquisa de Preços">
      <formula>NOT(ISERROR(SEARCH("Pesquisa de Preços",E94)))</formula>
    </cfRule>
  </conditionalFormatting>
  <conditionalFormatting sqref="E207">
    <cfRule type="containsText" dxfId="1756" priority="4027" operator="containsText" text="Pesquisa de Preços">
      <formula>NOT(ISERROR(SEARCH("Pesquisa de Preços",E207)))</formula>
    </cfRule>
  </conditionalFormatting>
  <conditionalFormatting sqref="E1621">
    <cfRule type="containsText" dxfId="1755" priority="4025" operator="containsText" text="Pesquisa de Preços">
      <formula>NOT(ISERROR(SEARCH("Pesquisa de Preços",E1621)))</formula>
    </cfRule>
  </conditionalFormatting>
  <conditionalFormatting sqref="E1597">
    <cfRule type="containsText" dxfId="1754" priority="4023" operator="containsText" text="Pesquisa de Preços">
      <formula>NOT(ISERROR(SEARCH("Pesquisa de Preços",E1597)))</formula>
    </cfRule>
  </conditionalFormatting>
  <conditionalFormatting sqref="E1673">
    <cfRule type="containsText" dxfId="1753" priority="4022" operator="containsText" text="Pesquisa de Preços">
      <formula>NOT(ISERROR(SEARCH("Pesquisa de Preços",E1673)))</formula>
    </cfRule>
  </conditionalFormatting>
  <conditionalFormatting sqref="E54">
    <cfRule type="containsText" dxfId="1752" priority="4079" operator="containsText" text="Pesquisa de Preços">
      <formula>NOT(ISERROR(SEARCH("Pesquisa de Preços",E54)))</formula>
    </cfRule>
  </conditionalFormatting>
  <conditionalFormatting sqref="E206">
    <cfRule type="containsText" dxfId="1751" priority="4096" operator="containsText" text="Pesquisa de Preços">
      <formula>NOT(ISERROR(SEARCH("Pesquisa de Preços",E206)))</formula>
    </cfRule>
  </conditionalFormatting>
  <conditionalFormatting sqref="E205">
    <cfRule type="containsText" dxfId="1750" priority="4095" operator="containsText" text="Pesquisa de Preços">
      <formula>NOT(ISERROR(SEARCH("Pesquisa de Preços",E205)))</formula>
    </cfRule>
  </conditionalFormatting>
  <conditionalFormatting sqref="E103:E104">
    <cfRule type="containsText" dxfId="1749" priority="4094" operator="containsText" text="Pesquisa de Preços">
      <formula>NOT(ISERROR(SEARCH("Pesquisa de Preços",E103)))</formula>
    </cfRule>
  </conditionalFormatting>
  <conditionalFormatting sqref="E102">
    <cfRule type="containsText" dxfId="1748" priority="4093" operator="containsText" text="Pesquisa de Preços">
      <formula>NOT(ISERROR(SEARCH("Pesquisa de Preços",E102)))</formula>
    </cfRule>
  </conditionalFormatting>
  <conditionalFormatting sqref="E423:E424">
    <cfRule type="containsText" dxfId="1747" priority="4092" operator="containsText" text="Pesquisa de Preços">
      <formula>NOT(ISERROR(SEARCH("Pesquisa de Preços",E423)))</formula>
    </cfRule>
  </conditionalFormatting>
  <conditionalFormatting sqref="E422">
    <cfRule type="containsText" dxfId="1746" priority="4091" operator="containsText" text="Pesquisa de Preços">
      <formula>NOT(ISERROR(SEARCH("Pesquisa de Preços",E422)))</formula>
    </cfRule>
  </conditionalFormatting>
  <conditionalFormatting sqref="E425:E427">
    <cfRule type="containsText" dxfId="1745" priority="4090" operator="containsText" text="Pesquisa de Preços">
      <formula>NOT(ISERROR(SEARCH("Pesquisa de Preços",E425)))</formula>
    </cfRule>
  </conditionalFormatting>
  <conditionalFormatting sqref="E616 E620">
    <cfRule type="containsText" dxfId="1744" priority="4089" operator="containsText" text="Pesquisa de Preços">
      <formula>NOT(ISERROR(SEARCH("Pesquisa de Preços",E616)))</formula>
    </cfRule>
  </conditionalFormatting>
  <conditionalFormatting sqref="E615">
    <cfRule type="containsText" dxfId="1743" priority="4088" operator="containsText" text="Pesquisa de Preços">
      <formula>NOT(ISERROR(SEARCH("Pesquisa de Preços",E615)))</formula>
    </cfRule>
  </conditionalFormatting>
  <conditionalFormatting sqref="E589 E595">
    <cfRule type="containsText" dxfId="1742" priority="4087" operator="containsText" text="Pesquisa de Preços">
      <formula>NOT(ISERROR(SEARCH("Pesquisa de Preços",E589)))</formula>
    </cfRule>
  </conditionalFormatting>
  <conditionalFormatting sqref="E588">
    <cfRule type="containsText" dxfId="1741" priority="4086" operator="containsText" text="Pesquisa de Preços">
      <formula>NOT(ISERROR(SEARCH("Pesquisa de Preços",E588)))</formula>
    </cfRule>
  </conditionalFormatting>
  <conditionalFormatting sqref="E638:E639 E642:E643">
    <cfRule type="containsText" dxfId="1740" priority="4085" operator="containsText" text="Pesquisa de Preços">
      <formula>NOT(ISERROR(SEARCH("Pesquisa de Preços",E638)))</formula>
    </cfRule>
  </conditionalFormatting>
  <conditionalFormatting sqref="E637">
    <cfRule type="containsText" dxfId="1739" priority="4084" operator="containsText" text="Pesquisa de Preços">
      <formula>NOT(ISERROR(SEARCH("Pesquisa de Preços",E637)))</formula>
    </cfRule>
  </conditionalFormatting>
  <conditionalFormatting sqref="E640:E641">
    <cfRule type="containsText" dxfId="1738" priority="4083" operator="containsText" text="Pesquisa de Preços">
      <formula>NOT(ISERROR(SEARCH("Pesquisa de Preços",E640)))</formula>
    </cfRule>
  </conditionalFormatting>
  <conditionalFormatting sqref="E226">
    <cfRule type="containsText" dxfId="1737" priority="4082" operator="containsText" text="Pesquisa de Preços">
      <formula>NOT(ISERROR(SEARCH("Pesquisa de Preços",E226)))</formula>
    </cfRule>
  </conditionalFormatting>
  <conditionalFormatting sqref="E151:E152">
    <cfRule type="containsText" dxfId="1736" priority="4081" operator="containsText" text="Pesquisa de Preços">
      <formula>NOT(ISERROR(SEARCH("Pesquisa de Preços",E151)))</formula>
    </cfRule>
  </conditionalFormatting>
  <conditionalFormatting sqref="E163:E164">
    <cfRule type="containsText" dxfId="1735" priority="4080" operator="containsText" text="Pesquisa de Preços">
      <formula>NOT(ISERROR(SEARCH("Pesquisa de Preços",E163)))</formula>
    </cfRule>
  </conditionalFormatting>
  <conditionalFormatting sqref="E55:E57">
    <cfRule type="containsText" dxfId="1734" priority="4078" operator="containsText" text="Pesquisa de Preços">
      <formula>NOT(ISERROR(SEARCH("Pesquisa de Preços",E55)))</formula>
    </cfRule>
  </conditionalFormatting>
  <conditionalFormatting sqref="E30:E31">
    <cfRule type="containsText" dxfId="1733" priority="4077" operator="containsText" text="Pesquisa de Preços">
      <formula>NOT(ISERROR(SEARCH("Pesquisa de Preços",E30)))</formula>
    </cfRule>
  </conditionalFormatting>
  <conditionalFormatting sqref="E25:E26">
    <cfRule type="containsText" dxfId="1732" priority="4076" operator="containsText" text="Pesquisa de Preços">
      <formula>NOT(ISERROR(SEARCH("Pesquisa de Preços",E25)))</formula>
    </cfRule>
  </conditionalFormatting>
  <conditionalFormatting sqref="E181">
    <cfRule type="containsText" dxfId="1731" priority="4075" operator="containsText" text="Pesquisa de Preços">
      <formula>NOT(ISERROR(SEARCH("Pesquisa de Preços",E181)))</formula>
    </cfRule>
  </conditionalFormatting>
  <conditionalFormatting sqref="E128:E129">
    <cfRule type="containsText" dxfId="1730" priority="4074" operator="containsText" text="Pesquisa de Preços">
      <formula>NOT(ISERROR(SEARCH("Pesquisa de Preços",E128)))</formula>
    </cfRule>
  </conditionalFormatting>
  <conditionalFormatting sqref="E1902">
    <cfRule type="containsText" dxfId="1729" priority="4007" operator="containsText" text="Pesquisa de Preços">
      <formula>NOT(ISERROR(SEARCH("Pesquisa de Preços",E1902)))</formula>
    </cfRule>
  </conditionalFormatting>
  <conditionalFormatting sqref="E84">
    <cfRule type="containsText" dxfId="1728" priority="4073" operator="containsText" text="Pesquisa de Preços">
      <formula>NOT(ISERROR(SEARCH("Pesquisa de Preços",E84)))</formula>
    </cfRule>
  </conditionalFormatting>
  <conditionalFormatting sqref="E85">
    <cfRule type="containsText" dxfId="1727" priority="4072" operator="containsText" text="Pesquisa de Preços">
      <formula>NOT(ISERROR(SEARCH("Pesquisa de Preços",E85)))</formula>
    </cfRule>
  </conditionalFormatting>
  <conditionalFormatting sqref="E61">
    <cfRule type="containsText" dxfId="1726" priority="4071" operator="containsText" text="Pesquisa de Preços">
      <formula>NOT(ISERROR(SEARCH("Pesquisa de Preços",E61)))</formula>
    </cfRule>
  </conditionalFormatting>
  <conditionalFormatting sqref="E62">
    <cfRule type="containsText" dxfId="1725" priority="4070" operator="containsText" text="Pesquisa de Preços">
      <formula>NOT(ISERROR(SEARCH("Pesquisa de Preços",E62)))</formula>
    </cfRule>
  </conditionalFormatting>
  <conditionalFormatting sqref="E2331">
    <cfRule type="containsText" dxfId="1724" priority="4004" operator="containsText" text="Pesquisa de Preços">
      <formula>NOT(ISERROR(SEARCH("Pesquisa de Preços",E2331)))</formula>
    </cfRule>
  </conditionalFormatting>
  <conditionalFormatting sqref="E44:E45">
    <cfRule type="containsText" dxfId="1723" priority="4069" operator="containsText" text="Pesquisa de Preços">
      <formula>NOT(ISERROR(SEARCH("Pesquisa de Preços",E44)))</formula>
    </cfRule>
  </conditionalFormatting>
  <conditionalFormatting sqref="E311">
    <cfRule type="containsText" dxfId="1722" priority="4068" operator="containsText" text="Pesquisa de Preços">
      <formula>NOT(ISERROR(SEARCH("Pesquisa de Preços",E311)))</formula>
    </cfRule>
  </conditionalFormatting>
  <conditionalFormatting sqref="E297">
    <cfRule type="containsText" dxfId="1721" priority="4067" operator="containsText" text="Pesquisa de Preços">
      <formula>NOT(ISERROR(SEARCH("Pesquisa de Preços",E297)))</formula>
    </cfRule>
  </conditionalFormatting>
  <conditionalFormatting sqref="E457">
    <cfRule type="containsText" dxfId="1720" priority="4066" operator="containsText" text="Pesquisa de Preços">
      <formula>NOT(ISERROR(SEARCH("Pesquisa de Preços",E457)))</formula>
    </cfRule>
  </conditionalFormatting>
  <conditionalFormatting sqref="E500:E501">
    <cfRule type="containsText" dxfId="1719" priority="4063" operator="containsText" text="Pesquisa de Preços">
      <formula>NOT(ISERROR(SEARCH("Pesquisa de Preços",E500)))</formula>
    </cfRule>
  </conditionalFormatting>
  <conditionalFormatting sqref="E467">
    <cfRule type="containsText" dxfId="1718" priority="4065" operator="containsText" text="Pesquisa de Preços">
      <formula>NOT(ISERROR(SEARCH("Pesquisa de Preços",E467)))</formula>
    </cfRule>
  </conditionalFormatting>
  <conditionalFormatting sqref="E499 E502">
    <cfRule type="containsText" dxfId="1717" priority="4064" operator="containsText" text="Pesquisa de Preços">
      <formula>NOT(ISERROR(SEARCH("Pesquisa de Preços",E499)))</formula>
    </cfRule>
  </conditionalFormatting>
  <conditionalFormatting sqref="E623">
    <cfRule type="containsText" dxfId="1716" priority="4062" operator="containsText" text="Pesquisa de Preços">
      <formula>NOT(ISERROR(SEARCH("Pesquisa de Preços",E623)))</formula>
    </cfRule>
  </conditionalFormatting>
  <conditionalFormatting sqref="E624:E626">
    <cfRule type="containsText" dxfId="1715" priority="4061" operator="containsText" text="Pesquisa de Preços">
      <formula>NOT(ISERROR(SEARCH("Pesquisa de Preços",E624)))</formula>
    </cfRule>
  </conditionalFormatting>
  <conditionalFormatting sqref="E990">
    <cfRule type="containsText" dxfId="1714" priority="4060" operator="containsText" text="Pesquisa de Preços">
      <formula>NOT(ISERROR(SEARCH("Pesquisa de Preços",E990)))</formula>
    </cfRule>
  </conditionalFormatting>
  <conditionalFormatting sqref="E614">
    <cfRule type="containsText" dxfId="1713" priority="4047" operator="containsText" text="Pesquisa de Preços">
      <formula>NOT(ISERROR(SEARCH("Pesquisa de Preços",E614)))</formula>
    </cfRule>
  </conditionalFormatting>
  <conditionalFormatting sqref="E737">
    <cfRule type="containsText" dxfId="1712" priority="4046" operator="containsText" text="Pesquisa de Preços">
      <formula>NOT(ISERROR(SEARCH("Pesquisa de Preços",E737)))</formula>
    </cfRule>
  </conditionalFormatting>
  <conditionalFormatting sqref="E1490">
    <cfRule type="containsText" dxfId="1711" priority="4059" operator="containsText" text="Pesquisa de Preços">
      <formula>NOT(ISERROR(SEARCH("Pesquisa de Preços",E1490)))</formula>
    </cfRule>
  </conditionalFormatting>
  <conditionalFormatting sqref="E591:E593">
    <cfRule type="containsText" dxfId="1710" priority="4051" operator="containsText" text="Pesquisa de Preços">
      <formula>NOT(ISERROR(SEARCH("Pesquisa de Preços",E591)))</formula>
    </cfRule>
  </conditionalFormatting>
  <conditionalFormatting sqref="E1610:E1611">
    <cfRule type="containsText" dxfId="1709" priority="4055" operator="containsText" text="Pesquisa de Preços">
      <formula>NOT(ISERROR(SEARCH("Pesquisa de Preços",E1610)))</formula>
    </cfRule>
  </conditionalFormatting>
  <conditionalFormatting sqref="E1615">
    <cfRule type="containsText" dxfId="1708" priority="4058" operator="containsText" text="Pesquisa de Preços">
      <formula>NOT(ISERROR(SEARCH("Pesquisa de Preços",E1615)))</formula>
    </cfRule>
  </conditionalFormatting>
  <conditionalFormatting sqref="E1616:E1617">
    <cfRule type="containsText" dxfId="1707" priority="4057" operator="containsText" text="Pesquisa de Preços">
      <formula>NOT(ISERROR(SEARCH("Pesquisa de Preços",E1616)))</formula>
    </cfRule>
  </conditionalFormatting>
  <conditionalFormatting sqref="E1609">
    <cfRule type="containsText" dxfId="1706" priority="4056" operator="containsText" text="Pesquisa de Preços">
      <formula>NOT(ISERROR(SEARCH("Pesquisa de Preços",E1609)))</formula>
    </cfRule>
  </conditionalFormatting>
  <conditionalFormatting sqref="E1729">
    <cfRule type="containsText" dxfId="1705" priority="4054" operator="containsText" text="Pesquisa de Preços">
      <formula>NOT(ISERROR(SEARCH("Pesquisa de Preços",E1729)))</formula>
    </cfRule>
  </conditionalFormatting>
  <conditionalFormatting sqref="E381">
    <cfRule type="containsText" dxfId="1704" priority="4050" operator="containsText" text="Pesquisa de Preços">
      <formula>NOT(ISERROR(SEARCH("Pesquisa de Preços",E381)))</formula>
    </cfRule>
  </conditionalFormatting>
  <conditionalFormatting sqref="E1062:E1063">
    <cfRule type="containsText" dxfId="1703" priority="3979" operator="containsText" text="Pesquisa de Preços">
      <formula>NOT(ISERROR(SEARCH("Pesquisa de Preços",E1062)))</formula>
    </cfRule>
  </conditionalFormatting>
  <conditionalFormatting sqref="E605">
    <cfRule type="containsText" dxfId="1702" priority="4048" operator="containsText" text="Pesquisa de Preços">
      <formula>NOT(ISERROR(SEARCH("Pesquisa de Preços",E605)))</formula>
    </cfRule>
  </conditionalFormatting>
  <conditionalFormatting sqref="E1075:E1079">
    <cfRule type="containsText" dxfId="1701" priority="3978" operator="containsText" text="Pesquisa de Preços">
      <formula>NOT(ISERROR(SEARCH("Pesquisa de Preços",E1075)))</formula>
    </cfRule>
  </conditionalFormatting>
  <conditionalFormatting sqref="E736">
    <cfRule type="containsText" dxfId="1700" priority="4045" operator="containsText" text="Pesquisa de Preços">
      <formula>NOT(ISERROR(SEARCH("Pesquisa de Preços",E736)))</formula>
    </cfRule>
  </conditionalFormatting>
  <conditionalFormatting sqref="E631">
    <cfRule type="containsText" dxfId="1699" priority="4042" operator="containsText" text="Pesquisa de Preços">
      <formula>NOT(ISERROR(SEARCH("Pesquisa de Preços",E631)))</formula>
    </cfRule>
  </conditionalFormatting>
  <conditionalFormatting sqref="E630 E635:E636">
    <cfRule type="containsText" dxfId="1698" priority="4044" operator="containsText" text="Pesquisa de Preços">
      <formula>NOT(ISERROR(SEARCH("Pesquisa de Preços",E630)))</formula>
    </cfRule>
  </conditionalFormatting>
  <conditionalFormatting sqref="E629">
    <cfRule type="containsText" dxfId="1697" priority="4043" operator="containsText" text="Pesquisa de Preços">
      <formula>NOT(ISERROR(SEARCH("Pesquisa de Preços",E629)))</formula>
    </cfRule>
  </conditionalFormatting>
  <conditionalFormatting sqref="E1248:E1249 E1244:E1245">
    <cfRule type="containsText" dxfId="1696" priority="4040" operator="containsText" text="Pesquisa de Preços">
      <formula>NOT(ISERROR(SEARCH("Pesquisa de Preços",E1244)))</formula>
    </cfRule>
  </conditionalFormatting>
  <conditionalFormatting sqref="E632:E634">
    <cfRule type="containsText" dxfId="1695" priority="4041" operator="containsText" text="Pesquisa de Preços">
      <formula>NOT(ISERROR(SEARCH("Pesquisa de Preços",E632)))</formula>
    </cfRule>
  </conditionalFormatting>
  <conditionalFormatting sqref="E1243">
    <cfRule type="containsText" dxfId="1694" priority="4039" operator="containsText" text="Pesquisa de Preços">
      <formula>NOT(ISERROR(SEARCH("Pesquisa de Preços",E1243)))</formula>
    </cfRule>
  </conditionalFormatting>
  <conditionalFormatting sqref="E1246:E1247">
    <cfRule type="containsText" dxfId="1693" priority="4038" operator="containsText" text="Pesquisa de Preços">
      <formula>NOT(ISERROR(SEARCH("Pesquisa de Preços",E1246)))</formula>
    </cfRule>
  </conditionalFormatting>
  <conditionalFormatting sqref="E1150 E1154:E1155">
    <cfRule type="containsText" dxfId="1692" priority="4037" operator="containsText" text="Pesquisa de Preços">
      <formula>NOT(ISERROR(SEARCH("Pesquisa de Preços",E1150)))</formula>
    </cfRule>
  </conditionalFormatting>
  <conditionalFormatting sqref="E1149">
    <cfRule type="containsText" dxfId="1691" priority="4036" operator="containsText" text="Pesquisa de Preços">
      <formula>NOT(ISERROR(SEARCH("Pesquisa de Preços",E1149)))</formula>
    </cfRule>
  </conditionalFormatting>
  <conditionalFormatting sqref="E1210:E1211 E1206:E1207">
    <cfRule type="containsText" dxfId="1690" priority="4035" operator="containsText" text="Pesquisa de Preços">
      <formula>NOT(ISERROR(SEARCH("Pesquisa de Preços",E1206)))</formula>
    </cfRule>
  </conditionalFormatting>
  <conditionalFormatting sqref="E1205">
    <cfRule type="containsText" dxfId="1689" priority="4034" operator="containsText" text="Pesquisa de Preços">
      <formula>NOT(ISERROR(SEARCH("Pesquisa de Preços",E1205)))</formula>
    </cfRule>
  </conditionalFormatting>
  <conditionalFormatting sqref="E1208:E1209">
    <cfRule type="containsText" dxfId="1688" priority="4033" operator="containsText" text="Pesquisa de Preços">
      <formula>NOT(ISERROR(SEARCH("Pesquisa de Preços",E1208)))</formula>
    </cfRule>
  </conditionalFormatting>
  <conditionalFormatting sqref="E1341">
    <cfRule type="containsText" dxfId="1687" priority="3977" operator="containsText" text="Pesquisa de Preços">
      <formula>NOT(ISERROR(SEARCH("Pesquisa de Preços",E1341)))</formula>
    </cfRule>
  </conditionalFormatting>
  <conditionalFormatting sqref="E865:E866">
    <cfRule type="containsText" dxfId="1686" priority="4030" operator="containsText" text="Pesquisa de Preços">
      <formula>NOT(ISERROR(SEARCH("Pesquisa de Preços",E865)))</formula>
    </cfRule>
  </conditionalFormatting>
  <conditionalFormatting sqref="E1502">
    <cfRule type="containsText" dxfId="1685" priority="3976" operator="containsText" text="Pesquisa de Preços">
      <formula>NOT(ISERROR(SEARCH("Pesquisa de Preços",E1502)))</formula>
    </cfRule>
  </conditionalFormatting>
  <conditionalFormatting sqref="E208">
    <cfRule type="containsText" dxfId="1684" priority="4028" operator="containsText" text="Pesquisa de Preços">
      <formula>NOT(ISERROR(SEARCH("Pesquisa de Preços",E208)))</formula>
    </cfRule>
  </conditionalFormatting>
  <conditionalFormatting sqref="E1604">
    <cfRule type="containsText" dxfId="1683" priority="4026" operator="containsText" text="Pesquisa de Preços">
      <formula>NOT(ISERROR(SEARCH("Pesquisa de Preços",E1604)))</formula>
    </cfRule>
  </conditionalFormatting>
  <conditionalFormatting sqref="E1671">
    <cfRule type="containsText" dxfId="1682" priority="4024" operator="containsText" text="Pesquisa de Preços">
      <formula>NOT(ISERROR(SEARCH("Pesquisa de Preços",E1671)))</formula>
    </cfRule>
  </conditionalFormatting>
  <conditionalFormatting sqref="E1599">
    <cfRule type="containsText" dxfId="1681" priority="4021" operator="containsText" text="Pesquisa de Preços">
      <formula>NOT(ISERROR(SEARCH("Pesquisa de Preços",E1599)))</formula>
    </cfRule>
  </conditionalFormatting>
  <conditionalFormatting sqref="E142">
    <cfRule type="containsText" dxfId="1680" priority="4020" operator="containsText" text="Pesquisa de Preços">
      <formula>NOT(ISERROR(SEARCH("Pesquisa de Preços",E142)))</formula>
    </cfRule>
  </conditionalFormatting>
  <conditionalFormatting sqref="E802">
    <cfRule type="containsText" dxfId="1679" priority="4019" operator="containsText" text="Pesquisa de Preços">
      <formula>NOT(ISERROR(SEARCH("Pesquisa de Preços",E802)))</formula>
    </cfRule>
  </conditionalFormatting>
  <conditionalFormatting sqref="E996">
    <cfRule type="containsText" dxfId="1678" priority="4018" operator="containsText" text="Pesquisa de Preços">
      <formula>NOT(ISERROR(SEARCH("Pesquisa de Preços",E996)))</formula>
    </cfRule>
  </conditionalFormatting>
  <conditionalFormatting sqref="E1001">
    <cfRule type="containsText" dxfId="1677" priority="4017" operator="containsText" text="Pesquisa de Preços">
      <formula>NOT(ISERROR(SEARCH("Pesquisa de Preços",E1001)))</formula>
    </cfRule>
  </conditionalFormatting>
  <conditionalFormatting sqref="E113">
    <cfRule type="containsText" dxfId="1676" priority="4016" operator="containsText" text="Pesquisa de Preços">
      <formula>NOT(ISERROR(SEARCH("Pesquisa de Preços",E113)))</formula>
    </cfRule>
  </conditionalFormatting>
  <conditionalFormatting sqref="E114">
    <cfRule type="containsText" dxfId="1675" priority="4015" operator="containsText" text="Pesquisa de Preços">
      <formula>NOT(ISERROR(SEARCH("Pesquisa de Preços",E114)))</formula>
    </cfRule>
  </conditionalFormatting>
  <conditionalFormatting sqref="E1473">
    <cfRule type="containsText" dxfId="1674" priority="3975" operator="containsText" text="Pesquisa de Preços">
      <formula>NOT(ISERROR(SEARCH("Pesquisa de Preços",E1473)))</formula>
    </cfRule>
  </conditionalFormatting>
  <conditionalFormatting sqref="E1678:E1679">
    <cfRule type="containsText" dxfId="1673" priority="4014" operator="containsText" text="Pesquisa de Preços">
      <formula>NOT(ISERROR(SEARCH("Pesquisa de Preços",E1678)))</formula>
    </cfRule>
  </conditionalFormatting>
  <conditionalFormatting sqref="E1644">
    <cfRule type="containsText" dxfId="1672" priority="4013" operator="containsText" text="Pesquisa de Preços">
      <formula>NOT(ISERROR(SEARCH("Pesquisa de Preços",E1644)))</formula>
    </cfRule>
  </conditionalFormatting>
  <conditionalFormatting sqref="E1724">
    <cfRule type="containsText" dxfId="1671" priority="4012" operator="containsText" text="Pesquisa de Preços">
      <formula>NOT(ISERROR(SEARCH("Pesquisa de Preços",E1724)))</formula>
    </cfRule>
  </conditionalFormatting>
  <conditionalFormatting sqref="E1805">
    <cfRule type="containsText" dxfId="1670" priority="4011" operator="containsText" text="Pesquisa de Preços">
      <formula>NOT(ISERROR(SEARCH("Pesquisa de Preços",E1805)))</formula>
    </cfRule>
  </conditionalFormatting>
  <conditionalFormatting sqref="E1819">
    <cfRule type="containsText" dxfId="1669" priority="4010" operator="containsText" text="Pesquisa de Preços">
      <formula>NOT(ISERROR(SEARCH("Pesquisa de Preços",E1819)))</formula>
    </cfRule>
  </conditionalFormatting>
  <conditionalFormatting sqref="E1818">
    <cfRule type="containsText" dxfId="1668" priority="4009" operator="containsText" text="Pesquisa de Preços">
      <formula>NOT(ISERROR(SEARCH("Pesquisa de Preços",E1818)))</formula>
    </cfRule>
  </conditionalFormatting>
  <conditionalFormatting sqref="E1820">
    <cfRule type="containsText" dxfId="1667" priority="4008" operator="containsText" text="Pesquisa de Preços">
      <formula>NOT(ISERROR(SEARCH("Pesquisa de Preços",E1820)))</formula>
    </cfRule>
  </conditionalFormatting>
  <conditionalFormatting sqref="E1901">
    <cfRule type="containsText" dxfId="1666" priority="4006" operator="containsText" text="Pesquisa de Preços">
      <formula>NOT(ISERROR(SEARCH("Pesquisa de Preços",E1901)))</formula>
    </cfRule>
  </conditionalFormatting>
  <conditionalFormatting sqref="E841">
    <cfRule type="containsText" dxfId="1665" priority="4005" operator="containsText" text="Pesquisa de Preços">
      <formula>NOT(ISERROR(SEARCH("Pesquisa de Preços",E841)))</formula>
    </cfRule>
  </conditionalFormatting>
  <conditionalFormatting sqref="E2367">
    <cfRule type="containsText" dxfId="1664" priority="4003" operator="containsText" text="Pesquisa de Preços">
      <formula>NOT(ISERROR(SEARCH("Pesquisa de Preços",E2367)))</formula>
    </cfRule>
  </conditionalFormatting>
  <conditionalFormatting sqref="E2237">
    <cfRule type="containsText" dxfId="1663" priority="4002" operator="containsText" text="Pesquisa de Preços">
      <formula>NOT(ISERROR(SEARCH("Pesquisa de Preços",E2237)))</formula>
    </cfRule>
  </conditionalFormatting>
  <conditionalFormatting sqref="E2238">
    <cfRule type="containsText" dxfId="1662" priority="4001" operator="containsText" text="Pesquisa de Preços">
      <formula>NOT(ISERROR(SEARCH("Pesquisa de Preços",E2238)))</formula>
    </cfRule>
  </conditionalFormatting>
  <conditionalFormatting sqref="E2360">
    <cfRule type="containsText" dxfId="1661" priority="4000" operator="containsText" text="Pesquisa de Preços">
      <formula>NOT(ISERROR(SEARCH("Pesquisa de Preços",E2360)))</formula>
    </cfRule>
  </conditionalFormatting>
  <conditionalFormatting sqref="E133">
    <cfRule type="containsText" dxfId="1660" priority="3999" operator="containsText" text="Pesquisa de Preços">
      <formula>NOT(ISERROR(SEARCH("Pesquisa de Preços",E133)))</formula>
    </cfRule>
  </conditionalFormatting>
  <conditionalFormatting sqref="E1110">
    <cfRule type="containsText" dxfId="1659" priority="3998" operator="containsText" text="Pesquisa de Preços">
      <formula>NOT(ISERROR(SEARCH("Pesquisa de Preços",E1110)))</formula>
    </cfRule>
  </conditionalFormatting>
  <conditionalFormatting sqref="E322">
    <cfRule type="containsText" dxfId="1658" priority="3997" operator="containsText" text="Pesquisa de Preços">
      <formula>NOT(ISERROR(SEARCH("Pesquisa de Preços",E322)))</formula>
    </cfRule>
  </conditionalFormatting>
  <conditionalFormatting sqref="E1938">
    <cfRule type="containsText" dxfId="1657" priority="3974" operator="containsText" text="Pesquisa de Preços">
      <formula>NOT(ISERROR(SEARCH("Pesquisa de Preços",E1938)))</formula>
    </cfRule>
  </conditionalFormatting>
  <conditionalFormatting sqref="E1941">
    <cfRule type="containsText" dxfId="1656" priority="3973" operator="containsText" text="Pesquisa de Preços">
      <formula>NOT(ISERROR(SEARCH("Pesquisa de Preços",E1941)))</formula>
    </cfRule>
  </conditionalFormatting>
  <conditionalFormatting sqref="E80">
    <cfRule type="containsText" dxfId="1655" priority="3996" operator="containsText" text="Pesquisa de Preços">
      <formula>NOT(ISERROR(SEARCH("Pesquisa de Preços",E80)))</formula>
    </cfRule>
  </conditionalFormatting>
  <conditionalFormatting sqref="E1127">
    <cfRule type="containsText" dxfId="1654" priority="3995" operator="containsText" text="Pesquisa de Preços">
      <formula>NOT(ISERROR(SEARCH("Pesquisa de Preços",E1127)))</formula>
    </cfRule>
  </conditionalFormatting>
  <conditionalFormatting sqref="E1126">
    <cfRule type="containsText" dxfId="1653" priority="3994" operator="containsText" text="Pesquisa de Preços">
      <formula>NOT(ISERROR(SEARCH("Pesquisa de Preços",E1126)))</formula>
    </cfRule>
  </conditionalFormatting>
  <conditionalFormatting sqref="E1125">
    <cfRule type="containsText" dxfId="1652" priority="3993" operator="containsText" text="Pesquisa de Preços">
      <formula>NOT(ISERROR(SEARCH("Pesquisa de Preços",E1125)))</formula>
    </cfRule>
  </conditionalFormatting>
  <conditionalFormatting sqref="E403:E413">
    <cfRule type="containsText" dxfId="1651" priority="3992" operator="containsText" text="Pesquisa de Preços">
      <formula>NOT(ISERROR(SEARCH("Pesquisa de Preços",E403)))</formula>
    </cfRule>
  </conditionalFormatting>
  <conditionalFormatting sqref="E2115:E2116">
    <cfRule type="containsText" dxfId="1650" priority="3972" operator="containsText" text="Pesquisa de Preços">
      <formula>NOT(ISERROR(SEARCH("Pesquisa de Preços",E2115)))</formula>
    </cfRule>
  </conditionalFormatting>
  <conditionalFormatting sqref="E195">
    <cfRule type="containsText" dxfId="1649" priority="3991" operator="containsText" text="Pesquisa de Preços">
      <formula>NOT(ISERROR(SEARCH("Pesquisa de Preços",E195)))</formula>
    </cfRule>
  </conditionalFormatting>
  <conditionalFormatting sqref="E834:E838">
    <cfRule type="containsText" dxfId="1648" priority="3990" operator="containsText" text="Pesquisa de Preços">
      <formula>NOT(ISERROR(SEARCH("Pesquisa de Preços",E834)))</formula>
    </cfRule>
  </conditionalFormatting>
  <conditionalFormatting sqref="E834:E838">
    <cfRule type="containsText" dxfId="1647" priority="3989" operator="containsText" text="Pesquisa de Preços">
      <formula>NOT(ISERROR(SEARCH("Pesquisa de Preços",E834)))</formula>
    </cfRule>
  </conditionalFormatting>
  <conditionalFormatting sqref="E1911">
    <cfRule type="containsText" dxfId="1646" priority="3988" operator="containsText" text="Pesquisa de Preços">
      <formula>NOT(ISERROR(SEARCH("Pesquisa de Preços",E1911)))</formula>
    </cfRule>
  </conditionalFormatting>
  <conditionalFormatting sqref="E1912">
    <cfRule type="containsText" dxfId="1645" priority="3987" operator="containsText" text="Pesquisa de Preços">
      <formula>NOT(ISERROR(SEARCH("Pesquisa de Preços",E1912)))</formula>
    </cfRule>
  </conditionalFormatting>
  <conditionalFormatting sqref="E812">
    <cfRule type="containsText" dxfId="1644" priority="3986" operator="containsText" text="Pesquisa de Preços">
      <formula>NOT(ISERROR(SEARCH("Pesquisa de Preços",E812)))</formula>
    </cfRule>
  </conditionalFormatting>
  <conditionalFormatting sqref="E769">
    <cfRule type="containsText" dxfId="1643" priority="3985" operator="containsText" text="Pesquisa de Preços">
      <formula>NOT(ISERROR(SEARCH("Pesquisa de Preços",E769)))</formula>
    </cfRule>
  </conditionalFormatting>
  <conditionalFormatting sqref="E768">
    <cfRule type="containsText" dxfId="1642" priority="3984" operator="containsText" text="Pesquisa de Preços">
      <formula>NOT(ISERROR(SEARCH("Pesquisa de Preços",E768)))</formula>
    </cfRule>
  </conditionalFormatting>
  <conditionalFormatting sqref="E852">
    <cfRule type="containsText" dxfId="1641" priority="3983" operator="containsText" text="Pesquisa de Preços">
      <formula>NOT(ISERROR(SEARCH("Pesquisa de Preços",E852)))</formula>
    </cfRule>
  </conditionalFormatting>
  <conditionalFormatting sqref="E871:E872">
    <cfRule type="containsText" dxfId="1640" priority="3982" operator="containsText" text="Pesquisa de Preços">
      <formula>NOT(ISERROR(SEARCH("Pesquisa de Preços",E871)))</formula>
    </cfRule>
  </conditionalFormatting>
  <conditionalFormatting sqref="E2142">
    <cfRule type="containsText" dxfId="1639" priority="3971" operator="containsText" text="Pesquisa de Preços">
      <formula>NOT(ISERROR(SEARCH("Pesquisa de Preços",E2142)))</formula>
    </cfRule>
  </conditionalFormatting>
  <conditionalFormatting sqref="E869">
    <cfRule type="containsText" dxfId="1638" priority="3981" operator="containsText" text="Pesquisa de Preços">
      <formula>NOT(ISERROR(SEARCH("Pesquisa de Preços",E869)))</formula>
    </cfRule>
  </conditionalFormatting>
  <conditionalFormatting sqref="E894">
    <cfRule type="containsText" dxfId="1637" priority="3980" operator="containsText" text="Pesquisa de Preços">
      <formula>NOT(ISERROR(SEARCH("Pesquisa de Preços",E894)))</formula>
    </cfRule>
  </conditionalFormatting>
  <conditionalFormatting sqref="E171">
    <cfRule type="containsText" dxfId="1636" priority="3969" operator="containsText" text="Pesquisa de Preços">
      <formula>NOT(ISERROR(SEARCH("Pesquisa de Preços",E171)))</formula>
    </cfRule>
  </conditionalFormatting>
  <conditionalFormatting sqref="E172:E173">
    <cfRule type="containsText" dxfId="1635" priority="3970" operator="containsText" text="Pesquisa de Preços">
      <formula>NOT(ISERROR(SEARCH("Pesquisa de Preços",E172)))</formula>
    </cfRule>
  </conditionalFormatting>
  <conditionalFormatting sqref="D2785">
    <cfRule type="containsText" dxfId="1634" priority="3966" operator="containsText" text="Pesquisa de Preços">
      <formula>NOT(ISERROR(SEARCH("Pesquisa de Preços",D2785)))</formula>
    </cfRule>
  </conditionalFormatting>
  <conditionalFormatting sqref="D2790">
    <cfRule type="containsText" dxfId="1633" priority="3965" operator="containsText" text="Pesquisa de Preços">
      <formula>NOT(ISERROR(SEARCH("Pesquisa de Preços",D2790)))</formula>
    </cfRule>
  </conditionalFormatting>
  <conditionalFormatting sqref="D4782">
    <cfRule type="containsText" dxfId="1632" priority="3952" operator="containsText" text="Pesquisa de Preços">
      <formula>NOT(ISERROR(SEARCH("Pesquisa de Preços",D4782)))</formula>
    </cfRule>
  </conditionalFormatting>
  <conditionalFormatting sqref="D4792">
    <cfRule type="containsText" dxfId="1631" priority="3945" operator="containsText" text="Pesquisa de Preços">
      <formula>NOT(ISERROR(SEARCH("Pesquisa de Preços",D4792)))</formula>
    </cfRule>
  </conditionalFormatting>
  <conditionalFormatting sqref="D4802">
    <cfRule type="containsText" dxfId="1630" priority="3936" operator="containsText" text="Pesquisa de Preços">
      <formula>NOT(ISERROR(SEARCH("Pesquisa de Preços",D4802)))</formula>
    </cfRule>
  </conditionalFormatting>
  <conditionalFormatting sqref="D4807">
    <cfRule type="containsText" dxfId="1629" priority="3907" operator="containsText" text="Pesquisa de Preços">
      <formula>NOT(ISERROR(SEARCH("Pesquisa de Preços",D4807)))</formula>
    </cfRule>
  </conditionalFormatting>
  <conditionalFormatting sqref="D4812">
    <cfRule type="containsText" dxfId="1628" priority="3904" operator="containsText" text="Pesquisa de Preços">
      <formula>NOT(ISERROR(SEARCH("Pesquisa de Preços",D4812)))</formula>
    </cfRule>
  </conditionalFormatting>
  <conditionalFormatting sqref="D4882:D4883 D4890">
    <cfRule type="containsText" dxfId="1627" priority="3860" operator="containsText" text="Pesquisa de Preços">
      <formula>NOT(ISERROR(SEARCH("Pesquisa de Preços",D4882)))</formula>
    </cfRule>
  </conditionalFormatting>
  <conditionalFormatting sqref="D4817">
    <cfRule type="containsText" dxfId="1626" priority="3901" operator="containsText" text="Pesquisa de Preços">
      <formula>NOT(ISERROR(SEARCH("Pesquisa de Preços",D4817)))</formula>
    </cfRule>
  </conditionalFormatting>
  <conditionalFormatting sqref="E4885:E4888">
    <cfRule type="containsText" dxfId="1625" priority="3857" operator="containsText" text="Pesquisa de Preços">
      <formula>NOT(ISERROR(SEARCH("Pesquisa de Preços",E4885)))</formula>
    </cfRule>
  </conditionalFormatting>
  <conditionalFormatting sqref="D4825">
    <cfRule type="containsText" dxfId="1624" priority="3898" operator="containsText" text="Pesquisa de Preços">
      <formula>NOT(ISERROR(SEARCH("Pesquisa de Preços",D4825)))</formula>
    </cfRule>
  </conditionalFormatting>
  <conditionalFormatting sqref="D4891">
    <cfRule type="containsText" dxfId="1623" priority="3854" operator="containsText" text="Pesquisa de Preços">
      <formula>NOT(ISERROR(SEARCH("Pesquisa de Preços",D4891)))</formula>
    </cfRule>
  </conditionalFormatting>
  <conditionalFormatting sqref="D4833">
    <cfRule type="containsText" dxfId="1622" priority="3895" operator="containsText" text="Pesquisa de Preços">
      <formula>NOT(ISERROR(SEARCH("Pesquisa de Preços",D4833)))</formula>
    </cfRule>
  </conditionalFormatting>
  <conditionalFormatting sqref="E4891">
    <cfRule type="containsText" dxfId="1621" priority="3851" operator="containsText" text="Pesquisa de Preços">
      <formula>NOT(ISERROR(SEARCH("Pesquisa de Preços",E4891)))</formula>
    </cfRule>
  </conditionalFormatting>
  <conditionalFormatting sqref="D4841">
    <cfRule type="containsText" dxfId="1620" priority="3892" operator="containsText" text="Pesquisa de Preços">
      <formula>NOT(ISERROR(SEARCH("Pesquisa de Preços",D4841)))</formula>
    </cfRule>
  </conditionalFormatting>
  <conditionalFormatting sqref="E4896:E4897">
    <cfRule type="containsText" dxfId="1619" priority="3850" operator="containsText" text="Pesquisa de Preços">
      <formula>NOT(ISERROR(SEARCH("Pesquisa de Preços",E4896)))</formula>
    </cfRule>
  </conditionalFormatting>
  <conditionalFormatting sqref="D4849">
    <cfRule type="containsText" dxfId="1618" priority="3889" operator="containsText" text="Pesquisa de Preços">
      <formula>NOT(ISERROR(SEARCH("Pesquisa de Preços",D4849)))</formula>
    </cfRule>
  </conditionalFormatting>
  <conditionalFormatting sqref="D4900">
    <cfRule type="containsText" dxfId="1617" priority="3847" operator="containsText" text="Pesquisa de Preços">
      <formula>NOT(ISERROR(SEARCH("Pesquisa de Preços",D4900)))</formula>
    </cfRule>
  </conditionalFormatting>
  <conditionalFormatting sqref="D4857">
    <cfRule type="containsText" dxfId="1616" priority="3886" operator="containsText" text="Pesquisa de Preços">
      <formula>NOT(ISERROR(SEARCH("Pesquisa de Preços",D4857)))</formula>
    </cfRule>
  </conditionalFormatting>
  <conditionalFormatting sqref="D4907">
    <cfRule type="containsText" dxfId="1615" priority="3844" operator="containsText" text="Pesquisa de Preços">
      <formula>NOT(ISERROR(SEARCH("Pesquisa de Preços",D4907)))</formula>
    </cfRule>
  </conditionalFormatting>
  <conditionalFormatting sqref="D4865">
    <cfRule type="containsText" dxfId="1614" priority="3883" operator="containsText" text="Pesquisa de Preços">
      <formula>NOT(ISERROR(SEARCH("Pesquisa de Preços",D4865)))</formula>
    </cfRule>
  </conditionalFormatting>
  <conditionalFormatting sqref="D4873">
    <cfRule type="containsText" dxfId="1613" priority="3880" operator="containsText" text="Pesquisa de Preços">
      <formula>NOT(ISERROR(SEARCH("Pesquisa de Preços",D4873)))</formula>
    </cfRule>
  </conditionalFormatting>
  <conditionalFormatting sqref="D4881">
    <cfRule type="containsText" dxfId="1612" priority="3861" operator="containsText" text="Pesquisa de Preços">
      <formula>NOT(ISERROR(SEARCH("Pesquisa de Preços",D4881)))</formula>
    </cfRule>
  </conditionalFormatting>
  <conditionalFormatting sqref="D4914">
    <cfRule type="containsText" dxfId="1611" priority="3841" operator="containsText" text="Pesquisa de Preços">
      <formula>NOT(ISERROR(SEARCH("Pesquisa de Preços",D4914)))</formula>
    </cfRule>
  </conditionalFormatting>
  <conditionalFormatting sqref="E4881">
    <cfRule type="containsText" dxfId="1610" priority="3858" operator="containsText" text="Pesquisa de Preços">
      <formula>NOT(ISERROR(SEARCH("Pesquisa de Preços",E4881)))</formula>
    </cfRule>
  </conditionalFormatting>
  <conditionalFormatting sqref="E4882:E4883 E4890">
    <cfRule type="containsText" dxfId="1609" priority="3859" operator="containsText" text="Pesquisa de Preços">
      <formula>NOT(ISERROR(SEARCH("Pesquisa de Preços",E4882)))</formula>
    </cfRule>
  </conditionalFormatting>
  <conditionalFormatting sqref="D4892:D4893 D4899">
    <cfRule type="containsText" dxfId="1608" priority="3853" operator="containsText" text="Pesquisa de Preços">
      <formula>NOT(ISERROR(SEARCH("Pesquisa de Preços",D4892)))</formula>
    </cfRule>
  </conditionalFormatting>
  <conditionalFormatting sqref="E4892:E4893 E4899">
    <cfRule type="containsText" dxfId="1607" priority="3852" operator="containsText" text="Pesquisa de Preços">
      <formula>NOT(ISERROR(SEARCH("Pesquisa de Preços",E4892)))</formula>
    </cfRule>
  </conditionalFormatting>
  <conditionalFormatting sqref="E1032">
    <cfRule type="containsText" dxfId="1606" priority="3849" operator="containsText" text="Pesquisa de Preços">
      <formula>NOT(ISERROR(SEARCH("Pesquisa de Preços",E1032)))</formula>
    </cfRule>
  </conditionalFormatting>
  <conditionalFormatting sqref="E1033">
    <cfRule type="containsText" dxfId="1605" priority="3848" operator="containsText" text="Pesquisa de Preços">
      <formula>NOT(ISERROR(SEARCH("Pesquisa de Preços",E1033)))</formula>
    </cfRule>
  </conditionalFormatting>
  <conditionalFormatting sqref="E4962 E4967">
    <cfRule type="containsText" dxfId="1604" priority="3809" operator="containsText" text="Pesquisa de Preços">
      <formula>NOT(ISERROR(SEARCH("Pesquisa de Preços",E4962)))</formula>
    </cfRule>
  </conditionalFormatting>
  <conditionalFormatting sqref="E4941:E4942 E4946">
    <cfRule type="containsText" dxfId="1603" priority="3825" operator="containsText" text="Pesquisa de Preços">
      <formula>NOT(ISERROR(SEARCH("Pesquisa de Preços",E4941)))</formula>
    </cfRule>
  </conditionalFormatting>
  <conditionalFormatting sqref="E4940">
    <cfRule type="containsText" dxfId="1602" priority="3824" operator="containsText" text="Pesquisa de Preços">
      <formula>NOT(ISERROR(SEARCH("Pesquisa de Preços",E4940)))</formula>
    </cfRule>
  </conditionalFormatting>
  <conditionalFormatting sqref="D4941:D4942 D4946">
    <cfRule type="containsText" dxfId="1601" priority="3826" operator="containsText" text="Pesquisa de Preços">
      <formula>NOT(ISERROR(SEARCH("Pesquisa de Preços",D4941)))</formula>
    </cfRule>
  </conditionalFormatting>
  <conditionalFormatting sqref="D4921">
    <cfRule type="containsText" dxfId="1600" priority="3838" operator="containsText" text="Pesquisa de Preços">
      <formula>NOT(ISERROR(SEARCH("Pesquisa de Preços",D4921)))</formula>
    </cfRule>
  </conditionalFormatting>
  <conditionalFormatting sqref="D4928">
    <cfRule type="containsText" dxfId="1599" priority="3835" operator="containsText" text="Pesquisa de Preços">
      <formula>NOT(ISERROR(SEARCH("Pesquisa de Preços",D4928)))</formula>
    </cfRule>
  </conditionalFormatting>
  <conditionalFormatting sqref="E4948:E4949 E4953">
    <cfRule type="containsText" dxfId="1598" priority="3821" operator="containsText" text="Pesquisa de Preços">
      <formula>NOT(ISERROR(SEARCH("Pesquisa de Preços",E4948)))</formula>
    </cfRule>
  </conditionalFormatting>
  <conditionalFormatting sqref="D4935">
    <cfRule type="containsText" dxfId="1597" priority="3832" operator="containsText" text="Pesquisa de Preços">
      <formula>NOT(ISERROR(SEARCH("Pesquisa de Preços",D4935)))</formula>
    </cfRule>
  </conditionalFormatting>
  <conditionalFormatting sqref="D4940">
    <cfRule type="containsText" dxfId="1596" priority="3827" operator="containsText" text="Pesquisa de Preços">
      <formula>NOT(ISERROR(SEARCH("Pesquisa de Preços",D4940)))</formula>
    </cfRule>
  </conditionalFormatting>
  <conditionalFormatting sqref="D4947">
    <cfRule type="containsText" dxfId="1595" priority="3823" operator="containsText" text="Pesquisa de Preços">
      <formula>NOT(ISERROR(SEARCH("Pesquisa de Preços",D4947)))</formula>
    </cfRule>
  </conditionalFormatting>
  <conditionalFormatting sqref="D4962 D4967">
    <cfRule type="containsText" dxfId="1594" priority="3810" operator="containsText" text="Pesquisa de Preços">
      <formula>NOT(ISERROR(SEARCH("Pesquisa de Preços",D4962)))</formula>
    </cfRule>
  </conditionalFormatting>
  <conditionalFormatting sqref="D4948 D4953">
    <cfRule type="containsText" dxfId="1593" priority="3822" operator="containsText" text="Pesquisa de Preços">
      <formula>NOT(ISERROR(SEARCH("Pesquisa de Preços",D4948)))</formula>
    </cfRule>
  </conditionalFormatting>
  <conditionalFormatting sqref="E4947">
    <cfRule type="containsText" dxfId="1592" priority="3820" operator="containsText" text="Pesquisa de Preços">
      <formula>NOT(ISERROR(SEARCH("Pesquisa de Preços",E4947)))</formula>
    </cfRule>
  </conditionalFormatting>
  <conditionalFormatting sqref="D4955 D4960">
    <cfRule type="containsText" dxfId="1591" priority="3816" operator="containsText" text="Pesquisa de Preços">
      <formula>NOT(ISERROR(SEARCH("Pesquisa de Preços",D4955)))</formula>
    </cfRule>
  </conditionalFormatting>
  <conditionalFormatting sqref="D4954">
    <cfRule type="containsText" dxfId="1590" priority="3817" operator="containsText" text="Pesquisa de Preços">
      <formula>NOT(ISERROR(SEARCH("Pesquisa de Preços",D4954)))</formula>
    </cfRule>
  </conditionalFormatting>
  <conditionalFormatting sqref="E4954">
    <cfRule type="containsText" dxfId="1589" priority="3814" operator="containsText" text="Pesquisa de Preços">
      <formula>NOT(ISERROR(SEARCH("Pesquisa de Preços",E4954)))</formula>
    </cfRule>
  </conditionalFormatting>
  <conditionalFormatting sqref="E4955:E4956 E4960">
    <cfRule type="containsText" dxfId="1588" priority="3815" operator="containsText" text="Pesquisa de Preços">
      <formula>NOT(ISERROR(SEARCH("Pesquisa de Preços",E4955)))</formula>
    </cfRule>
  </conditionalFormatting>
  <conditionalFormatting sqref="E5004">
    <cfRule type="containsText" dxfId="1587" priority="3774" operator="containsText" text="Pesquisa de Preços">
      <formula>NOT(ISERROR(SEARCH("Pesquisa de Preços",E5004)))</formula>
    </cfRule>
  </conditionalFormatting>
  <conditionalFormatting sqref="D4961">
    <cfRule type="containsText" dxfId="1586" priority="3811" operator="containsText" text="Pesquisa de Preços">
      <formula>NOT(ISERROR(SEARCH("Pesquisa de Preços",D4961)))</formula>
    </cfRule>
  </conditionalFormatting>
  <conditionalFormatting sqref="E4961">
    <cfRule type="containsText" dxfId="1585" priority="3808" operator="containsText" text="Pesquisa de Preços">
      <formula>NOT(ISERROR(SEARCH("Pesquisa de Preços",E4961)))</formula>
    </cfRule>
  </conditionalFormatting>
  <conditionalFormatting sqref="D4992">
    <cfRule type="containsText" dxfId="1584" priority="3794" operator="containsText" text="Pesquisa de Preços">
      <formula>NOT(ISERROR(SEARCH("Pesquisa de Preços",D4992)))</formula>
    </cfRule>
  </conditionalFormatting>
  <conditionalFormatting sqref="D4968">
    <cfRule type="containsText" dxfId="1583" priority="3803" operator="containsText" text="Pesquisa de Preços">
      <formula>NOT(ISERROR(SEARCH("Pesquisa de Preços",D4968)))</formula>
    </cfRule>
  </conditionalFormatting>
  <conditionalFormatting sqref="E4998 E5003">
    <cfRule type="containsText" dxfId="1582" priority="3781" operator="containsText" text="Pesquisa de Preços">
      <formula>NOT(ISERROR(SEARCH("Pesquisa de Preços",E4998)))</formula>
    </cfRule>
  </conditionalFormatting>
  <conditionalFormatting sqref="E4970">
    <cfRule type="containsText" dxfId="1581" priority="3798" operator="containsText" text="Pesquisa de Preços">
      <formula>NOT(ISERROR(SEARCH("Pesquisa de Preços",E4970)))</formula>
    </cfRule>
  </conditionalFormatting>
  <conditionalFormatting sqref="D4998 D5003">
    <cfRule type="containsText" dxfId="1580" priority="3782" operator="containsText" text="Pesquisa de Preços">
      <formula>NOT(ISERROR(SEARCH("Pesquisa de Preços",D4998)))</formula>
    </cfRule>
  </conditionalFormatting>
  <conditionalFormatting sqref="D4973 D4979 D4985 D4991">
    <cfRule type="containsText" dxfId="1579" priority="3795" operator="containsText" text="Pesquisa de Preços">
      <formula>NOT(ISERROR(SEARCH("Pesquisa de Preços",D4973)))</formula>
    </cfRule>
  </conditionalFormatting>
  <conditionalFormatting sqref="E4986 E4990">
    <cfRule type="containsText" dxfId="1578" priority="3789" operator="containsText" text="Pesquisa de Preços">
      <formula>NOT(ISERROR(SEARCH("Pesquisa de Preços",E4986)))</formula>
    </cfRule>
  </conditionalFormatting>
  <conditionalFormatting sqref="D4986 D4990">
    <cfRule type="containsText" dxfId="1577" priority="3793" operator="containsText" text="Pesquisa de Preços">
      <formula>NOT(ISERROR(SEARCH("Pesquisa de Preços",D4986)))</formula>
    </cfRule>
  </conditionalFormatting>
  <conditionalFormatting sqref="E4985">
    <cfRule type="containsText" dxfId="1576" priority="3788" operator="containsText" text="Pesquisa de Preços">
      <formula>NOT(ISERROR(SEARCH("Pesquisa de Preços",E4985)))</formula>
    </cfRule>
  </conditionalFormatting>
  <conditionalFormatting sqref="E4994:E4995">
    <cfRule type="containsText" dxfId="1575" priority="3790" operator="containsText" text="Pesquisa de Preços">
      <formula>NOT(ISERROR(SEARCH("Pesquisa de Preços",E4994)))</formula>
    </cfRule>
  </conditionalFormatting>
  <conditionalFormatting sqref="E4991">
    <cfRule type="containsText" dxfId="1574" priority="3791" operator="containsText" text="Pesquisa de Preços">
      <formula>NOT(ISERROR(SEARCH("Pesquisa de Preços",E4991)))</formula>
    </cfRule>
  </conditionalFormatting>
  <conditionalFormatting sqref="E4992">
    <cfRule type="containsText" dxfId="1573" priority="3792" operator="containsText" text="Pesquisa de Preços">
      <formula>NOT(ISERROR(SEARCH("Pesquisa de Preços",E4992)))</formula>
    </cfRule>
  </conditionalFormatting>
  <conditionalFormatting sqref="D4997">
    <cfRule type="containsText" dxfId="1572" priority="3783" operator="containsText" text="Pesquisa de Preços">
      <formula>NOT(ISERROR(SEARCH("Pesquisa de Preços",D4997)))</formula>
    </cfRule>
  </conditionalFormatting>
  <conditionalFormatting sqref="E4997">
    <cfRule type="containsText" dxfId="1571" priority="3780" operator="containsText" text="Pesquisa de Preços">
      <formula>NOT(ISERROR(SEARCH("Pesquisa de Preços",E4997)))</formula>
    </cfRule>
  </conditionalFormatting>
  <conditionalFormatting sqref="E5017">
    <cfRule type="containsText" dxfId="1570" priority="3766" operator="containsText" text="Pesquisa de Preços">
      <formula>NOT(ISERROR(SEARCH("Pesquisa de Preços",E5017)))</formula>
    </cfRule>
  </conditionalFormatting>
  <conditionalFormatting sqref="D5004">
    <cfRule type="containsText" dxfId="1569" priority="3777" operator="containsText" text="Pesquisa de Preços">
      <formula>NOT(ISERROR(SEARCH("Pesquisa de Preços",D5004)))</formula>
    </cfRule>
  </conditionalFormatting>
  <conditionalFormatting sqref="D5005">
    <cfRule type="containsText" dxfId="1568" priority="3776" operator="containsText" text="Pesquisa de Preços">
      <formula>NOT(ISERROR(SEARCH("Pesquisa de Preços",D5005)))</formula>
    </cfRule>
  </conditionalFormatting>
  <conditionalFormatting sqref="E5005:E5006 E5008">
    <cfRule type="containsText" dxfId="1567" priority="3775" operator="containsText" text="Pesquisa de Preços">
      <formula>NOT(ISERROR(SEARCH("Pesquisa de Preços",E5005)))</formula>
    </cfRule>
  </conditionalFormatting>
  <conditionalFormatting sqref="D5017">
    <cfRule type="containsText" dxfId="1566" priority="3769" operator="containsText" text="Pesquisa de Preços">
      <formula>NOT(ISERROR(SEARCH("Pesquisa de Preços",D5017)))</formula>
    </cfRule>
  </conditionalFormatting>
  <conditionalFormatting sqref="D5018">
    <cfRule type="containsText" dxfId="1565" priority="3768" operator="containsText" text="Pesquisa de Preços">
      <formula>NOT(ISERROR(SEARCH("Pesquisa de Preços",D5018)))</formula>
    </cfRule>
  </conditionalFormatting>
  <conditionalFormatting sqref="E5018:E5019 E5022">
    <cfRule type="containsText" dxfId="1564" priority="3767" operator="containsText" text="Pesquisa de Preços">
      <formula>NOT(ISERROR(SEARCH("Pesquisa de Preços",E5018)))</formula>
    </cfRule>
  </conditionalFormatting>
  <conditionalFormatting sqref="D5009">
    <cfRule type="containsText" dxfId="1563" priority="3763" operator="containsText" text="Pesquisa de Preços">
      <formula>NOT(ISERROR(SEARCH("Pesquisa de Preços",D5009)))</formula>
    </cfRule>
  </conditionalFormatting>
  <conditionalFormatting sqref="D5026">
    <cfRule type="containsText" dxfId="1562" priority="3758" operator="containsText" text="Pesquisa de Preços">
      <formula>NOT(ISERROR(SEARCH("Pesquisa de Preços",D5026)))</formula>
    </cfRule>
  </conditionalFormatting>
  <conditionalFormatting sqref="D5023">
    <cfRule type="containsText" dxfId="1561" priority="3755" operator="containsText" text="Pesquisa de Preços">
      <formula>NOT(ISERROR(SEARCH("Pesquisa de Preços",D5023)))</formula>
    </cfRule>
  </conditionalFormatting>
  <conditionalFormatting sqref="D5024">
    <cfRule type="containsText" dxfId="1560" priority="3754" operator="containsText" text="Pesquisa de Preços">
      <formula>NOT(ISERROR(SEARCH("Pesquisa de Preços",D5024)))</formula>
    </cfRule>
  </conditionalFormatting>
  <conditionalFormatting sqref="E5023">
    <cfRule type="containsText" dxfId="1559" priority="3752" operator="containsText" text="Pesquisa de Preços">
      <formula>NOT(ISERROR(SEARCH("Pesquisa de Preços",E5023)))</formula>
    </cfRule>
  </conditionalFormatting>
  <conditionalFormatting sqref="E5024:E5026">
    <cfRule type="containsText" dxfId="1558" priority="3753" operator="containsText" text="Pesquisa de Preços">
      <formula>NOT(ISERROR(SEARCH("Pesquisa de Preços",E5024)))</formula>
    </cfRule>
  </conditionalFormatting>
  <conditionalFormatting sqref="D5032">
    <cfRule type="containsText" dxfId="1557" priority="3751" operator="containsText" text="Pesquisa de Preços">
      <formula>NOT(ISERROR(SEARCH("Pesquisa de Preços",D5032)))</formula>
    </cfRule>
  </conditionalFormatting>
  <conditionalFormatting sqref="D5027">
    <cfRule type="containsText" dxfId="1556" priority="3746" operator="containsText" text="Pesquisa de Preços">
      <formula>NOT(ISERROR(SEARCH("Pesquisa de Preços",D5027)))</formula>
    </cfRule>
  </conditionalFormatting>
  <conditionalFormatting sqref="D5028">
    <cfRule type="containsText" dxfId="1555" priority="3745" operator="containsText" text="Pesquisa de Preços">
      <formula>NOT(ISERROR(SEARCH("Pesquisa de Preços",D5028)))</formula>
    </cfRule>
  </conditionalFormatting>
  <conditionalFormatting sqref="E5027">
    <cfRule type="containsText" dxfId="1554" priority="3743" operator="containsText" text="Pesquisa de Preços">
      <formula>NOT(ISERROR(SEARCH("Pesquisa de Preços",E5027)))</formula>
    </cfRule>
  </conditionalFormatting>
  <conditionalFormatting sqref="E5028:E5029 E5032">
    <cfRule type="containsText" dxfId="1553" priority="3744" operator="containsText" text="Pesquisa de Preços">
      <formula>NOT(ISERROR(SEARCH("Pesquisa de Preços",E5028)))</formula>
    </cfRule>
  </conditionalFormatting>
  <conditionalFormatting sqref="E5033">
    <cfRule type="containsText" dxfId="1552" priority="3732" operator="containsText" text="Pesquisa de Preços">
      <formula>NOT(ISERROR(SEARCH("Pesquisa de Preços",E5033)))</formula>
    </cfRule>
  </conditionalFormatting>
  <conditionalFormatting sqref="D5039">
    <cfRule type="containsText" dxfId="1551" priority="3728" operator="containsText" text="Pesquisa de Preços">
      <formula>NOT(ISERROR(SEARCH("Pesquisa de Preços",D5039)))</formula>
    </cfRule>
  </conditionalFormatting>
  <conditionalFormatting sqref="E5040:E5041 E5046">
    <cfRule type="containsText" dxfId="1550" priority="3726" operator="containsText" text="Pesquisa de Preços">
      <formula>NOT(ISERROR(SEARCH("Pesquisa de Preços",E5040)))</formula>
    </cfRule>
  </conditionalFormatting>
  <conditionalFormatting sqref="D5040 D5046">
    <cfRule type="containsText" dxfId="1549" priority="3727" operator="containsText" text="Pesquisa de Preços">
      <formula>NOT(ISERROR(SEARCH("Pesquisa de Preços",D5040)))</formula>
    </cfRule>
  </conditionalFormatting>
  <conditionalFormatting sqref="D5038">
    <cfRule type="containsText" dxfId="1548" priority="3740" operator="containsText" text="Pesquisa de Preços">
      <formula>NOT(ISERROR(SEARCH("Pesquisa de Preços",D5038)))</formula>
    </cfRule>
  </conditionalFormatting>
  <conditionalFormatting sqref="D5033">
    <cfRule type="containsText" dxfId="1547" priority="3735" operator="containsText" text="Pesquisa de Preços">
      <formula>NOT(ISERROR(SEARCH("Pesquisa de Preços",D5033)))</formula>
    </cfRule>
  </conditionalFormatting>
  <conditionalFormatting sqref="D5034">
    <cfRule type="containsText" dxfId="1546" priority="3734" operator="containsText" text="Pesquisa de Preços">
      <formula>NOT(ISERROR(SEARCH("Pesquisa de Preços",D5034)))</formula>
    </cfRule>
  </conditionalFormatting>
  <conditionalFormatting sqref="E5034:E5035 E5038">
    <cfRule type="containsText" dxfId="1545" priority="3733" operator="containsText" text="Pesquisa de Preços">
      <formula>NOT(ISERROR(SEARCH("Pesquisa de Preços",E5034)))</formula>
    </cfRule>
  </conditionalFormatting>
  <conditionalFormatting sqref="E5041 E5043">
    <cfRule type="containsText" dxfId="1544" priority="3729" operator="containsText" text="Pesquisa de Preços">
      <formula>NOT(ISERROR(SEARCH("Pesquisa de Preços",E5041)))</formula>
    </cfRule>
  </conditionalFormatting>
  <conditionalFormatting sqref="E5039">
    <cfRule type="containsText" dxfId="1543" priority="3725" operator="containsText" text="Pesquisa de Preços">
      <formula>NOT(ISERROR(SEARCH("Pesquisa de Preços",E5039)))</formula>
    </cfRule>
  </conditionalFormatting>
  <conditionalFormatting sqref="E5043:E5045">
    <cfRule type="containsText" dxfId="1542" priority="3724" operator="containsText" text="Pesquisa de Preços">
      <formula>NOT(ISERROR(SEARCH("Pesquisa de Preços",E5043)))</formula>
    </cfRule>
  </conditionalFormatting>
  <conditionalFormatting sqref="E5051">
    <cfRule type="containsText" dxfId="1541" priority="3712" operator="containsText" text="Pesquisa de Preços">
      <formula>NOT(ISERROR(SEARCH("Pesquisa de Preços",E5051)))</formula>
    </cfRule>
  </conditionalFormatting>
  <conditionalFormatting sqref="D5047">
    <cfRule type="containsText" dxfId="1540" priority="3721" operator="containsText" text="Pesquisa de Preços">
      <formula>NOT(ISERROR(SEARCH("Pesquisa de Preços",D5047)))</formula>
    </cfRule>
  </conditionalFormatting>
  <conditionalFormatting sqref="E5048 E5053">
    <cfRule type="containsText" dxfId="1539" priority="3719" operator="containsText" text="Pesquisa de Preços">
      <formula>NOT(ISERROR(SEARCH("Pesquisa de Preços",E5048)))</formula>
    </cfRule>
  </conditionalFormatting>
  <conditionalFormatting sqref="D5048 D5053">
    <cfRule type="containsText" dxfId="1538" priority="3720" operator="containsText" text="Pesquisa de Preços">
      <formula>NOT(ISERROR(SEARCH("Pesquisa de Preços",D5048)))</formula>
    </cfRule>
  </conditionalFormatting>
  <conditionalFormatting sqref="E5070:E5071">
    <cfRule type="containsText" dxfId="1537" priority="3682" operator="containsText" text="Pesquisa de Preços">
      <formula>NOT(ISERROR(SEARCH("Pesquisa de Preços",E5070)))</formula>
    </cfRule>
  </conditionalFormatting>
  <conditionalFormatting sqref="E5047">
    <cfRule type="containsText" dxfId="1536" priority="3718" operator="containsText" text="Pesquisa de Preços">
      <formula>NOT(ISERROR(SEARCH("Pesquisa de Preços",E5047)))</formula>
    </cfRule>
  </conditionalFormatting>
  <conditionalFormatting sqref="E5052">
    <cfRule type="containsText" dxfId="1535" priority="3717" operator="containsText" text="Pesquisa de Preços">
      <formula>NOT(ISERROR(SEARCH("Pesquisa de Preços",E5052)))</formula>
    </cfRule>
  </conditionalFormatting>
  <conditionalFormatting sqref="D5061">
    <cfRule type="containsText" dxfId="1534" priority="3708" operator="containsText" text="Pesquisa de Preços">
      <formula>NOT(ISERROR(SEARCH("Pesquisa de Preços",D5061)))</formula>
    </cfRule>
  </conditionalFormatting>
  <conditionalFormatting sqref="D5054">
    <cfRule type="containsText" dxfId="1533" priority="3711" operator="containsText" text="Pesquisa de Preços">
      <formula>NOT(ISERROR(SEARCH("Pesquisa de Preços",D5054)))</formula>
    </cfRule>
  </conditionalFormatting>
  <conditionalFormatting sqref="E1318">
    <cfRule type="containsText" dxfId="1532" priority="3699" operator="containsText" text="Pesquisa de Preços">
      <formula>NOT(ISERROR(SEARCH("Pesquisa de Preços",E1318)))</formula>
    </cfRule>
  </conditionalFormatting>
  <conditionalFormatting sqref="E1317">
    <cfRule type="containsText" dxfId="1531" priority="3698" operator="containsText" text="Pesquisa de Preços">
      <formula>NOT(ISERROR(SEARCH("Pesquisa de Preços",E1317)))</formula>
    </cfRule>
  </conditionalFormatting>
  <conditionalFormatting sqref="E1324">
    <cfRule type="containsText" dxfId="1530" priority="3695" operator="containsText" text="Pesquisa de Preços">
      <formula>NOT(ISERROR(SEARCH("Pesquisa de Preços",E1324)))</formula>
    </cfRule>
  </conditionalFormatting>
  <conditionalFormatting sqref="E1323">
    <cfRule type="containsText" dxfId="1529" priority="3694" operator="containsText" text="Pesquisa de Preços">
      <formula>NOT(ISERROR(SEARCH("Pesquisa de Preços",E1323)))</formula>
    </cfRule>
  </conditionalFormatting>
  <conditionalFormatting sqref="E1330">
    <cfRule type="containsText" dxfId="1528" priority="3691" operator="containsText" text="Pesquisa de Preços">
      <formula>NOT(ISERROR(SEARCH("Pesquisa de Preços",E1330)))</formula>
    </cfRule>
  </conditionalFormatting>
  <conditionalFormatting sqref="E1329">
    <cfRule type="containsText" dxfId="1527" priority="3690" operator="containsText" text="Pesquisa de Preços">
      <formula>NOT(ISERROR(SEARCH("Pesquisa de Preços",E1329)))</formula>
    </cfRule>
  </conditionalFormatting>
  <conditionalFormatting sqref="D5069 D5075">
    <cfRule type="containsText" dxfId="1526" priority="3687" operator="containsText" text="Pesquisa de Preços">
      <formula>NOT(ISERROR(SEARCH("Pesquisa de Preços",D5069)))</formula>
    </cfRule>
  </conditionalFormatting>
  <conditionalFormatting sqref="D5070:D5071">
    <cfRule type="containsText" dxfId="1525" priority="3685" operator="containsText" text="Pesquisa de Preços">
      <formula>NOT(ISERROR(SEARCH("Pesquisa de Preços",D5070)))</formula>
    </cfRule>
  </conditionalFormatting>
  <conditionalFormatting sqref="D5076:D5077">
    <cfRule type="containsText" dxfId="1524" priority="3686" operator="containsText" text="Pesquisa de Preços">
      <formula>NOT(ISERROR(SEARCH("Pesquisa de Preços",D5076)))</formula>
    </cfRule>
  </conditionalFormatting>
  <conditionalFormatting sqref="E5075">
    <cfRule type="containsText" dxfId="1523" priority="3683" operator="containsText" text="Pesquisa de Preços">
      <formula>NOT(ISERROR(SEARCH("Pesquisa de Preços",E5075)))</formula>
    </cfRule>
  </conditionalFormatting>
  <conditionalFormatting sqref="E5069">
    <cfRule type="containsText" dxfId="1522" priority="3681" operator="containsText" text="Pesquisa de Preços">
      <formula>NOT(ISERROR(SEARCH("Pesquisa de Preços",E5069)))</formula>
    </cfRule>
  </conditionalFormatting>
  <conditionalFormatting sqref="E5076:E5077">
    <cfRule type="containsText" dxfId="1521" priority="3684" operator="containsText" text="Pesquisa de Preços">
      <formula>NOT(ISERROR(SEARCH("Pesquisa de Preços",E5076)))</formula>
    </cfRule>
  </conditionalFormatting>
  <conditionalFormatting sqref="E5079">
    <cfRule type="containsText" dxfId="1520" priority="3678" operator="containsText" text="Pesquisa de Preços">
      <formula>NOT(ISERROR(SEARCH("Pesquisa de Preços",E5079)))</formula>
    </cfRule>
  </conditionalFormatting>
  <conditionalFormatting sqref="E5078">
    <cfRule type="containsText" dxfId="1519" priority="3677" operator="containsText" text="Pesquisa de Preços">
      <formula>NOT(ISERROR(SEARCH("Pesquisa de Preços",E5078)))</formula>
    </cfRule>
  </conditionalFormatting>
  <conditionalFormatting sqref="E5073">
    <cfRule type="containsText" dxfId="1518" priority="3674" operator="containsText" text="Pesquisa de Preços">
      <formula>NOT(ISERROR(SEARCH("Pesquisa de Preços",E5073)))</formula>
    </cfRule>
  </conditionalFormatting>
  <conditionalFormatting sqref="E5072">
    <cfRule type="containsText" dxfId="1517" priority="3673" operator="containsText" text="Pesquisa de Preços">
      <formula>NOT(ISERROR(SEARCH("Pesquisa de Preços",E5072)))</formula>
    </cfRule>
  </conditionalFormatting>
  <conditionalFormatting sqref="D5081">
    <cfRule type="containsText" dxfId="1516" priority="3670" operator="containsText" text="Pesquisa de Preços">
      <formula>NOT(ISERROR(SEARCH("Pesquisa de Preços",D5081)))</formula>
    </cfRule>
  </conditionalFormatting>
  <conditionalFormatting sqref="D5082 D5086">
    <cfRule type="containsText" dxfId="1515" priority="3669" operator="containsText" text="Pesquisa de Preços">
      <formula>NOT(ISERROR(SEARCH("Pesquisa de Preços",D5082)))</formula>
    </cfRule>
  </conditionalFormatting>
  <conditionalFormatting sqref="D5083">
    <cfRule type="containsText" dxfId="1514" priority="3668" operator="containsText" text="Pesquisa de Preços">
      <formula>NOT(ISERROR(SEARCH("Pesquisa de Preços",D5083)))</formula>
    </cfRule>
  </conditionalFormatting>
  <conditionalFormatting sqref="E5082 E5086">
    <cfRule type="containsText" dxfId="1513" priority="3667" operator="containsText" text="Pesquisa de Preços">
      <formula>NOT(ISERROR(SEARCH("Pesquisa de Preços",E5082)))</formula>
    </cfRule>
  </conditionalFormatting>
  <conditionalFormatting sqref="E5081">
    <cfRule type="containsText" dxfId="1512" priority="3666" operator="containsText" text="Pesquisa de Preços">
      <formula>NOT(ISERROR(SEARCH("Pesquisa de Preços",E5081)))</formula>
    </cfRule>
  </conditionalFormatting>
  <conditionalFormatting sqref="E5083">
    <cfRule type="containsText" dxfId="1511" priority="3665" operator="containsText" text="Pesquisa de Preços">
      <formula>NOT(ISERROR(SEARCH("Pesquisa de Preços",E5083)))</formula>
    </cfRule>
  </conditionalFormatting>
  <conditionalFormatting sqref="E5084:E5085">
    <cfRule type="containsText" dxfId="1510" priority="3664" operator="containsText" text="Pesquisa de Preços">
      <formula>NOT(ISERROR(SEARCH("Pesquisa de Preços",E5084)))</formula>
    </cfRule>
  </conditionalFormatting>
  <conditionalFormatting sqref="D5087">
    <cfRule type="containsText" dxfId="1509" priority="3661" operator="containsText" text="Pesquisa de Preços">
      <formula>NOT(ISERROR(SEARCH("Pesquisa de Preços",D5087)))</formula>
    </cfRule>
  </conditionalFormatting>
  <conditionalFormatting sqref="D5088 D5092">
    <cfRule type="containsText" dxfId="1508" priority="3660" operator="containsText" text="Pesquisa de Preços">
      <formula>NOT(ISERROR(SEARCH("Pesquisa de Preços",D5088)))</formula>
    </cfRule>
  </conditionalFormatting>
  <conditionalFormatting sqref="E5088 E5092">
    <cfRule type="containsText" dxfId="1507" priority="3659" operator="containsText" text="Pesquisa de Preços">
      <formula>NOT(ISERROR(SEARCH("Pesquisa de Preços",E5088)))</formula>
    </cfRule>
  </conditionalFormatting>
  <conditionalFormatting sqref="E5087">
    <cfRule type="containsText" dxfId="1506" priority="3658" operator="containsText" text="Pesquisa de Preços">
      <formula>NOT(ISERROR(SEARCH("Pesquisa de Preços",E5087)))</formula>
    </cfRule>
  </conditionalFormatting>
  <conditionalFormatting sqref="E5089">
    <cfRule type="containsText" dxfId="1505" priority="3657" operator="containsText" text="Pesquisa de Preços">
      <formula>NOT(ISERROR(SEARCH("Pesquisa de Preços",E5089)))</formula>
    </cfRule>
  </conditionalFormatting>
  <conditionalFormatting sqref="E5090:E5091">
    <cfRule type="containsText" dxfId="1504" priority="3656" operator="containsText" text="Pesquisa de Preços">
      <formula>NOT(ISERROR(SEARCH("Pesquisa de Preços",E5090)))</formula>
    </cfRule>
  </conditionalFormatting>
  <conditionalFormatting sqref="E5094:E5095 E5099">
    <cfRule type="containsText" dxfId="1503" priority="3649" operator="containsText" text="Pesquisa de Preços">
      <formula>NOT(ISERROR(SEARCH("Pesquisa de Preços",E5094)))</formula>
    </cfRule>
  </conditionalFormatting>
  <conditionalFormatting sqref="E5093">
    <cfRule type="containsText" dxfId="1502" priority="3648" operator="containsText" text="Pesquisa de Preços">
      <formula>NOT(ISERROR(SEARCH("Pesquisa de Preços",E5093)))</formula>
    </cfRule>
  </conditionalFormatting>
  <conditionalFormatting sqref="D5094 D5099">
    <cfRule type="containsText" dxfId="1501" priority="3650" operator="containsText" text="Pesquisa de Preços">
      <formula>NOT(ISERROR(SEARCH("Pesquisa de Preços",D5094)))</formula>
    </cfRule>
  </conditionalFormatting>
  <conditionalFormatting sqref="D5093">
    <cfRule type="containsText" dxfId="1500" priority="3651" operator="containsText" text="Pesquisa de Preços">
      <formula>NOT(ISERROR(SEARCH("Pesquisa de Preços",D5093)))</formula>
    </cfRule>
  </conditionalFormatting>
  <conditionalFormatting sqref="E4993">
    <cfRule type="containsText" dxfId="1499" priority="3641" operator="containsText" text="Pesquisa de Preços">
      <formula>NOT(ISERROR(SEARCH("Pesquisa de Preços",E4993)))</formula>
    </cfRule>
  </conditionalFormatting>
  <conditionalFormatting sqref="E2273">
    <cfRule type="containsText" dxfId="1498" priority="3632" operator="containsText" text="Pesquisa de Preços">
      <formula>NOT(ISERROR(SEARCH("Pesquisa de Preços",E2273)))</formula>
    </cfRule>
  </conditionalFormatting>
  <conditionalFormatting sqref="E2274:E2275">
    <cfRule type="containsText" dxfId="1497" priority="3621" operator="containsText" text="Pesquisa de Preços">
      <formula>NOT(ISERROR(SEARCH("Pesquisa de Preços",E2274)))</formula>
    </cfRule>
  </conditionalFormatting>
  <conditionalFormatting sqref="E2228">
    <cfRule type="containsText" dxfId="1496" priority="3616" operator="containsText" text="Pesquisa de Preços">
      <formula>NOT(ISERROR(SEARCH("Pesquisa de Preços",E2228)))</formula>
    </cfRule>
  </conditionalFormatting>
  <conditionalFormatting sqref="D5052">
    <cfRule type="containsText" dxfId="1495" priority="3613" operator="containsText" text="Pesquisa de Preços">
      <formula>NOT(ISERROR(SEARCH("Pesquisa de Preços",D5052)))</formula>
    </cfRule>
  </conditionalFormatting>
  <conditionalFormatting sqref="D5101 D5106">
    <cfRule type="containsText" dxfId="1494" priority="3605" operator="containsText" text="Pesquisa de Preços">
      <formula>NOT(ISERROR(SEARCH("Pesquisa de Preços",D5101)))</formula>
    </cfRule>
  </conditionalFormatting>
  <conditionalFormatting sqref="D5100">
    <cfRule type="containsText" dxfId="1493" priority="3606" operator="containsText" text="Pesquisa de Preços">
      <formula>NOT(ISERROR(SEARCH("Pesquisa de Preços",D5100)))</formula>
    </cfRule>
  </conditionalFormatting>
  <conditionalFormatting sqref="E5101 E5106">
    <cfRule type="containsText" dxfId="1492" priority="3604" operator="containsText" text="Pesquisa de Preços">
      <formula>NOT(ISERROR(SEARCH("Pesquisa de Preços",E5101)))</formula>
    </cfRule>
  </conditionalFormatting>
  <conditionalFormatting sqref="E5100">
    <cfRule type="containsText" dxfId="1491" priority="3603" operator="containsText" text="Pesquisa de Preços">
      <formula>NOT(ISERROR(SEARCH("Pesquisa de Preços",E5100)))</formula>
    </cfRule>
  </conditionalFormatting>
  <conditionalFormatting sqref="D5107">
    <cfRule type="containsText" dxfId="1490" priority="3598" operator="containsText" text="Pesquisa de Preços">
      <formula>NOT(ISERROR(SEARCH("Pesquisa de Preços",D5107)))</formula>
    </cfRule>
  </conditionalFormatting>
  <conditionalFormatting sqref="D5108 D5117">
    <cfRule type="containsText" dxfId="1489" priority="3597" operator="containsText" text="Pesquisa de Preços">
      <formula>NOT(ISERROR(SEARCH("Pesquisa de Preços",D5108)))</formula>
    </cfRule>
  </conditionalFormatting>
  <conditionalFormatting sqref="E5107">
    <cfRule type="containsText" dxfId="1488" priority="3595" operator="containsText" text="Pesquisa de Preços">
      <formula>NOT(ISERROR(SEARCH("Pesquisa de Preços",E5107)))</formula>
    </cfRule>
  </conditionalFormatting>
  <conditionalFormatting sqref="E5108 E5117">
    <cfRule type="containsText" dxfId="1487" priority="3596" operator="containsText" text="Pesquisa de Preços">
      <formula>NOT(ISERROR(SEARCH("Pesquisa de Preços",E5108)))</formula>
    </cfRule>
  </conditionalFormatting>
  <conditionalFormatting sqref="D5118">
    <cfRule type="containsText" dxfId="1486" priority="3586" operator="containsText" text="Pesquisa de Preços">
      <formula>NOT(ISERROR(SEARCH("Pesquisa de Preços",D5118)))</formula>
    </cfRule>
  </conditionalFormatting>
  <conditionalFormatting sqref="D5124">
    <cfRule type="containsText" dxfId="1485" priority="3579" operator="containsText" text="Pesquisa de Preços">
      <formula>NOT(ISERROR(SEARCH("Pesquisa de Preços",D5124)))</formula>
    </cfRule>
  </conditionalFormatting>
  <conditionalFormatting sqref="D5127">
    <cfRule type="containsText" dxfId="1484" priority="3574" operator="containsText" text="Pesquisa de Preços">
      <formula>NOT(ISERROR(SEARCH("Pesquisa de Preços",D5127)))</formula>
    </cfRule>
  </conditionalFormatting>
  <conditionalFormatting sqref="D5132">
    <cfRule type="containsText" dxfId="1483" priority="3569" operator="containsText" text="Pesquisa de Preços">
      <formula>NOT(ISERROR(SEARCH("Pesquisa de Preços",D5132)))</formula>
    </cfRule>
  </conditionalFormatting>
  <conditionalFormatting sqref="D5135">
    <cfRule type="containsText" dxfId="1482" priority="3564" operator="containsText" text="Pesquisa de Preços">
      <formula>NOT(ISERROR(SEARCH("Pesquisa de Preços",D5135)))</formula>
    </cfRule>
  </conditionalFormatting>
  <conditionalFormatting sqref="D5140">
    <cfRule type="containsText" dxfId="1481" priority="3559" operator="containsText" text="Pesquisa de Preços">
      <formula>NOT(ISERROR(SEARCH("Pesquisa de Preços",D5140)))</formula>
    </cfRule>
  </conditionalFormatting>
  <conditionalFormatting sqref="D5143">
    <cfRule type="containsText" dxfId="1480" priority="3554" operator="containsText" text="Pesquisa de Preços">
      <formula>NOT(ISERROR(SEARCH("Pesquisa de Preços",D5143)))</formula>
    </cfRule>
  </conditionalFormatting>
  <conditionalFormatting sqref="D5148">
    <cfRule type="containsText" dxfId="1479" priority="3549" operator="containsText" text="Pesquisa de Preços">
      <formula>NOT(ISERROR(SEARCH("Pesquisa de Preços",D5148)))</formula>
    </cfRule>
  </conditionalFormatting>
  <conditionalFormatting sqref="D5151">
    <cfRule type="containsText" dxfId="1478" priority="3544" operator="containsText" text="Pesquisa de Preços">
      <formula>NOT(ISERROR(SEARCH("Pesquisa de Preços",D5151)))</formula>
    </cfRule>
  </conditionalFormatting>
  <conditionalFormatting sqref="D5156">
    <cfRule type="containsText" dxfId="1477" priority="3539" operator="containsText" text="Pesquisa de Preços">
      <formula>NOT(ISERROR(SEARCH("Pesquisa de Preços",D5156)))</formula>
    </cfRule>
  </conditionalFormatting>
  <conditionalFormatting sqref="D5158">
    <cfRule type="containsText" dxfId="1476" priority="3532" operator="containsText" text="Pesquisa de Preços">
      <formula>NOT(ISERROR(SEARCH("Pesquisa de Preços",D5158)))</formula>
    </cfRule>
  </conditionalFormatting>
  <conditionalFormatting sqref="D5162">
    <cfRule type="containsText" dxfId="1475" priority="3531" operator="containsText" text="Pesquisa de Preços">
      <formula>NOT(ISERROR(SEARCH("Pesquisa de Preços",D5162)))</formula>
    </cfRule>
  </conditionalFormatting>
  <conditionalFormatting sqref="D5165">
    <cfRule type="containsText" dxfId="1474" priority="3526" operator="containsText" text="Pesquisa de Preços">
      <formula>NOT(ISERROR(SEARCH("Pesquisa de Preços",D5165)))</formula>
    </cfRule>
  </conditionalFormatting>
  <conditionalFormatting sqref="D5170">
    <cfRule type="containsText" dxfId="1473" priority="3521" operator="containsText" text="Pesquisa de Preços">
      <formula>NOT(ISERROR(SEARCH("Pesquisa de Preços",D5170)))</formula>
    </cfRule>
  </conditionalFormatting>
  <conditionalFormatting sqref="D5172">
    <cfRule type="containsText" dxfId="1472" priority="3514" operator="containsText" text="Pesquisa de Preços">
      <formula>NOT(ISERROR(SEARCH("Pesquisa de Preços",D5172)))</formula>
    </cfRule>
  </conditionalFormatting>
  <conditionalFormatting sqref="D5176">
    <cfRule type="containsText" dxfId="1471" priority="3513" operator="containsText" text="Pesquisa de Preços">
      <formula>NOT(ISERROR(SEARCH("Pesquisa de Preços",D5176)))</formula>
    </cfRule>
  </conditionalFormatting>
  <conditionalFormatting sqref="D5179">
    <cfRule type="containsText" dxfId="1470" priority="3508" operator="containsText" text="Pesquisa de Preços">
      <formula>NOT(ISERROR(SEARCH("Pesquisa de Preços",D5179)))</formula>
    </cfRule>
  </conditionalFormatting>
  <conditionalFormatting sqref="D5184">
    <cfRule type="containsText" dxfId="1469" priority="3503" operator="containsText" text="Pesquisa de Preços">
      <formula>NOT(ISERROR(SEARCH("Pesquisa de Preços",D5184)))</formula>
    </cfRule>
  </conditionalFormatting>
  <conditionalFormatting sqref="D5187">
    <cfRule type="containsText" dxfId="1468" priority="3498" operator="containsText" text="Pesquisa de Preços">
      <formula>NOT(ISERROR(SEARCH("Pesquisa de Preços",D5187)))</formula>
    </cfRule>
  </conditionalFormatting>
  <conditionalFormatting sqref="D5192">
    <cfRule type="containsText" dxfId="1467" priority="3493" operator="containsText" text="Pesquisa de Preços">
      <formula>NOT(ISERROR(SEARCH("Pesquisa de Preços",D5192)))</formula>
    </cfRule>
  </conditionalFormatting>
  <conditionalFormatting sqref="D5195">
    <cfRule type="containsText" dxfId="1466" priority="3488" operator="containsText" text="Pesquisa de Preços">
      <formula>NOT(ISERROR(SEARCH("Pesquisa de Preços",D5195)))</formula>
    </cfRule>
  </conditionalFormatting>
  <conditionalFormatting sqref="D5200">
    <cfRule type="containsText" dxfId="1465" priority="3483" operator="containsText" text="Pesquisa de Preços">
      <formula>NOT(ISERROR(SEARCH("Pesquisa de Preços",D5200)))</formula>
    </cfRule>
  </conditionalFormatting>
  <conditionalFormatting sqref="D5215">
    <cfRule type="containsText" dxfId="1464" priority="3472" operator="containsText" text="Pesquisa de Preços">
      <formula>NOT(ISERROR(SEARCH("Pesquisa de Preços",D5215)))</formula>
    </cfRule>
  </conditionalFormatting>
  <conditionalFormatting sqref="D5230">
    <cfRule type="containsText" dxfId="1463" priority="3461" operator="containsText" text="Pesquisa de Preços">
      <formula>NOT(ISERROR(SEARCH("Pesquisa de Preços",D5230)))</formula>
    </cfRule>
  </conditionalFormatting>
  <conditionalFormatting sqref="D5237">
    <cfRule type="containsText" dxfId="1462" priority="3454" operator="containsText" text="Pesquisa de Preços">
      <formula>NOT(ISERROR(SEARCH("Pesquisa de Preços",D5237)))</formula>
    </cfRule>
  </conditionalFormatting>
  <conditionalFormatting sqref="D5240">
    <cfRule type="containsText" dxfId="1461" priority="3449" operator="containsText" text="Pesquisa de Preços">
      <formula>NOT(ISERROR(SEARCH("Pesquisa de Preços",D5240)))</formula>
    </cfRule>
  </conditionalFormatting>
  <conditionalFormatting sqref="D5244">
    <cfRule type="containsText" dxfId="1460" priority="3446" operator="containsText" text="Pesquisa de Preços">
      <formula>NOT(ISERROR(SEARCH("Pesquisa de Preços",D5244)))</formula>
    </cfRule>
  </conditionalFormatting>
  <conditionalFormatting sqref="D5246">
    <cfRule type="containsText" dxfId="1459" priority="3439" operator="containsText" text="Pesquisa de Preços">
      <formula>NOT(ISERROR(SEARCH("Pesquisa de Preços",D5246)))</formula>
    </cfRule>
  </conditionalFormatting>
  <conditionalFormatting sqref="D5250">
    <cfRule type="containsText" dxfId="1458" priority="3438" operator="containsText" text="Pesquisa de Preços">
      <formula>NOT(ISERROR(SEARCH("Pesquisa de Preços",D5250)))</formula>
    </cfRule>
  </conditionalFormatting>
  <conditionalFormatting sqref="D5252">
    <cfRule type="containsText" dxfId="1457" priority="3431" operator="containsText" text="Pesquisa de Preços">
      <formula>NOT(ISERROR(SEARCH("Pesquisa de Preços",D5252)))</formula>
    </cfRule>
  </conditionalFormatting>
  <conditionalFormatting sqref="D5256">
    <cfRule type="containsText" dxfId="1456" priority="3426" operator="containsText" text="Pesquisa de Preços">
      <formula>NOT(ISERROR(SEARCH("Pesquisa de Preços",D5256)))</formula>
    </cfRule>
  </conditionalFormatting>
  <conditionalFormatting sqref="D5257 D5262">
    <cfRule type="containsText" dxfId="1455" priority="3425" operator="containsText" text="Pesquisa de Preços">
      <formula>NOT(ISERROR(SEARCH("Pesquisa de Preços",D5257)))</formula>
    </cfRule>
  </conditionalFormatting>
  <conditionalFormatting sqref="E5262">
    <cfRule type="containsText" dxfId="1454" priority="3424" operator="containsText" text="Pesquisa de Preços">
      <formula>NOT(ISERROR(SEARCH("Pesquisa de Preços",E5262)))</formula>
    </cfRule>
  </conditionalFormatting>
  <conditionalFormatting sqref="D5263">
    <cfRule type="containsText" dxfId="1453" priority="3421" operator="containsText" text="Pesquisa de Preços">
      <formula>NOT(ISERROR(SEARCH("Pesquisa de Preços",D5263)))</formula>
    </cfRule>
  </conditionalFormatting>
  <conditionalFormatting sqref="D5264">
    <cfRule type="containsText" dxfId="1452" priority="3420" operator="containsText" text="Pesquisa de Preços">
      <formula>NOT(ISERROR(SEARCH("Pesquisa de Preços",D5264)))</formula>
    </cfRule>
  </conditionalFormatting>
  <conditionalFormatting sqref="E5274">
    <cfRule type="containsText" dxfId="1451" priority="3419" operator="containsText" text="Pesquisa de Preços">
      <formula>NOT(ISERROR(SEARCH("Pesquisa de Preços",E5274)))</formula>
    </cfRule>
  </conditionalFormatting>
  <conditionalFormatting sqref="D5283">
    <cfRule type="containsText" dxfId="1450" priority="3418" operator="containsText" text="Pesquisa de Preços">
      <formula>NOT(ISERROR(SEARCH("Pesquisa de Preços",D5283)))</formula>
    </cfRule>
  </conditionalFormatting>
  <conditionalFormatting sqref="D5284 D5288">
    <cfRule type="containsText" dxfId="1449" priority="3417" operator="containsText" text="Pesquisa de Preços">
      <formula>NOT(ISERROR(SEARCH("Pesquisa de Preços",D5284)))</formula>
    </cfRule>
  </conditionalFormatting>
  <conditionalFormatting sqref="E5288">
    <cfRule type="containsText" dxfId="1448" priority="3416" operator="containsText" text="Pesquisa de Preços">
      <formula>NOT(ISERROR(SEARCH("Pesquisa de Preços",E5288)))</formula>
    </cfRule>
  </conditionalFormatting>
  <conditionalFormatting sqref="D5289">
    <cfRule type="containsText" dxfId="1447" priority="3413" operator="containsText" text="Pesquisa de Preços">
      <formula>NOT(ISERROR(SEARCH("Pesquisa de Preços",D5289)))</formula>
    </cfRule>
  </conditionalFormatting>
  <conditionalFormatting sqref="E1153">
    <cfRule type="containsText" dxfId="1446" priority="3402" operator="containsText" text="Pesquisa de Preços">
      <formula>NOT(ISERROR(SEARCH("Pesquisa de Preços",E1153)))</formula>
    </cfRule>
  </conditionalFormatting>
  <conditionalFormatting sqref="E1055">
    <cfRule type="containsText" dxfId="1445" priority="3404" operator="containsText" text="Pesquisa de Preços">
      <formula>NOT(ISERROR(SEARCH("Pesquisa de Preços",E1055)))</formula>
    </cfRule>
  </conditionalFormatting>
  <conditionalFormatting sqref="E1054">
    <cfRule type="containsText" dxfId="1444" priority="3403" operator="containsText" text="Pesquisa de Preços">
      <formula>NOT(ISERROR(SEARCH("Pesquisa de Preços",E1054)))</formula>
    </cfRule>
  </conditionalFormatting>
  <conditionalFormatting sqref="E1151:E1152">
    <cfRule type="containsText" dxfId="1443" priority="3401" operator="containsText" text="Pesquisa de Preços">
      <formula>NOT(ISERROR(SEARCH("Pesquisa de Preços",E1151)))</formula>
    </cfRule>
  </conditionalFormatting>
  <conditionalFormatting sqref="E1168">
    <cfRule type="containsText" dxfId="1442" priority="3400" operator="containsText" text="Pesquisa de Preços">
      <formula>NOT(ISERROR(SEARCH("Pesquisa de Preços",E1168)))</formula>
    </cfRule>
  </conditionalFormatting>
  <conditionalFormatting sqref="E1166:E1167">
    <cfRule type="containsText" dxfId="1441" priority="3399" operator="containsText" text="Pesquisa de Preços">
      <formula>NOT(ISERROR(SEARCH("Pesquisa de Preços",E1166)))</formula>
    </cfRule>
  </conditionalFormatting>
  <conditionalFormatting sqref="E1182">
    <cfRule type="containsText" dxfId="1440" priority="3398" operator="containsText" text="Pesquisa de Preços">
      <formula>NOT(ISERROR(SEARCH("Pesquisa de Preços",E1182)))</formula>
    </cfRule>
  </conditionalFormatting>
  <conditionalFormatting sqref="E1180:E1181">
    <cfRule type="containsText" dxfId="1439" priority="3397" operator="containsText" text="Pesquisa de Preços">
      <formula>NOT(ISERROR(SEARCH("Pesquisa de Preços",E1180)))</formula>
    </cfRule>
  </conditionalFormatting>
  <conditionalFormatting sqref="E1189">
    <cfRule type="containsText" dxfId="1438" priority="3396" operator="containsText" text="Pesquisa de Preços">
      <formula>NOT(ISERROR(SEARCH("Pesquisa de Preços",E1189)))</formula>
    </cfRule>
  </conditionalFormatting>
  <conditionalFormatting sqref="E1187:E1188">
    <cfRule type="containsText" dxfId="1437" priority="3395" operator="containsText" text="Pesquisa de Preços">
      <formula>NOT(ISERROR(SEARCH("Pesquisa de Preços",E1187)))</formula>
    </cfRule>
  </conditionalFormatting>
  <conditionalFormatting sqref="E1196">
    <cfRule type="containsText" dxfId="1436" priority="3394" operator="containsText" text="Pesquisa de Preços">
      <formula>NOT(ISERROR(SEARCH("Pesquisa de Preços",E1196)))</formula>
    </cfRule>
  </conditionalFormatting>
  <conditionalFormatting sqref="E1194:E1195">
    <cfRule type="containsText" dxfId="1435" priority="3393" operator="containsText" text="Pesquisa de Preços">
      <formula>NOT(ISERROR(SEARCH("Pesquisa de Preços",E1194)))</formula>
    </cfRule>
  </conditionalFormatting>
  <conditionalFormatting sqref="E619">
    <cfRule type="containsText" dxfId="1434" priority="3384" operator="containsText" text="Pesquisa de Preços">
      <formula>NOT(ISERROR(SEARCH("Pesquisa de Preços",E619)))</formula>
    </cfRule>
  </conditionalFormatting>
  <conditionalFormatting sqref="E617:E618">
    <cfRule type="containsText" dxfId="1433" priority="3383" operator="containsText" text="Pesquisa de Preços">
      <formula>NOT(ISERROR(SEARCH("Pesquisa de Preços",E617)))</formula>
    </cfRule>
  </conditionalFormatting>
  <conditionalFormatting sqref="E266">
    <cfRule type="containsText" dxfId="1432" priority="3375" operator="containsText" text="Pesquisa de Preços">
      <formula>NOT(ISERROR(SEARCH("Pesquisa de Preços",E266)))</formula>
    </cfRule>
  </conditionalFormatting>
  <conditionalFormatting sqref="E2112">
    <cfRule type="containsText" dxfId="1431" priority="3372" operator="containsText" text="Pesquisa de Preços">
      <formula>NOT(ISERROR(SEARCH("Pesquisa de Preços",E2112)))</formula>
    </cfRule>
  </conditionalFormatting>
  <conditionalFormatting sqref="D5282">
    <cfRule type="containsText" dxfId="1430" priority="3365" operator="containsText" text="Pesquisa de Preços">
      <formula>NOT(ISERROR(SEARCH("Pesquisa de Preços",D5282)))</formula>
    </cfRule>
  </conditionalFormatting>
  <conditionalFormatting sqref="E5275">
    <cfRule type="containsText" dxfId="1429" priority="3361" operator="containsText" text="Pesquisa de Preços">
      <formula>NOT(ISERROR(SEARCH("Pesquisa de Preços",E5275)))</formula>
    </cfRule>
  </conditionalFormatting>
  <conditionalFormatting sqref="E5282">
    <cfRule type="containsText" dxfId="1428" priority="3364" operator="containsText" text="Pesquisa de Preços">
      <formula>NOT(ISERROR(SEARCH("Pesquisa de Preços",E5282)))</formula>
    </cfRule>
  </conditionalFormatting>
  <conditionalFormatting sqref="D5275">
    <cfRule type="containsText" dxfId="1427" priority="3356" operator="containsText" text="Pesquisa de Preços">
      <formula>NOT(ISERROR(SEARCH("Pesquisa de Preços",D5275)))</formula>
    </cfRule>
  </conditionalFormatting>
  <conditionalFormatting sqref="D5296">
    <cfRule type="containsText" dxfId="1426" priority="3347" operator="containsText" text="Pesquisa de Preços">
      <formula>NOT(ISERROR(SEARCH("Pesquisa de Preços",D5296)))</formula>
    </cfRule>
  </conditionalFormatting>
  <conditionalFormatting sqref="D5302">
    <cfRule type="containsText" dxfId="1425" priority="3346" operator="containsText" text="Pesquisa de Preços">
      <formula>NOT(ISERROR(SEARCH("Pesquisa de Preços",D5302)))</formula>
    </cfRule>
  </conditionalFormatting>
  <conditionalFormatting sqref="D2387">
    <cfRule type="containsText" dxfId="1424" priority="3345" operator="containsText" text="Pesquisa de Preços">
      <formula>NOT(ISERROR(SEARCH("Pesquisa de Preços",D2387)))</formula>
    </cfRule>
  </conditionalFormatting>
  <conditionalFormatting sqref="D2384">
    <cfRule type="containsText" dxfId="1423" priority="3344" operator="containsText" text="Pesquisa de Preços">
      <formula>NOT(ISERROR(SEARCH("Pesquisa de Preços",D2384)))</formula>
    </cfRule>
  </conditionalFormatting>
  <conditionalFormatting sqref="E2387">
    <cfRule type="containsText" dxfId="1422" priority="3343" operator="containsText" text="Pesquisa de Preços">
      <formula>NOT(ISERROR(SEARCH("Pesquisa de Preços",E2387)))</formula>
    </cfRule>
  </conditionalFormatting>
  <conditionalFormatting sqref="D2391">
    <cfRule type="containsText" dxfId="1421" priority="3340" operator="containsText" text="Pesquisa de Preços">
      <formula>NOT(ISERROR(SEARCH("Pesquisa de Preços",D2391)))</formula>
    </cfRule>
  </conditionalFormatting>
  <conditionalFormatting sqref="D2388">
    <cfRule type="containsText" dxfId="1420" priority="3339" operator="containsText" text="Pesquisa de Preços">
      <formula>NOT(ISERROR(SEARCH("Pesquisa de Preços",D2388)))</formula>
    </cfRule>
  </conditionalFormatting>
  <conditionalFormatting sqref="E2391">
    <cfRule type="containsText" dxfId="1419" priority="3338" operator="containsText" text="Pesquisa de Preços">
      <formula>NOT(ISERROR(SEARCH("Pesquisa de Preços",E2391)))</formula>
    </cfRule>
  </conditionalFormatting>
  <conditionalFormatting sqref="D2399">
    <cfRule type="containsText" dxfId="1418" priority="3335" operator="containsText" text="Pesquisa de Preços">
      <formula>NOT(ISERROR(SEARCH("Pesquisa de Preços",D2399)))</formula>
    </cfRule>
  </conditionalFormatting>
  <conditionalFormatting sqref="D2396">
    <cfRule type="containsText" dxfId="1417" priority="3334" operator="containsText" text="Pesquisa de Preços">
      <formula>NOT(ISERROR(SEARCH("Pesquisa de Preços",D2396)))</formula>
    </cfRule>
  </conditionalFormatting>
  <conditionalFormatting sqref="E2399">
    <cfRule type="containsText" dxfId="1416" priority="3333" operator="containsText" text="Pesquisa de Preços">
      <formula>NOT(ISERROR(SEARCH("Pesquisa de Preços",E2399)))</formula>
    </cfRule>
  </conditionalFormatting>
  <conditionalFormatting sqref="D2403">
    <cfRule type="containsText" dxfId="1415" priority="3330" operator="containsText" text="Pesquisa de Preços">
      <formula>NOT(ISERROR(SEARCH("Pesquisa de Preços",D2403)))</formula>
    </cfRule>
  </conditionalFormatting>
  <conditionalFormatting sqref="D2400">
    <cfRule type="containsText" dxfId="1414" priority="3329" operator="containsText" text="Pesquisa de Preços">
      <formula>NOT(ISERROR(SEARCH("Pesquisa de Preços",D2400)))</formula>
    </cfRule>
  </conditionalFormatting>
  <conditionalFormatting sqref="E2403">
    <cfRule type="containsText" dxfId="1413" priority="3328" operator="containsText" text="Pesquisa de Preços">
      <formula>NOT(ISERROR(SEARCH("Pesquisa de Preços",E2403)))</formula>
    </cfRule>
  </conditionalFormatting>
  <conditionalFormatting sqref="D2407">
    <cfRule type="containsText" dxfId="1412" priority="3325" operator="containsText" text="Pesquisa de Preços">
      <formula>NOT(ISERROR(SEARCH("Pesquisa de Preços",D2407)))</formula>
    </cfRule>
  </conditionalFormatting>
  <conditionalFormatting sqref="D2404">
    <cfRule type="containsText" dxfId="1411" priority="3324" operator="containsText" text="Pesquisa de Preços">
      <formula>NOT(ISERROR(SEARCH("Pesquisa de Preços",D2404)))</formula>
    </cfRule>
  </conditionalFormatting>
  <conditionalFormatting sqref="E2407">
    <cfRule type="containsText" dxfId="1410" priority="3323" operator="containsText" text="Pesquisa de Preços">
      <formula>NOT(ISERROR(SEARCH("Pesquisa de Preços",E2407)))</formula>
    </cfRule>
  </conditionalFormatting>
  <conditionalFormatting sqref="D2411">
    <cfRule type="containsText" dxfId="1409" priority="3320" operator="containsText" text="Pesquisa de Preços">
      <formula>NOT(ISERROR(SEARCH("Pesquisa de Preços",D2411)))</formula>
    </cfRule>
  </conditionalFormatting>
  <conditionalFormatting sqref="D2408">
    <cfRule type="containsText" dxfId="1408" priority="3319" operator="containsText" text="Pesquisa de Preços">
      <formula>NOT(ISERROR(SEARCH("Pesquisa de Preços",D2408)))</formula>
    </cfRule>
  </conditionalFormatting>
  <conditionalFormatting sqref="E2411">
    <cfRule type="containsText" dxfId="1407" priority="3318" operator="containsText" text="Pesquisa de Preços">
      <formula>NOT(ISERROR(SEARCH("Pesquisa de Preços",E2411)))</formula>
    </cfRule>
  </conditionalFormatting>
  <conditionalFormatting sqref="D2415">
    <cfRule type="containsText" dxfId="1406" priority="3315" operator="containsText" text="Pesquisa de Preços">
      <formula>NOT(ISERROR(SEARCH("Pesquisa de Preços",D2415)))</formula>
    </cfRule>
  </conditionalFormatting>
  <conditionalFormatting sqref="D2412">
    <cfRule type="containsText" dxfId="1405" priority="3314" operator="containsText" text="Pesquisa de Preços">
      <formula>NOT(ISERROR(SEARCH("Pesquisa de Preços",D2412)))</formula>
    </cfRule>
  </conditionalFormatting>
  <conditionalFormatting sqref="E2415">
    <cfRule type="containsText" dxfId="1404" priority="3313" operator="containsText" text="Pesquisa de Preços">
      <formula>NOT(ISERROR(SEARCH("Pesquisa de Preços",E2415)))</formula>
    </cfRule>
  </conditionalFormatting>
  <conditionalFormatting sqref="D2419">
    <cfRule type="containsText" dxfId="1403" priority="3310" operator="containsText" text="Pesquisa de Preços">
      <formula>NOT(ISERROR(SEARCH("Pesquisa de Preços",D2419)))</formula>
    </cfRule>
  </conditionalFormatting>
  <conditionalFormatting sqref="D2416">
    <cfRule type="containsText" dxfId="1402" priority="3309" operator="containsText" text="Pesquisa de Preços">
      <formula>NOT(ISERROR(SEARCH("Pesquisa de Preços",D2416)))</formula>
    </cfRule>
  </conditionalFormatting>
  <conditionalFormatting sqref="E2419">
    <cfRule type="containsText" dxfId="1401" priority="3308" operator="containsText" text="Pesquisa de Preços">
      <formula>NOT(ISERROR(SEARCH("Pesquisa de Preços",E2419)))</formula>
    </cfRule>
  </conditionalFormatting>
  <conditionalFormatting sqref="D2424">
    <cfRule type="containsText" dxfId="1400" priority="3305" operator="containsText" text="Pesquisa de Preços">
      <formula>NOT(ISERROR(SEARCH("Pesquisa de Preços",D2424)))</formula>
    </cfRule>
  </conditionalFormatting>
  <conditionalFormatting sqref="D2428">
    <cfRule type="containsText" dxfId="1399" priority="3302" operator="containsText" text="Pesquisa de Preços">
      <formula>NOT(ISERROR(SEARCH("Pesquisa de Preços",D2428)))</formula>
    </cfRule>
  </conditionalFormatting>
  <conditionalFormatting sqref="D2440">
    <cfRule type="containsText" dxfId="1398" priority="3299" operator="containsText" text="Pesquisa de Preços">
      <formula>NOT(ISERROR(SEARCH("Pesquisa de Preços",D2440)))</formula>
    </cfRule>
  </conditionalFormatting>
  <conditionalFormatting sqref="D2444">
    <cfRule type="containsText" dxfId="1397" priority="3296" operator="containsText" text="Pesquisa de Preços">
      <formula>NOT(ISERROR(SEARCH("Pesquisa de Preços",D2444)))</formula>
    </cfRule>
  </conditionalFormatting>
  <conditionalFormatting sqref="D2448">
    <cfRule type="containsText" dxfId="1396" priority="3293" operator="containsText" text="Pesquisa de Preços">
      <formula>NOT(ISERROR(SEARCH("Pesquisa de Preços",D2448)))</formula>
    </cfRule>
  </conditionalFormatting>
  <conditionalFormatting sqref="D2452">
    <cfRule type="containsText" dxfId="1395" priority="3290" operator="containsText" text="Pesquisa de Preços">
      <formula>NOT(ISERROR(SEARCH("Pesquisa de Preços",D2452)))</formula>
    </cfRule>
  </conditionalFormatting>
  <conditionalFormatting sqref="D2456">
    <cfRule type="containsText" dxfId="1394" priority="3287" operator="containsText" text="Pesquisa de Preços">
      <formula>NOT(ISERROR(SEARCH("Pesquisa de Preços",D2456)))</formula>
    </cfRule>
  </conditionalFormatting>
  <conditionalFormatting sqref="D2460">
    <cfRule type="containsText" dxfId="1393" priority="3284" operator="containsText" text="Pesquisa de Preços">
      <formula>NOT(ISERROR(SEARCH("Pesquisa de Preços",D2460)))</formula>
    </cfRule>
  </conditionalFormatting>
  <conditionalFormatting sqref="D2464">
    <cfRule type="containsText" dxfId="1392" priority="3281" operator="containsText" text="Pesquisa de Preços">
      <formula>NOT(ISERROR(SEARCH("Pesquisa de Preços",D2464)))</formula>
    </cfRule>
  </conditionalFormatting>
  <conditionalFormatting sqref="D2468">
    <cfRule type="containsText" dxfId="1391" priority="3278" operator="containsText" text="Pesquisa de Preços">
      <formula>NOT(ISERROR(SEARCH("Pesquisa de Preços",D2468)))</formula>
    </cfRule>
  </conditionalFormatting>
  <conditionalFormatting sqref="D2472">
    <cfRule type="containsText" dxfId="1390" priority="3277" operator="containsText" text="Pesquisa de Preços">
      <formula>NOT(ISERROR(SEARCH("Pesquisa de Preços",D2472)))</formula>
    </cfRule>
  </conditionalFormatting>
  <conditionalFormatting sqref="D2476">
    <cfRule type="containsText" dxfId="1389" priority="3276" operator="containsText" text="Pesquisa de Preços">
      <formula>NOT(ISERROR(SEARCH("Pesquisa de Preços",D2476)))</formula>
    </cfRule>
  </conditionalFormatting>
  <conditionalFormatting sqref="D2480">
    <cfRule type="containsText" dxfId="1388" priority="3275" operator="containsText" text="Pesquisa de Preços">
      <formula>NOT(ISERROR(SEARCH("Pesquisa de Preços",D2480)))</formula>
    </cfRule>
  </conditionalFormatting>
  <conditionalFormatting sqref="D2484">
    <cfRule type="containsText" dxfId="1387" priority="3272" operator="containsText" text="Pesquisa de Preços">
      <formula>NOT(ISERROR(SEARCH("Pesquisa de Preços",D2484)))</formula>
    </cfRule>
  </conditionalFormatting>
  <conditionalFormatting sqref="D2488">
    <cfRule type="containsText" dxfId="1386" priority="3269" operator="containsText" text="Pesquisa de Preços">
      <formula>NOT(ISERROR(SEARCH("Pesquisa de Preços",D2488)))</formula>
    </cfRule>
  </conditionalFormatting>
  <conditionalFormatting sqref="D2492">
    <cfRule type="containsText" dxfId="1385" priority="3266" operator="containsText" text="Pesquisa de Preços">
      <formula>NOT(ISERROR(SEARCH("Pesquisa de Preços",D2492)))</formula>
    </cfRule>
  </conditionalFormatting>
  <conditionalFormatting sqref="D2496">
    <cfRule type="containsText" dxfId="1384" priority="3263" operator="containsText" text="Pesquisa de Preços">
      <formula>NOT(ISERROR(SEARCH("Pesquisa de Preços",D2496)))</formula>
    </cfRule>
  </conditionalFormatting>
  <conditionalFormatting sqref="D2500">
    <cfRule type="containsText" dxfId="1383" priority="3260" operator="containsText" text="Pesquisa de Preços">
      <formula>NOT(ISERROR(SEARCH("Pesquisa de Preços",D2500)))</formula>
    </cfRule>
  </conditionalFormatting>
  <conditionalFormatting sqref="D2504">
    <cfRule type="containsText" dxfId="1382" priority="3257" operator="containsText" text="Pesquisa de Preços">
      <formula>NOT(ISERROR(SEARCH("Pesquisa de Preços",D2504)))</formula>
    </cfRule>
  </conditionalFormatting>
  <conditionalFormatting sqref="D2508">
    <cfRule type="containsText" dxfId="1381" priority="3254" operator="containsText" text="Pesquisa de Preços">
      <formula>NOT(ISERROR(SEARCH("Pesquisa de Preços",D2508)))</formula>
    </cfRule>
  </conditionalFormatting>
  <conditionalFormatting sqref="D2512">
    <cfRule type="containsText" dxfId="1380" priority="3251" operator="containsText" text="Pesquisa de Preços">
      <formula>NOT(ISERROR(SEARCH("Pesquisa de Preços",D2512)))</formula>
    </cfRule>
  </conditionalFormatting>
  <conditionalFormatting sqref="D2516">
    <cfRule type="containsText" dxfId="1379" priority="3248" operator="containsText" text="Pesquisa de Preços">
      <formula>NOT(ISERROR(SEARCH("Pesquisa de Preços",D2516)))</formula>
    </cfRule>
  </conditionalFormatting>
  <conditionalFormatting sqref="D2520">
    <cfRule type="containsText" dxfId="1378" priority="3245" operator="containsText" text="Pesquisa de Preços">
      <formula>NOT(ISERROR(SEARCH("Pesquisa de Preços",D2520)))</formula>
    </cfRule>
  </conditionalFormatting>
  <conditionalFormatting sqref="D2524">
    <cfRule type="containsText" dxfId="1377" priority="3242" operator="containsText" text="Pesquisa de Preços">
      <formula>NOT(ISERROR(SEARCH("Pesquisa de Preços",D2524)))</formula>
    </cfRule>
  </conditionalFormatting>
  <conditionalFormatting sqref="D2528">
    <cfRule type="containsText" dxfId="1376" priority="3239" operator="containsText" text="Pesquisa de Preços">
      <formula>NOT(ISERROR(SEARCH("Pesquisa de Preços",D2528)))</formula>
    </cfRule>
  </conditionalFormatting>
  <conditionalFormatting sqref="D2632">
    <cfRule type="containsText" dxfId="1375" priority="3230" operator="containsText" text="Pesquisa de Preços">
      <formula>NOT(ISERROR(SEARCH("Pesquisa de Preços",D2632)))</formula>
    </cfRule>
  </conditionalFormatting>
  <conditionalFormatting sqref="D2536">
    <cfRule type="containsText" dxfId="1374" priority="3234" operator="containsText" text="Pesquisa de Preços">
      <formula>NOT(ISERROR(SEARCH("Pesquisa de Preços",D2536)))</formula>
    </cfRule>
  </conditionalFormatting>
  <conditionalFormatting sqref="D2532">
    <cfRule type="containsText" dxfId="1373" priority="3231" operator="containsText" text="Pesquisa de Preços">
      <formula>NOT(ISERROR(SEARCH("Pesquisa de Preços",D2532)))</formula>
    </cfRule>
  </conditionalFormatting>
  <conditionalFormatting sqref="D2640">
    <cfRule type="containsText" dxfId="1372" priority="3227" operator="containsText" text="Pesquisa de Preços">
      <formula>NOT(ISERROR(SEARCH("Pesquisa de Preços",D2640)))</formula>
    </cfRule>
  </conditionalFormatting>
  <conditionalFormatting sqref="D2432">
    <cfRule type="containsText" dxfId="1371" priority="3224" operator="containsText" text="Pesquisa de Preços">
      <formula>NOT(ISERROR(SEARCH("Pesquisa de Preços",D2432)))</formula>
    </cfRule>
  </conditionalFormatting>
  <conditionalFormatting sqref="D2436">
    <cfRule type="containsText" dxfId="1370" priority="3221" operator="containsText" text="Pesquisa de Preços">
      <formula>NOT(ISERROR(SEARCH("Pesquisa de Preços",D2436)))</formula>
    </cfRule>
  </conditionalFormatting>
  <conditionalFormatting sqref="D5733">
    <cfRule type="containsText" dxfId="1369" priority="3096" operator="containsText" text="Pesquisa de Preços">
      <formula>NOT(ISERROR(SEARCH("Pesquisa de Preços",D5733)))</formula>
    </cfRule>
  </conditionalFormatting>
  <conditionalFormatting sqref="D5725">
    <cfRule type="containsText" dxfId="1368" priority="3102" operator="containsText" text="Pesquisa de Preços">
      <formula>NOT(ISERROR(SEARCH("Pesquisa de Preços",D5725)))</formula>
    </cfRule>
  </conditionalFormatting>
  <conditionalFormatting sqref="D5737">
    <cfRule type="containsText" dxfId="1367" priority="3093" operator="containsText" text="Pesquisa de Preços">
      <formula>NOT(ISERROR(SEARCH("Pesquisa de Preços",D5737)))</formula>
    </cfRule>
  </conditionalFormatting>
  <conditionalFormatting sqref="D6081">
    <cfRule type="containsText" dxfId="1366" priority="2989" operator="containsText" text="Pesquisa de Preços">
      <formula>NOT(ISERROR(SEARCH("Pesquisa de Preços",D6081)))</formula>
    </cfRule>
  </conditionalFormatting>
  <conditionalFormatting sqref="D6142">
    <cfRule type="containsText" dxfId="1365" priority="2984" operator="containsText" text="Pesquisa de Preços">
      <formula>NOT(ISERROR(SEARCH("Pesquisa de Preços",D6142)))</formula>
    </cfRule>
  </conditionalFormatting>
  <conditionalFormatting sqref="D6139:D6141">
    <cfRule type="containsText" dxfId="1364" priority="2983" operator="containsText" text="Pesquisa de Preços">
      <formula>NOT(ISERROR(SEARCH("Pesquisa de Preços",D6139)))</formula>
    </cfRule>
  </conditionalFormatting>
  <conditionalFormatting sqref="D2756">
    <cfRule type="containsText" dxfId="1363" priority="3214" operator="containsText" text="Pesquisa de Preços">
      <formula>NOT(ISERROR(SEARCH("Pesquisa de Preços",D2756)))</formula>
    </cfRule>
  </conditionalFormatting>
  <conditionalFormatting sqref="D5729">
    <cfRule type="containsText" dxfId="1362" priority="3099" operator="containsText" text="Pesquisa de Preços">
      <formula>NOT(ISERROR(SEARCH("Pesquisa de Preços",D5729)))</formula>
    </cfRule>
  </conditionalFormatting>
  <conditionalFormatting sqref="D5615">
    <cfRule type="containsText" dxfId="1361" priority="3111" operator="containsText" text="Pesquisa de Preços">
      <formula>NOT(ISERROR(SEARCH("Pesquisa de Preços",D5615)))</formula>
    </cfRule>
  </conditionalFormatting>
  <conditionalFormatting sqref="D5745">
    <cfRule type="containsText" dxfId="1360" priority="3038" operator="containsText" text="Pesquisa de Preços">
      <formula>NOT(ISERROR(SEARCH("Pesquisa de Preços",D5745)))</formula>
    </cfRule>
  </conditionalFormatting>
  <conditionalFormatting sqref="D5741">
    <cfRule type="containsText" dxfId="1359" priority="3037" operator="containsText" text="Pesquisa de Preços">
      <formula>NOT(ISERROR(SEARCH("Pesquisa de Preços",D5741)))</formula>
    </cfRule>
  </conditionalFormatting>
  <conditionalFormatting sqref="D6005">
    <cfRule type="containsText" dxfId="1358" priority="3034" operator="containsText" text="Pesquisa de Preços">
      <formula>NOT(ISERROR(SEARCH("Pesquisa de Preços",D6005)))</formula>
    </cfRule>
  </conditionalFormatting>
  <conditionalFormatting sqref="D6013">
    <cfRule type="containsText" dxfId="1357" priority="3028" operator="containsText" text="Pesquisa de Preços">
      <formula>NOT(ISERROR(SEARCH("Pesquisa de Preços",D6013)))</formula>
    </cfRule>
  </conditionalFormatting>
  <conditionalFormatting sqref="D6025">
    <cfRule type="containsText" dxfId="1356" priority="3019" operator="containsText" text="Pesquisa de Preços">
      <formula>NOT(ISERROR(SEARCH("Pesquisa de Preços",D6025)))</formula>
    </cfRule>
  </conditionalFormatting>
  <conditionalFormatting sqref="D6009">
    <cfRule type="containsText" dxfId="1355" priority="3031" operator="containsText" text="Pesquisa de Preços">
      <formula>NOT(ISERROR(SEARCH("Pesquisa de Preços",D6009)))</formula>
    </cfRule>
  </conditionalFormatting>
  <conditionalFormatting sqref="D6033">
    <cfRule type="containsText" dxfId="1354" priority="3013" operator="containsText" text="Pesquisa de Preços">
      <formula>NOT(ISERROR(SEARCH("Pesquisa de Preços",D6033)))</formula>
    </cfRule>
  </conditionalFormatting>
  <conditionalFormatting sqref="D6017">
    <cfRule type="containsText" dxfId="1353" priority="3025" operator="containsText" text="Pesquisa de Preços">
      <formula>NOT(ISERROR(SEARCH("Pesquisa de Preços",D6017)))</formula>
    </cfRule>
  </conditionalFormatting>
  <conditionalFormatting sqref="D6021">
    <cfRule type="containsText" dxfId="1352" priority="3022" operator="containsText" text="Pesquisa de Preços">
      <formula>NOT(ISERROR(SEARCH("Pesquisa de Preços",D6021)))</formula>
    </cfRule>
  </conditionalFormatting>
  <conditionalFormatting sqref="D6029">
    <cfRule type="containsText" dxfId="1351" priority="3016" operator="containsText" text="Pesquisa de Preços">
      <formula>NOT(ISERROR(SEARCH("Pesquisa de Preços",D6029)))</formula>
    </cfRule>
  </conditionalFormatting>
  <conditionalFormatting sqref="D6073">
    <cfRule type="containsText" dxfId="1350" priority="2994" operator="containsText" text="Pesquisa de Preços">
      <formula>NOT(ISERROR(SEARCH("Pesquisa de Preços",D6073)))</formula>
    </cfRule>
  </conditionalFormatting>
  <conditionalFormatting sqref="D5549">
    <cfRule type="containsText" dxfId="1349" priority="2874" operator="containsText" text="Pesquisa de Preços">
      <formula>NOT(ISERROR(SEARCH("Pesquisa de Preços",D5549)))</formula>
    </cfRule>
  </conditionalFormatting>
  <conditionalFormatting sqref="D5543">
    <cfRule type="containsText" dxfId="1348" priority="2875" operator="containsText" text="Pesquisa de Preços">
      <formula>NOT(ISERROR(SEARCH("Pesquisa de Preços",D5543)))</formula>
    </cfRule>
  </conditionalFormatting>
  <conditionalFormatting sqref="D2760">
    <cfRule type="containsText" dxfId="1347" priority="2976" operator="containsText" text="Pesquisa de Preços">
      <formula>NOT(ISERROR(SEARCH("Pesquisa de Preços",D2760)))</formula>
    </cfRule>
  </conditionalFormatting>
  <conditionalFormatting sqref="D2752">
    <cfRule type="containsText" dxfId="1346" priority="2971" operator="containsText" text="Pesquisa de Preços">
      <formula>NOT(ISERROR(SEARCH("Pesquisa de Preços",D2752)))</formula>
    </cfRule>
  </conditionalFormatting>
  <conditionalFormatting sqref="D5647">
    <cfRule type="containsText" dxfId="1345" priority="2857" operator="containsText" text="Pesquisa de Preços">
      <formula>NOT(ISERROR(SEARCH("Pesquisa de Preços",D5647)))</formula>
    </cfRule>
  </conditionalFormatting>
  <conditionalFormatting sqref="D5671">
    <cfRule type="containsText" dxfId="1344" priority="2851" operator="containsText" text="Pesquisa de Preços">
      <formula>NOT(ISERROR(SEARCH("Pesquisa de Preços",D5671)))</formula>
    </cfRule>
  </conditionalFormatting>
  <conditionalFormatting sqref="D5663">
    <cfRule type="containsText" dxfId="1343" priority="2853" operator="containsText" text="Pesquisa de Preços">
      <formula>NOT(ISERROR(SEARCH("Pesquisa de Preços",D5663)))</formula>
    </cfRule>
  </conditionalFormatting>
  <conditionalFormatting sqref="D5675">
    <cfRule type="containsText" dxfId="1342" priority="2850" operator="containsText" text="Pesquisa de Preços">
      <formula>NOT(ISERROR(SEARCH("Pesquisa de Preços",D5675)))</formula>
    </cfRule>
  </conditionalFormatting>
  <conditionalFormatting sqref="D5703">
    <cfRule type="containsText" dxfId="1341" priority="2844" operator="containsText" text="Pesquisa de Preços">
      <formula>NOT(ISERROR(SEARCH("Pesquisa de Preços",D5703)))</formula>
    </cfRule>
  </conditionalFormatting>
  <conditionalFormatting sqref="D5731">
    <cfRule type="containsText" dxfId="1340" priority="2837" operator="containsText" text="Pesquisa de Preços">
      <formula>NOT(ISERROR(SEARCH("Pesquisa de Preços",D5731)))</formula>
    </cfRule>
  </conditionalFormatting>
  <conditionalFormatting sqref="D5795">
    <cfRule type="containsText" dxfId="1339" priority="2822" operator="containsText" text="Pesquisa de Preços">
      <formula>NOT(ISERROR(SEARCH("Pesquisa de Preços",D5795)))</formula>
    </cfRule>
  </conditionalFormatting>
  <conditionalFormatting sqref="D5867">
    <cfRule type="containsText" dxfId="1338" priority="2804" operator="containsText" text="Pesquisa de Preços">
      <formula>NOT(ISERROR(SEARCH("Pesquisa de Preços",D5867)))</formula>
    </cfRule>
  </conditionalFormatting>
  <conditionalFormatting sqref="D5871">
    <cfRule type="containsText" dxfId="1337" priority="2803" operator="containsText" text="Pesquisa de Preços">
      <formula>NOT(ISERROR(SEARCH("Pesquisa de Preços",D5871)))</formula>
    </cfRule>
  </conditionalFormatting>
  <conditionalFormatting sqref="D5899">
    <cfRule type="containsText" dxfId="1336" priority="2796" operator="containsText" text="Pesquisa de Preços">
      <formula>NOT(ISERROR(SEARCH("Pesquisa de Preços",D5899)))</formula>
    </cfRule>
  </conditionalFormatting>
  <conditionalFormatting sqref="D5927">
    <cfRule type="containsText" dxfId="1335" priority="2789" operator="containsText" text="Pesquisa de Preços">
      <formula>NOT(ISERROR(SEARCH("Pesquisa de Preços",D5927)))</formula>
    </cfRule>
  </conditionalFormatting>
  <conditionalFormatting sqref="D5947 D5943">
    <cfRule type="containsText" dxfId="1334" priority="2785" operator="containsText" text="Pesquisa de Preços">
      <formula>NOT(ISERROR(SEARCH("Pesquisa de Preços",D5943)))</formula>
    </cfRule>
  </conditionalFormatting>
  <conditionalFormatting sqref="D5975">
    <cfRule type="containsText" dxfId="1333" priority="2780" operator="containsText" text="Pesquisa de Preços">
      <formula>NOT(ISERROR(SEARCH("Pesquisa de Preços",D5975)))</formula>
    </cfRule>
  </conditionalFormatting>
  <conditionalFormatting sqref="D5999">
    <cfRule type="containsText" dxfId="1332" priority="2775" operator="containsText" text="Pesquisa de Preços">
      <formula>NOT(ISERROR(SEARCH("Pesquisa de Preços",D5999)))</formula>
    </cfRule>
  </conditionalFormatting>
  <conditionalFormatting sqref="D6031">
    <cfRule type="containsText" dxfId="1331" priority="2767" operator="containsText" text="Pesquisa de Preços">
      <formula>NOT(ISERROR(SEARCH("Pesquisa de Preços",D6031)))</formula>
    </cfRule>
  </conditionalFormatting>
  <conditionalFormatting sqref="D6075">
    <cfRule type="containsText" dxfId="1330" priority="2759" operator="containsText" text="Pesquisa de Preços">
      <formula>NOT(ISERROR(SEARCH("Pesquisa de Preços",D6075)))</formula>
    </cfRule>
  </conditionalFormatting>
  <conditionalFormatting sqref="D5495">
    <cfRule type="containsText" dxfId="1329" priority="2883" operator="containsText" text="Pesquisa de Preços">
      <formula>NOT(ISERROR(SEARCH("Pesquisa de Preços",D5495)))</formula>
    </cfRule>
  </conditionalFormatting>
  <conditionalFormatting sqref="D5501">
    <cfRule type="containsText" dxfId="1328" priority="2882" operator="containsText" text="Pesquisa de Preços">
      <formula>NOT(ISERROR(SEARCH("Pesquisa de Preços",D5501)))</formula>
    </cfRule>
  </conditionalFormatting>
  <conditionalFormatting sqref="D5507">
    <cfRule type="containsText" dxfId="1327" priority="2881" operator="containsText" text="Pesquisa de Preços">
      <formula>NOT(ISERROR(SEARCH("Pesquisa de Preços",D5507)))</formula>
    </cfRule>
  </conditionalFormatting>
  <conditionalFormatting sqref="D5513">
    <cfRule type="containsText" dxfId="1326" priority="2880" operator="containsText" text="Pesquisa de Preços">
      <formula>NOT(ISERROR(SEARCH("Pesquisa de Preços",D5513)))</formula>
    </cfRule>
  </conditionalFormatting>
  <conditionalFormatting sqref="D5519">
    <cfRule type="containsText" dxfId="1325" priority="2879" operator="containsText" text="Pesquisa de Preços">
      <formula>NOT(ISERROR(SEARCH("Pesquisa de Preços",D5519)))</formula>
    </cfRule>
  </conditionalFormatting>
  <conditionalFormatting sqref="D5525">
    <cfRule type="containsText" dxfId="1324" priority="2878" operator="containsText" text="Pesquisa de Preços">
      <formula>NOT(ISERROR(SEARCH("Pesquisa de Preços",D5525)))</formula>
    </cfRule>
  </conditionalFormatting>
  <conditionalFormatting sqref="D6151">
    <cfRule type="containsText" dxfId="1323" priority="2744" operator="containsText" text="Pesquisa de Preços">
      <formula>NOT(ISERROR(SEARCH("Pesquisa de Preços",D6151)))</formula>
    </cfRule>
  </conditionalFormatting>
  <conditionalFormatting sqref="D5531">
    <cfRule type="containsText" dxfId="1322" priority="2877" operator="containsText" text="Pesquisa de Preços">
      <formula>NOT(ISERROR(SEARCH("Pesquisa de Preços",D5531)))</formula>
    </cfRule>
  </conditionalFormatting>
  <conditionalFormatting sqref="D5537">
    <cfRule type="containsText" dxfId="1321" priority="2876" operator="containsText" text="Pesquisa de Preços">
      <formula>NOT(ISERROR(SEARCH("Pesquisa de Preços",D5537)))</formula>
    </cfRule>
  </conditionalFormatting>
  <conditionalFormatting sqref="D5597">
    <cfRule type="containsText" dxfId="1320" priority="2867" operator="containsText" text="Pesquisa de Preços">
      <formula>NOT(ISERROR(SEARCH("Pesquisa de Preços",D5597)))</formula>
    </cfRule>
  </conditionalFormatting>
  <conditionalFormatting sqref="D5603">
    <cfRule type="containsText" dxfId="1319" priority="2866" operator="containsText" text="Pesquisa de Preços">
      <formula>NOT(ISERROR(SEARCH("Pesquisa de Preços",D5603)))</formula>
    </cfRule>
  </conditionalFormatting>
  <conditionalFormatting sqref="D5555">
    <cfRule type="containsText" dxfId="1318" priority="2873" operator="containsText" text="Pesquisa de Preços">
      <formula>NOT(ISERROR(SEARCH("Pesquisa de Preços",D5555)))</formula>
    </cfRule>
  </conditionalFormatting>
  <conditionalFormatting sqref="D5561">
    <cfRule type="containsText" dxfId="1317" priority="2872" operator="containsText" text="Pesquisa de Preços">
      <formula>NOT(ISERROR(SEARCH("Pesquisa de Preços",D5561)))</formula>
    </cfRule>
  </conditionalFormatting>
  <conditionalFormatting sqref="D5567">
    <cfRule type="containsText" dxfId="1316" priority="2871" operator="containsText" text="Pesquisa de Preços">
      <formula>NOT(ISERROR(SEARCH("Pesquisa de Preços",D5567)))</formula>
    </cfRule>
  </conditionalFormatting>
  <conditionalFormatting sqref="D5579 D5573">
    <cfRule type="containsText" dxfId="1315" priority="2870" operator="containsText" text="Pesquisa de Preços">
      <formula>NOT(ISERROR(SEARCH("Pesquisa de Preços",D5573)))</formula>
    </cfRule>
  </conditionalFormatting>
  <conditionalFormatting sqref="D5585">
    <cfRule type="containsText" dxfId="1314" priority="2869" operator="containsText" text="Pesquisa de Preços">
      <formula>NOT(ISERROR(SEARCH("Pesquisa de Preços",D5585)))</formula>
    </cfRule>
  </conditionalFormatting>
  <conditionalFormatting sqref="D5591">
    <cfRule type="containsText" dxfId="1313" priority="2868" operator="containsText" text="Pesquisa de Preços">
      <formula>NOT(ISERROR(SEARCH("Pesquisa de Preços",D5591)))</formula>
    </cfRule>
  </conditionalFormatting>
  <conditionalFormatting sqref="D5609">
    <cfRule type="containsText" dxfId="1312" priority="2865" operator="containsText" text="Pesquisa de Preços">
      <formula>NOT(ISERROR(SEARCH("Pesquisa de Preços",D5609)))</formula>
    </cfRule>
  </conditionalFormatting>
  <conditionalFormatting sqref="D5619">
    <cfRule type="containsText" dxfId="1311" priority="2864" operator="containsText" text="Pesquisa de Preços">
      <formula>NOT(ISERROR(SEARCH("Pesquisa de Preços",D5619)))</formula>
    </cfRule>
  </conditionalFormatting>
  <conditionalFormatting sqref="D5623">
    <cfRule type="containsText" dxfId="1310" priority="2863" operator="containsText" text="Pesquisa de Preços">
      <formula>NOT(ISERROR(SEARCH("Pesquisa de Preços",D5623)))</formula>
    </cfRule>
  </conditionalFormatting>
  <conditionalFormatting sqref="D5627">
    <cfRule type="containsText" dxfId="1309" priority="2862" operator="containsText" text="Pesquisa de Preços">
      <formula>NOT(ISERROR(SEARCH("Pesquisa de Preços",D5627)))</formula>
    </cfRule>
  </conditionalFormatting>
  <conditionalFormatting sqref="D5631">
    <cfRule type="containsText" dxfId="1308" priority="2861" operator="containsText" text="Pesquisa de Preços">
      <formula>NOT(ISERROR(SEARCH("Pesquisa de Preços",D5631)))</formula>
    </cfRule>
  </conditionalFormatting>
  <conditionalFormatting sqref="D5635">
    <cfRule type="containsText" dxfId="1307" priority="2860" operator="containsText" text="Pesquisa de Preços">
      <formula>NOT(ISERROR(SEARCH("Pesquisa de Preços",D5635)))</formula>
    </cfRule>
  </conditionalFormatting>
  <conditionalFormatting sqref="D5639">
    <cfRule type="containsText" dxfId="1306" priority="2859" operator="containsText" text="Pesquisa de Preços">
      <formula>NOT(ISERROR(SEARCH("Pesquisa de Preços",D5639)))</formula>
    </cfRule>
  </conditionalFormatting>
  <conditionalFormatting sqref="D5643">
    <cfRule type="containsText" dxfId="1305" priority="2858" operator="containsText" text="Pesquisa de Preços">
      <formula>NOT(ISERROR(SEARCH("Pesquisa de Preços",D5643)))</formula>
    </cfRule>
  </conditionalFormatting>
  <conditionalFormatting sqref="D5651">
    <cfRule type="containsText" dxfId="1304" priority="2856" operator="containsText" text="Pesquisa de Preços">
      <formula>NOT(ISERROR(SEARCH("Pesquisa de Preços",D5651)))</formula>
    </cfRule>
  </conditionalFormatting>
  <conditionalFormatting sqref="D5655">
    <cfRule type="containsText" dxfId="1303" priority="2855" operator="containsText" text="Pesquisa de Preços">
      <formula>NOT(ISERROR(SEARCH("Pesquisa de Preços",D5655)))</formula>
    </cfRule>
  </conditionalFormatting>
  <conditionalFormatting sqref="D5659">
    <cfRule type="containsText" dxfId="1302" priority="2854" operator="containsText" text="Pesquisa de Preços">
      <formula>NOT(ISERROR(SEARCH("Pesquisa de Preços",D5659)))</formula>
    </cfRule>
  </conditionalFormatting>
  <conditionalFormatting sqref="D5699">
    <cfRule type="containsText" dxfId="1301" priority="2845" operator="containsText" text="Pesquisa de Preços">
      <formula>NOT(ISERROR(SEARCH("Pesquisa de Preços",D5699)))</formula>
    </cfRule>
  </conditionalFormatting>
  <conditionalFormatting sqref="D5667">
    <cfRule type="containsText" dxfId="1300" priority="2852" operator="containsText" text="Pesquisa de Preços">
      <formula>NOT(ISERROR(SEARCH("Pesquisa de Preços",D5667)))</formula>
    </cfRule>
  </conditionalFormatting>
  <conditionalFormatting sqref="D5707">
    <cfRule type="containsText" dxfId="1299" priority="2843" operator="containsText" text="Pesquisa de Preços">
      <formula>NOT(ISERROR(SEARCH("Pesquisa de Preços",D5707)))</formula>
    </cfRule>
  </conditionalFormatting>
  <conditionalFormatting sqref="D5711">
    <cfRule type="containsText" dxfId="1298" priority="2842" operator="containsText" text="Pesquisa de Preços">
      <formula>NOT(ISERROR(SEARCH("Pesquisa de Preços",D5711)))</formula>
    </cfRule>
  </conditionalFormatting>
  <conditionalFormatting sqref="D5679">
    <cfRule type="containsText" dxfId="1297" priority="2849" operator="containsText" text="Pesquisa de Preços">
      <formula>NOT(ISERROR(SEARCH("Pesquisa de Preços",D5679)))</formula>
    </cfRule>
  </conditionalFormatting>
  <conditionalFormatting sqref="D5687 D5683">
    <cfRule type="containsText" dxfId="1296" priority="2848" operator="containsText" text="Pesquisa de Preços">
      <formula>NOT(ISERROR(SEARCH("Pesquisa de Preços",D5683)))</formula>
    </cfRule>
  </conditionalFormatting>
  <conditionalFormatting sqref="D5691">
    <cfRule type="containsText" dxfId="1295" priority="2847" operator="containsText" text="Pesquisa de Preços">
      <formula>NOT(ISERROR(SEARCH("Pesquisa de Preços",D5691)))</formula>
    </cfRule>
  </conditionalFormatting>
  <conditionalFormatting sqref="D5695">
    <cfRule type="containsText" dxfId="1294" priority="2846" operator="containsText" text="Pesquisa de Preços">
      <formula>NOT(ISERROR(SEARCH("Pesquisa de Preços",D5695)))</formula>
    </cfRule>
  </conditionalFormatting>
  <conditionalFormatting sqref="D5739">
    <cfRule type="containsText" dxfId="1293" priority="2835" operator="containsText" text="Pesquisa de Preços">
      <formula>NOT(ISERROR(SEARCH("Pesquisa de Preços",D5739)))</formula>
    </cfRule>
  </conditionalFormatting>
  <conditionalFormatting sqref="D5715">
    <cfRule type="containsText" dxfId="1292" priority="2841" operator="containsText" text="Pesquisa de Preços">
      <formula>NOT(ISERROR(SEARCH("Pesquisa de Preços",D5715)))</formula>
    </cfRule>
  </conditionalFormatting>
  <conditionalFormatting sqref="D5719">
    <cfRule type="containsText" dxfId="1291" priority="2840" operator="containsText" text="Pesquisa de Preços">
      <formula>NOT(ISERROR(SEARCH("Pesquisa de Preços",D5719)))</formula>
    </cfRule>
  </conditionalFormatting>
  <conditionalFormatting sqref="D5723">
    <cfRule type="containsText" dxfId="1290" priority="2839" operator="containsText" text="Pesquisa de Preços">
      <formula>NOT(ISERROR(SEARCH("Pesquisa de Preços",D5723)))</formula>
    </cfRule>
  </conditionalFormatting>
  <conditionalFormatting sqref="D5727">
    <cfRule type="containsText" dxfId="1289" priority="2838" operator="containsText" text="Pesquisa de Preços">
      <formula>NOT(ISERROR(SEARCH("Pesquisa de Preços",D5727)))</formula>
    </cfRule>
  </conditionalFormatting>
  <conditionalFormatting sqref="D5767">
    <cfRule type="containsText" dxfId="1288" priority="2829" operator="containsText" text="Pesquisa de Preços">
      <formula>NOT(ISERROR(SEARCH("Pesquisa de Preços",D5767)))</formula>
    </cfRule>
  </conditionalFormatting>
  <conditionalFormatting sqref="D5735">
    <cfRule type="containsText" dxfId="1287" priority="2836" operator="containsText" text="Pesquisa de Preços">
      <formula>NOT(ISERROR(SEARCH("Pesquisa de Preços",D5735)))</formula>
    </cfRule>
  </conditionalFormatting>
  <conditionalFormatting sqref="D5743">
    <cfRule type="containsText" dxfId="1286" priority="2834" operator="containsText" text="Pesquisa de Preços">
      <formula>NOT(ISERROR(SEARCH("Pesquisa de Preços",D5743)))</formula>
    </cfRule>
  </conditionalFormatting>
  <conditionalFormatting sqref="D5747">
    <cfRule type="containsText" dxfId="1285" priority="2833" operator="containsText" text="Pesquisa de Preços">
      <formula>NOT(ISERROR(SEARCH("Pesquisa de Preços",D5747)))</formula>
    </cfRule>
  </conditionalFormatting>
  <conditionalFormatting sqref="D5751">
    <cfRule type="containsText" dxfId="1284" priority="2832" operator="containsText" text="Pesquisa de Preços">
      <formula>NOT(ISERROR(SEARCH("Pesquisa de Preços",D5751)))</formula>
    </cfRule>
  </conditionalFormatting>
  <conditionalFormatting sqref="D5755">
    <cfRule type="containsText" dxfId="1283" priority="2831" operator="containsText" text="Pesquisa de Preços">
      <formula>NOT(ISERROR(SEARCH("Pesquisa de Preços",D5755)))</formula>
    </cfRule>
  </conditionalFormatting>
  <conditionalFormatting sqref="D5763 D5759">
    <cfRule type="containsText" dxfId="1282" priority="2830" operator="containsText" text="Pesquisa de Preços">
      <formula>NOT(ISERROR(SEARCH("Pesquisa de Preços",D5759)))</formula>
    </cfRule>
  </conditionalFormatting>
  <conditionalFormatting sqref="D5771">
    <cfRule type="containsText" dxfId="1281" priority="2828" operator="containsText" text="Pesquisa de Preços">
      <formula>NOT(ISERROR(SEARCH("Pesquisa de Preços",D5771)))</formula>
    </cfRule>
  </conditionalFormatting>
  <conditionalFormatting sqref="D5775">
    <cfRule type="containsText" dxfId="1280" priority="2827" operator="containsText" text="Pesquisa de Preços">
      <formula>NOT(ISERROR(SEARCH("Pesquisa de Preços",D5775)))</formula>
    </cfRule>
  </conditionalFormatting>
  <conditionalFormatting sqref="D5779">
    <cfRule type="containsText" dxfId="1279" priority="2826" operator="containsText" text="Pesquisa de Preços">
      <formula>NOT(ISERROR(SEARCH("Pesquisa de Preços",D5779)))</formula>
    </cfRule>
  </conditionalFormatting>
  <conditionalFormatting sqref="D5783">
    <cfRule type="containsText" dxfId="1278" priority="2825" operator="containsText" text="Pesquisa de Preços">
      <formula>NOT(ISERROR(SEARCH("Pesquisa de Preços",D5783)))</formula>
    </cfRule>
  </conditionalFormatting>
  <conditionalFormatting sqref="D5787">
    <cfRule type="containsText" dxfId="1277" priority="2824" operator="containsText" text="Pesquisa de Preços">
      <formula>NOT(ISERROR(SEARCH("Pesquisa de Preços",D5787)))</formula>
    </cfRule>
  </conditionalFormatting>
  <conditionalFormatting sqref="D5791">
    <cfRule type="containsText" dxfId="1276" priority="2823" operator="containsText" text="Pesquisa de Preços">
      <formula>NOT(ISERROR(SEARCH("Pesquisa de Preços",D5791)))</formula>
    </cfRule>
  </conditionalFormatting>
  <conditionalFormatting sqref="D5799">
    <cfRule type="containsText" dxfId="1275" priority="2821" operator="containsText" text="Pesquisa de Preços">
      <formula>NOT(ISERROR(SEARCH("Pesquisa de Preços",D5799)))</formula>
    </cfRule>
  </conditionalFormatting>
  <conditionalFormatting sqref="D5803">
    <cfRule type="containsText" dxfId="1274" priority="2820" operator="containsText" text="Pesquisa de Preços">
      <formula>NOT(ISERROR(SEARCH("Pesquisa de Preços",D5803)))</formula>
    </cfRule>
  </conditionalFormatting>
  <conditionalFormatting sqref="D5807">
    <cfRule type="containsText" dxfId="1273" priority="2819" operator="containsText" text="Pesquisa de Preços">
      <formula>NOT(ISERROR(SEARCH("Pesquisa de Preços",D5807)))</formula>
    </cfRule>
  </conditionalFormatting>
  <conditionalFormatting sqref="D5811">
    <cfRule type="containsText" dxfId="1272" priority="2818" operator="containsText" text="Pesquisa de Preços">
      <formula>NOT(ISERROR(SEARCH("Pesquisa de Preços",D5811)))</formula>
    </cfRule>
  </conditionalFormatting>
  <conditionalFormatting sqref="D5815">
    <cfRule type="containsText" dxfId="1271" priority="2817" operator="containsText" text="Pesquisa de Preços">
      <formula>NOT(ISERROR(SEARCH("Pesquisa de Preços",D5815)))</formula>
    </cfRule>
  </conditionalFormatting>
  <conditionalFormatting sqref="D5819">
    <cfRule type="containsText" dxfId="1270" priority="2816" operator="containsText" text="Pesquisa de Preços">
      <formula>NOT(ISERROR(SEARCH("Pesquisa de Preços",D5819)))</formula>
    </cfRule>
  </conditionalFormatting>
  <conditionalFormatting sqref="D5823">
    <cfRule type="containsText" dxfId="1269" priority="2815" operator="containsText" text="Pesquisa de Preços">
      <formula>NOT(ISERROR(SEARCH("Pesquisa de Preços",D5823)))</formula>
    </cfRule>
  </conditionalFormatting>
  <conditionalFormatting sqref="D5827">
    <cfRule type="containsText" dxfId="1268" priority="2814" operator="containsText" text="Pesquisa de Preços">
      <formula>NOT(ISERROR(SEARCH("Pesquisa de Preços",D5827)))</formula>
    </cfRule>
  </conditionalFormatting>
  <conditionalFormatting sqref="D5831">
    <cfRule type="containsText" dxfId="1267" priority="2813" operator="containsText" text="Pesquisa de Preços">
      <formula>NOT(ISERROR(SEARCH("Pesquisa de Preços",D5831)))</formula>
    </cfRule>
  </conditionalFormatting>
  <conditionalFormatting sqref="D5835">
    <cfRule type="containsText" dxfId="1266" priority="2812" operator="containsText" text="Pesquisa de Preços">
      <formula>NOT(ISERROR(SEARCH("Pesquisa de Preços",D5835)))</formula>
    </cfRule>
  </conditionalFormatting>
  <conditionalFormatting sqref="D5839">
    <cfRule type="containsText" dxfId="1265" priority="2811" operator="containsText" text="Pesquisa de Preços">
      <formula>NOT(ISERROR(SEARCH("Pesquisa de Preços",D5839)))</formula>
    </cfRule>
  </conditionalFormatting>
  <conditionalFormatting sqref="D5843">
    <cfRule type="containsText" dxfId="1264" priority="2810" operator="containsText" text="Pesquisa de Preços">
      <formula>NOT(ISERROR(SEARCH("Pesquisa de Preços",D5843)))</formula>
    </cfRule>
  </conditionalFormatting>
  <conditionalFormatting sqref="D5847">
    <cfRule type="containsText" dxfId="1263" priority="2809" operator="containsText" text="Pesquisa de Preços">
      <formula>NOT(ISERROR(SEARCH("Pesquisa de Preços",D5847)))</formula>
    </cfRule>
  </conditionalFormatting>
  <conditionalFormatting sqref="D5851">
    <cfRule type="containsText" dxfId="1262" priority="2808" operator="containsText" text="Pesquisa de Preços">
      <formula>NOT(ISERROR(SEARCH("Pesquisa de Preços",D5851)))</formula>
    </cfRule>
  </conditionalFormatting>
  <conditionalFormatting sqref="D5855">
    <cfRule type="containsText" dxfId="1261" priority="2807" operator="containsText" text="Pesquisa de Preços">
      <formula>NOT(ISERROR(SEARCH("Pesquisa de Preços",D5855)))</formula>
    </cfRule>
  </conditionalFormatting>
  <conditionalFormatting sqref="D5859">
    <cfRule type="containsText" dxfId="1260" priority="2806" operator="containsText" text="Pesquisa de Preços">
      <formula>NOT(ISERROR(SEARCH("Pesquisa de Preços",D5859)))</formula>
    </cfRule>
  </conditionalFormatting>
  <conditionalFormatting sqref="D5863">
    <cfRule type="containsText" dxfId="1259" priority="2805" operator="containsText" text="Pesquisa de Preços">
      <formula>NOT(ISERROR(SEARCH("Pesquisa de Preços",D5863)))</formula>
    </cfRule>
  </conditionalFormatting>
  <conditionalFormatting sqref="D5903">
    <cfRule type="containsText" dxfId="1258" priority="2795" operator="containsText" text="Pesquisa de Preços">
      <formula>NOT(ISERROR(SEARCH("Pesquisa de Preços",D5903)))</formula>
    </cfRule>
  </conditionalFormatting>
  <conditionalFormatting sqref="D5907">
    <cfRule type="containsText" dxfId="1257" priority="2794" operator="containsText" text="Pesquisa de Preços">
      <formula>NOT(ISERROR(SEARCH("Pesquisa de Preços",D5907)))</formula>
    </cfRule>
  </conditionalFormatting>
  <conditionalFormatting sqref="D5875">
    <cfRule type="containsText" dxfId="1256" priority="2802" operator="containsText" text="Pesquisa de Preços">
      <formula>NOT(ISERROR(SEARCH("Pesquisa de Preços",D5875)))</formula>
    </cfRule>
  </conditionalFormatting>
  <conditionalFormatting sqref="D5879">
    <cfRule type="containsText" dxfId="1255" priority="2801" operator="containsText" text="Pesquisa de Preços">
      <formula>NOT(ISERROR(SEARCH("Pesquisa de Preços",D5879)))</formula>
    </cfRule>
  </conditionalFormatting>
  <conditionalFormatting sqref="D5883">
    <cfRule type="containsText" dxfId="1254" priority="2800" operator="containsText" text="Pesquisa de Preços">
      <formula>NOT(ISERROR(SEARCH("Pesquisa de Preços",D5883)))</formula>
    </cfRule>
  </conditionalFormatting>
  <conditionalFormatting sqref="D5887">
    <cfRule type="containsText" dxfId="1253" priority="2799" operator="containsText" text="Pesquisa de Preços">
      <formula>NOT(ISERROR(SEARCH("Pesquisa de Preços",D5887)))</formula>
    </cfRule>
  </conditionalFormatting>
  <conditionalFormatting sqref="D5891">
    <cfRule type="containsText" dxfId="1252" priority="2798" operator="containsText" text="Pesquisa de Preços">
      <formula>NOT(ISERROR(SEARCH("Pesquisa de Preços",D5891)))</formula>
    </cfRule>
  </conditionalFormatting>
  <conditionalFormatting sqref="D5895">
    <cfRule type="containsText" dxfId="1251" priority="2797" operator="containsText" text="Pesquisa de Preços">
      <formula>NOT(ISERROR(SEARCH("Pesquisa de Preços",D5895)))</formula>
    </cfRule>
  </conditionalFormatting>
  <conditionalFormatting sqref="D5935">
    <cfRule type="containsText" dxfId="1250" priority="2787" operator="containsText" text="Pesquisa de Preços">
      <formula>NOT(ISERROR(SEARCH("Pesquisa de Preços",D5935)))</formula>
    </cfRule>
  </conditionalFormatting>
  <conditionalFormatting sqref="D5911">
    <cfRule type="containsText" dxfId="1249" priority="2793" operator="containsText" text="Pesquisa de Preços">
      <formula>NOT(ISERROR(SEARCH("Pesquisa de Preços",D5911)))</formula>
    </cfRule>
  </conditionalFormatting>
  <conditionalFormatting sqref="D5915">
    <cfRule type="containsText" dxfId="1248" priority="2792" operator="containsText" text="Pesquisa de Preços">
      <formula>NOT(ISERROR(SEARCH("Pesquisa de Preços",D5915)))</formula>
    </cfRule>
  </conditionalFormatting>
  <conditionalFormatting sqref="D5919">
    <cfRule type="containsText" dxfId="1247" priority="2791" operator="containsText" text="Pesquisa de Preços">
      <formula>NOT(ISERROR(SEARCH("Pesquisa de Preços",D5919)))</formula>
    </cfRule>
  </conditionalFormatting>
  <conditionalFormatting sqref="D5923">
    <cfRule type="containsText" dxfId="1246" priority="2790" operator="containsText" text="Pesquisa de Preços">
      <formula>NOT(ISERROR(SEARCH("Pesquisa de Preços",D5923)))</formula>
    </cfRule>
  </conditionalFormatting>
  <conditionalFormatting sqref="D5963 D5959 D5955">
    <cfRule type="containsText" dxfId="1245" priority="2783" operator="containsText" text="Pesquisa de Preços">
      <formula>NOT(ISERROR(SEARCH("Pesquisa de Preços",D5955)))</formula>
    </cfRule>
  </conditionalFormatting>
  <conditionalFormatting sqref="D5931">
    <cfRule type="containsText" dxfId="1244" priority="2788" operator="containsText" text="Pesquisa de Preços">
      <formula>NOT(ISERROR(SEARCH("Pesquisa de Preços",D5931)))</formula>
    </cfRule>
  </conditionalFormatting>
  <conditionalFormatting sqref="D5939">
    <cfRule type="containsText" dxfId="1243" priority="2786" operator="containsText" text="Pesquisa de Preços">
      <formula>NOT(ISERROR(SEARCH("Pesquisa de Preços",D5939)))</formula>
    </cfRule>
  </conditionalFormatting>
  <conditionalFormatting sqref="D5951">
    <cfRule type="containsText" dxfId="1242" priority="2784" operator="containsText" text="Pesquisa de Preços">
      <formula>NOT(ISERROR(SEARCH("Pesquisa de Preços",D5951)))</formula>
    </cfRule>
  </conditionalFormatting>
  <conditionalFormatting sqref="D6147">
    <cfRule type="containsText" dxfId="1241" priority="2745" operator="containsText" text="Pesquisa de Preços">
      <formula>NOT(ISERROR(SEARCH("Pesquisa de Preços",D6147)))</formula>
    </cfRule>
  </conditionalFormatting>
  <conditionalFormatting sqref="D5967">
    <cfRule type="containsText" dxfId="1240" priority="2782" operator="containsText" text="Pesquisa de Preços">
      <formula>NOT(ISERROR(SEARCH("Pesquisa de Preços",D5967)))</formula>
    </cfRule>
  </conditionalFormatting>
  <conditionalFormatting sqref="D5971">
    <cfRule type="containsText" dxfId="1239" priority="2781" operator="containsText" text="Pesquisa de Preços">
      <formula>NOT(ISERROR(SEARCH("Pesquisa de Preços",D5971)))</formula>
    </cfRule>
  </conditionalFormatting>
  <conditionalFormatting sqref="D6011">
    <cfRule type="containsText" dxfId="1238" priority="2772" operator="containsText" text="Pesquisa de Preços">
      <formula>NOT(ISERROR(SEARCH("Pesquisa de Preços",D6011)))</formula>
    </cfRule>
  </conditionalFormatting>
  <conditionalFormatting sqref="D5979">
    <cfRule type="containsText" dxfId="1237" priority="2779" operator="containsText" text="Pesquisa de Preços">
      <formula>NOT(ISERROR(SEARCH("Pesquisa de Preços",D5979)))</formula>
    </cfRule>
  </conditionalFormatting>
  <conditionalFormatting sqref="D5987 D5983">
    <cfRule type="containsText" dxfId="1236" priority="2778" operator="containsText" text="Pesquisa de Preços">
      <formula>NOT(ISERROR(SEARCH("Pesquisa de Preços",D5983)))</formula>
    </cfRule>
  </conditionalFormatting>
  <conditionalFormatting sqref="D5991">
    <cfRule type="containsText" dxfId="1235" priority="2777" operator="containsText" text="Pesquisa de Preços">
      <formula>NOT(ISERROR(SEARCH("Pesquisa de Preços",D5991)))</formula>
    </cfRule>
  </conditionalFormatting>
  <conditionalFormatting sqref="D5995">
    <cfRule type="containsText" dxfId="1234" priority="2776" operator="containsText" text="Pesquisa de Preços">
      <formula>NOT(ISERROR(SEARCH("Pesquisa de Preços",D5995)))</formula>
    </cfRule>
  </conditionalFormatting>
  <conditionalFormatting sqref="D6035">
    <cfRule type="containsText" dxfId="1233" priority="2766" operator="containsText" text="Pesquisa de Preços">
      <formula>NOT(ISERROR(SEARCH("Pesquisa de Preços",D6035)))</formula>
    </cfRule>
  </conditionalFormatting>
  <conditionalFormatting sqref="D6003">
    <cfRule type="containsText" dxfId="1232" priority="2774" operator="containsText" text="Pesquisa de Preços">
      <formula>NOT(ISERROR(SEARCH("Pesquisa de Preços",D6003)))</formula>
    </cfRule>
  </conditionalFormatting>
  <conditionalFormatting sqref="D6007">
    <cfRule type="containsText" dxfId="1231" priority="2773" operator="containsText" text="Pesquisa de Preços">
      <formula>NOT(ISERROR(SEARCH("Pesquisa de Preços",D6007)))</formula>
    </cfRule>
  </conditionalFormatting>
  <conditionalFormatting sqref="D6015">
    <cfRule type="containsText" dxfId="1230" priority="2771" operator="containsText" text="Pesquisa de Preços">
      <formula>NOT(ISERROR(SEARCH("Pesquisa de Preços",D6015)))</formula>
    </cfRule>
  </conditionalFormatting>
  <conditionalFormatting sqref="D6019">
    <cfRule type="containsText" dxfId="1229" priority="2770" operator="containsText" text="Pesquisa de Preços">
      <formula>NOT(ISERROR(SEARCH("Pesquisa de Preços",D6019)))</formula>
    </cfRule>
  </conditionalFormatting>
  <conditionalFormatting sqref="D6023">
    <cfRule type="containsText" dxfId="1228" priority="2769" operator="containsText" text="Pesquisa de Preços">
      <formula>NOT(ISERROR(SEARCH("Pesquisa de Preços",D6023)))</formula>
    </cfRule>
  </conditionalFormatting>
  <conditionalFormatting sqref="D6027">
    <cfRule type="containsText" dxfId="1227" priority="2768" operator="containsText" text="Pesquisa de Preços">
      <formula>NOT(ISERROR(SEARCH("Pesquisa de Preços",D6027)))</formula>
    </cfRule>
  </conditionalFormatting>
  <conditionalFormatting sqref="D6043">
    <cfRule type="containsText" dxfId="1226" priority="2765" operator="containsText" text="Pesquisa de Preços">
      <formula>NOT(ISERROR(SEARCH("Pesquisa de Preços",D6043)))</formula>
    </cfRule>
  </conditionalFormatting>
  <conditionalFormatting sqref="D6047">
    <cfRule type="containsText" dxfId="1225" priority="2764" operator="containsText" text="Pesquisa de Preços">
      <formula>NOT(ISERROR(SEARCH("Pesquisa de Preços",D6047)))</formula>
    </cfRule>
  </conditionalFormatting>
  <conditionalFormatting sqref="D6051">
    <cfRule type="containsText" dxfId="1224" priority="2763" operator="containsText" text="Pesquisa de Preços">
      <formula>NOT(ISERROR(SEARCH("Pesquisa de Preços",D6051)))</formula>
    </cfRule>
  </conditionalFormatting>
  <conditionalFormatting sqref="D6063">
    <cfRule type="containsText" dxfId="1223" priority="2762" operator="containsText" text="Pesquisa de Preços">
      <formula>NOT(ISERROR(SEARCH("Pesquisa de Preços",D6063)))</formula>
    </cfRule>
  </conditionalFormatting>
  <conditionalFormatting sqref="D6067">
    <cfRule type="containsText" dxfId="1222" priority="2761" operator="containsText" text="Pesquisa de Preços">
      <formula>NOT(ISERROR(SEARCH("Pesquisa de Preços",D6067)))</formula>
    </cfRule>
  </conditionalFormatting>
  <conditionalFormatting sqref="D6071">
    <cfRule type="containsText" dxfId="1221" priority="2760" operator="containsText" text="Pesquisa de Preços">
      <formula>NOT(ISERROR(SEARCH("Pesquisa de Preços",D6071)))</formula>
    </cfRule>
  </conditionalFormatting>
  <conditionalFormatting sqref="D6079">
    <cfRule type="containsText" dxfId="1220" priority="2758" operator="containsText" text="Pesquisa de Preços">
      <formula>NOT(ISERROR(SEARCH("Pesquisa de Preços",D6079)))</formula>
    </cfRule>
  </conditionalFormatting>
  <conditionalFormatting sqref="D6083">
    <cfRule type="containsText" dxfId="1219" priority="2757" operator="containsText" text="Pesquisa de Preços">
      <formula>NOT(ISERROR(SEARCH("Pesquisa de Preços",D6083)))</formula>
    </cfRule>
  </conditionalFormatting>
  <conditionalFormatting sqref="D6087">
    <cfRule type="containsText" dxfId="1218" priority="2756" operator="containsText" text="Pesquisa de Preços">
      <formula>NOT(ISERROR(SEARCH("Pesquisa de Preços",D6087)))</formula>
    </cfRule>
  </conditionalFormatting>
  <conditionalFormatting sqref="D6091">
    <cfRule type="containsText" dxfId="1217" priority="2755" operator="containsText" text="Pesquisa de Preços">
      <formula>NOT(ISERROR(SEARCH("Pesquisa de Preços",D6091)))</formula>
    </cfRule>
  </conditionalFormatting>
  <conditionalFormatting sqref="D6095">
    <cfRule type="containsText" dxfId="1216" priority="2754" operator="containsText" text="Pesquisa de Preços">
      <formula>NOT(ISERROR(SEARCH("Pesquisa de Preços",D6095)))</formula>
    </cfRule>
  </conditionalFormatting>
  <conditionalFormatting sqref="D6099">
    <cfRule type="containsText" dxfId="1215" priority="2753" operator="containsText" text="Pesquisa de Preços">
      <formula>NOT(ISERROR(SEARCH("Pesquisa de Preços",D6099)))</formula>
    </cfRule>
  </conditionalFormatting>
  <conditionalFormatting sqref="D6103">
    <cfRule type="containsText" dxfId="1214" priority="2752" operator="containsText" text="Pesquisa de Preços">
      <formula>NOT(ISERROR(SEARCH("Pesquisa de Preços",D6103)))</formula>
    </cfRule>
  </conditionalFormatting>
  <conditionalFormatting sqref="D6107">
    <cfRule type="containsText" dxfId="1213" priority="2751" operator="containsText" text="Pesquisa de Preços">
      <formula>NOT(ISERROR(SEARCH("Pesquisa de Preços",D6107)))</formula>
    </cfRule>
  </conditionalFormatting>
  <conditionalFormatting sqref="D6111">
    <cfRule type="containsText" dxfId="1212" priority="2750" operator="containsText" text="Pesquisa de Preços">
      <formula>NOT(ISERROR(SEARCH("Pesquisa de Preços",D6111)))</formula>
    </cfRule>
  </conditionalFormatting>
  <conditionalFormatting sqref="D6115">
    <cfRule type="containsText" dxfId="1211" priority="2749" operator="containsText" text="Pesquisa de Preços">
      <formula>NOT(ISERROR(SEARCH("Pesquisa de Preços",D6115)))</formula>
    </cfRule>
  </conditionalFormatting>
  <conditionalFormatting sqref="D6119">
    <cfRule type="containsText" dxfId="1210" priority="2748" operator="containsText" text="Pesquisa de Preços">
      <formula>NOT(ISERROR(SEARCH("Pesquisa de Preços",D6119)))</formula>
    </cfRule>
  </conditionalFormatting>
  <conditionalFormatting sqref="D6135">
    <cfRule type="containsText" dxfId="1209" priority="2747" operator="containsText" text="Pesquisa de Preços">
      <formula>NOT(ISERROR(SEARCH("Pesquisa de Preços",D6135)))</formula>
    </cfRule>
  </conditionalFormatting>
  <conditionalFormatting sqref="D6143">
    <cfRule type="containsText" dxfId="1208" priority="2746" operator="containsText" text="Pesquisa de Preços">
      <formula>NOT(ISERROR(SEARCH("Pesquisa de Preços",D6143)))</formula>
    </cfRule>
  </conditionalFormatting>
  <conditionalFormatting sqref="E118">
    <cfRule type="containsText" dxfId="1207" priority="2743" operator="containsText" text="Pesquisa de Preços">
      <formula>NOT(ISERROR(SEARCH("Pesquisa de Preços",E118)))</formula>
    </cfRule>
  </conditionalFormatting>
  <conditionalFormatting sqref="E119">
    <cfRule type="containsText" dxfId="1206" priority="2742" operator="containsText" text="Pesquisa de Preços">
      <formula>NOT(ISERROR(SEARCH("Pesquisa de Preços",E119)))</formula>
    </cfRule>
  </conditionalFormatting>
  <conditionalFormatting sqref="E692:E693">
    <cfRule type="containsText" dxfId="1205" priority="2740" operator="containsText" text="Pesquisa de Preços">
      <formula>NOT(ISERROR(SEARCH("Pesquisa de Preços",E692)))</formula>
    </cfRule>
  </conditionalFormatting>
  <conditionalFormatting sqref="E860">
    <cfRule type="containsText" dxfId="1204" priority="2739" operator="containsText" text="Pesquisa de Preços">
      <formula>NOT(ISERROR(SEARCH("Pesquisa de Preços",E860)))</formula>
    </cfRule>
  </conditionalFormatting>
  <conditionalFormatting sqref="E864">
    <cfRule type="containsText" dxfId="1203" priority="2738" operator="containsText" text="Pesquisa de Preços">
      <formula>NOT(ISERROR(SEARCH("Pesquisa de Preços",E864)))</formula>
    </cfRule>
  </conditionalFormatting>
  <conditionalFormatting sqref="E877">
    <cfRule type="containsText" dxfId="1202" priority="2737" operator="containsText" text="Pesquisa de Preços">
      <formula>NOT(ISERROR(SEARCH("Pesquisa de Preços",E877)))</formula>
    </cfRule>
  </conditionalFormatting>
  <conditionalFormatting sqref="E883">
    <cfRule type="containsText" dxfId="1201" priority="2735" operator="containsText" text="Pesquisa de Preços">
      <formula>NOT(ISERROR(SEARCH("Pesquisa de Preços",E883)))</formula>
    </cfRule>
  </conditionalFormatting>
  <conditionalFormatting sqref="E884 E888">
    <cfRule type="containsText" dxfId="1200" priority="2736" operator="containsText" text="Pesquisa de Preços">
      <formula>NOT(ISERROR(SEARCH("Pesquisa de Preços",E884)))</formula>
    </cfRule>
  </conditionalFormatting>
  <conditionalFormatting sqref="E885">
    <cfRule type="containsText" dxfId="1199" priority="2734" operator="containsText" text="Pesquisa de Preços">
      <formula>NOT(ISERROR(SEARCH("Pesquisa de Preços",E885)))</formula>
    </cfRule>
  </conditionalFormatting>
  <conditionalFormatting sqref="D5382 D5388 D5420 D5358:E5358 D5351:E5351">
    <cfRule type="containsText" dxfId="1198" priority="2704" operator="containsText" text="Pesquisa de Preços">
      <formula>NOT(ISERROR(SEARCH("Pesquisa de Preços",D5351)))</formula>
    </cfRule>
  </conditionalFormatting>
  <conditionalFormatting sqref="D5322">
    <cfRule type="containsText" dxfId="1197" priority="2694" operator="containsText" text="Pesquisa de Preços">
      <formula>NOT(ISERROR(SEARCH("Pesquisa de Preços",D5322)))</formula>
    </cfRule>
  </conditionalFormatting>
  <conditionalFormatting sqref="D5320">
    <cfRule type="containsText" dxfId="1196" priority="2701" operator="containsText" text="Pesquisa de Preços">
      <formula>NOT(ISERROR(SEARCH("Pesquisa de Preços",D5320)))</formula>
    </cfRule>
  </conditionalFormatting>
  <conditionalFormatting sqref="D5316">
    <cfRule type="containsText" dxfId="1195" priority="2684" operator="containsText" text="Pesquisa de Preços">
      <formula>NOT(ISERROR(SEARCH("Pesquisa de Preços",D5316)))</formula>
    </cfRule>
  </conditionalFormatting>
  <conditionalFormatting sqref="D5314">
    <cfRule type="containsText" dxfId="1194" priority="2691" operator="containsText" text="Pesquisa de Preços">
      <formula>NOT(ISERROR(SEARCH("Pesquisa de Preços",D5314)))</formula>
    </cfRule>
  </conditionalFormatting>
  <conditionalFormatting sqref="D5334">
    <cfRule type="containsText" dxfId="1193" priority="2674" operator="containsText" text="Pesquisa de Preços">
      <formula>NOT(ISERROR(SEARCH("Pesquisa de Preços",D5334)))</formula>
    </cfRule>
  </conditionalFormatting>
  <conditionalFormatting sqref="D5332">
    <cfRule type="containsText" dxfId="1192" priority="2681" operator="containsText" text="Pesquisa de Preços">
      <formula>NOT(ISERROR(SEARCH("Pesquisa de Preços",D5332)))</formula>
    </cfRule>
  </conditionalFormatting>
  <conditionalFormatting sqref="D5328">
    <cfRule type="containsText" dxfId="1191" priority="2664" operator="containsText" text="Pesquisa de Preços">
      <formula>NOT(ISERROR(SEARCH("Pesquisa de Preços",D5328)))</formula>
    </cfRule>
  </conditionalFormatting>
  <conditionalFormatting sqref="D5326">
    <cfRule type="containsText" dxfId="1190" priority="2671" operator="containsText" text="Pesquisa de Preços">
      <formula>NOT(ISERROR(SEARCH("Pesquisa de Preços",D5326)))</formula>
    </cfRule>
  </conditionalFormatting>
  <conditionalFormatting sqref="D5338">
    <cfRule type="containsText" dxfId="1189" priority="2661" operator="containsText" text="Pesquisa de Preços">
      <formula>NOT(ISERROR(SEARCH("Pesquisa de Preços",D5338)))</formula>
    </cfRule>
  </conditionalFormatting>
  <conditionalFormatting sqref="D5339 D5344">
    <cfRule type="containsText" dxfId="1188" priority="2660" operator="containsText" text="Pesquisa de Preços">
      <formula>NOT(ISERROR(SEARCH("Pesquisa de Preços",D5339)))</formula>
    </cfRule>
  </conditionalFormatting>
  <conditionalFormatting sqref="E5339:E5340 E5343:E5344">
    <cfRule type="containsText" dxfId="1187" priority="2659" operator="containsText" text="Pesquisa de Preços">
      <formula>NOT(ISERROR(SEARCH("Pesquisa de Preços",E5339)))</formula>
    </cfRule>
  </conditionalFormatting>
  <conditionalFormatting sqref="E5338">
    <cfRule type="containsText" dxfId="1186" priority="2658" operator="containsText" text="Pesquisa de Preços">
      <formula>NOT(ISERROR(SEARCH("Pesquisa de Preços",E5338)))</formula>
    </cfRule>
  </conditionalFormatting>
  <conditionalFormatting sqref="E5341:E5342">
    <cfRule type="containsText" dxfId="1185" priority="2657" operator="containsText" text="Pesquisa de Preços">
      <formula>NOT(ISERROR(SEARCH("Pesquisa de Preços",E5341)))</formula>
    </cfRule>
  </conditionalFormatting>
  <conditionalFormatting sqref="D5310">
    <cfRule type="containsText" dxfId="1184" priority="2649" operator="containsText" text="Pesquisa de Preços">
      <formula>NOT(ISERROR(SEARCH("Pesquisa de Preços",D5310)))</formula>
    </cfRule>
  </conditionalFormatting>
  <conditionalFormatting sqref="D5308">
    <cfRule type="containsText" dxfId="1183" priority="2650" operator="containsText" text="Pesquisa de Preços">
      <formula>NOT(ISERROR(SEARCH("Pesquisa de Preços",D5308)))</formula>
    </cfRule>
  </conditionalFormatting>
  <conditionalFormatting sqref="D5345">
    <cfRule type="containsText" dxfId="1182" priority="2646" operator="containsText" text="Pesquisa de Preços">
      <formula>NOT(ISERROR(SEARCH("Pesquisa de Preços",D5345)))</formula>
    </cfRule>
  </conditionalFormatting>
  <conditionalFormatting sqref="D5346">
    <cfRule type="containsText" dxfId="1181" priority="2645" operator="containsText" text="Pesquisa de Preços">
      <formula>NOT(ISERROR(SEARCH("Pesquisa de Preços",D5346)))</formula>
    </cfRule>
  </conditionalFormatting>
  <conditionalFormatting sqref="E5346:E5347">
    <cfRule type="containsText" dxfId="1180" priority="2644" operator="containsText" text="Pesquisa de Preços">
      <formula>NOT(ISERROR(SEARCH("Pesquisa de Preços",E5346)))</formula>
    </cfRule>
  </conditionalFormatting>
  <conditionalFormatting sqref="E5345">
    <cfRule type="containsText" dxfId="1179" priority="2643" operator="containsText" text="Pesquisa de Preços">
      <formula>NOT(ISERROR(SEARCH("Pesquisa de Preços",E5345)))</formula>
    </cfRule>
  </conditionalFormatting>
  <conditionalFormatting sqref="E5348">
    <cfRule type="containsText" dxfId="1178" priority="2642" operator="containsText" text="Pesquisa de Preços">
      <formula>NOT(ISERROR(SEARCH("Pesquisa de Preços",E5348)))</formula>
    </cfRule>
  </conditionalFormatting>
  <conditionalFormatting sqref="D5352">
    <cfRule type="containsText" dxfId="1177" priority="2637" operator="containsText" text="Pesquisa de Preços">
      <formula>NOT(ISERROR(SEARCH("Pesquisa de Preços",D5352)))</formula>
    </cfRule>
  </conditionalFormatting>
  <conditionalFormatting sqref="D5353">
    <cfRule type="containsText" dxfId="1176" priority="2636" operator="containsText" text="Pesquisa de Preços">
      <formula>NOT(ISERROR(SEARCH("Pesquisa de Preços",D5353)))</formula>
    </cfRule>
  </conditionalFormatting>
  <conditionalFormatting sqref="E5353:E5354">
    <cfRule type="containsText" dxfId="1175" priority="2635" operator="containsText" text="Pesquisa de Preços">
      <formula>NOT(ISERROR(SEARCH("Pesquisa de Preços",E5353)))</formula>
    </cfRule>
  </conditionalFormatting>
  <conditionalFormatting sqref="E5352">
    <cfRule type="containsText" dxfId="1174" priority="2634" operator="containsText" text="Pesquisa de Preços">
      <formula>NOT(ISERROR(SEARCH("Pesquisa de Preços",E5352)))</formula>
    </cfRule>
  </conditionalFormatting>
  <conditionalFormatting sqref="E5355:E5356">
    <cfRule type="containsText" dxfId="1173" priority="2633" operator="containsText" text="Pesquisa de Preços">
      <formula>NOT(ISERROR(SEARCH("Pesquisa de Preços",E5355)))</formula>
    </cfRule>
  </conditionalFormatting>
  <conditionalFormatting sqref="E5350">
    <cfRule type="containsText" dxfId="1172" priority="2630" operator="containsText" text="Pesquisa de Preços">
      <formula>NOT(ISERROR(SEARCH("Pesquisa de Preços",E5350)))</formula>
    </cfRule>
  </conditionalFormatting>
  <conditionalFormatting sqref="D5357">
    <cfRule type="containsText" dxfId="1171" priority="2629" operator="containsText" text="Pesquisa de Preços">
      <formula>NOT(ISERROR(SEARCH("Pesquisa de Preços",D5357)))</formula>
    </cfRule>
  </conditionalFormatting>
  <conditionalFormatting sqref="E5357">
    <cfRule type="containsText" dxfId="1170" priority="2628" operator="containsText" text="Pesquisa de Preços">
      <formula>NOT(ISERROR(SEARCH("Pesquisa de Preços",E5357)))</formula>
    </cfRule>
  </conditionalFormatting>
  <conditionalFormatting sqref="E5349">
    <cfRule type="containsText" dxfId="1169" priority="2617" operator="containsText" text="Pesquisa de Preços">
      <formula>NOT(ISERROR(SEARCH("Pesquisa de Preços",E5349)))</formula>
    </cfRule>
  </conditionalFormatting>
  <conditionalFormatting sqref="D5350">
    <cfRule type="containsText" dxfId="1168" priority="2614" operator="containsText" text="Pesquisa de Preços">
      <formula>NOT(ISERROR(SEARCH("Pesquisa de Preços",D5350)))</formula>
    </cfRule>
  </conditionalFormatting>
  <conditionalFormatting sqref="E5373">
    <cfRule type="containsText" dxfId="1167" priority="2587" operator="containsText" text="Pesquisa de Preços">
      <formula>NOT(ISERROR(SEARCH("Pesquisa de Preços",E5373)))</formula>
    </cfRule>
  </conditionalFormatting>
  <conditionalFormatting sqref="D5359">
    <cfRule type="containsText" dxfId="1166" priority="2611" operator="containsText" text="Pesquisa de Preços">
      <formula>NOT(ISERROR(SEARCH("Pesquisa de Preços",D5359)))</formula>
    </cfRule>
  </conditionalFormatting>
  <conditionalFormatting sqref="D5361">
    <cfRule type="containsText" dxfId="1165" priority="2602" operator="containsText" text="Pesquisa de Preços">
      <formula>NOT(ISERROR(SEARCH("Pesquisa de Preços",D5361)))</formula>
    </cfRule>
  </conditionalFormatting>
  <conditionalFormatting sqref="E5361">
    <cfRule type="containsText" dxfId="1164" priority="2601" operator="containsText" text="Pesquisa de Preços">
      <formula>NOT(ISERROR(SEARCH("Pesquisa de Preços",E5361)))</formula>
    </cfRule>
  </conditionalFormatting>
  <conditionalFormatting sqref="D5365">
    <cfRule type="containsText" dxfId="1163" priority="2598" operator="containsText" text="Pesquisa de Preços">
      <formula>NOT(ISERROR(SEARCH("Pesquisa de Preços",D5365)))</formula>
    </cfRule>
  </conditionalFormatting>
  <conditionalFormatting sqref="D5366 D5370">
    <cfRule type="containsText" dxfId="1162" priority="2597" operator="containsText" text="Pesquisa de Preços">
      <formula>NOT(ISERROR(SEARCH("Pesquisa de Preços",D5366)))</formula>
    </cfRule>
  </conditionalFormatting>
  <conditionalFormatting sqref="D5367">
    <cfRule type="containsText" dxfId="1161" priority="2596" operator="containsText" text="Pesquisa de Preços">
      <formula>NOT(ISERROR(SEARCH("Pesquisa de Preços",D5367)))</formula>
    </cfRule>
  </conditionalFormatting>
  <conditionalFormatting sqref="E5370">
    <cfRule type="containsText" dxfId="1160" priority="2595" operator="containsText" text="Pesquisa de Preços">
      <formula>NOT(ISERROR(SEARCH("Pesquisa de Preços",E5370)))</formula>
    </cfRule>
  </conditionalFormatting>
  <conditionalFormatting sqref="D5371">
    <cfRule type="containsText" dxfId="1159" priority="2592" operator="containsText" text="Pesquisa de Preços">
      <formula>NOT(ISERROR(SEARCH("Pesquisa de Preços",D5371)))</formula>
    </cfRule>
  </conditionalFormatting>
  <conditionalFormatting sqref="D5372 D5376:D5377">
    <cfRule type="containsText" dxfId="1158" priority="2591" operator="containsText" text="Pesquisa de Preços">
      <formula>NOT(ISERROR(SEARCH("Pesquisa de Preços",D5372)))</formula>
    </cfRule>
  </conditionalFormatting>
  <conditionalFormatting sqref="D5375">
    <cfRule type="containsText" dxfId="1157" priority="2590" operator="containsText" text="Pesquisa de Preços">
      <formula>NOT(ISERROR(SEARCH("Pesquisa de Preços",D5375)))</formula>
    </cfRule>
  </conditionalFormatting>
  <conditionalFormatting sqref="E5371">
    <cfRule type="containsText" dxfId="1156" priority="2588" operator="containsText" text="Pesquisa de Preços">
      <formula>NOT(ISERROR(SEARCH("Pesquisa de Preços",E5371)))</formula>
    </cfRule>
  </conditionalFormatting>
  <conditionalFormatting sqref="E5372 E5376:E5377">
    <cfRule type="containsText" dxfId="1155" priority="2589" operator="containsText" text="Pesquisa de Preços">
      <formula>NOT(ISERROR(SEARCH("Pesquisa de Preços",E5372)))</formula>
    </cfRule>
  </conditionalFormatting>
  <conditionalFormatting sqref="E5375">
    <cfRule type="containsText" dxfId="1154" priority="2586" operator="containsText" text="Pesquisa de Preços">
      <formula>NOT(ISERROR(SEARCH("Pesquisa de Preços",E5375)))</formula>
    </cfRule>
  </conditionalFormatting>
  <conditionalFormatting sqref="E5380">
    <cfRule type="containsText" dxfId="1153" priority="2579" operator="containsText" text="Pesquisa de Preços">
      <formula>NOT(ISERROR(SEARCH("Pesquisa de Preços",E5380)))</formula>
    </cfRule>
  </conditionalFormatting>
  <conditionalFormatting sqref="D5378">
    <cfRule type="containsText" dxfId="1152" priority="2583" operator="containsText" text="Pesquisa de Preços">
      <formula>NOT(ISERROR(SEARCH("Pesquisa de Preços",D5378)))</formula>
    </cfRule>
  </conditionalFormatting>
  <conditionalFormatting sqref="D5379 D5383">
    <cfRule type="containsText" dxfId="1151" priority="2582" operator="containsText" text="Pesquisa de Preços">
      <formula>NOT(ISERROR(SEARCH("Pesquisa de Preços",D5379)))</formula>
    </cfRule>
  </conditionalFormatting>
  <conditionalFormatting sqref="E5385 E5389">
    <cfRule type="containsText" dxfId="1150" priority="2574" operator="containsText" text="Pesquisa de Preços">
      <formula>NOT(ISERROR(SEARCH("Pesquisa de Preços",E5385)))</formula>
    </cfRule>
  </conditionalFormatting>
  <conditionalFormatting sqref="E5378">
    <cfRule type="containsText" dxfId="1149" priority="2580" operator="containsText" text="Pesquisa de Preços">
      <formula>NOT(ISERROR(SEARCH("Pesquisa de Preços",E5378)))</formula>
    </cfRule>
  </conditionalFormatting>
  <conditionalFormatting sqref="E5379 E5383">
    <cfRule type="containsText" dxfId="1148" priority="2581" operator="containsText" text="Pesquisa de Preços">
      <formula>NOT(ISERROR(SEARCH("Pesquisa de Preços",E5379)))</formula>
    </cfRule>
  </conditionalFormatting>
  <conditionalFormatting sqref="D5384">
    <cfRule type="containsText" dxfId="1147" priority="2576" operator="containsText" text="Pesquisa de Preços">
      <formula>NOT(ISERROR(SEARCH("Pesquisa de Preços",D5384)))</formula>
    </cfRule>
  </conditionalFormatting>
  <conditionalFormatting sqref="D5385 D5389">
    <cfRule type="containsText" dxfId="1146" priority="2575" operator="containsText" text="Pesquisa de Preços">
      <formula>NOT(ISERROR(SEARCH("Pesquisa de Preços",D5385)))</formula>
    </cfRule>
  </conditionalFormatting>
  <conditionalFormatting sqref="E5384">
    <cfRule type="containsText" dxfId="1145" priority="2573" operator="containsText" text="Pesquisa de Preços">
      <formula>NOT(ISERROR(SEARCH("Pesquisa de Preços",E5384)))</formula>
    </cfRule>
  </conditionalFormatting>
  <conditionalFormatting sqref="D5390">
    <cfRule type="containsText" dxfId="1144" priority="2570" operator="containsText" text="Pesquisa de Preços">
      <formula>NOT(ISERROR(SEARCH("Pesquisa de Preços",D5390)))</formula>
    </cfRule>
  </conditionalFormatting>
  <conditionalFormatting sqref="D5397 D5391:D5392">
    <cfRule type="containsText" dxfId="1143" priority="2569" operator="containsText" text="Pesquisa de Preços">
      <formula>NOT(ISERROR(SEARCH("Pesquisa de Preços",D5391)))</formula>
    </cfRule>
  </conditionalFormatting>
  <conditionalFormatting sqref="E5390">
    <cfRule type="containsText" dxfId="1142" priority="2567" operator="containsText" text="Pesquisa de Preços">
      <formula>NOT(ISERROR(SEARCH("Pesquisa de Preços",E5390)))</formula>
    </cfRule>
  </conditionalFormatting>
  <conditionalFormatting sqref="E5391 E5397">
    <cfRule type="containsText" dxfId="1141" priority="2568" operator="containsText" text="Pesquisa de Preços">
      <formula>NOT(ISERROR(SEARCH("Pesquisa de Preços",E5391)))</formula>
    </cfRule>
  </conditionalFormatting>
  <conditionalFormatting sqref="E5392">
    <cfRule type="containsText" dxfId="1140" priority="2566" operator="containsText" text="Pesquisa de Preços">
      <formula>NOT(ISERROR(SEARCH("Pesquisa de Preços",E5392)))</formula>
    </cfRule>
  </conditionalFormatting>
  <conditionalFormatting sqref="D5398">
    <cfRule type="containsText" dxfId="1139" priority="2563" operator="containsText" text="Pesquisa de Preços">
      <formula>NOT(ISERROR(SEARCH("Pesquisa de Preços",D5398)))</formula>
    </cfRule>
  </conditionalFormatting>
  <conditionalFormatting sqref="D5405 D5399">
    <cfRule type="containsText" dxfId="1138" priority="2562" operator="containsText" text="Pesquisa de Preços">
      <formula>NOT(ISERROR(SEARCH("Pesquisa de Preços",D5399)))</formula>
    </cfRule>
  </conditionalFormatting>
  <conditionalFormatting sqref="E5398">
    <cfRule type="containsText" dxfId="1137" priority="2560" operator="containsText" text="Pesquisa de Preços">
      <formula>NOT(ISERROR(SEARCH("Pesquisa de Preços",E5398)))</formula>
    </cfRule>
  </conditionalFormatting>
  <conditionalFormatting sqref="E5399 E5405">
    <cfRule type="containsText" dxfId="1136" priority="2561" operator="containsText" text="Pesquisa de Preços">
      <formula>NOT(ISERROR(SEARCH("Pesquisa de Preços",E5399)))</formula>
    </cfRule>
  </conditionalFormatting>
  <conditionalFormatting sqref="E5400">
    <cfRule type="containsText" dxfId="1135" priority="2559" operator="containsText" text="Pesquisa de Preços">
      <formula>NOT(ISERROR(SEARCH("Pesquisa de Preços",E5400)))</formula>
    </cfRule>
  </conditionalFormatting>
  <conditionalFormatting sqref="D5406">
    <cfRule type="containsText" dxfId="1134" priority="2556" operator="containsText" text="Pesquisa de Preços">
      <formula>NOT(ISERROR(SEARCH("Pesquisa de Preços",D5406)))</formula>
    </cfRule>
  </conditionalFormatting>
  <conditionalFormatting sqref="D5413 D5407">
    <cfRule type="containsText" dxfId="1133" priority="2555" operator="containsText" text="Pesquisa de Preços">
      <formula>NOT(ISERROR(SEARCH("Pesquisa de Preços",D5407)))</formula>
    </cfRule>
  </conditionalFormatting>
  <conditionalFormatting sqref="E5406">
    <cfRule type="containsText" dxfId="1132" priority="2553" operator="containsText" text="Pesquisa de Preços">
      <formula>NOT(ISERROR(SEARCH("Pesquisa de Preços",E5406)))</formula>
    </cfRule>
  </conditionalFormatting>
  <conditionalFormatting sqref="E5407 E5413">
    <cfRule type="containsText" dxfId="1131" priority="2554" operator="containsText" text="Pesquisa de Preços">
      <formula>NOT(ISERROR(SEARCH("Pesquisa de Preços",E5407)))</formula>
    </cfRule>
  </conditionalFormatting>
  <conditionalFormatting sqref="E5408">
    <cfRule type="containsText" dxfId="1130" priority="2552" operator="containsText" text="Pesquisa de Preços">
      <formula>NOT(ISERROR(SEARCH("Pesquisa de Preços",E5408)))</formula>
    </cfRule>
  </conditionalFormatting>
  <conditionalFormatting sqref="D5414">
    <cfRule type="containsText" dxfId="1129" priority="2551" operator="containsText" text="Pesquisa de Preços">
      <formula>NOT(ISERROR(SEARCH("Pesquisa de Preços",D5414)))</formula>
    </cfRule>
  </conditionalFormatting>
  <conditionalFormatting sqref="D5415">
    <cfRule type="containsText" dxfId="1128" priority="2550" operator="containsText" text="Pesquisa de Preços">
      <formula>NOT(ISERROR(SEARCH("Pesquisa de Preços",D5415)))</formula>
    </cfRule>
  </conditionalFormatting>
  <conditionalFormatting sqref="E5414">
    <cfRule type="containsText" dxfId="1127" priority="2548" operator="containsText" text="Pesquisa de Preços">
      <formula>NOT(ISERROR(SEARCH("Pesquisa de Preços",E5414)))</formula>
    </cfRule>
  </conditionalFormatting>
  <conditionalFormatting sqref="E5415 E5420">
    <cfRule type="containsText" dxfId="1126" priority="2549" operator="containsText" text="Pesquisa de Preços">
      <formula>NOT(ISERROR(SEARCH("Pesquisa de Preços",E5415)))</formula>
    </cfRule>
  </conditionalFormatting>
  <conditionalFormatting sqref="E5416">
    <cfRule type="containsText" dxfId="1125" priority="2547" operator="containsText" text="Pesquisa de Preços">
      <formula>NOT(ISERROR(SEARCH("Pesquisa de Preços",E5416)))</formula>
    </cfRule>
  </conditionalFormatting>
  <conditionalFormatting sqref="D5430">
    <cfRule type="containsText" dxfId="1124" priority="2546" operator="containsText" text="Pesquisa de Preços">
      <formula>NOT(ISERROR(SEARCH("Pesquisa de Preços",D5430)))</formula>
    </cfRule>
  </conditionalFormatting>
  <conditionalFormatting sqref="D5421">
    <cfRule type="containsText" dxfId="1123" priority="2543" operator="containsText" text="Pesquisa de Preços">
      <formula>NOT(ISERROR(SEARCH("Pesquisa de Preços",D5421)))</formula>
    </cfRule>
  </conditionalFormatting>
  <conditionalFormatting sqref="D5422">
    <cfRule type="containsText" dxfId="1122" priority="2542" operator="containsText" text="Pesquisa de Preços">
      <formula>NOT(ISERROR(SEARCH("Pesquisa de Preços",D5422)))</formula>
    </cfRule>
  </conditionalFormatting>
  <conditionalFormatting sqref="E5430">
    <cfRule type="containsText" dxfId="1121" priority="2541" operator="containsText" text="Pesquisa de Preços">
      <formula>NOT(ISERROR(SEARCH("Pesquisa de Preços",E5430)))</formula>
    </cfRule>
  </conditionalFormatting>
  <conditionalFormatting sqref="D5442">
    <cfRule type="containsText" dxfId="1120" priority="2534" operator="containsText" text="Pesquisa de Preços">
      <formula>NOT(ISERROR(SEARCH("Pesquisa de Preços",D5442)))</formula>
    </cfRule>
  </conditionalFormatting>
  <conditionalFormatting sqref="D5431">
    <cfRule type="containsText" dxfId="1119" priority="2531" operator="containsText" text="Pesquisa de Preços">
      <formula>NOT(ISERROR(SEARCH("Pesquisa de Preços",D5431)))</formula>
    </cfRule>
  </conditionalFormatting>
  <conditionalFormatting sqref="D5432">
    <cfRule type="containsText" dxfId="1118" priority="2530" operator="containsText" text="Pesquisa de Preços">
      <formula>NOT(ISERROR(SEARCH("Pesquisa de Preços",D5432)))</formula>
    </cfRule>
  </conditionalFormatting>
  <conditionalFormatting sqref="E5442">
    <cfRule type="containsText" dxfId="1117" priority="2529" operator="containsText" text="Pesquisa de Preços">
      <formula>NOT(ISERROR(SEARCH("Pesquisa de Preços",E5442)))</formula>
    </cfRule>
  </conditionalFormatting>
  <conditionalFormatting sqref="D5448">
    <cfRule type="containsText" dxfId="1116" priority="2514" operator="containsText" text="Pesquisa de Preços">
      <formula>NOT(ISERROR(SEARCH("Pesquisa de Preços",D5448)))</formula>
    </cfRule>
  </conditionalFormatting>
  <conditionalFormatting sqref="D5443">
    <cfRule type="containsText" dxfId="1115" priority="2513" operator="containsText" text="Pesquisa de Preços">
      <formula>NOT(ISERROR(SEARCH("Pesquisa de Preços",D5443)))</formula>
    </cfRule>
  </conditionalFormatting>
  <conditionalFormatting sqref="D5444:D5445">
    <cfRule type="containsText" dxfId="1114" priority="2512" operator="containsText" text="Pesquisa de Preços">
      <formula>NOT(ISERROR(SEARCH("Pesquisa de Preços",D5444)))</formula>
    </cfRule>
  </conditionalFormatting>
  <conditionalFormatting sqref="E5443">
    <cfRule type="containsText" dxfId="1113" priority="2510" operator="containsText" text="Pesquisa de Preços">
      <formula>NOT(ISERROR(SEARCH("Pesquisa de Preços",E5443)))</formula>
    </cfRule>
  </conditionalFormatting>
  <conditionalFormatting sqref="E5444 E5448">
    <cfRule type="containsText" dxfId="1112" priority="2511" operator="containsText" text="Pesquisa de Preços">
      <formula>NOT(ISERROR(SEARCH("Pesquisa de Preços",E5444)))</formula>
    </cfRule>
  </conditionalFormatting>
  <conditionalFormatting sqref="E5445">
    <cfRule type="containsText" dxfId="1111" priority="2509" operator="containsText" text="Pesquisa de Preços">
      <formula>NOT(ISERROR(SEARCH("Pesquisa de Preços",E5445)))</formula>
    </cfRule>
  </conditionalFormatting>
  <conditionalFormatting sqref="D5454">
    <cfRule type="containsText" dxfId="1110" priority="2506" operator="containsText" text="Pesquisa de Preços">
      <formula>NOT(ISERROR(SEARCH("Pesquisa de Preços",D5454)))</formula>
    </cfRule>
  </conditionalFormatting>
  <conditionalFormatting sqref="D5449">
    <cfRule type="containsText" dxfId="1109" priority="2505" operator="containsText" text="Pesquisa de Preços">
      <formula>NOT(ISERROR(SEARCH("Pesquisa de Preços",D5449)))</formula>
    </cfRule>
  </conditionalFormatting>
  <conditionalFormatting sqref="D5450:D5451">
    <cfRule type="containsText" dxfId="1108" priority="2504" operator="containsText" text="Pesquisa de Preços">
      <formula>NOT(ISERROR(SEARCH("Pesquisa de Preços",D5450)))</formula>
    </cfRule>
  </conditionalFormatting>
  <conditionalFormatting sqref="E5449">
    <cfRule type="containsText" dxfId="1107" priority="2502" operator="containsText" text="Pesquisa de Preços">
      <formula>NOT(ISERROR(SEARCH("Pesquisa de Preços",E5449)))</formula>
    </cfRule>
  </conditionalFormatting>
  <conditionalFormatting sqref="E5450 E5454">
    <cfRule type="containsText" dxfId="1106" priority="2503" operator="containsText" text="Pesquisa de Preços">
      <formula>NOT(ISERROR(SEARCH("Pesquisa de Preços",E5450)))</formula>
    </cfRule>
  </conditionalFormatting>
  <conditionalFormatting sqref="E5451">
    <cfRule type="containsText" dxfId="1105" priority="2501" operator="containsText" text="Pesquisa de Preços">
      <formula>NOT(ISERROR(SEARCH("Pesquisa de Preços",E5451)))</formula>
    </cfRule>
  </conditionalFormatting>
  <conditionalFormatting sqref="D5455">
    <cfRule type="containsText" dxfId="1104" priority="2500" operator="containsText" text="Pesquisa de Preços">
      <formula>NOT(ISERROR(SEARCH("Pesquisa de Preços",D5455)))</formula>
    </cfRule>
  </conditionalFormatting>
  <conditionalFormatting sqref="D5456 D5460:D5461">
    <cfRule type="containsText" dxfId="1103" priority="2499" operator="containsText" text="Pesquisa de Preços">
      <formula>NOT(ISERROR(SEARCH("Pesquisa de Preços",D5456)))</formula>
    </cfRule>
  </conditionalFormatting>
  <conditionalFormatting sqref="D5459">
    <cfRule type="containsText" dxfId="1102" priority="2498" operator="containsText" text="Pesquisa de Preços">
      <formula>NOT(ISERROR(SEARCH("Pesquisa de Preços",D5459)))</formula>
    </cfRule>
  </conditionalFormatting>
  <conditionalFormatting sqref="E5456 E5460:E5461">
    <cfRule type="containsText" dxfId="1101" priority="2497" operator="containsText" text="Pesquisa de Preços">
      <formula>NOT(ISERROR(SEARCH("Pesquisa de Preços",E5456)))</formula>
    </cfRule>
  </conditionalFormatting>
  <conditionalFormatting sqref="E5455">
    <cfRule type="containsText" dxfId="1100" priority="2496" operator="containsText" text="Pesquisa de Preços">
      <formula>NOT(ISERROR(SEARCH("Pesquisa de Preços",E5455)))</formula>
    </cfRule>
  </conditionalFormatting>
  <conditionalFormatting sqref="E5459">
    <cfRule type="containsText" dxfId="1099" priority="2494" operator="containsText" text="Pesquisa de Preços">
      <formula>NOT(ISERROR(SEARCH("Pesquisa de Preços",E5459)))</formula>
    </cfRule>
  </conditionalFormatting>
  <conditionalFormatting sqref="E5457">
    <cfRule type="containsText" dxfId="1098" priority="2495" operator="containsText" text="Pesquisa de Preços">
      <formula>NOT(ISERROR(SEARCH("Pesquisa de Preços",E5457)))</formula>
    </cfRule>
  </conditionalFormatting>
  <conditionalFormatting sqref="D5467">
    <cfRule type="containsText" dxfId="1097" priority="2489" operator="containsText" text="Pesquisa de Preços">
      <formula>NOT(ISERROR(SEARCH("Pesquisa de Preços",D5467)))</formula>
    </cfRule>
  </conditionalFormatting>
  <conditionalFormatting sqref="D5462">
    <cfRule type="containsText" dxfId="1096" priority="2488" operator="containsText" text="Pesquisa de Preços">
      <formula>NOT(ISERROR(SEARCH("Pesquisa de Preços",D5462)))</formula>
    </cfRule>
  </conditionalFormatting>
  <conditionalFormatting sqref="D5463">
    <cfRule type="containsText" dxfId="1095" priority="2487" operator="containsText" text="Pesquisa de Preços">
      <formula>NOT(ISERROR(SEARCH("Pesquisa de Preços",D5463)))</formula>
    </cfRule>
  </conditionalFormatting>
  <conditionalFormatting sqref="E5462">
    <cfRule type="containsText" dxfId="1094" priority="2485" operator="containsText" text="Pesquisa de Preços">
      <formula>NOT(ISERROR(SEARCH("Pesquisa de Preços",E5462)))</formula>
    </cfRule>
  </conditionalFormatting>
  <conditionalFormatting sqref="E5463 E5467">
    <cfRule type="containsText" dxfId="1093" priority="2486" operator="containsText" text="Pesquisa de Preços">
      <formula>NOT(ISERROR(SEARCH("Pesquisa de Preços",E5463)))</formula>
    </cfRule>
  </conditionalFormatting>
  <conditionalFormatting sqref="E5464">
    <cfRule type="containsText" dxfId="1092" priority="2484" operator="containsText" text="Pesquisa de Preços">
      <formula>NOT(ISERROR(SEARCH("Pesquisa de Preços",E5464)))</formula>
    </cfRule>
  </conditionalFormatting>
  <conditionalFormatting sqref="D5473">
    <cfRule type="containsText" dxfId="1091" priority="2481" operator="containsText" text="Pesquisa de Preços">
      <formula>NOT(ISERROR(SEARCH("Pesquisa de Preços",D5473)))</formula>
    </cfRule>
  </conditionalFormatting>
  <conditionalFormatting sqref="D5468">
    <cfRule type="containsText" dxfId="1090" priority="2480" operator="containsText" text="Pesquisa de Preços">
      <formula>NOT(ISERROR(SEARCH("Pesquisa de Preços",D5468)))</formula>
    </cfRule>
  </conditionalFormatting>
  <conditionalFormatting sqref="D5469">
    <cfRule type="containsText" dxfId="1089" priority="2479" operator="containsText" text="Pesquisa de Preços">
      <formula>NOT(ISERROR(SEARCH("Pesquisa de Preços",D5469)))</formula>
    </cfRule>
  </conditionalFormatting>
  <conditionalFormatting sqref="E5468">
    <cfRule type="containsText" dxfId="1088" priority="2477" operator="containsText" text="Pesquisa de Preços">
      <formula>NOT(ISERROR(SEARCH("Pesquisa de Preços",E5468)))</formula>
    </cfRule>
  </conditionalFormatting>
  <conditionalFormatting sqref="E5469 E5473">
    <cfRule type="containsText" dxfId="1087" priority="2478" operator="containsText" text="Pesquisa de Preços">
      <formula>NOT(ISERROR(SEARCH("Pesquisa de Preços",E5469)))</formula>
    </cfRule>
  </conditionalFormatting>
  <conditionalFormatting sqref="D5470">
    <cfRule type="containsText" dxfId="1086" priority="2476" operator="containsText" text="Pesquisa de Preços">
      <formula>NOT(ISERROR(SEARCH("Pesquisa de Preços",D5470)))</formula>
    </cfRule>
  </conditionalFormatting>
  <conditionalFormatting sqref="E5470">
    <cfRule type="containsText" dxfId="1085" priority="2475" operator="containsText" text="Pesquisa de Preços">
      <formula>NOT(ISERROR(SEARCH("Pesquisa de Preços",E5470)))</formula>
    </cfRule>
  </conditionalFormatting>
  <conditionalFormatting sqref="D5478">
    <cfRule type="containsText" dxfId="1084" priority="2474" operator="containsText" text="Pesquisa de Preços">
      <formula>NOT(ISERROR(SEARCH("Pesquisa de Preços",D5478)))</formula>
    </cfRule>
  </conditionalFormatting>
  <conditionalFormatting sqref="E5475 E5479">
    <cfRule type="containsText" dxfId="1083" priority="2471" operator="containsText" text="Pesquisa de Preços">
      <formula>NOT(ISERROR(SEARCH("Pesquisa de Preços",E5475)))</formula>
    </cfRule>
  </conditionalFormatting>
  <conditionalFormatting sqref="E5476">
    <cfRule type="containsText" dxfId="1082" priority="2469" operator="containsText" text="Pesquisa de Preços">
      <formula>NOT(ISERROR(SEARCH("Pesquisa de Preços",E5476)))</formula>
    </cfRule>
  </conditionalFormatting>
  <conditionalFormatting sqref="D5474">
    <cfRule type="containsText" dxfId="1081" priority="2473" operator="containsText" text="Pesquisa de Preços">
      <formula>NOT(ISERROR(SEARCH("Pesquisa de Preços",D5474)))</formula>
    </cfRule>
  </conditionalFormatting>
  <conditionalFormatting sqref="D5475 D5479">
    <cfRule type="containsText" dxfId="1080" priority="2472" operator="containsText" text="Pesquisa de Preços">
      <formula>NOT(ISERROR(SEARCH("Pesquisa de Preços",D5475)))</formula>
    </cfRule>
  </conditionalFormatting>
  <conditionalFormatting sqref="E5474">
    <cfRule type="containsText" dxfId="1079" priority="2470" operator="containsText" text="Pesquisa de Preços">
      <formula>NOT(ISERROR(SEARCH("Pesquisa de Preços",E5474)))</formula>
    </cfRule>
  </conditionalFormatting>
  <conditionalFormatting sqref="E5477">
    <cfRule type="containsText" dxfId="1078" priority="2464" operator="containsText" text="Pesquisa de Preços">
      <formula>NOT(ISERROR(SEARCH("Pesquisa de Preços",E5477)))</formula>
    </cfRule>
  </conditionalFormatting>
  <conditionalFormatting sqref="E5481 E5483">
    <cfRule type="containsText" dxfId="1077" priority="2461" operator="containsText" text="Pesquisa de Preços">
      <formula>NOT(ISERROR(SEARCH("Pesquisa de Preços",E5481)))</formula>
    </cfRule>
  </conditionalFormatting>
  <conditionalFormatting sqref="E5482">
    <cfRule type="containsText" dxfId="1076" priority="2459" operator="containsText" text="Pesquisa de Preços">
      <formula>NOT(ISERROR(SEARCH("Pesquisa de Preços",E5482)))</formula>
    </cfRule>
  </conditionalFormatting>
  <conditionalFormatting sqref="D5480">
    <cfRule type="containsText" dxfId="1075" priority="2463" operator="containsText" text="Pesquisa de Preços">
      <formula>NOT(ISERROR(SEARCH("Pesquisa de Preços",D5480)))</formula>
    </cfRule>
  </conditionalFormatting>
  <conditionalFormatting sqref="D5481 D5483">
    <cfRule type="containsText" dxfId="1074" priority="2462" operator="containsText" text="Pesquisa de Preços">
      <formula>NOT(ISERROR(SEARCH("Pesquisa de Preços",D5481)))</formula>
    </cfRule>
  </conditionalFormatting>
  <conditionalFormatting sqref="E5480">
    <cfRule type="containsText" dxfId="1073" priority="2460" operator="containsText" text="Pesquisa de Preços">
      <formula>NOT(ISERROR(SEARCH("Pesquisa de Preços",E5480)))</formula>
    </cfRule>
  </conditionalFormatting>
  <conditionalFormatting sqref="E5492 E5494">
    <cfRule type="containsText" dxfId="1072" priority="2454" operator="containsText" text="Pesquisa de Preços">
      <formula>NOT(ISERROR(SEARCH("Pesquisa de Preços",E5492)))</formula>
    </cfRule>
  </conditionalFormatting>
  <conditionalFormatting sqref="E5493">
    <cfRule type="containsText" dxfId="1071" priority="2452" operator="containsText" text="Pesquisa de Preços">
      <formula>NOT(ISERROR(SEARCH("Pesquisa de Preços",E5493)))</formula>
    </cfRule>
  </conditionalFormatting>
  <conditionalFormatting sqref="D5491">
    <cfRule type="containsText" dxfId="1070" priority="2456" operator="containsText" text="Pesquisa de Preços">
      <formula>NOT(ISERROR(SEARCH("Pesquisa de Preços",D5491)))</formula>
    </cfRule>
  </conditionalFormatting>
  <conditionalFormatting sqref="D5492 D5494">
    <cfRule type="containsText" dxfId="1069" priority="2455" operator="containsText" text="Pesquisa de Preços">
      <formula>NOT(ISERROR(SEARCH("Pesquisa de Preços",D5492)))</formula>
    </cfRule>
  </conditionalFormatting>
  <conditionalFormatting sqref="E5491">
    <cfRule type="containsText" dxfId="1068" priority="2453" operator="containsText" text="Pesquisa de Preços">
      <formula>NOT(ISERROR(SEARCH("Pesquisa de Preços",E5491)))</formula>
    </cfRule>
  </conditionalFormatting>
  <conditionalFormatting sqref="E5485 E5490">
    <cfRule type="containsText" dxfId="1067" priority="2445" operator="containsText" text="Pesquisa de Preços">
      <formula>NOT(ISERROR(SEARCH("Pesquisa de Preços",E5485)))</formula>
    </cfRule>
  </conditionalFormatting>
  <conditionalFormatting sqref="D5484">
    <cfRule type="containsText" dxfId="1066" priority="2447" operator="containsText" text="Pesquisa de Preços">
      <formula>NOT(ISERROR(SEARCH("Pesquisa de Preços",D5484)))</formula>
    </cfRule>
  </conditionalFormatting>
  <conditionalFormatting sqref="D5485 D5490">
    <cfRule type="containsText" dxfId="1065" priority="2446" operator="containsText" text="Pesquisa de Preços">
      <formula>NOT(ISERROR(SEARCH("Pesquisa de Preços",D5485)))</formula>
    </cfRule>
  </conditionalFormatting>
  <conditionalFormatting sqref="E5487:E5488">
    <cfRule type="containsText" dxfId="1064" priority="2439" operator="containsText" text="Pesquisa de Preços">
      <formula>NOT(ISERROR(SEARCH("Pesquisa de Preços",E5487)))</formula>
    </cfRule>
  </conditionalFormatting>
  <conditionalFormatting sqref="E5486">
    <cfRule type="containsText" dxfId="1063" priority="2440" operator="containsText" text="Pesquisa de Preços">
      <formula>NOT(ISERROR(SEARCH("Pesquisa de Preços",E5486)))</formula>
    </cfRule>
  </conditionalFormatting>
  <conditionalFormatting sqref="E5484">
    <cfRule type="containsText" dxfId="1062" priority="2444" operator="containsText" text="Pesquisa de Preços">
      <formula>NOT(ISERROR(SEARCH("Pesquisa de Preços",E5484)))</formula>
    </cfRule>
  </conditionalFormatting>
  <conditionalFormatting sqref="D5487">
    <cfRule type="containsText" dxfId="1061" priority="2441" operator="containsText" text="Pesquisa de Preços">
      <formula>NOT(ISERROR(SEARCH("Pesquisa de Preços",D5487)))</formula>
    </cfRule>
  </conditionalFormatting>
  <conditionalFormatting sqref="D6250">
    <cfRule type="containsText" dxfId="1060" priority="2426" operator="containsText" text="Pesquisa de Preços">
      <formula>NOT(ISERROR(SEARCH("Pesquisa de Preços",D6250)))</formula>
    </cfRule>
  </conditionalFormatting>
  <conditionalFormatting sqref="D6247">
    <cfRule type="containsText" dxfId="1059" priority="2425" operator="containsText" text="Pesquisa de Preços">
      <formula>NOT(ISERROR(SEARCH("Pesquisa de Preços",D6247)))</formula>
    </cfRule>
  </conditionalFormatting>
  <conditionalFormatting sqref="D6245">
    <cfRule type="containsText" dxfId="1058" priority="2424" operator="containsText" text="Pesquisa de Preços">
      <formula>NOT(ISERROR(SEARCH("Pesquisa de Preços",D6245)))</formula>
    </cfRule>
  </conditionalFormatting>
  <conditionalFormatting sqref="D6259">
    <cfRule type="containsText" dxfId="1057" priority="2419" operator="containsText" text="Pesquisa de Preços">
      <formula>NOT(ISERROR(SEARCH("Pesquisa de Preços",D6259)))</formula>
    </cfRule>
  </conditionalFormatting>
  <conditionalFormatting sqref="D6251">
    <cfRule type="containsText" dxfId="1056" priority="2418" operator="containsText" text="Pesquisa de Preços">
      <formula>NOT(ISERROR(SEARCH("Pesquisa de Preços",D6251)))</formula>
    </cfRule>
  </conditionalFormatting>
  <conditionalFormatting sqref="D6270">
    <cfRule type="containsText" dxfId="1055" priority="2409" operator="containsText" text="Pesquisa de Preços">
      <formula>NOT(ISERROR(SEARCH("Pesquisa de Preços",D6270)))</formula>
    </cfRule>
  </conditionalFormatting>
  <conditionalFormatting sqref="D6260">
    <cfRule type="containsText" dxfId="1054" priority="2408" operator="containsText" text="Pesquisa de Preços">
      <formula>NOT(ISERROR(SEARCH("Pesquisa de Preços",D6260)))</formula>
    </cfRule>
  </conditionalFormatting>
  <conditionalFormatting sqref="D6278">
    <cfRule type="containsText" dxfId="1053" priority="2399" operator="containsText" text="Pesquisa de Preços">
      <formula>NOT(ISERROR(SEARCH("Pesquisa de Preços",D6278)))</formula>
    </cfRule>
  </conditionalFormatting>
  <conditionalFormatting sqref="D6271">
    <cfRule type="containsText" dxfId="1052" priority="2398" operator="containsText" text="Pesquisa de Preços">
      <formula>NOT(ISERROR(SEARCH("Pesquisa de Preços",D6271)))</formula>
    </cfRule>
  </conditionalFormatting>
  <conditionalFormatting sqref="D6286">
    <cfRule type="containsText" dxfId="1051" priority="2389" operator="containsText" text="Pesquisa de Preços">
      <formula>NOT(ISERROR(SEARCH("Pesquisa de Preços",D6286)))</formula>
    </cfRule>
  </conditionalFormatting>
  <conditionalFormatting sqref="D6279">
    <cfRule type="containsText" dxfId="1050" priority="2388" operator="containsText" text="Pesquisa de Preços">
      <formula>NOT(ISERROR(SEARCH("Pesquisa de Preços",D6279)))</formula>
    </cfRule>
  </conditionalFormatting>
  <conditionalFormatting sqref="D6293">
    <cfRule type="containsText" dxfId="1049" priority="2381" operator="containsText" text="Pesquisa de Preços">
      <formula>NOT(ISERROR(SEARCH("Pesquisa de Preços",D6293)))</formula>
    </cfRule>
  </conditionalFormatting>
  <conditionalFormatting sqref="D6287">
    <cfRule type="containsText" dxfId="1048" priority="2380" operator="containsText" text="Pesquisa de Preços">
      <formula>NOT(ISERROR(SEARCH("Pesquisa de Preços",D6287)))</formula>
    </cfRule>
  </conditionalFormatting>
  <conditionalFormatting sqref="D6303">
    <cfRule type="containsText" dxfId="1047" priority="2373" operator="containsText" text="Pesquisa de Preços">
      <formula>NOT(ISERROR(SEARCH("Pesquisa de Preços",D6303)))</formula>
    </cfRule>
  </conditionalFormatting>
  <conditionalFormatting sqref="D6294">
    <cfRule type="containsText" dxfId="1046" priority="2372" operator="containsText" text="Pesquisa de Preços">
      <formula>NOT(ISERROR(SEARCH("Pesquisa de Preços",D6294)))</formula>
    </cfRule>
  </conditionalFormatting>
  <conditionalFormatting sqref="D6327">
    <cfRule type="containsText" dxfId="1045" priority="2361" operator="containsText" text="Pesquisa de Preços">
      <formula>NOT(ISERROR(SEARCH("Pesquisa de Preços",D6327)))</formula>
    </cfRule>
  </conditionalFormatting>
  <conditionalFormatting sqref="D6304">
    <cfRule type="containsText" dxfId="1044" priority="2360" operator="containsText" text="Pesquisa de Preços">
      <formula>NOT(ISERROR(SEARCH("Pesquisa de Preços",D6304)))</formula>
    </cfRule>
  </conditionalFormatting>
  <conditionalFormatting sqref="D6328">
    <cfRule type="containsText" dxfId="1043" priority="2346" operator="containsText" text="Pesquisa de Preços">
      <formula>NOT(ISERROR(SEARCH("Pesquisa de Preços",D6328)))</formula>
    </cfRule>
  </conditionalFormatting>
  <conditionalFormatting sqref="D6337">
    <cfRule type="containsText" dxfId="1042" priority="2347" operator="containsText" text="Pesquisa de Preços">
      <formula>NOT(ISERROR(SEARCH("Pesquisa de Preços",D6337)))</formula>
    </cfRule>
  </conditionalFormatting>
  <conditionalFormatting sqref="D6336">
    <cfRule type="containsText" dxfId="1041" priority="2345" operator="containsText" text="Pesquisa de Preços">
      <formula>NOT(ISERROR(SEARCH("Pesquisa de Preços",D6336)))</formula>
    </cfRule>
  </conditionalFormatting>
  <conditionalFormatting sqref="D6347">
    <cfRule type="containsText" dxfId="1040" priority="2333" operator="containsText" text="Pesquisa de Preços">
      <formula>NOT(ISERROR(SEARCH("Pesquisa de Preços",D6347)))</formula>
    </cfRule>
  </conditionalFormatting>
  <conditionalFormatting sqref="D6338">
    <cfRule type="containsText" dxfId="1039" priority="2337" operator="containsText" text="Pesquisa de Preços">
      <formula>NOT(ISERROR(SEARCH("Pesquisa de Preços",D6338)))</formula>
    </cfRule>
  </conditionalFormatting>
  <conditionalFormatting sqref="D6346">
    <cfRule type="containsText" dxfId="1038" priority="2338" operator="containsText" text="Pesquisa de Preços">
      <formula>NOT(ISERROR(SEARCH("Pesquisa de Preços",D6346)))</formula>
    </cfRule>
  </conditionalFormatting>
  <conditionalFormatting sqref="D6351">
    <cfRule type="containsText" dxfId="1037" priority="2334" operator="containsText" text="Pesquisa de Preços">
      <formula>NOT(ISERROR(SEARCH("Pesquisa de Preços",D6351)))</formula>
    </cfRule>
  </conditionalFormatting>
  <conditionalFormatting sqref="D6365">
    <cfRule type="containsText" dxfId="1036" priority="2326" operator="containsText" text="Pesquisa de Preços">
      <formula>NOT(ISERROR(SEARCH("Pesquisa de Preços",D6365)))</formula>
    </cfRule>
  </conditionalFormatting>
  <conditionalFormatting sqref="D6352">
    <cfRule type="containsText" dxfId="1035" priority="2325" operator="containsText" text="Pesquisa de Preços">
      <formula>NOT(ISERROR(SEARCH("Pesquisa de Preços",D6352)))</formula>
    </cfRule>
  </conditionalFormatting>
  <conditionalFormatting sqref="D6380">
    <cfRule type="containsText" dxfId="1034" priority="2308" operator="containsText" text="Pesquisa de Preços">
      <formula>NOT(ISERROR(SEARCH("Pesquisa de Preços",D6380)))</formula>
    </cfRule>
  </conditionalFormatting>
  <conditionalFormatting sqref="D6366">
    <cfRule type="containsText" dxfId="1033" priority="2307" operator="containsText" text="Pesquisa de Preços">
      <formula>NOT(ISERROR(SEARCH("Pesquisa de Preços",D6366)))</formula>
    </cfRule>
  </conditionalFormatting>
  <conditionalFormatting sqref="D6382:D6383">
    <cfRule type="containsText" dxfId="1032" priority="2299" operator="containsText" text="Pesquisa de Preços">
      <formula>NOT(ISERROR(SEARCH("Pesquisa de Preços",D6382)))</formula>
    </cfRule>
  </conditionalFormatting>
  <conditionalFormatting sqref="E6383">
    <cfRule type="containsText" dxfId="1031" priority="2296" operator="containsText" text="Pesquisa de Preços">
      <formula>NOT(ISERROR(SEARCH("Pesquisa de Preços",E6383)))</formula>
    </cfRule>
  </conditionalFormatting>
  <conditionalFormatting sqref="D6378:D6379">
    <cfRule type="containsText" dxfId="1030" priority="2304" operator="containsText" text="Pesquisa de Preços">
      <formula>NOT(ISERROR(SEARCH("Pesquisa de Preços",D6378)))</formula>
    </cfRule>
  </conditionalFormatting>
  <conditionalFormatting sqref="D6389:D6390">
    <cfRule type="containsText" dxfId="1029" priority="2293" operator="containsText" text="Pesquisa de Preços">
      <formula>NOT(ISERROR(SEARCH("Pesquisa de Preços",D6389)))</formula>
    </cfRule>
  </conditionalFormatting>
  <conditionalFormatting sqref="E6390">
    <cfRule type="containsText" dxfId="1028" priority="2290" operator="containsText" text="Pesquisa de Preços">
      <formula>NOT(ISERROR(SEARCH("Pesquisa de Preços",E6390)))</formula>
    </cfRule>
  </conditionalFormatting>
  <conditionalFormatting sqref="D6387">
    <cfRule type="containsText" dxfId="1027" priority="2303" operator="containsText" text="Pesquisa de Preços">
      <formula>NOT(ISERROR(SEARCH("Pesquisa de Preços",D6387)))</formula>
    </cfRule>
  </conditionalFormatting>
  <conditionalFormatting sqref="D6381">
    <cfRule type="containsText" dxfId="1026" priority="2300" operator="containsText" text="Pesquisa de Preços">
      <formula>NOT(ISERROR(SEARCH("Pesquisa de Preços",D6381)))</formula>
    </cfRule>
  </conditionalFormatting>
  <conditionalFormatting sqref="E6381">
    <cfRule type="containsText" dxfId="1025" priority="2297" operator="containsText" text="Pesquisa de Preços">
      <formula>NOT(ISERROR(SEARCH("Pesquisa de Preços",E6381)))</formula>
    </cfRule>
  </conditionalFormatting>
  <conditionalFormatting sqref="E6382 E6387">
    <cfRule type="containsText" dxfId="1024" priority="2298" operator="containsText" text="Pesquisa de Preços">
      <formula>NOT(ISERROR(SEARCH("Pesquisa de Preços",E6382)))</formula>
    </cfRule>
  </conditionalFormatting>
  <conditionalFormatting sqref="D6393">
    <cfRule type="containsText" dxfId="1023" priority="2295" operator="containsText" text="Pesquisa de Preços">
      <formula>NOT(ISERROR(SEARCH("Pesquisa de Preços",D6393)))</formula>
    </cfRule>
  </conditionalFormatting>
  <conditionalFormatting sqref="D6388">
    <cfRule type="containsText" dxfId="1022" priority="2294" operator="containsText" text="Pesquisa de Preços">
      <formula>NOT(ISERROR(SEARCH("Pesquisa de Preços",D6388)))</formula>
    </cfRule>
  </conditionalFormatting>
  <conditionalFormatting sqref="E6388">
    <cfRule type="containsText" dxfId="1021" priority="2291" operator="containsText" text="Pesquisa de Preços">
      <formula>NOT(ISERROR(SEARCH("Pesquisa de Preços",E6388)))</formula>
    </cfRule>
  </conditionalFormatting>
  <conditionalFormatting sqref="E6389 E6393">
    <cfRule type="containsText" dxfId="1020" priority="2292" operator="containsText" text="Pesquisa de Preços">
      <formula>NOT(ISERROR(SEARCH("Pesquisa de Preços",E6389)))</formula>
    </cfRule>
  </conditionalFormatting>
  <conditionalFormatting sqref="E6376:E6377">
    <cfRule type="containsText" dxfId="1019" priority="2287" operator="containsText" text="Pesquisa de Preços">
      <formula>NOT(ISERROR(SEARCH("Pesquisa de Preços",E6376)))</formula>
    </cfRule>
  </conditionalFormatting>
  <conditionalFormatting sqref="D6368">
    <cfRule type="containsText" dxfId="1018" priority="2286" operator="containsText" text="Pesquisa de Preços">
      <formula>NOT(ISERROR(SEARCH("Pesquisa de Preços",D6368)))</formula>
    </cfRule>
  </conditionalFormatting>
  <conditionalFormatting sqref="D6183">
    <cfRule type="containsText" dxfId="1017" priority="2283" operator="containsText" text="Pesquisa de Preços">
      <formula>NOT(ISERROR(SEARCH("Pesquisa de Preços",D6183)))</formula>
    </cfRule>
  </conditionalFormatting>
  <conditionalFormatting sqref="D6177">
    <cfRule type="containsText" dxfId="1016" priority="2282" operator="containsText" text="Pesquisa de Preços">
      <formula>NOT(ISERROR(SEARCH("Pesquisa de Preços",D6177)))</formula>
    </cfRule>
  </conditionalFormatting>
  <conditionalFormatting sqref="D6165">
    <cfRule type="containsText" dxfId="1015" priority="2281" operator="containsText" text="Pesquisa de Preços">
      <formula>NOT(ISERROR(SEARCH("Pesquisa de Preços",D6165)))</formula>
    </cfRule>
  </conditionalFormatting>
  <conditionalFormatting sqref="D6155">
    <cfRule type="containsText" dxfId="1014" priority="2278" operator="containsText" text="Pesquisa de Preços">
      <formula>NOT(ISERROR(SEARCH("Pesquisa de Preços",D6155)))</formula>
    </cfRule>
  </conditionalFormatting>
  <conditionalFormatting sqref="D6156">
    <cfRule type="containsText" dxfId="1013" priority="2277" operator="containsText" text="Pesquisa de Preços">
      <formula>NOT(ISERROR(SEARCH("Pesquisa de Preços",D6156)))</formula>
    </cfRule>
  </conditionalFormatting>
  <conditionalFormatting sqref="E6165">
    <cfRule type="containsText" dxfId="1012" priority="2276" operator="containsText" text="Pesquisa de Preços">
      <formula>NOT(ISERROR(SEARCH("Pesquisa de Preços",E6165)))</formula>
    </cfRule>
  </conditionalFormatting>
  <conditionalFormatting sqref="D6176">
    <cfRule type="containsText" dxfId="1011" priority="2275" operator="containsText" text="Pesquisa de Preços">
      <formula>NOT(ISERROR(SEARCH("Pesquisa de Preços",D6176)))</formula>
    </cfRule>
  </conditionalFormatting>
  <conditionalFormatting sqref="D6166">
    <cfRule type="containsText" dxfId="1010" priority="2272" operator="containsText" text="Pesquisa de Preços">
      <formula>NOT(ISERROR(SEARCH("Pesquisa de Preços",D6166)))</formula>
    </cfRule>
  </conditionalFormatting>
  <conditionalFormatting sqref="D6167">
    <cfRule type="containsText" dxfId="1009" priority="2271" operator="containsText" text="Pesquisa de Preços">
      <formula>NOT(ISERROR(SEARCH("Pesquisa de Preços",D6167)))</formula>
    </cfRule>
  </conditionalFormatting>
  <conditionalFormatting sqref="E6176">
    <cfRule type="containsText" dxfId="1008" priority="2270" operator="containsText" text="Pesquisa de Preços">
      <formula>NOT(ISERROR(SEARCH("Pesquisa de Preços",E6176)))</formula>
    </cfRule>
  </conditionalFormatting>
  <conditionalFormatting sqref="D6188">
    <cfRule type="containsText" dxfId="1007" priority="2255" operator="containsText" text="Pesquisa de Preços">
      <formula>NOT(ISERROR(SEARCH("Pesquisa de Preços",D6188)))</formula>
    </cfRule>
  </conditionalFormatting>
  <conditionalFormatting sqref="D6184">
    <cfRule type="containsText" dxfId="1006" priority="2254" operator="containsText" text="Pesquisa de Preços">
      <formula>NOT(ISERROR(SEARCH("Pesquisa de Preços",D6184)))</formula>
    </cfRule>
  </conditionalFormatting>
  <conditionalFormatting sqref="D6193">
    <cfRule type="containsText" dxfId="1005" priority="2247" operator="containsText" text="Pesquisa de Preços">
      <formula>NOT(ISERROR(SEARCH("Pesquisa de Preços",D6193)))</formula>
    </cfRule>
  </conditionalFormatting>
  <conditionalFormatting sqref="D6189">
    <cfRule type="containsText" dxfId="1004" priority="2246" operator="containsText" text="Pesquisa de Preços">
      <formula>NOT(ISERROR(SEARCH("Pesquisa de Preços",D6189)))</formula>
    </cfRule>
  </conditionalFormatting>
  <conditionalFormatting sqref="D6209">
    <cfRule type="containsText" dxfId="1003" priority="2237" operator="containsText" text="Pesquisa de Preços">
      <formula>NOT(ISERROR(SEARCH("Pesquisa de Preços",D6209)))</formula>
    </cfRule>
  </conditionalFormatting>
  <conditionalFormatting sqref="D6202">
    <cfRule type="containsText" dxfId="1002" priority="2236" operator="containsText" text="Pesquisa de Preços">
      <formula>NOT(ISERROR(SEARCH("Pesquisa de Preços",D6202)))</formula>
    </cfRule>
  </conditionalFormatting>
  <conditionalFormatting sqref="D6198:D6200">
    <cfRule type="containsText" dxfId="1001" priority="2233" operator="containsText" text="Pesquisa de Preços">
      <formula>NOT(ISERROR(SEARCH("Pesquisa de Preços",D6198)))</formula>
    </cfRule>
  </conditionalFormatting>
  <conditionalFormatting sqref="D6201">
    <cfRule type="containsText" dxfId="1000" priority="2230" operator="containsText" text="Pesquisa de Preços">
      <formula>NOT(ISERROR(SEARCH("Pesquisa de Preços",D6201)))</formula>
    </cfRule>
  </conditionalFormatting>
  <conditionalFormatting sqref="D6194">
    <cfRule type="containsText" dxfId="999" priority="2229" operator="containsText" text="Pesquisa de Preços">
      <formula>NOT(ISERROR(SEARCH("Pesquisa de Preços",D6194)))</formula>
    </cfRule>
  </conditionalFormatting>
  <conditionalFormatting sqref="D6218">
    <cfRule type="containsText" dxfId="998" priority="2219" operator="containsText" text="Pesquisa de Preços">
      <formula>NOT(ISERROR(SEARCH("Pesquisa de Preços",D6218)))</formula>
    </cfRule>
  </conditionalFormatting>
  <conditionalFormatting sqref="D6210">
    <cfRule type="containsText" dxfId="997" priority="2222" operator="containsText" text="Pesquisa de Preços">
      <formula>NOT(ISERROR(SEARCH("Pesquisa de Preços",D6210)))</formula>
    </cfRule>
  </conditionalFormatting>
  <conditionalFormatting sqref="D6225">
    <cfRule type="containsText" dxfId="996" priority="2208" operator="containsText" text="Pesquisa de Preços">
      <formula>NOT(ISERROR(SEARCH("Pesquisa de Preços",D6225)))</formula>
    </cfRule>
  </conditionalFormatting>
  <conditionalFormatting sqref="D6219">
    <cfRule type="containsText" dxfId="995" priority="2207" operator="containsText" text="Pesquisa de Preços">
      <formula>NOT(ISERROR(SEARCH("Pesquisa de Preços",D6219)))</formula>
    </cfRule>
  </conditionalFormatting>
  <conditionalFormatting sqref="D6231">
    <cfRule type="containsText" dxfId="994" priority="2198" operator="containsText" text="Pesquisa de Preços">
      <formula>NOT(ISERROR(SEARCH("Pesquisa de Preços",D6231)))</formula>
    </cfRule>
  </conditionalFormatting>
  <conditionalFormatting sqref="D6226">
    <cfRule type="containsText" dxfId="993" priority="2197" operator="containsText" text="Pesquisa de Preços">
      <formula>NOT(ISERROR(SEARCH("Pesquisa de Preços",D6226)))</formula>
    </cfRule>
  </conditionalFormatting>
  <conditionalFormatting sqref="D6238">
    <cfRule type="containsText" dxfId="992" priority="2186" operator="containsText" text="Pesquisa de Preços">
      <formula>NOT(ISERROR(SEARCH("Pesquisa de Preços",D6238)))</formula>
    </cfRule>
  </conditionalFormatting>
  <conditionalFormatting sqref="D6232">
    <cfRule type="containsText" dxfId="991" priority="2185" operator="containsText" text="Pesquisa de Preços">
      <formula>NOT(ISERROR(SEARCH("Pesquisa de Preços",D6232)))</formula>
    </cfRule>
  </conditionalFormatting>
  <conditionalFormatting sqref="D6244">
    <cfRule type="containsText" dxfId="990" priority="2178" operator="containsText" text="Pesquisa de Preços">
      <formula>NOT(ISERROR(SEARCH("Pesquisa de Preços",D6244)))</formula>
    </cfRule>
  </conditionalFormatting>
  <conditionalFormatting sqref="D6239">
    <cfRule type="containsText" dxfId="989" priority="2177" operator="containsText" text="Pesquisa de Preços">
      <formula>NOT(ISERROR(SEARCH("Pesquisa de Preços",D6239)))</formula>
    </cfRule>
  </conditionalFormatting>
  <conditionalFormatting sqref="E1225:E1226">
    <cfRule type="containsText" dxfId="988" priority="2168" operator="containsText" text="Pesquisa de Preços">
      <formula>NOT(ISERROR(SEARCH("Pesquisa de Preços",E1225)))</formula>
    </cfRule>
  </conditionalFormatting>
  <conditionalFormatting sqref="E1224">
    <cfRule type="containsText" dxfId="987" priority="2167" operator="containsText" text="Pesquisa de Preços">
      <formula>NOT(ISERROR(SEARCH("Pesquisa de Preços",E1224)))</formula>
    </cfRule>
  </conditionalFormatting>
  <conditionalFormatting sqref="D1230">
    <cfRule type="containsText" dxfId="986" priority="2166" operator="containsText" text="Pesquisa de Preços">
      <formula>NOT(ISERROR(SEARCH("Pesquisa de Preços",D1230)))</formula>
    </cfRule>
  </conditionalFormatting>
  <conditionalFormatting sqref="D1231:D1232">
    <cfRule type="containsText" dxfId="985" priority="2165" operator="containsText" text="Pesquisa de Preços">
      <formula>NOT(ISERROR(SEARCH("Pesquisa de Preços",D1231)))</formula>
    </cfRule>
  </conditionalFormatting>
  <conditionalFormatting sqref="E1231:E1232">
    <cfRule type="containsText" dxfId="984" priority="2164" operator="containsText" text="Pesquisa de Preços">
      <formula>NOT(ISERROR(SEARCH("Pesquisa de Preços",E1231)))</formula>
    </cfRule>
  </conditionalFormatting>
  <conditionalFormatting sqref="E1230">
    <cfRule type="containsText" dxfId="983" priority="2163" operator="containsText" text="Pesquisa de Preços">
      <formula>NOT(ISERROR(SEARCH("Pesquisa de Preços",E1230)))</formula>
    </cfRule>
  </conditionalFormatting>
  <conditionalFormatting sqref="E1960">
    <cfRule type="containsText" dxfId="982" priority="2162" operator="containsText" text="Pesquisa de Preços">
      <formula>NOT(ISERROR(SEARCH("Pesquisa de Preços",E1960)))</formula>
    </cfRule>
  </conditionalFormatting>
  <conditionalFormatting sqref="E1961">
    <cfRule type="containsText" dxfId="981" priority="2161" operator="containsText" text="Pesquisa de Preços">
      <formula>NOT(ISERROR(SEARCH("Pesquisa de Preços",E1961)))</formula>
    </cfRule>
  </conditionalFormatting>
  <conditionalFormatting sqref="E1962">
    <cfRule type="containsText" dxfId="980" priority="2160" operator="containsText" text="Pesquisa de Preços">
      <formula>NOT(ISERROR(SEARCH("Pesquisa de Preços",E1962)))</formula>
    </cfRule>
  </conditionalFormatting>
  <conditionalFormatting sqref="E1968">
    <cfRule type="containsText" dxfId="979" priority="2159" operator="containsText" text="Pesquisa de Preços">
      <formula>NOT(ISERROR(SEARCH("Pesquisa de Preços",E1968)))</formula>
    </cfRule>
  </conditionalFormatting>
  <conditionalFormatting sqref="E1969">
    <cfRule type="containsText" dxfId="978" priority="2158" operator="containsText" text="Pesquisa de Preços">
      <formula>NOT(ISERROR(SEARCH("Pesquisa de Preços",E1969)))</formula>
    </cfRule>
  </conditionalFormatting>
  <conditionalFormatting sqref="E1970">
    <cfRule type="containsText" dxfId="977" priority="2157" operator="containsText" text="Pesquisa de Preços">
      <formula>NOT(ISERROR(SEARCH("Pesquisa de Preços",E1970)))</formula>
    </cfRule>
  </conditionalFormatting>
  <conditionalFormatting sqref="E1986">
    <cfRule type="containsText" dxfId="976" priority="2156" operator="containsText" text="Pesquisa de Preços">
      <formula>NOT(ISERROR(SEARCH("Pesquisa de Preços",E1986)))</formula>
    </cfRule>
  </conditionalFormatting>
  <conditionalFormatting sqref="E1993">
    <cfRule type="containsText" dxfId="975" priority="2155" operator="containsText" text="Pesquisa de Preços">
      <formula>NOT(ISERROR(SEARCH("Pesquisa de Preços",E1993)))</formula>
    </cfRule>
  </conditionalFormatting>
  <conditionalFormatting sqref="E2000">
    <cfRule type="containsText" dxfId="974" priority="2154" operator="containsText" text="Pesquisa de Preços">
      <formula>NOT(ISERROR(SEARCH("Pesquisa de Preços",E2000)))</formula>
    </cfRule>
  </conditionalFormatting>
  <conditionalFormatting sqref="E1312">
    <cfRule type="containsText" dxfId="973" priority="2151" operator="containsText" text="Pesquisa de Preços">
      <formula>NOT(ISERROR(SEARCH("Pesquisa de Preços",E1312)))</formula>
    </cfRule>
  </conditionalFormatting>
  <conditionalFormatting sqref="E1311">
    <cfRule type="containsText" dxfId="972" priority="2150" operator="containsText" text="Pesquisa de Preços">
      <formula>NOT(ISERROR(SEARCH("Pesquisa de Preços",E1311)))</formula>
    </cfRule>
  </conditionalFormatting>
  <conditionalFormatting sqref="E4894">
    <cfRule type="containsText" dxfId="971" priority="2115" operator="containsText" text="Pesquisa de Preços">
      <formula>NOT(ISERROR(SEARCH("Pesquisa de Preços",E4894)))</formula>
    </cfRule>
  </conditionalFormatting>
  <conditionalFormatting sqref="E4963">
    <cfRule type="containsText" dxfId="970" priority="2112" operator="containsText" text="Pesquisa de Preços">
      <formula>NOT(ISERROR(SEARCH("Pesquisa de Preços",E4963)))</formula>
    </cfRule>
  </conditionalFormatting>
  <conditionalFormatting sqref="E5042">
    <cfRule type="containsText" dxfId="969" priority="2108" operator="containsText" text="Pesquisa de Preços">
      <formula>NOT(ISERROR(SEARCH("Pesquisa de Preços",E5042)))</formula>
    </cfRule>
  </conditionalFormatting>
  <conditionalFormatting sqref="E5042">
    <cfRule type="containsText" dxfId="968" priority="2109" operator="containsText" text="Pesquisa de Preços">
      <formula>NOT(ISERROR(SEARCH("Pesquisa de Preços",E5042)))</formula>
    </cfRule>
  </conditionalFormatting>
  <conditionalFormatting sqref="E879:E880">
    <cfRule type="containsText" dxfId="967" priority="2107" operator="containsText" text="Pesquisa de Preços">
      <formula>NOT(ISERROR(SEARCH("Pesquisa de Preços",E879)))</formula>
    </cfRule>
  </conditionalFormatting>
  <conditionalFormatting sqref="E886:E887">
    <cfRule type="containsText" dxfId="966" priority="2104" operator="containsText" text="Pesquisa de Preços">
      <formula>NOT(ISERROR(SEARCH("Pesquisa de Preços",E886)))</formula>
    </cfRule>
  </conditionalFormatting>
  <conditionalFormatting sqref="D6419">
    <cfRule type="containsText" dxfId="965" priority="2097" operator="containsText" text="Pesquisa de Preços">
      <formula>NOT(ISERROR(SEARCH("Pesquisa de Preços",D6419)))</formula>
    </cfRule>
  </conditionalFormatting>
  <conditionalFormatting sqref="D6422">
    <cfRule type="containsText" dxfId="964" priority="2099" operator="containsText" text="Pesquisa de Preços">
      <formula>NOT(ISERROR(SEARCH("Pesquisa de Preços",D6422)))</formula>
    </cfRule>
  </conditionalFormatting>
  <conditionalFormatting sqref="D6418">
    <cfRule type="containsText" dxfId="963" priority="2098" operator="containsText" text="Pesquisa de Preços">
      <formula>NOT(ISERROR(SEARCH("Pesquisa de Preços",D6418)))</formula>
    </cfRule>
  </conditionalFormatting>
  <conditionalFormatting sqref="E6418">
    <cfRule type="containsText" dxfId="962" priority="2095" operator="containsText" text="Pesquisa de Preços">
      <formula>NOT(ISERROR(SEARCH("Pesquisa de Preços",E6418)))</formula>
    </cfRule>
  </conditionalFormatting>
  <conditionalFormatting sqref="E6419 E6422">
    <cfRule type="containsText" dxfId="961" priority="2096" operator="containsText" text="Pesquisa de Preços">
      <formula>NOT(ISERROR(SEARCH("Pesquisa de Preços",E6419)))</formula>
    </cfRule>
  </conditionalFormatting>
  <conditionalFormatting sqref="D6424">
    <cfRule type="containsText" dxfId="960" priority="2092" operator="containsText" text="Pesquisa de Preços">
      <formula>NOT(ISERROR(SEARCH("Pesquisa de Preços",D6424)))</formula>
    </cfRule>
  </conditionalFormatting>
  <conditionalFormatting sqref="E6425">
    <cfRule type="containsText" dxfId="959" priority="2089" operator="containsText" text="Pesquisa de Preços">
      <formula>NOT(ISERROR(SEARCH("Pesquisa de Preços",E6425)))</formula>
    </cfRule>
  </conditionalFormatting>
  <conditionalFormatting sqref="D6427">
    <cfRule type="containsText" dxfId="958" priority="2094" operator="containsText" text="Pesquisa de Preços">
      <formula>NOT(ISERROR(SEARCH("Pesquisa de Preços",D6427)))</formula>
    </cfRule>
  </conditionalFormatting>
  <conditionalFormatting sqref="D6423">
    <cfRule type="containsText" dxfId="957" priority="2093" operator="containsText" text="Pesquisa de Preços">
      <formula>NOT(ISERROR(SEARCH("Pesquisa de Preços",D6423)))</formula>
    </cfRule>
  </conditionalFormatting>
  <conditionalFormatting sqref="E6423">
    <cfRule type="containsText" dxfId="956" priority="2090" operator="containsText" text="Pesquisa de Preços">
      <formula>NOT(ISERROR(SEARCH("Pesquisa de Preços",E6423)))</formula>
    </cfRule>
  </conditionalFormatting>
  <conditionalFormatting sqref="E6424 E6427">
    <cfRule type="containsText" dxfId="955" priority="2091" operator="containsText" text="Pesquisa de Preços">
      <formula>NOT(ISERROR(SEARCH("Pesquisa de Preços",E6424)))</formula>
    </cfRule>
  </conditionalFormatting>
  <conditionalFormatting sqref="D6395">
    <cfRule type="containsText" dxfId="954" priority="2078" operator="containsText" text="Pesquisa de Preços">
      <formula>NOT(ISERROR(SEARCH("Pesquisa de Preços",D6395)))</formula>
    </cfRule>
  </conditionalFormatting>
  <conditionalFormatting sqref="E6396">
    <cfRule type="containsText" dxfId="953" priority="2075" operator="containsText" text="Pesquisa de Preços">
      <formula>NOT(ISERROR(SEARCH("Pesquisa de Preços",E6396)))</formula>
    </cfRule>
  </conditionalFormatting>
  <conditionalFormatting sqref="D6400">
    <cfRule type="containsText" dxfId="952" priority="2082" operator="containsText" text="Pesquisa de Preços">
      <formula>NOT(ISERROR(SEARCH("Pesquisa de Preços",D6400)))</formula>
    </cfRule>
  </conditionalFormatting>
  <conditionalFormatting sqref="D6394">
    <cfRule type="containsText" dxfId="951" priority="2079" operator="containsText" text="Pesquisa de Preços">
      <formula>NOT(ISERROR(SEARCH("Pesquisa de Preços",D6394)))</formula>
    </cfRule>
  </conditionalFormatting>
  <conditionalFormatting sqref="E6394">
    <cfRule type="containsText" dxfId="950" priority="2076" operator="containsText" text="Pesquisa de Preços">
      <formula>NOT(ISERROR(SEARCH("Pesquisa de Preços",E6394)))</formula>
    </cfRule>
  </conditionalFormatting>
  <conditionalFormatting sqref="E6395 E6400">
    <cfRule type="containsText" dxfId="949" priority="2077" operator="containsText" text="Pesquisa de Preços">
      <formula>NOT(ISERROR(SEARCH("Pesquisa de Preços",E6395)))</formula>
    </cfRule>
  </conditionalFormatting>
  <conditionalFormatting sqref="D6402">
    <cfRule type="containsText" dxfId="948" priority="2066" operator="containsText" text="Pesquisa de Preços">
      <formula>NOT(ISERROR(SEARCH("Pesquisa de Preços",D6402)))</formula>
    </cfRule>
  </conditionalFormatting>
  <conditionalFormatting sqref="D6404">
    <cfRule type="containsText" dxfId="947" priority="2068" operator="containsText" text="Pesquisa de Preços">
      <formula>NOT(ISERROR(SEARCH("Pesquisa de Preços",D6404)))</formula>
    </cfRule>
  </conditionalFormatting>
  <conditionalFormatting sqref="D6401">
    <cfRule type="containsText" dxfId="946" priority="2067" operator="containsText" text="Pesquisa de Preços">
      <formula>NOT(ISERROR(SEARCH("Pesquisa de Preços",D6401)))</formula>
    </cfRule>
  </conditionalFormatting>
  <conditionalFormatting sqref="E6401">
    <cfRule type="containsText" dxfId="945" priority="2064" operator="containsText" text="Pesquisa de Preços">
      <formula>NOT(ISERROR(SEARCH("Pesquisa de Preços",E6401)))</formula>
    </cfRule>
  </conditionalFormatting>
  <conditionalFormatting sqref="E6402 E6404">
    <cfRule type="containsText" dxfId="944" priority="2065" operator="containsText" text="Pesquisa de Preços">
      <formula>NOT(ISERROR(SEARCH("Pesquisa de Preços",E6402)))</formula>
    </cfRule>
  </conditionalFormatting>
  <conditionalFormatting sqref="D6406">
    <cfRule type="containsText" dxfId="943" priority="2059" operator="containsText" text="Pesquisa de Preços">
      <formula>NOT(ISERROR(SEARCH("Pesquisa de Preços",D6406)))</formula>
    </cfRule>
  </conditionalFormatting>
  <conditionalFormatting sqref="D6409">
    <cfRule type="containsText" dxfId="942" priority="2061" operator="containsText" text="Pesquisa de Preços">
      <formula>NOT(ISERROR(SEARCH("Pesquisa de Preços",D6409)))</formula>
    </cfRule>
  </conditionalFormatting>
  <conditionalFormatting sqref="D6405">
    <cfRule type="containsText" dxfId="941" priority="2060" operator="containsText" text="Pesquisa de Preços">
      <formula>NOT(ISERROR(SEARCH("Pesquisa de Preços",D6405)))</formula>
    </cfRule>
  </conditionalFormatting>
  <conditionalFormatting sqref="E6405">
    <cfRule type="containsText" dxfId="940" priority="2057" operator="containsText" text="Pesquisa de Preços">
      <formula>NOT(ISERROR(SEARCH("Pesquisa de Preços",E6405)))</formula>
    </cfRule>
  </conditionalFormatting>
  <conditionalFormatting sqref="E6406 E6409">
    <cfRule type="containsText" dxfId="939" priority="2058" operator="containsText" text="Pesquisa de Preços">
      <formula>NOT(ISERROR(SEARCH("Pesquisa de Preços",E6406)))</formula>
    </cfRule>
  </conditionalFormatting>
  <conditionalFormatting sqref="E6414">
    <cfRule type="containsText" dxfId="938" priority="2039" operator="containsText" text="Pesquisa de Preços">
      <formula>NOT(ISERROR(SEARCH("Pesquisa de Preços",E6414)))</formula>
    </cfRule>
  </conditionalFormatting>
  <conditionalFormatting sqref="D6411">
    <cfRule type="containsText" dxfId="937" priority="2048" operator="containsText" text="Pesquisa de Preços">
      <formula>NOT(ISERROR(SEARCH("Pesquisa de Preços",D6411)))</formula>
    </cfRule>
  </conditionalFormatting>
  <conditionalFormatting sqref="D6413">
    <cfRule type="containsText" dxfId="936" priority="2050" operator="containsText" text="Pesquisa de Preços">
      <formula>NOT(ISERROR(SEARCH("Pesquisa de Preços",D6413)))</formula>
    </cfRule>
  </conditionalFormatting>
  <conditionalFormatting sqref="D6410">
    <cfRule type="containsText" dxfId="935" priority="2049" operator="containsText" text="Pesquisa de Preços">
      <formula>NOT(ISERROR(SEARCH("Pesquisa de Preços",D6410)))</formula>
    </cfRule>
  </conditionalFormatting>
  <conditionalFormatting sqref="E6410">
    <cfRule type="containsText" dxfId="934" priority="2046" operator="containsText" text="Pesquisa de Preços">
      <formula>NOT(ISERROR(SEARCH("Pesquisa de Preços",E6410)))</formula>
    </cfRule>
  </conditionalFormatting>
  <conditionalFormatting sqref="E6411 E6413">
    <cfRule type="containsText" dxfId="933" priority="2047" operator="containsText" text="Pesquisa de Preços">
      <formula>NOT(ISERROR(SEARCH("Pesquisa de Preços",E6411)))</formula>
    </cfRule>
  </conditionalFormatting>
  <conditionalFormatting sqref="D6415">
    <cfRule type="containsText" dxfId="932" priority="2041" operator="containsText" text="Pesquisa de Preços">
      <formula>NOT(ISERROR(SEARCH("Pesquisa de Preços",D6415)))</formula>
    </cfRule>
  </conditionalFormatting>
  <conditionalFormatting sqref="D6417">
    <cfRule type="containsText" dxfId="931" priority="2043" operator="containsText" text="Pesquisa de Preços">
      <formula>NOT(ISERROR(SEARCH("Pesquisa de Preços",D6417)))</formula>
    </cfRule>
  </conditionalFormatting>
  <conditionalFormatting sqref="D6414">
    <cfRule type="containsText" dxfId="930" priority="2042" operator="containsText" text="Pesquisa de Preços">
      <formula>NOT(ISERROR(SEARCH("Pesquisa de Preços",D6414)))</formula>
    </cfRule>
  </conditionalFormatting>
  <conditionalFormatting sqref="E6415 E6417">
    <cfRule type="containsText" dxfId="929" priority="2040" operator="containsText" text="Pesquisa de Preços">
      <formula>NOT(ISERROR(SEARCH("Pesquisa de Preços",E6415)))</formula>
    </cfRule>
  </conditionalFormatting>
  <conditionalFormatting sqref="D1368">
    <cfRule type="containsText" dxfId="928" priority="2034" operator="containsText" text="Pesquisa de Preços">
      <formula>NOT(ISERROR(SEARCH("Pesquisa de Preços",D1368)))</formula>
    </cfRule>
  </conditionalFormatting>
  <conditionalFormatting sqref="D1369">
    <cfRule type="containsText" dxfId="927" priority="2031" operator="containsText" text="Pesquisa de Preços">
      <formula>NOT(ISERROR(SEARCH("Pesquisa de Preços",D1369)))</formula>
    </cfRule>
  </conditionalFormatting>
  <conditionalFormatting sqref="D1929">
    <cfRule type="containsText" dxfId="926" priority="2028" operator="containsText" text="Pesquisa de Preços">
      <formula>NOT(ISERROR(SEARCH("Pesquisa de Preços",D1929)))</formula>
    </cfRule>
  </conditionalFormatting>
  <conditionalFormatting sqref="E1929">
    <cfRule type="containsText" dxfId="925" priority="2027" operator="containsText" text="Pesquisa de Preços">
      <formula>NOT(ISERROR(SEARCH("Pesquisa de Preços",E1929)))</formula>
    </cfRule>
  </conditionalFormatting>
  <conditionalFormatting sqref="D1928">
    <cfRule type="containsText" dxfId="924" priority="2026" operator="containsText" text="Pesquisa de Preços">
      <formula>NOT(ISERROR(SEARCH("Pesquisa de Preços",D1928)))</formula>
    </cfRule>
  </conditionalFormatting>
  <conditionalFormatting sqref="E1928">
    <cfRule type="containsText" dxfId="923" priority="2025" operator="containsText" text="Pesquisa de Preços">
      <formula>NOT(ISERROR(SEARCH("Pesquisa de Preços",E1928)))</formula>
    </cfRule>
  </conditionalFormatting>
  <conditionalFormatting sqref="D2207">
    <cfRule type="containsText" dxfId="922" priority="2024" operator="containsText" text="Pesquisa de Preços">
      <formula>NOT(ISERROR(SEARCH("Pesquisa de Preços",D2207)))</formula>
    </cfRule>
  </conditionalFormatting>
  <conditionalFormatting sqref="E2213">
    <cfRule type="containsText" dxfId="921" priority="2023" operator="containsText" text="Pesquisa de Preços">
      <formula>NOT(ISERROR(SEARCH("Pesquisa de Preços",E2213)))</formula>
    </cfRule>
  </conditionalFormatting>
  <conditionalFormatting sqref="D6444">
    <cfRule type="containsText" dxfId="920" priority="2016" operator="containsText" text="Pesquisa de Preços">
      <formula>NOT(ISERROR(SEARCH("Pesquisa de Preços",D6444)))</formula>
    </cfRule>
  </conditionalFormatting>
  <conditionalFormatting sqref="D6441">
    <cfRule type="containsText" dxfId="919" priority="2014" operator="containsText" text="Pesquisa de Preços">
      <formula>NOT(ISERROR(SEARCH("Pesquisa de Preços",D6441)))</formula>
    </cfRule>
  </conditionalFormatting>
  <conditionalFormatting sqref="D6453">
    <cfRule type="containsText" dxfId="918" priority="2009" operator="containsText" text="Pesquisa de Preços">
      <formula>NOT(ISERROR(SEARCH("Pesquisa de Preços",D6453)))</formula>
    </cfRule>
  </conditionalFormatting>
  <conditionalFormatting sqref="D6440">
    <cfRule type="containsText" dxfId="917" priority="2015" operator="containsText" text="Pesquisa de Preços">
      <formula>NOT(ISERROR(SEARCH("Pesquisa de Preços",D6440)))</formula>
    </cfRule>
  </conditionalFormatting>
  <conditionalFormatting sqref="E6440">
    <cfRule type="containsText" dxfId="916" priority="2012" operator="containsText" text="Pesquisa de Preços">
      <formula>NOT(ISERROR(SEARCH("Pesquisa de Preços",E6440)))</formula>
    </cfRule>
  </conditionalFormatting>
  <conditionalFormatting sqref="E6441 E6444">
    <cfRule type="containsText" dxfId="915" priority="2013" operator="containsText" text="Pesquisa de Preços">
      <formula>NOT(ISERROR(SEARCH("Pesquisa de Preços",E6441)))</formula>
    </cfRule>
  </conditionalFormatting>
  <conditionalFormatting sqref="D6446">
    <cfRule type="containsText" dxfId="914" priority="2007" operator="containsText" text="Pesquisa de Preços">
      <formula>NOT(ISERROR(SEARCH("Pesquisa de Preços",D6446)))</formula>
    </cfRule>
  </conditionalFormatting>
  <conditionalFormatting sqref="E6447">
    <cfRule type="containsText" dxfId="913" priority="2004" operator="containsText" text="Pesquisa de Preços">
      <formula>NOT(ISERROR(SEARCH("Pesquisa de Preços",E6447)))</formula>
    </cfRule>
  </conditionalFormatting>
  <conditionalFormatting sqref="D6445">
    <cfRule type="containsText" dxfId="912" priority="2008" operator="containsText" text="Pesquisa de Preços">
      <formula>NOT(ISERROR(SEARCH("Pesquisa de Preços",D6445)))</formula>
    </cfRule>
  </conditionalFormatting>
  <conditionalFormatting sqref="E6445">
    <cfRule type="containsText" dxfId="911" priority="2005" operator="containsText" text="Pesquisa de Preços">
      <formula>NOT(ISERROR(SEARCH("Pesquisa de Preços",E6445)))</formula>
    </cfRule>
  </conditionalFormatting>
  <conditionalFormatting sqref="E6446 E6453">
    <cfRule type="containsText" dxfId="910" priority="2006" operator="containsText" text="Pesquisa de Preços">
      <formula>NOT(ISERROR(SEARCH("Pesquisa de Preços",E6446)))</formula>
    </cfRule>
  </conditionalFormatting>
  <conditionalFormatting sqref="D6455">
    <cfRule type="containsText" dxfId="909" priority="1993" operator="containsText" text="Pesquisa de Preços">
      <formula>NOT(ISERROR(SEARCH("Pesquisa de Preços",D6455)))</formula>
    </cfRule>
  </conditionalFormatting>
  <conditionalFormatting sqref="E6456">
    <cfRule type="containsText" dxfId="908" priority="1990" operator="containsText" text="Pesquisa de Preços">
      <formula>NOT(ISERROR(SEARCH("Pesquisa de Preços",E6456)))</formula>
    </cfRule>
  </conditionalFormatting>
  <conditionalFormatting sqref="D6460">
    <cfRule type="containsText" dxfId="907" priority="1997" operator="containsText" text="Pesquisa de Preços">
      <formula>NOT(ISERROR(SEARCH("Pesquisa de Preços",D6460)))</formula>
    </cfRule>
  </conditionalFormatting>
  <conditionalFormatting sqref="D6454">
    <cfRule type="containsText" dxfId="906" priority="1994" operator="containsText" text="Pesquisa de Preços">
      <formula>NOT(ISERROR(SEARCH("Pesquisa de Preços",D6454)))</formula>
    </cfRule>
  </conditionalFormatting>
  <conditionalFormatting sqref="E6454">
    <cfRule type="containsText" dxfId="905" priority="1991" operator="containsText" text="Pesquisa de Preços">
      <formula>NOT(ISERROR(SEARCH("Pesquisa de Preços",E6454)))</formula>
    </cfRule>
  </conditionalFormatting>
  <conditionalFormatting sqref="E6455 E6460">
    <cfRule type="containsText" dxfId="904" priority="1992" operator="containsText" text="Pesquisa de Preços">
      <formula>NOT(ISERROR(SEARCH("Pesquisa de Preços",E6455)))</formula>
    </cfRule>
  </conditionalFormatting>
  <conditionalFormatting sqref="D6462">
    <cfRule type="containsText" dxfId="903" priority="1981" operator="containsText" text="Pesquisa de Preços">
      <formula>NOT(ISERROR(SEARCH("Pesquisa de Preços",D6462)))</formula>
    </cfRule>
  </conditionalFormatting>
  <conditionalFormatting sqref="D6467">
    <cfRule type="containsText" dxfId="902" priority="1985" operator="containsText" text="Pesquisa de Preços">
      <formula>NOT(ISERROR(SEARCH("Pesquisa de Preços",D6467)))</formula>
    </cfRule>
  </conditionalFormatting>
  <conditionalFormatting sqref="D6461">
    <cfRule type="containsText" dxfId="901" priority="1982" operator="containsText" text="Pesquisa de Preços">
      <formula>NOT(ISERROR(SEARCH("Pesquisa de Preços",D6461)))</formula>
    </cfRule>
  </conditionalFormatting>
  <conditionalFormatting sqref="E6461">
    <cfRule type="containsText" dxfId="900" priority="1979" operator="containsText" text="Pesquisa de Preços">
      <formula>NOT(ISERROR(SEARCH("Pesquisa de Preços",E6461)))</formula>
    </cfRule>
  </conditionalFormatting>
  <conditionalFormatting sqref="E6462 E6467">
    <cfRule type="containsText" dxfId="899" priority="1980" operator="containsText" text="Pesquisa de Preços">
      <formula>NOT(ISERROR(SEARCH("Pesquisa de Preços",E6462)))</formula>
    </cfRule>
  </conditionalFormatting>
  <conditionalFormatting sqref="D6469">
    <cfRule type="containsText" dxfId="898" priority="1975" operator="containsText" text="Pesquisa de Preços">
      <formula>NOT(ISERROR(SEARCH("Pesquisa de Preços",D6469)))</formula>
    </cfRule>
  </conditionalFormatting>
  <conditionalFormatting sqref="D6468">
    <cfRule type="containsText" dxfId="897" priority="1976" operator="containsText" text="Pesquisa de Preços">
      <formula>NOT(ISERROR(SEARCH("Pesquisa de Preços",D6468)))</formula>
    </cfRule>
  </conditionalFormatting>
  <conditionalFormatting sqref="E6468">
    <cfRule type="containsText" dxfId="896" priority="1973" operator="containsText" text="Pesquisa de Preços">
      <formula>NOT(ISERROR(SEARCH("Pesquisa de Preços",E6468)))</formula>
    </cfRule>
  </conditionalFormatting>
  <conditionalFormatting sqref="E6469">
    <cfRule type="containsText" dxfId="895" priority="1974" operator="containsText" text="Pesquisa de Preços">
      <formula>NOT(ISERROR(SEARCH("Pesquisa de Preços",E6469)))</formula>
    </cfRule>
  </conditionalFormatting>
  <conditionalFormatting sqref="E6463">
    <cfRule type="containsText" dxfId="894" priority="1972" operator="containsText" text="Pesquisa de Preços">
      <formula>NOT(ISERROR(SEARCH("Pesquisa de Preços",E6463)))</formula>
    </cfRule>
  </conditionalFormatting>
  <conditionalFormatting sqref="D6474">
    <cfRule type="containsText" dxfId="893" priority="1963" operator="containsText" text="Pesquisa de Preços">
      <formula>NOT(ISERROR(SEARCH("Pesquisa de Preços",D6474)))</formula>
    </cfRule>
  </conditionalFormatting>
  <conditionalFormatting sqref="E6474">
    <cfRule type="containsText" dxfId="892" priority="1960" operator="containsText" text="Pesquisa de Preços">
      <formula>NOT(ISERROR(SEARCH("Pesquisa de Preços",E6474)))</formula>
    </cfRule>
  </conditionalFormatting>
  <conditionalFormatting sqref="D6496">
    <cfRule type="containsText" dxfId="891" priority="1947" operator="containsText" text="Pesquisa de Preços">
      <formula>NOT(ISERROR(SEARCH("Pesquisa de Preços",D6496)))</formula>
    </cfRule>
  </conditionalFormatting>
  <conditionalFormatting sqref="E6493">
    <cfRule type="containsText" dxfId="890" priority="1943" operator="containsText" text="Pesquisa de Preços">
      <formula>NOT(ISERROR(SEARCH("Pesquisa de Preços",E6493)))</formula>
    </cfRule>
  </conditionalFormatting>
  <conditionalFormatting sqref="D6494">
    <cfRule type="containsText" dxfId="889" priority="1945" operator="containsText" text="Pesquisa de Preços">
      <formula>NOT(ISERROR(SEARCH("Pesquisa de Preços",D6494)))</formula>
    </cfRule>
  </conditionalFormatting>
  <conditionalFormatting sqref="D6493">
    <cfRule type="containsText" dxfId="888" priority="1946" operator="containsText" text="Pesquisa de Preços">
      <formula>NOT(ISERROR(SEARCH("Pesquisa de Preços",D6493)))</formula>
    </cfRule>
  </conditionalFormatting>
  <conditionalFormatting sqref="E6494 E6496">
    <cfRule type="containsText" dxfId="887" priority="1944" operator="containsText" text="Pesquisa de Preços">
      <formula>NOT(ISERROR(SEARCH("Pesquisa de Preços",E6494)))</formula>
    </cfRule>
  </conditionalFormatting>
  <conditionalFormatting sqref="D6500">
    <cfRule type="containsText" dxfId="886" priority="1942" operator="containsText" text="Pesquisa de Preços">
      <formula>NOT(ISERROR(SEARCH("Pesquisa de Preços",D6500)))</formula>
    </cfRule>
  </conditionalFormatting>
  <conditionalFormatting sqref="E6497">
    <cfRule type="containsText" dxfId="885" priority="1938" operator="containsText" text="Pesquisa de Preços">
      <formula>NOT(ISERROR(SEARCH("Pesquisa de Preços",E6497)))</formula>
    </cfRule>
  </conditionalFormatting>
  <conditionalFormatting sqref="D6498">
    <cfRule type="containsText" dxfId="884" priority="1940" operator="containsText" text="Pesquisa de Preços">
      <formula>NOT(ISERROR(SEARCH("Pesquisa de Preços",D6498)))</formula>
    </cfRule>
  </conditionalFormatting>
  <conditionalFormatting sqref="D6497">
    <cfRule type="containsText" dxfId="883" priority="1941" operator="containsText" text="Pesquisa de Preços">
      <formula>NOT(ISERROR(SEARCH("Pesquisa de Preços",D6497)))</formula>
    </cfRule>
  </conditionalFormatting>
  <conditionalFormatting sqref="E6498 E6500">
    <cfRule type="containsText" dxfId="882" priority="1939" operator="containsText" text="Pesquisa de Preços">
      <formula>NOT(ISERROR(SEARCH("Pesquisa de Preços",E6498)))</formula>
    </cfRule>
  </conditionalFormatting>
  <conditionalFormatting sqref="D6504">
    <cfRule type="containsText" dxfId="881" priority="1937" operator="containsText" text="Pesquisa de Preços">
      <formula>NOT(ISERROR(SEARCH("Pesquisa de Preços",D6504)))</formula>
    </cfRule>
  </conditionalFormatting>
  <conditionalFormatting sqref="E6501">
    <cfRule type="containsText" dxfId="880" priority="1933" operator="containsText" text="Pesquisa de Preços">
      <formula>NOT(ISERROR(SEARCH("Pesquisa de Preços",E6501)))</formula>
    </cfRule>
  </conditionalFormatting>
  <conditionalFormatting sqref="D6502">
    <cfRule type="containsText" dxfId="879" priority="1935" operator="containsText" text="Pesquisa de Preços">
      <formula>NOT(ISERROR(SEARCH("Pesquisa de Preços",D6502)))</formula>
    </cfRule>
  </conditionalFormatting>
  <conditionalFormatting sqref="D6501">
    <cfRule type="containsText" dxfId="878" priority="1936" operator="containsText" text="Pesquisa de Preços">
      <formula>NOT(ISERROR(SEARCH("Pesquisa de Preços",D6501)))</formula>
    </cfRule>
  </conditionalFormatting>
  <conditionalFormatting sqref="E6502 E6504">
    <cfRule type="containsText" dxfId="877" priority="1934" operator="containsText" text="Pesquisa de Preços">
      <formula>NOT(ISERROR(SEARCH("Pesquisa de Preços",E6502)))</formula>
    </cfRule>
  </conditionalFormatting>
  <conditionalFormatting sqref="D6508">
    <cfRule type="containsText" dxfId="876" priority="1932" operator="containsText" text="Pesquisa de Preços">
      <formula>NOT(ISERROR(SEARCH("Pesquisa de Preços",D6508)))</formula>
    </cfRule>
  </conditionalFormatting>
  <conditionalFormatting sqref="E6505">
    <cfRule type="containsText" dxfId="875" priority="1928" operator="containsText" text="Pesquisa de Preços">
      <formula>NOT(ISERROR(SEARCH("Pesquisa de Preços",E6505)))</formula>
    </cfRule>
  </conditionalFormatting>
  <conditionalFormatting sqref="D6506">
    <cfRule type="containsText" dxfId="874" priority="1930" operator="containsText" text="Pesquisa de Preços">
      <formula>NOT(ISERROR(SEARCH("Pesquisa de Preços",D6506)))</formula>
    </cfRule>
  </conditionalFormatting>
  <conditionalFormatting sqref="D6505">
    <cfRule type="containsText" dxfId="873" priority="1931" operator="containsText" text="Pesquisa de Preços">
      <formula>NOT(ISERROR(SEARCH("Pesquisa de Preços",D6505)))</formula>
    </cfRule>
  </conditionalFormatting>
  <conditionalFormatting sqref="E6506 E6508">
    <cfRule type="containsText" dxfId="872" priority="1929" operator="containsText" text="Pesquisa de Preços">
      <formula>NOT(ISERROR(SEARCH("Pesquisa de Preços",E6506)))</formula>
    </cfRule>
  </conditionalFormatting>
  <conditionalFormatting sqref="D6512">
    <cfRule type="containsText" dxfId="871" priority="1927" operator="containsText" text="Pesquisa de Preços">
      <formula>NOT(ISERROR(SEARCH("Pesquisa de Preços",D6512)))</formula>
    </cfRule>
  </conditionalFormatting>
  <conditionalFormatting sqref="E6509">
    <cfRule type="containsText" dxfId="870" priority="1923" operator="containsText" text="Pesquisa de Preços">
      <formula>NOT(ISERROR(SEARCH("Pesquisa de Preços",E6509)))</formula>
    </cfRule>
  </conditionalFormatting>
  <conditionalFormatting sqref="D6510">
    <cfRule type="containsText" dxfId="869" priority="1925" operator="containsText" text="Pesquisa de Preços">
      <formula>NOT(ISERROR(SEARCH("Pesquisa de Preços",D6510)))</formula>
    </cfRule>
  </conditionalFormatting>
  <conditionalFormatting sqref="D6509">
    <cfRule type="containsText" dxfId="868" priority="1926" operator="containsText" text="Pesquisa de Preços">
      <formula>NOT(ISERROR(SEARCH("Pesquisa de Preços",D6509)))</formula>
    </cfRule>
  </conditionalFormatting>
  <conditionalFormatting sqref="E6510 E6512">
    <cfRule type="containsText" dxfId="867" priority="1924" operator="containsText" text="Pesquisa de Preços">
      <formula>NOT(ISERROR(SEARCH("Pesquisa de Preços",E6510)))</formula>
    </cfRule>
  </conditionalFormatting>
  <conditionalFormatting sqref="D6516">
    <cfRule type="containsText" dxfId="866" priority="1922" operator="containsText" text="Pesquisa de Preços">
      <formula>NOT(ISERROR(SEARCH("Pesquisa de Preços",D6516)))</formula>
    </cfRule>
  </conditionalFormatting>
  <conditionalFormatting sqref="E6513">
    <cfRule type="containsText" dxfId="865" priority="1918" operator="containsText" text="Pesquisa de Preços">
      <formula>NOT(ISERROR(SEARCH("Pesquisa de Preços",E6513)))</formula>
    </cfRule>
  </conditionalFormatting>
  <conditionalFormatting sqref="D6514">
    <cfRule type="containsText" dxfId="864" priority="1920" operator="containsText" text="Pesquisa de Preços">
      <formula>NOT(ISERROR(SEARCH("Pesquisa de Preços",D6514)))</formula>
    </cfRule>
  </conditionalFormatting>
  <conditionalFormatting sqref="D6513">
    <cfRule type="containsText" dxfId="863" priority="1921" operator="containsText" text="Pesquisa de Preços">
      <formula>NOT(ISERROR(SEARCH("Pesquisa de Preços",D6513)))</formula>
    </cfRule>
  </conditionalFormatting>
  <conditionalFormatting sqref="E6514 E6516">
    <cfRule type="containsText" dxfId="862" priority="1919" operator="containsText" text="Pesquisa de Preços">
      <formula>NOT(ISERROR(SEARCH("Pesquisa de Preços",E6514)))</formula>
    </cfRule>
  </conditionalFormatting>
  <conditionalFormatting sqref="D6520">
    <cfRule type="containsText" dxfId="861" priority="1917" operator="containsText" text="Pesquisa de Preços">
      <formula>NOT(ISERROR(SEARCH("Pesquisa de Preços",D6520)))</formula>
    </cfRule>
  </conditionalFormatting>
  <conditionalFormatting sqref="E6517">
    <cfRule type="containsText" dxfId="860" priority="1913" operator="containsText" text="Pesquisa de Preços">
      <formula>NOT(ISERROR(SEARCH("Pesquisa de Preços",E6517)))</formula>
    </cfRule>
  </conditionalFormatting>
  <conditionalFormatting sqref="D6518">
    <cfRule type="containsText" dxfId="859" priority="1915" operator="containsText" text="Pesquisa de Preços">
      <formula>NOT(ISERROR(SEARCH("Pesquisa de Preços",D6518)))</formula>
    </cfRule>
  </conditionalFormatting>
  <conditionalFormatting sqref="D6517">
    <cfRule type="containsText" dxfId="858" priority="1916" operator="containsText" text="Pesquisa de Preços">
      <formula>NOT(ISERROR(SEARCH("Pesquisa de Preços",D6517)))</formula>
    </cfRule>
  </conditionalFormatting>
  <conditionalFormatting sqref="E6518 E6520">
    <cfRule type="containsText" dxfId="857" priority="1914" operator="containsText" text="Pesquisa de Preços">
      <formula>NOT(ISERROR(SEARCH("Pesquisa de Preços",E6518)))</formula>
    </cfRule>
  </conditionalFormatting>
  <conditionalFormatting sqref="D6524">
    <cfRule type="containsText" dxfId="856" priority="1912" operator="containsText" text="Pesquisa de Preços">
      <formula>NOT(ISERROR(SEARCH("Pesquisa de Preços",D6524)))</formula>
    </cfRule>
  </conditionalFormatting>
  <conditionalFormatting sqref="E6521">
    <cfRule type="containsText" dxfId="855" priority="1908" operator="containsText" text="Pesquisa de Preços">
      <formula>NOT(ISERROR(SEARCH("Pesquisa de Preços",E6521)))</formula>
    </cfRule>
  </conditionalFormatting>
  <conditionalFormatting sqref="D6522">
    <cfRule type="containsText" dxfId="854" priority="1910" operator="containsText" text="Pesquisa de Preços">
      <formula>NOT(ISERROR(SEARCH("Pesquisa de Preços",D6522)))</formula>
    </cfRule>
  </conditionalFormatting>
  <conditionalFormatting sqref="D6521">
    <cfRule type="containsText" dxfId="853" priority="1911" operator="containsText" text="Pesquisa de Preços">
      <formula>NOT(ISERROR(SEARCH("Pesquisa de Preços",D6521)))</formula>
    </cfRule>
  </conditionalFormatting>
  <conditionalFormatting sqref="E6522 E6524">
    <cfRule type="containsText" dxfId="852" priority="1909" operator="containsText" text="Pesquisa de Preços">
      <formula>NOT(ISERROR(SEARCH("Pesquisa de Preços",E6522)))</formula>
    </cfRule>
  </conditionalFormatting>
  <conditionalFormatting sqref="D6528">
    <cfRule type="containsText" dxfId="851" priority="1907" operator="containsText" text="Pesquisa de Preços">
      <formula>NOT(ISERROR(SEARCH("Pesquisa de Preços",D6528)))</formula>
    </cfRule>
  </conditionalFormatting>
  <conditionalFormatting sqref="E6525">
    <cfRule type="containsText" dxfId="850" priority="1903" operator="containsText" text="Pesquisa de Preços">
      <formula>NOT(ISERROR(SEARCH("Pesquisa de Preços",E6525)))</formula>
    </cfRule>
  </conditionalFormatting>
  <conditionalFormatting sqref="D6526">
    <cfRule type="containsText" dxfId="849" priority="1905" operator="containsText" text="Pesquisa de Preços">
      <formula>NOT(ISERROR(SEARCH("Pesquisa de Preços",D6526)))</formula>
    </cfRule>
  </conditionalFormatting>
  <conditionalFormatting sqref="D6525">
    <cfRule type="containsText" dxfId="848" priority="1906" operator="containsText" text="Pesquisa de Preços">
      <formula>NOT(ISERROR(SEARCH("Pesquisa de Preços",D6525)))</formula>
    </cfRule>
  </conditionalFormatting>
  <conditionalFormatting sqref="E6526 E6528">
    <cfRule type="containsText" dxfId="847" priority="1904" operator="containsText" text="Pesquisa de Preços">
      <formula>NOT(ISERROR(SEARCH("Pesquisa de Preços",E6526)))</formula>
    </cfRule>
  </conditionalFormatting>
  <conditionalFormatting sqref="D6532">
    <cfRule type="containsText" dxfId="846" priority="1902" operator="containsText" text="Pesquisa de Preços">
      <formula>NOT(ISERROR(SEARCH("Pesquisa de Preços",D6532)))</formula>
    </cfRule>
  </conditionalFormatting>
  <conditionalFormatting sqref="E6529">
    <cfRule type="containsText" dxfId="845" priority="1898" operator="containsText" text="Pesquisa de Preços">
      <formula>NOT(ISERROR(SEARCH("Pesquisa de Preços",E6529)))</formula>
    </cfRule>
  </conditionalFormatting>
  <conditionalFormatting sqref="D6530">
    <cfRule type="containsText" dxfId="844" priority="1900" operator="containsText" text="Pesquisa de Preços">
      <formula>NOT(ISERROR(SEARCH("Pesquisa de Preços",D6530)))</formula>
    </cfRule>
  </conditionalFormatting>
  <conditionalFormatting sqref="D6529">
    <cfRule type="containsText" dxfId="843" priority="1901" operator="containsText" text="Pesquisa de Preços">
      <formula>NOT(ISERROR(SEARCH("Pesquisa de Preços",D6529)))</formula>
    </cfRule>
  </conditionalFormatting>
  <conditionalFormatting sqref="E6530 E6532">
    <cfRule type="containsText" dxfId="842" priority="1899" operator="containsText" text="Pesquisa de Preços">
      <formula>NOT(ISERROR(SEARCH("Pesquisa de Preços",E6530)))</formula>
    </cfRule>
  </conditionalFormatting>
  <conditionalFormatting sqref="D6540">
    <cfRule type="containsText" dxfId="841" priority="1897" operator="containsText" text="Pesquisa de Preços">
      <formula>NOT(ISERROR(SEARCH("Pesquisa de Preços",D6540)))</formula>
    </cfRule>
  </conditionalFormatting>
  <conditionalFormatting sqref="E6537">
    <cfRule type="containsText" dxfId="840" priority="1893" operator="containsText" text="Pesquisa de Preços">
      <formula>NOT(ISERROR(SEARCH("Pesquisa de Preços",E6537)))</formula>
    </cfRule>
  </conditionalFormatting>
  <conditionalFormatting sqref="D6538">
    <cfRule type="containsText" dxfId="839" priority="1895" operator="containsText" text="Pesquisa de Preços">
      <formula>NOT(ISERROR(SEARCH("Pesquisa de Preços",D6538)))</formula>
    </cfRule>
  </conditionalFormatting>
  <conditionalFormatting sqref="D6537">
    <cfRule type="containsText" dxfId="838" priority="1896" operator="containsText" text="Pesquisa de Preços">
      <formula>NOT(ISERROR(SEARCH("Pesquisa de Preços",D6537)))</formula>
    </cfRule>
  </conditionalFormatting>
  <conditionalFormatting sqref="E6538 E6540">
    <cfRule type="containsText" dxfId="837" priority="1894" operator="containsText" text="Pesquisa de Preços">
      <formula>NOT(ISERROR(SEARCH("Pesquisa de Preços",E6538)))</formula>
    </cfRule>
  </conditionalFormatting>
  <conditionalFormatting sqref="D6544">
    <cfRule type="containsText" dxfId="836" priority="1892" operator="containsText" text="Pesquisa de Preços">
      <formula>NOT(ISERROR(SEARCH("Pesquisa de Preços",D6544)))</formula>
    </cfRule>
  </conditionalFormatting>
  <conditionalFormatting sqref="E6541">
    <cfRule type="containsText" dxfId="835" priority="1888" operator="containsText" text="Pesquisa de Preços">
      <formula>NOT(ISERROR(SEARCH("Pesquisa de Preços",E6541)))</formula>
    </cfRule>
  </conditionalFormatting>
  <conditionalFormatting sqref="D6542">
    <cfRule type="containsText" dxfId="834" priority="1890" operator="containsText" text="Pesquisa de Preços">
      <formula>NOT(ISERROR(SEARCH("Pesquisa de Preços",D6542)))</formula>
    </cfRule>
  </conditionalFormatting>
  <conditionalFormatting sqref="D6541">
    <cfRule type="containsText" dxfId="833" priority="1891" operator="containsText" text="Pesquisa de Preços">
      <formula>NOT(ISERROR(SEARCH("Pesquisa de Preços",D6541)))</formula>
    </cfRule>
  </conditionalFormatting>
  <conditionalFormatting sqref="E6542 E6544">
    <cfRule type="containsText" dxfId="832" priority="1889" operator="containsText" text="Pesquisa de Preços">
      <formula>NOT(ISERROR(SEARCH("Pesquisa de Preços",E6542)))</formula>
    </cfRule>
  </conditionalFormatting>
  <conditionalFormatting sqref="D6548">
    <cfRule type="containsText" dxfId="831" priority="1887" operator="containsText" text="Pesquisa de Preços">
      <formula>NOT(ISERROR(SEARCH("Pesquisa de Preços",D6548)))</formula>
    </cfRule>
  </conditionalFormatting>
  <conditionalFormatting sqref="E6545">
    <cfRule type="containsText" dxfId="830" priority="1883" operator="containsText" text="Pesquisa de Preços">
      <formula>NOT(ISERROR(SEARCH("Pesquisa de Preços",E6545)))</formula>
    </cfRule>
  </conditionalFormatting>
  <conditionalFormatting sqref="D6546">
    <cfRule type="containsText" dxfId="829" priority="1885" operator="containsText" text="Pesquisa de Preços">
      <formula>NOT(ISERROR(SEARCH("Pesquisa de Preços",D6546)))</formula>
    </cfRule>
  </conditionalFormatting>
  <conditionalFormatting sqref="D6545">
    <cfRule type="containsText" dxfId="828" priority="1886" operator="containsText" text="Pesquisa de Preços">
      <formula>NOT(ISERROR(SEARCH("Pesquisa de Preços",D6545)))</formula>
    </cfRule>
  </conditionalFormatting>
  <conditionalFormatting sqref="E6546 E6548">
    <cfRule type="containsText" dxfId="827" priority="1884" operator="containsText" text="Pesquisa de Preços">
      <formula>NOT(ISERROR(SEARCH("Pesquisa de Preços",E6546)))</formula>
    </cfRule>
  </conditionalFormatting>
  <conditionalFormatting sqref="D6552">
    <cfRule type="containsText" dxfId="826" priority="1882" operator="containsText" text="Pesquisa de Preços">
      <formula>NOT(ISERROR(SEARCH("Pesquisa de Preços",D6552)))</formula>
    </cfRule>
  </conditionalFormatting>
  <conditionalFormatting sqref="E6549">
    <cfRule type="containsText" dxfId="825" priority="1878" operator="containsText" text="Pesquisa de Preços">
      <formula>NOT(ISERROR(SEARCH("Pesquisa de Preços",E6549)))</formula>
    </cfRule>
  </conditionalFormatting>
  <conditionalFormatting sqref="D6550">
    <cfRule type="containsText" dxfId="824" priority="1880" operator="containsText" text="Pesquisa de Preços">
      <formula>NOT(ISERROR(SEARCH("Pesquisa de Preços",D6550)))</formula>
    </cfRule>
  </conditionalFormatting>
  <conditionalFormatting sqref="D6549">
    <cfRule type="containsText" dxfId="823" priority="1881" operator="containsText" text="Pesquisa de Preços">
      <formula>NOT(ISERROR(SEARCH("Pesquisa de Preços",D6549)))</formula>
    </cfRule>
  </conditionalFormatting>
  <conditionalFormatting sqref="E6550 E6552">
    <cfRule type="containsText" dxfId="822" priority="1879" operator="containsText" text="Pesquisa de Preços">
      <formula>NOT(ISERROR(SEARCH("Pesquisa de Preços",E6550)))</formula>
    </cfRule>
  </conditionalFormatting>
  <conditionalFormatting sqref="D6560">
    <cfRule type="containsText" dxfId="821" priority="1877" operator="containsText" text="Pesquisa de Preços">
      <formula>NOT(ISERROR(SEARCH("Pesquisa de Preços",D6560)))</formula>
    </cfRule>
  </conditionalFormatting>
  <conditionalFormatting sqref="E6557">
    <cfRule type="containsText" dxfId="820" priority="1873" operator="containsText" text="Pesquisa de Preços">
      <formula>NOT(ISERROR(SEARCH("Pesquisa de Preços",E6557)))</formula>
    </cfRule>
  </conditionalFormatting>
  <conditionalFormatting sqref="D6558">
    <cfRule type="containsText" dxfId="819" priority="1875" operator="containsText" text="Pesquisa de Preços">
      <formula>NOT(ISERROR(SEARCH("Pesquisa de Preços",D6558)))</formula>
    </cfRule>
  </conditionalFormatting>
  <conditionalFormatting sqref="D6557">
    <cfRule type="containsText" dxfId="818" priority="1876" operator="containsText" text="Pesquisa de Preços">
      <formula>NOT(ISERROR(SEARCH("Pesquisa de Preços",D6557)))</formula>
    </cfRule>
  </conditionalFormatting>
  <conditionalFormatting sqref="E6558 E6560">
    <cfRule type="containsText" dxfId="817" priority="1874" operator="containsText" text="Pesquisa de Preços">
      <formula>NOT(ISERROR(SEARCH("Pesquisa de Preços",E6558)))</formula>
    </cfRule>
  </conditionalFormatting>
  <conditionalFormatting sqref="D6564">
    <cfRule type="containsText" dxfId="816" priority="1872" operator="containsText" text="Pesquisa de Preços">
      <formula>NOT(ISERROR(SEARCH("Pesquisa de Preços",D6564)))</formula>
    </cfRule>
  </conditionalFormatting>
  <conditionalFormatting sqref="E6561">
    <cfRule type="containsText" dxfId="815" priority="1868" operator="containsText" text="Pesquisa de Preços">
      <formula>NOT(ISERROR(SEARCH("Pesquisa de Preços",E6561)))</formula>
    </cfRule>
  </conditionalFormatting>
  <conditionalFormatting sqref="D6562">
    <cfRule type="containsText" dxfId="814" priority="1870" operator="containsText" text="Pesquisa de Preços">
      <formula>NOT(ISERROR(SEARCH("Pesquisa de Preços",D6562)))</formula>
    </cfRule>
  </conditionalFormatting>
  <conditionalFormatting sqref="D6561">
    <cfRule type="containsText" dxfId="813" priority="1871" operator="containsText" text="Pesquisa de Preços">
      <formula>NOT(ISERROR(SEARCH("Pesquisa de Preços",D6561)))</formula>
    </cfRule>
  </conditionalFormatting>
  <conditionalFormatting sqref="E6562 E6564">
    <cfRule type="containsText" dxfId="812" priority="1869" operator="containsText" text="Pesquisa de Preços">
      <formula>NOT(ISERROR(SEARCH("Pesquisa de Preços",E6562)))</formula>
    </cfRule>
  </conditionalFormatting>
  <conditionalFormatting sqref="D6568">
    <cfRule type="containsText" dxfId="811" priority="1867" operator="containsText" text="Pesquisa de Preços">
      <formula>NOT(ISERROR(SEARCH("Pesquisa de Preços",D6568)))</formula>
    </cfRule>
  </conditionalFormatting>
  <conditionalFormatting sqref="E6565">
    <cfRule type="containsText" dxfId="810" priority="1863" operator="containsText" text="Pesquisa de Preços">
      <formula>NOT(ISERROR(SEARCH("Pesquisa de Preços",E6565)))</formula>
    </cfRule>
  </conditionalFormatting>
  <conditionalFormatting sqref="D6566">
    <cfRule type="containsText" dxfId="809" priority="1865" operator="containsText" text="Pesquisa de Preços">
      <formula>NOT(ISERROR(SEARCH("Pesquisa de Preços",D6566)))</formula>
    </cfRule>
  </conditionalFormatting>
  <conditionalFormatting sqref="D6565">
    <cfRule type="containsText" dxfId="808" priority="1866" operator="containsText" text="Pesquisa de Preços">
      <formula>NOT(ISERROR(SEARCH("Pesquisa de Preços",D6565)))</formula>
    </cfRule>
  </conditionalFormatting>
  <conditionalFormatting sqref="E6566 E6568">
    <cfRule type="containsText" dxfId="807" priority="1864" operator="containsText" text="Pesquisa de Preços">
      <formula>NOT(ISERROR(SEARCH("Pesquisa de Preços",E6566)))</formula>
    </cfRule>
  </conditionalFormatting>
  <conditionalFormatting sqref="D6572">
    <cfRule type="containsText" dxfId="806" priority="1862" operator="containsText" text="Pesquisa de Preços">
      <formula>NOT(ISERROR(SEARCH("Pesquisa de Preços",D6572)))</formula>
    </cfRule>
  </conditionalFormatting>
  <conditionalFormatting sqref="E6569">
    <cfRule type="containsText" dxfId="805" priority="1858" operator="containsText" text="Pesquisa de Preços">
      <formula>NOT(ISERROR(SEARCH("Pesquisa de Preços",E6569)))</formula>
    </cfRule>
  </conditionalFormatting>
  <conditionalFormatting sqref="D6570">
    <cfRule type="containsText" dxfId="804" priority="1860" operator="containsText" text="Pesquisa de Preços">
      <formula>NOT(ISERROR(SEARCH("Pesquisa de Preços",D6570)))</formula>
    </cfRule>
  </conditionalFormatting>
  <conditionalFormatting sqref="D6569">
    <cfRule type="containsText" dxfId="803" priority="1861" operator="containsText" text="Pesquisa de Preços">
      <formula>NOT(ISERROR(SEARCH("Pesquisa de Preços",D6569)))</formula>
    </cfRule>
  </conditionalFormatting>
  <conditionalFormatting sqref="E6570 E6572">
    <cfRule type="containsText" dxfId="802" priority="1859" operator="containsText" text="Pesquisa de Preços">
      <formula>NOT(ISERROR(SEARCH("Pesquisa de Preços",E6570)))</formula>
    </cfRule>
  </conditionalFormatting>
  <conditionalFormatting sqref="D6576">
    <cfRule type="containsText" dxfId="801" priority="1857" operator="containsText" text="Pesquisa de Preços">
      <formula>NOT(ISERROR(SEARCH("Pesquisa de Preços",D6576)))</formula>
    </cfRule>
  </conditionalFormatting>
  <conditionalFormatting sqref="E6573">
    <cfRule type="containsText" dxfId="800" priority="1853" operator="containsText" text="Pesquisa de Preços">
      <formula>NOT(ISERROR(SEARCH("Pesquisa de Preços",E6573)))</formula>
    </cfRule>
  </conditionalFormatting>
  <conditionalFormatting sqref="D6574">
    <cfRule type="containsText" dxfId="799" priority="1855" operator="containsText" text="Pesquisa de Preços">
      <formula>NOT(ISERROR(SEARCH("Pesquisa de Preços",D6574)))</formula>
    </cfRule>
  </conditionalFormatting>
  <conditionalFormatting sqref="D6573">
    <cfRule type="containsText" dxfId="798" priority="1856" operator="containsText" text="Pesquisa de Preços">
      <formula>NOT(ISERROR(SEARCH("Pesquisa de Preços",D6573)))</formula>
    </cfRule>
  </conditionalFormatting>
  <conditionalFormatting sqref="E6574 E6576">
    <cfRule type="containsText" dxfId="797" priority="1854" operator="containsText" text="Pesquisa de Preços">
      <formula>NOT(ISERROR(SEARCH("Pesquisa de Preços",E6574)))</formula>
    </cfRule>
  </conditionalFormatting>
  <conditionalFormatting sqref="D6580">
    <cfRule type="containsText" dxfId="796" priority="1852" operator="containsText" text="Pesquisa de Preços">
      <formula>NOT(ISERROR(SEARCH("Pesquisa de Preços",D6580)))</formula>
    </cfRule>
  </conditionalFormatting>
  <conditionalFormatting sqref="E6577">
    <cfRule type="containsText" dxfId="795" priority="1848" operator="containsText" text="Pesquisa de Preços">
      <formula>NOT(ISERROR(SEARCH("Pesquisa de Preços",E6577)))</formula>
    </cfRule>
  </conditionalFormatting>
  <conditionalFormatting sqref="D6578">
    <cfRule type="containsText" dxfId="794" priority="1850" operator="containsText" text="Pesquisa de Preços">
      <formula>NOT(ISERROR(SEARCH("Pesquisa de Preços",D6578)))</formula>
    </cfRule>
  </conditionalFormatting>
  <conditionalFormatting sqref="D6577">
    <cfRule type="containsText" dxfId="793" priority="1851" operator="containsText" text="Pesquisa de Preços">
      <formula>NOT(ISERROR(SEARCH("Pesquisa de Preços",D6577)))</formula>
    </cfRule>
  </conditionalFormatting>
  <conditionalFormatting sqref="E6578 E6580">
    <cfRule type="containsText" dxfId="792" priority="1849" operator="containsText" text="Pesquisa de Preços">
      <formula>NOT(ISERROR(SEARCH("Pesquisa de Preços",E6578)))</formula>
    </cfRule>
  </conditionalFormatting>
  <conditionalFormatting sqref="D6588">
    <cfRule type="containsText" dxfId="791" priority="1847" operator="containsText" text="Pesquisa de Preços">
      <formula>NOT(ISERROR(SEARCH("Pesquisa de Preços",D6588)))</formula>
    </cfRule>
  </conditionalFormatting>
  <conditionalFormatting sqref="E6585">
    <cfRule type="containsText" dxfId="790" priority="1843" operator="containsText" text="Pesquisa de Preços">
      <formula>NOT(ISERROR(SEARCH("Pesquisa de Preços",E6585)))</formula>
    </cfRule>
  </conditionalFormatting>
  <conditionalFormatting sqref="D6586">
    <cfRule type="containsText" dxfId="789" priority="1845" operator="containsText" text="Pesquisa de Preços">
      <formula>NOT(ISERROR(SEARCH("Pesquisa de Preços",D6586)))</formula>
    </cfRule>
  </conditionalFormatting>
  <conditionalFormatting sqref="D6585">
    <cfRule type="containsText" dxfId="788" priority="1846" operator="containsText" text="Pesquisa de Preços">
      <formula>NOT(ISERROR(SEARCH("Pesquisa de Preços",D6585)))</formula>
    </cfRule>
  </conditionalFormatting>
  <conditionalFormatting sqref="E6586 E6588">
    <cfRule type="containsText" dxfId="787" priority="1844" operator="containsText" text="Pesquisa de Preços">
      <formula>NOT(ISERROR(SEARCH("Pesquisa de Preços",E6586)))</formula>
    </cfRule>
  </conditionalFormatting>
  <conditionalFormatting sqref="D6592">
    <cfRule type="containsText" dxfId="786" priority="1842" operator="containsText" text="Pesquisa de Preços">
      <formula>NOT(ISERROR(SEARCH("Pesquisa de Preços",D6592)))</formula>
    </cfRule>
  </conditionalFormatting>
  <conditionalFormatting sqref="E6589">
    <cfRule type="containsText" dxfId="785" priority="1838" operator="containsText" text="Pesquisa de Preços">
      <formula>NOT(ISERROR(SEARCH("Pesquisa de Preços",E6589)))</formula>
    </cfRule>
  </conditionalFormatting>
  <conditionalFormatting sqref="D6590">
    <cfRule type="containsText" dxfId="784" priority="1840" operator="containsText" text="Pesquisa de Preços">
      <formula>NOT(ISERROR(SEARCH("Pesquisa de Preços",D6590)))</formula>
    </cfRule>
  </conditionalFormatting>
  <conditionalFormatting sqref="D6589">
    <cfRule type="containsText" dxfId="783" priority="1841" operator="containsText" text="Pesquisa de Preços">
      <formula>NOT(ISERROR(SEARCH("Pesquisa de Preços",D6589)))</formula>
    </cfRule>
  </conditionalFormatting>
  <conditionalFormatting sqref="E6590 E6592">
    <cfRule type="containsText" dxfId="782" priority="1839" operator="containsText" text="Pesquisa de Preços">
      <formula>NOT(ISERROR(SEARCH("Pesquisa de Preços",E6590)))</formula>
    </cfRule>
  </conditionalFormatting>
  <conditionalFormatting sqref="D6596">
    <cfRule type="containsText" dxfId="781" priority="1837" operator="containsText" text="Pesquisa de Preços">
      <formula>NOT(ISERROR(SEARCH("Pesquisa de Preços",D6596)))</formula>
    </cfRule>
  </conditionalFormatting>
  <conditionalFormatting sqref="E6593">
    <cfRule type="containsText" dxfId="780" priority="1833" operator="containsText" text="Pesquisa de Preços">
      <formula>NOT(ISERROR(SEARCH("Pesquisa de Preços",E6593)))</formula>
    </cfRule>
  </conditionalFormatting>
  <conditionalFormatting sqref="D6594">
    <cfRule type="containsText" dxfId="779" priority="1835" operator="containsText" text="Pesquisa de Preços">
      <formula>NOT(ISERROR(SEARCH("Pesquisa de Preços",D6594)))</formula>
    </cfRule>
  </conditionalFormatting>
  <conditionalFormatting sqref="D6593">
    <cfRule type="containsText" dxfId="778" priority="1836" operator="containsText" text="Pesquisa de Preços">
      <formula>NOT(ISERROR(SEARCH("Pesquisa de Preços",D6593)))</formula>
    </cfRule>
  </conditionalFormatting>
  <conditionalFormatting sqref="E6594 E6596">
    <cfRule type="containsText" dxfId="777" priority="1834" operator="containsText" text="Pesquisa de Preços">
      <formula>NOT(ISERROR(SEARCH("Pesquisa de Preços",E6594)))</formula>
    </cfRule>
  </conditionalFormatting>
  <conditionalFormatting sqref="D6600">
    <cfRule type="containsText" dxfId="776" priority="1832" operator="containsText" text="Pesquisa de Preços">
      <formula>NOT(ISERROR(SEARCH("Pesquisa de Preços",D6600)))</formula>
    </cfRule>
  </conditionalFormatting>
  <conditionalFormatting sqref="E6597">
    <cfRule type="containsText" dxfId="775" priority="1828" operator="containsText" text="Pesquisa de Preços">
      <formula>NOT(ISERROR(SEARCH("Pesquisa de Preços",E6597)))</formula>
    </cfRule>
  </conditionalFormatting>
  <conditionalFormatting sqref="D6598">
    <cfRule type="containsText" dxfId="774" priority="1830" operator="containsText" text="Pesquisa de Preços">
      <formula>NOT(ISERROR(SEARCH("Pesquisa de Preços",D6598)))</formula>
    </cfRule>
  </conditionalFormatting>
  <conditionalFormatting sqref="D6597">
    <cfRule type="containsText" dxfId="773" priority="1831" operator="containsText" text="Pesquisa de Preços">
      <formula>NOT(ISERROR(SEARCH("Pesquisa de Preços",D6597)))</formula>
    </cfRule>
  </conditionalFormatting>
  <conditionalFormatting sqref="E6598 E6600">
    <cfRule type="containsText" dxfId="772" priority="1829" operator="containsText" text="Pesquisa de Preços">
      <formula>NOT(ISERROR(SEARCH("Pesquisa de Preços",E6598)))</formula>
    </cfRule>
  </conditionalFormatting>
  <conditionalFormatting sqref="D6604">
    <cfRule type="containsText" dxfId="771" priority="1827" operator="containsText" text="Pesquisa de Preços">
      <formula>NOT(ISERROR(SEARCH("Pesquisa de Preços",D6604)))</formula>
    </cfRule>
  </conditionalFormatting>
  <conditionalFormatting sqref="E6601">
    <cfRule type="containsText" dxfId="770" priority="1823" operator="containsText" text="Pesquisa de Preços">
      <formula>NOT(ISERROR(SEARCH("Pesquisa de Preços",E6601)))</formula>
    </cfRule>
  </conditionalFormatting>
  <conditionalFormatting sqref="D6602">
    <cfRule type="containsText" dxfId="769" priority="1825" operator="containsText" text="Pesquisa de Preços">
      <formula>NOT(ISERROR(SEARCH("Pesquisa de Preços",D6602)))</formula>
    </cfRule>
  </conditionalFormatting>
  <conditionalFormatting sqref="D6601">
    <cfRule type="containsText" dxfId="768" priority="1826" operator="containsText" text="Pesquisa de Preços">
      <formula>NOT(ISERROR(SEARCH("Pesquisa de Preços",D6601)))</formula>
    </cfRule>
  </conditionalFormatting>
  <conditionalFormatting sqref="E6602 E6604">
    <cfRule type="containsText" dxfId="767" priority="1824" operator="containsText" text="Pesquisa de Preços">
      <formula>NOT(ISERROR(SEARCH("Pesquisa de Preços",E6602)))</formula>
    </cfRule>
  </conditionalFormatting>
  <conditionalFormatting sqref="D6608">
    <cfRule type="containsText" dxfId="766" priority="1822" operator="containsText" text="Pesquisa de Preços">
      <formula>NOT(ISERROR(SEARCH("Pesquisa de Preços",D6608)))</formula>
    </cfRule>
  </conditionalFormatting>
  <conditionalFormatting sqref="E6605">
    <cfRule type="containsText" dxfId="765" priority="1818" operator="containsText" text="Pesquisa de Preços">
      <formula>NOT(ISERROR(SEARCH("Pesquisa de Preços",E6605)))</formula>
    </cfRule>
  </conditionalFormatting>
  <conditionalFormatting sqref="D6606">
    <cfRule type="containsText" dxfId="764" priority="1820" operator="containsText" text="Pesquisa de Preços">
      <formula>NOT(ISERROR(SEARCH("Pesquisa de Preços",D6606)))</formula>
    </cfRule>
  </conditionalFormatting>
  <conditionalFormatting sqref="D6605">
    <cfRule type="containsText" dxfId="763" priority="1821" operator="containsText" text="Pesquisa de Preços">
      <formula>NOT(ISERROR(SEARCH("Pesquisa de Preços",D6605)))</formula>
    </cfRule>
  </conditionalFormatting>
  <conditionalFormatting sqref="E6606 E6608">
    <cfRule type="containsText" dxfId="762" priority="1819" operator="containsText" text="Pesquisa de Preços">
      <formula>NOT(ISERROR(SEARCH("Pesquisa de Preços",E6606)))</formula>
    </cfRule>
  </conditionalFormatting>
  <conditionalFormatting sqref="D6612">
    <cfRule type="containsText" dxfId="761" priority="1817" operator="containsText" text="Pesquisa de Preços">
      <formula>NOT(ISERROR(SEARCH("Pesquisa de Preços",D6612)))</formula>
    </cfRule>
  </conditionalFormatting>
  <conditionalFormatting sqref="E6609">
    <cfRule type="containsText" dxfId="760" priority="1813" operator="containsText" text="Pesquisa de Preços">
      <formula>NOT(ISERROR(SEARCH("Pesquisa de Preços",E6609)))</formula>
    </cfRule>
  </conditionalFormatting>
  <conditionalFormatting sqref="D6610">
    <cfRule type="containsText" dxfId="759" priority="1815" operator="containsText" text="Pesquisa de Preços">
      <formula>NOT(ISERROR(SEARCH("Pesquisa de Preços",D6610)))</formula>
    </cfRule>
  </conditionalFormatting>
  <conditionalFormatting sqref="D6609">
    <cfRule type="containsText" dxfId="758" priority="1816" operator="containsText" text="Pesquisa de Preços">
      <formula>NOT(ISERROR(SEARCH("Pesquisa de Preços",D6609)))</formula>
    </cfRule>
  </conditionalFormatting>
  <conditionalFormatting sqref="E6610 E6612">
    <cfRule type="containsText" dxfId="757" priority="1814" operator="containsText" text="Pesquisa de Preços">
      <formula>NOT(ISERROR(SEARCH("Pesquisa de Preços",E6610)))</formula>
    </cfRule>
  </conditionalFormatting>
  <conditionalFormatting sqref="D6616">
    <cfRule type="containsText" dxfId="756" priority="1812" operator="containsText" text="Pesquisa de Preços">
      <formula>NOT(ISERROR(SEARCH("Pesquisa de Preços",D6616)))</formula>
    </cfRule>
  </conditionalFormatting>
  <conditionalFormatting sqref="E6613">
    <cfRule type="containsText" dxfId="755" priority="1808" operator="containsText" text="Pesquisa de Preços">
      <formula>NOT(ISERROR(SEARCH("Pesquisa de Preços",E6613)))</formula>
    </cfRule>
  </conditionalFormatting>
  <conditionalFormatting sqref="D6614">
    <cfRule type="containsText" dxfId="754" priority="1810" operator="containsText" text="Pesquisa de Preços">
      <formula>NOT(ISERROR(SEARCH("Pesquisa de Preços",D6614)))</formula>
    </cfRule>
  </conditionalFormatting>
  <conditionalFormatting sqref="D6613">
    <cfRule type="containsText" dxfId="753" priority="1811" operator="containsText" text="Pesquisa de Preços">
      <formula>NOT(ISERROR(SEARCH("Pesquisa de Preços",D6613)))</formula>
    </cfRule>
  </conditionalFormatting>
  <conditionalFormatting sqref="E6614 E6616">
    <cfRule type="containsText" dxfId="752" priority="1809" operator="containsText" text="Pesquisa de Preços">
      <formula>NOT(ISERROR(SEARCH("Pesquisa de Preços",E6614)))</formula>
    </cfRule>
  </conditionalFormatting>
  <conditionalFormatting sqref="D6620">
    <cfRule type="containsText" dxfId="751" priority="1807" operator="containsText" text="Pesquisa de Preços">
      <formula>NOT(ISERROR(SEARCH("Pesquisa de Preços",D6620)))</formula>
    </cfRule>
  </conditionalFormatting>
  <conditionalFormatting sqref="E6617">
    <cfRule type="containsText" dxfId="750" priority="1803" operator="containsText" text="Pesquisa de Preços">
      <formula>NOT(ISERROR(SEARCH("Pesquisa de Preços",E6617)))</formula>
    </cfRule>
  </conditionalFormatting>
  <conditionalFormatting sqref="D6618">
    <cfRule type="containsText" dxfId="749" priority="1805" operator="containsText" text="Pesquisa de Preços">
      <formula>NOT(ISERROR(SEARCH("Pesquisa de Preços",D6618)))</formula>
    </cfRule>
  </conditionalFormatting>
  <conditionalFormatting sqref="D6617">
    <cfRule type="containsText" dxfId="748" priority="1806" operator="containsText" text="Pesquisa de Preços">
      <formula>NOT(ISERROR(SEARCH("Pesquisa de Preços",D6617)))</formula>
    </cfRule>
  </conditionalFormatting>
  <conditionalFormatting sqref="E6618 E6620">
    <cfRule type="containsText" dxfId="747" priority="1804" operator="containsText" text="Pesquisa de Preços">
      <formula>NOT(ISERROR(SEARCH("Pesquisa de Preços",E6618)))</formula>
    </cfRule>
  </conditionalFormatting>
  <conditionalFormatting sqref="D6636">
    <cfRule type="containsText" dxfId="746" priority="1802" operator="containsText" text="Pesquisa de Preços">
      <formula>NOT(ISERROR(SEARCH("Pesquisa de Preços",D6636)))</formula>
    </cfRule>
  </conditionalFormatting>
  <conditionalFormatting sqref="E6633">
    <cfRule type="containsText" dxfId="745" priority="1798" operator="containsText" text="Pesquisa de Preços">
      <formula>NOT(ISERROR(SEARCH("Pesquisa de Preços",E6633)))</formula>
    </cfRule>
  </conditionalFormatting>
  <conditionalFormatting sqref="D6634">
    <cfRule type="containsText" dxfId="744" priority="1800" operator="containsText" text="Pesquisa de Preços">
      <formula>NOT(ISERROR(SEARCH("Pesquisa de Preços",D6634)))</formula>
    </cfRule>
  </conditionalFormatting>
  <conditionalFormatting sqref="D6633">
    <cfRule type="containsText" dxfId="743" priority="1801" operator="containsText" text="Pesquisa de Preços">
      <formula>NOT(ISERROR(SEARCH("Pesquisa de Preços",D6633)))</formula>
    </cfRule>
  </conditionalFormatting>
  <conditionalFormatting sqref="E6634 E6636">
    <cfRule type="containsText" dxfId="742" priority="1799" operator="containsText" text="Pesquisa de Preços">
      <formula>NOT(ISERROR(SEARCH("Pesquisa de Preços",E6634)))</formula>
    </cfRule>
  </conditionalFormatting>
  <conditionalFormatting sqref="D6640">
    <cfRule type="containsText" dxfId="741" priority="1797" operator="containsText" text="Pesquisa de Preços">
      <formula>NOT(ISERROR(SEARCH("Pesquisa de Preços",D6640)))</formula>
    </cfRule>
  </conditionalFormatting>
  <conditionalFormatting sqref="E6637">
    <cfRule type="containsText" dxfId="740" priority="1793" operator="containsText" text="Pesquisa de Preços">
      <formula>NOT(ISERROR(SEARCH("Pesquisa de Preços",E6637)))</formula>
    </cfRule>
  </conditionalFormatting>
  <conditionalFormatting sqref="D6638">
    <cfRule type="containsText" dxfId="739" priority="1795" operator="containsText" text="Pesquisa de Preços">
      <formula>NOT(ISERROR(SEARCH("Pesquisa de Preços",D6638)))</formula>
    </cfRule>
  </conditionalFormatting>
  <conditionalFormatting sqref="D6637">
    <cfRule type="containsText" dxfId="738" priority="1796" operator="containsText" text="Pesquisa de Preços">
      <formula>NOT(ISERROR(SEARCH("Pesquisa de Preços",D6637)))</formula>
    </cfRule>
  </conditionalFormatting>
  <conditionalFormatting sqref="E6638 E6640">
    <cfRule type="containsText" dxfId="737" priority="1794" operator="containsText" text="Pesquisa de Preços">
      <formula>NOT(ISERROR(SEARCH("Pesquisa de Preços",E6638)))</formula>
    </cfRule>
  </conditionalFormatting>
  <conditionalFormatting sqref="D6644">
    <cfRule type="containsText" dxfId="736" priority="1792" operator="containsText" text="Pesquisa de Preços">
      <formula>NOT(ISERROR(SEARCH("Pesquisa de Preços",D6644)))</formula>
    </cfRule>
  </conditionalFormatting>
  <conditionalFormatting sqref="E6641">
    <cfRule type="containsText" dxfId="735" priority="1788" operator="containsText" text="Pesquisa de Preços">
      <formula>NOT(ISERROR(SEARCH("Pesquisa de Preços",E6641)))</formula>
    </cfRule>
  </conditionalFormatting>
  <conditionalFormatting sqref="D6642">
    <cfRule type="containsText" dxfId="734" priority="1790" operator="containsText" text="Pesquisa de Preços">
      <formula>NOT(ISERROR(SEARCH("Pesquisa de Preços",D6642)))</formula>
    </cfRule>
  </conditionalFormatting>
  <conditionalFormatting sqref="D6641">
    <cfRule type="containsText" dxfId="733" priority="1791" operator="containsText" text="Pesquisa de Preços">
      <formula>NOT(ISERROR(SEARCH("Pesquisa de Preços",D6641)))</formula>
    </cfRule>
  </conditionalFormatting>
  <conditionalFormatting sqref="E6642 E6644">
    <cfRule type="containsText" dxfId="732" priority="1789" operator="containsText" text="Pesquisa de Preços">
      <formula>NOT(ISERROR(SEARCH("Pesquisa de Preços",E6642)))</formula>
    </cfRule>
  </conditionalFormatting>
  <conditionalFormatting sqref="D6660">
    <cfRule type="containsText" dxfId="731" priority="1787" operator="containsText" text="Pesquisa de Preços">
      <formula>NOT(ISERROR(SEARCH("Pesquisa de Preços",D6660)))</formula>
    </cfRule>
  </conditionalFormatting>
  <conditionalFormatting sqref="E6657">
    <cfRule type="containsText" dxfId="730" priority="1783" operator="containsText" text="Pesquisa de Preços">
      <formula>NOT(ISERROR(SEARCH("Pesquisa de Preços",E6657)))</formula>
    </cfRule>
  </conditionalFormatting>
  <conditionalFormatting sqref="D6658">
    <cfRule type="containsText" dxfId="729" priority="1785" operator="containsText" text="Pesquisa de Preços">
      <formula>NOT(ISERROR(SEARCH("Pesquisa de Preços",D6658)))</formula>
    </cfRule>
  </conditionalFormatting>
  <conditionalFormatting sqref="D6657">
    <cfRule type="containsText" dxfId="728" priority="1786" operator="containsText" text="Pesquisa de Preços">
      <formula>NOT(ISERROR(SEARCH("Pesquisa de Preços",D6657)))</formula>
    </cfRule>
  </conditionalFormatting>
  <conditionalFormatting sqref="E6658 E6660">
    <cfRule type="containsText" dxfId="727" priority="1784" operator="containsText" text="Pesquisa de Preços">
      <formula>NOT(ISERROR(SEARCH("Pesquisa de Preços",E6658)))</formula>
    </cfRule>
  </conditionalFormatting>
  <conditionalFormatting sqref="D6664">
    <cfRule type="containsText" dxfId="726" priority="1782" operator="containsText" text="Pesquisa de Preços">
      <formula>NOT(ISERROR(SEARCH("Pesquisa de Preços",D6664)))</formula>
    </cfRule>
  </conditionalFormatting>
  <conditionalFormatting sqref="E6661">
    <cfRule type="containsText" dxfId="725" priority="1778" operator="containsText" text="Pesquisa de Preços">
      <formula>NOT(ISERROR(SEARCH("Pesquisa de Preços",E6661)))</formula>
    </cfRule>
  </conditionalFormatting>
  <conditionalFormatting sqref="D6662">
    <cfRule type="containsText" dxfId="724" priority="1780" operator="containsText" text="Pesquisa de Preços">
      <formula>NOT(ISERROR(SEARCH("Pesquisa de Preços",D6662)))</formula>
    </cfRule>
  </conditionalFormatting>
  <conditionalFormatting sqref="D6661">
    <cfRule type="containsText" dxfId="723" priority="1781" operator="containsText" text="Pesquisa de Preços">
      <formula>NOT(ISERROR(SEARCH("Pesquisa de Preços",D6661)))</formula>
    </cfRule>
  </conditionalFormatting>
  <conditionalFormatting sqref="E6662 E6664">
    <cfRule type="containsText" dxfId="722" priority="1779" operator="containsText" text="Pesquisa de Preços">
      <formula>NOT(ISERROR(SEARCH("Pesquisa de Preços",E6662)))</formula>
    </cfRule>
  </conditionalFormatting>
  <conditionalFormatting sqref="D6668">
    <cfRule type="containsText" dxfId="721" priority="1777" operator="containsText" text="Pesquisa de Preços">
      <formula>NOT(ISERROR(SEARCH("Pesquisa de Preços",D6668)))</formula>
    </cfRule>
  </conditionalFormatting>
  <conditionalFormatting sqref="E6665">
    <cfRule type="containsText" dxfId="720" priority="1773" operator="containsText" text="Pesquisa de Preços">
      <formula>NOT(ISERROR(SEARCH("Pesquisa de Preços",E6665)))</formula>
    </cfRule>
  </conditionalFormatting>
  <conditionalFormatting sqref="D6666">
    <cfRule type="containsText" dxfId="719" priority="1775" operator="containsText" text="Pesquisa de Preços">
      <formula>NOT(ISERROR(SEARCH("Pesquisa de Preços",D6666)))</formula>
    </cfRule>
  </conditionalFormatting>
  <conditionalFormatting sqref="D6665">
    <cfRule type="containsText" dxfId="718" priority="1776" operator="containsText" text="Pesquisa de Preços">
      <formula>NOT(ISERROR(SEARCH("Pesquisa de Preços",D6665)))</formula>
    </cfRule>
  </conditionalFormatting>
  <conditionalFormatting sqref="E6666 E6668">
    <cfRule type="containsText" dxfId="717" priority="1774" operator="containsText" text="Pesquisa de Preços">
      <formula>NOT(ISERROR(SEARCH("Pesquisa de Preços",E6666)))</formula>
    </cfRule>
  </conditionalFormatting>
  <conditionalFormatting sqref="D6672">
    <cfRule type="containsText" dxfId="716" priority="1772" operator="containsText" text="Pesquisa de Preços">
      <formula>NOT(ISERROR(SEARCH("Pesquisa de Preços",D6672)))</formula>
    </cfRule>
  </conditionalFormatting>
  <conditionalFormatting sqref="E6669">
    <cfRule type="containsText" dxfId="715" priority="1768" operator="containsText" text="Pesquisa de Preços">
      <formula>NOT(ISERROR(SEARCH("Pesquisa de Preços",E6669)))</formula>
    </cfRule>
  </conditionalFormatting>
  <conditionalFormatting sqref="D6670">
    <cfRule type="containsText" dxfId="714" priority="1770" operator="containsText" text="Pesquisa de Preços">
      <formula>NOT(ISERROR(SEARCH("Pesquisa de Preços",D6670)))</formula>
    </cfRule>
  </conditionalFormatting>
  <conditionalFormatting sqref="D6669">
    <cfRule type="containsText" dxfId="713" priority="1771" operator="containsText" text="Pesquisa de Preços">
      <formula>NOT(ISERROR(SEARCH("Pesquisa de Preços",D6669)))</formula>
    </cfRule>
  </conditionalFormatting>
  <conditionalFormatting sqref="E6670 E6672">
    <cfRule type="containsText" dxfId="712" priority="1769" operator="containsText" text="Pesquisa de Preços">
      <formula>NOT(ISERROR(SEARCH("Pesquisa de Preços",E6670)))</formula>
    </cfRule>
  </conditionalFormatting>
  <conditionalFormatting sqref="D6676">
    <cfRule type="containsText" dxfId="711" priority="1767" operator="containsText" text="Pesquisa de Preços">
      <formula>NOT(ISERROR(SEARCH("Pesquisa de Preços",D6676)))</formula>
    </cfRule>
  </conditionalFormatting>
  <conditionalFormatting sqref="E6673">
    <cfRule type="containsText" dxfId="710" priority="1763" operator="containsText" text="Pesquisa de Preços">
      <formula>NOT(ISERROR(SEARCH("Pesquisa de Preços",E6673)))</formula>
    </cfRule>
  </conditionalFormatting>
  <conditionalFormatting sqref="D6674">
    <cfRule type="containsText" dxfId="709" priority="1765" operator="containsText" text="Pesquisa de Preços">
      <formula>NOT(ISERROR(SEARCH("Pesquisa de Preços",D6674)))</formula>
    </cfRule>
  </conditionalFormatting>
  <conditionalFormatting sqref="D6673">
    <cfRule type="containsText" dxfId="708" priority="1766" operator="containsText" text="Pesquisa de Preços">
      <formula>NOT(ISERROR(SEARCH("Pesquisa de Preços",D6673)))</formula>
    </cfRule>
  </conditionalFormatting>
  <conditionalFormatting sqref="E6674 E6676">
    <cfRule type="containsText" dxfId="707" priority="1764" operator="containsText" text="Pesquisa de Preços">
      <formula>NOT(ISERROR(SEARCH("Pesquisa de Preços",E6674)))</formula>
    </cfRule>
  </conditionalFormatting>
  <conditionalFormatting sqref="D6864">
    <cfRule type="containsText" dxfId="706" priority="1762" operator="containsText" text="Pesquisa de Preços">
      <formula>NOT(ISERROR(SEARCH("Pesquisa de Preços",D6864)))</formula>
    </cfRule>
  </conditionalFormatting>
  <conditionalFormatting sqref="E6861">
    <cfRule type="containsText" dxfId="705" priority="1758" operator="containsText" text="Pesquisa de Preços">
      <formula>NOT(ISERROR(SEARCH("Pesquisa de Preços",E6861)))</formula>
    </cfRule>
  </conditionalFormatting>
  <conditionalFormatting sqref="D6862">
    <cfRule type="containsText" dxfId="704" priority="1760" operator="containsText" text="Pesquisa de Preços">
      <formula>NOT(ISERROR(SEARCH("Pesquisa de Preços",D6862)))</formula>
    </cfRule>
  </conditionalFormatting>
  <conditionalFormatting sqref="D6861">
    <cfRule type="containsText" dxfId="703" priority="1761" operator="containsText" text="Pesquisa de Preços">
      <formula>NOT(ISERROR(SEARCH("Pesquisa de Preços",D6861)))</formula>
    </cfRule>
  </conditionalFormatting>
  <conditionalFormatting sqref="E6862 E6864">
    <cfRule type="containsText" dxfId="702" priority="1759" operator="containsText" text="Pesquisa de Preços">
      <formula>NOT(ISERROR(SEARCH("Pesquisa de Preços",E6862)))</formula>
    </cfRule>
  </conditionalFormatting>
  <conditionalFormatting sqref="D6868">
    <cfRule type="containsText" dxfId="701" priority="1757" operator="containsText" text="Pesquisa de Preços">
      <formula>NOT(ISERROR(SEARCH("Pesquisa de Preços",D6868)))</formula>
    </cfRule>
  </conditionalFormatting>
  <conditionalFormatting sqref="E6865">
    <cfRule type="containsText" dxfId="700" priority="1753" operator="containsText" text="Pesquisa de Preços">
      <formula>NOT(ISERROR(SEARCH("Pesquisa de Preços",E6865)))</formula>
    </cfRule>
  </conditionalFormatting>
  <conditionalFormatting sqref="D6866">
    <cfRule type="containsText" dxfId="699" priority="1755" operator="containsText" text="Pesquisa de Preços">
      <formula>NOT(ISERROR(SEARCH("Pesquisa de Preços",D6866)))</formula>
    </cfRule>
  </conditionalFormatting>
  <conditionalFormatting sqref="D6865">
    <cfRule type="containsText" dxfId="698" priority="1756" operator="containsText" text="Pesquisa de Preços">
      <formula>NOT(ISERROR(SEARCH("Pesquisa de Preços",D6865)))</formula>
    </cfRule>
  </conditionalFormatting>
  <conditionalFormatting sqref="E6866 E6868">
    <cfRule type="containsText" dxfId="697" priority="1754" operator="containsText" text="Pesquisa de Preços">
      <formula>NOT(ISERROR(SEARCH("Pesquisa de Preços",E6866)))</formula>
    </cfRule>
  </conditionalFormatting>
  <conditionalFormatting sqref="D6872">
    <cfRule type="containsText" dxfId="696" priority="1752" operator="containsText" text="Pesquisa de Preços">
      <formula>NOT(ISERROR(SEARCH("Pesquisa de Preços",D6872)))</formula>
    </cfRule>
  </conditionalFormatting>
  <conditionalFormatting sqref="E6869">
    <cfRule type="containsText" dxfId="695" priority="1748" operator="containsText" text="Pesquisa de Preços">
      <formula>NOT(ISERROR(SEARCH("Pesquisa de Preços",E6869)))</formula>
    </cfRule>
  </conditionalFormatting>
  <conditionalFormatting sqref="D6870">
    <cfRule type="containsText" dxfId="694" priority="1750" operator="containsText" text="Pesquisa de Preços">
      <formula>NOT(ISERROR(SEARCH("Pesquisa de Preços",D6870)))</formula>
    </cfRule>
  </conditionalFormatting>
  <conditionalFormatting sqref="D6869">
    <cfRule type="containsText" dxfId="693" priority="1751" operator="containsText" text="Pesquisa de Preços">
      <formula>NOT(ISERROR(SEARCH("Pesquisa de Preços",D6869)))</formula>
    </cfRule>
  </conditionalFormatting>
  <conditionalFormatting sqref="E6870 E6872">
    <cfRule type="containsText" dxfId="692" priority="1749" operator="containsText" text="Pesquisa de Preços">
      <formula>NOT(ISERROR(SEARCH("Pesquisa de Preços",E6870)))</formula>
    </cfRule>
  </conditionalFormatting>
  <conditionalFormatting sqref="D6876">
    <cfRule type="containsText" dxfId="691" priority="1747" operator="containsText" text="Pesquisa de Preços">
      <formula>NOT(ISERROR(SEARCH("Pesquisa de Preços",D6876)))</formula>
    </cfRule>
  </conditionalFormatting>
  <conditionalFormatting sqref="E6873">
    <cfRule type="containsText" dxfId="690" priority="1743" operator="containsText" text="Pesquisa de Preços">
      <formula>NOT(ISERROR(SEARCH("Pesquisa de Preços",E6873)))</formula>
    </cfRule>
  </conditionalFormatting>
  <conditionalFormatting sqref="D6874">
    <cfRule type="containsText" dxfId="689" priority="1745" operator="containsText" text="Pesquisa de Preços">
      <formula>NOT(ISERROR(SEARCH("Pesquisa de Preços",D6874)))</formula>
    </cfRule>
  </conditionalFormatting>
  <conditionalFormatting sqref="D6873">
    <cfRule type="containsText" dxfId="688" priority="1746" operator="containsText" text="Pesquisa de Preços">
      <formula>NOT(ISERROR(SEARCH("Pesquisa de Preços",D6873)))</formula>
    </cfRule>
  </conditionalFormatting>
  <conditionalFormatting sqref="E6874 E6876">
    <cfRule type="containsText" dxfId="687" priority="1744" operator="containsText" text="Pesquisa de Preços">
      <formula>NOT(ISERROR(SEARCH("Pesquisa de Preços",E6874)))</formula>
    </cfRule>
  </conditionalFormatting>
  <conditionalFormatting sqref="D6880">
    <cfRule type="containsText" dxfId="686" priority="1742" operator="containsText" text="Pesquisa de Preços">
      <formula>NOT(ISERROR(SEARCH("Pesquisa de Preços",D6880)))</formula>
    </cfRule>
  </conditionalFormatting>
  <conditionalFormatting sqref="E6877">
    <cfRule type="containsText" dxfId="685" priority="1738" operator="containsText" text="Pesquisa de Preços">
      <formula>NOT(ISERROR(SEARCH("Pesquisa de Preços",E6877)))</formula>
    </cfRule>
  </conditionalFormatting>
  <conditionalFormatting sqref="D6878">
    <cfRule type="containsText" dxfId="684" priority="1740" operator="containsText" text="Pesquisa de Preços">
      <formula>NOT(ISERROR(SEARCH("Pesquisa de Preços",D6878)))</formula>
    </cfRule>
  </conditionalFormatting>
  <conditionalFormatting sqref="D6877">
    <cfRule type="containsText" dxfId="683" priority="1741" operator="containsText" text="Pesquisa de Preços">
      <formula>NOT(ISERROR(SEARCH("Pesquisa de Preços",D6877)))</formula>
    </cfRule>
  </conditionalFormatting>
  <conditionalFormatting sqref="E6878 E6880">
    <cfRule type="containsText" dxfId="682" priority="1739" operator="containsText" text="Pesquisa de Preços">
      <formula>NOT(ISERROR(SEARCH("Pesquisa de Preços",E6878)))</formula>
    </cfRule>
  </conditionalFormatting>
  <conditionalFormatting sqref="D6884">
    <cfRule type="containsText" dxfId="681" priority="1737" operator="containsText" text="Pesquisa de Preços">
      <formula>NOT(ISERROR(SEARCH("Pesquisa de Preços",D6884)))</formula>
    </cfRule>
  </conditionalFormatting>
  <conditionalFormatting sqref="E6881">
    <cfRule type="containsText" dxfId="680" priority="1733" operator="containsText" text="Pesquisa de Preços">
      <formula>NOT(ISERROR(SEARCH("Pesquisa de Preços",E6881)))</formula>
    </cfRule>
  </conditionalFormatting>
  <conditionalFormatting sqref="D6882">
    <cfRule type="containsText" dxfId="679" priority="1735" operator="containsText" text="Pesquisa de Preços">
      <formula>NOT(ISERROR(SEARCH("Pesquisa de Preços",D6882)))</formula>
    </cfRule>
  </conditionalFormatting>
  <conditionalFormatting sqref="D6881">
    <cfRule type="containsText" dxfId="678" priority="1736" operator="containsText" text="Pesquisa de Preços">
      <formula>NOT(ISERROR(SEARCH("Pesquisa de Preços",D6881)))</formula>
    </cfRule>
  </conditionalFormatting>
  <conditionalFormatting sqref="E6882 E6884">
    <cfRule type="containsText" dxfId="677" priority="1734" operator="containsText" text="Pesquisa de Preços">
      <formula>NOT(ISERROR(SEARCH("Pesquisa de Preços",E6882)))</formula>
    </cfRule>
  </conditionalFormatting>
  <conditionalFormatting sqref="D6892">
    <cfRule type="containsText" dxfId="676" priority="1732" operator="containsText" text="Pesquisa de Preços">
      <formula>NOT(ISERROR(SEARCH("Pesquisa de Preços",D6892)))</formula>
    </cfRule>
  </conditionalFormatting>
  <conditionalFormatting sqref="E6909">
    <cfRule type="containsText" dxfId="675" priority="1721" operator="containsText" text="Pesquisa de Preços">
      <formula>NOT(ISERROR(SEARCH("Pesquisa de Preços",E6909)))</formula>
    </cfRule>
  </conditionalFormatting>
  <conditionalFormatting sqref="E6893">
    <cfRule type="containsText" dxfId="674" priority="1726" operator="containsText" text="Pesquisa de Preços">
      <formula>NOT(ISERROR(SEARCH("Pesquisa de Preços",E6893)))</formula>
    </cfRule>
  </conditionalFormatting>
  <conditionalFormatting sqref="E6894 E6896">
    <cfRule type="containsText" dxfId="673" priority="1727" operator="containsText" text="Pesquisa de Preços">
      <formula>NOT(ISERROR(SEARCH("Pesquisa de Preços",E6894)))</formula>
    </cfRule>
  </conditionalFormatting>
  <conditionalFormatting sqref="E6892">
    <cfRule type="containsText" dxfId="672" priority="1731" operator="containsText" text="Pesquisa de Preços">
      <formula>NOT(ISERROR(SEARCH("Pesquisa de Preços",E6892)))</formula>
    </cfRule>
  </conditionalFormatting>
  <conditionalFormatting sqref="D6896">
    <cfRule type="containsText" dxfId="671" priority="1730" operator="containsText" text="Pesquisa de Preços">
      <formula>NOT(ISERROR(SEARCH("Pesquisa de Preços",D6896)))</formula>
    </cfRule>
  </conditionalFormatting>
  <conditionalFormatting sqref="D6910">
    <cfRule type="containsText" dxfId="670" priority="1723" operator="containsText" text="Pesquisa de Preços">
      <formula>NOT(ISERROR(SEARCH("Pesquisa de Preços",D6910)))</formula>
    </cfRule>
  </conditionalFormatting>
  <conditionalFormatting sqref="D6894">
    <cfRule type="containsText" dxfId="669" priority="1728" operator="containsText" text="Pesquisa de Preços">
      <formula>NOT(ISERROR(SEARCH("Pesquisa de Preços",D6894)))</formula>
    </cfRule>
  </conditionalFormatting>
  <conditionalFormatting sqref="D6893">
    <cfRule type="containsText" dxfId="668" priority="1729" operator="containsText" text="Pesquisa de Preços">
      <formula>NOT(ISERROR(SEARCH("Pesquisa de Preços",D6893)))</formula>
    </cfRule>
  </conditionalFormatting>
  <conditionalFormatting sqref="D6909">
    <cfRule type="containsText" dxfId="667" priority="1724" operator="containsText" text="Pesquisa de Preços">
      <formula>NOT(ISERROR(SEARCH("Pesquisa de Preços",D6909)))</formula>
    </cfRule>
  </conditionalFormatting>
  <conditionalFormatting sqref="D6912">
    <cfRule type="containsText" dxfId="666" priority="1725" operator="containsText" text="Pesquisa de Preços">
      <formula>NOT(ISERROR(SEARCH("Pesquisa de Preços",D6912)))</formula>
    </cfRule>
  </conditionalFormatting>
  <conditionalFormatting sqref="D6928">
    <cfRule type="containsText" dxfId="665" priority="1715" operator="containsText" text="Pesquisa de Preços">
      <formula>NOT(ISERROR(SEARCH("Pesquisa de Preços",D6928)))</formula>
    </cfRule>
  </conditionalFormatting>
  <conditionalFormatting sqref="E6929">
    <cfRule type="containsText" dxfId="664" priority="1706" operator="containsText" text="Pesquisa de Preços">
      <formula>NOT(ISERROR(SEARCH("Pesquisa de Preços",E6929)))</formula>
    </cfRule>
  </conditionalFormatting>
  <conditionalFormatting sqref="E6910 E6912">
    <cfRule type="containsText" dxfId="663" priority="1722" operator="containsText" text="Pesquisa de Preços">
      <formula>NOT(ISERROR(SEARCH("Pesquisa de Preços",E6910)))</formula>
    </cfRule>
  </conditionalFormatting>
  <conditionalFormatting sqref="D6924">
    <cfRule type="containsText" dxfId="662" priority="1720" operator="containsText" text="Pesquisa de Preços">
      <formula>NOT(ISERROR(SEARCH("Pesquisa de Preços",D6924)))</formula>
    </cfRule>
  </conditionalFormatting>
  <conditionalFormatting sqref="E6921">
    <cfRule type="containsText" dxfId="661" priority="1716" operator="containsText" text="Pesquisa de Preços">
      <formula>NOT(ISERROR(SEARCH("Pesquisa de Preços",E6921)))</formula>
    </cfRule>
  </conditionalFormatting>
  <conditionalFormatting sqref="D6922">
    <cfRule type="containsText" dxfId="660" priority="1718" operator="containsText" text="Pesquisa de Preços">
      <formula>NOT(ISERROR(SEARCH("Pesquisa de Preços",D6922)))</formula>
    </cfRule>
  </conditionalFormatting>
  <conditionalFormatting sqref="D6921">
    <cfRule type="containsText" dxfId="659" priority="1719" operator="containsText" text="Pesquisa de Preços">
      <formula>NOT(ISERROR(SEARCH("Pesquisa de Preços",D6921)))</formula>
    </cfRule>
  </conditionalFormatting>
  <conditionalFormatting sqref="E6922 E6924">
    <cfRule type="containsText" dxfId="658" priority="1717" operator="containsText" text="Pesquisa de Preços">
      <formula>NOT(ISERROR(SEARCH("Pesquisa de Preços",E6922)))</formula>
    </cfRule>
  </conditionalFormatting>
  <conditionalFormatting sqref="E6930 E6932">
    <cfRule type="containsText" dxfId="657" priority="1707" operator="containsText" text="Pesquisa de Preços">
      <formula>NOT(ISERROR(SEARCH("Pesquisa de Preços",E6930)))</formula>
    </cfRule>
  </conditionalFormatting>
  <conditionalFormatting sqref="E6925">
    <cfRule type="containsText" dxfId="656" priority="1711" operator="containsText" text="Pesquisa de Preços">
      <formula>NOT(ISERROR(SEARCH("Pesquisa de Preços",E6925)))</formula>
    </cfRule>
  </conditionalFormatting>
  <conditionalFormatting sqref="D6926">
    <cfRule type="containsText" dxfId="655" priority="1713" operator="containsText" text="Pesquisa de Preços">
      <formula>NOT(ISERROR(SEARCH("Pesquisa de Preços",D6926)))</formula>
    </cfRule>
  </conditionalFormatting>
  <conditionalFormatting sqref="D6630">
    <cfRule type="containsText" dxfId="654" priority="1635" operator="containsText" text="Pesquisa de Preços">
      <formula>NOT(ISERROR(SEARCH("Pesquisa de Preços",D6630)))</formula>
    </cfRule>
  </conditionalFormatting>
  <conditionalFormatting sqref="D6925">
    <cfRule type="containsText" dxfId="653" priority="1714" operator="containsText" text="Pesquisa de Preços">
      <formula>NOT(ISERROR(SEARCH("Pesquisa de Preços",D6925)))</formula>
    </cfRule>
  </conditionalFormatting>
  <conditionalFormatting sqref="E6926 E6928">
    <cfRule type="containsText" dxfId="652" priority="1712" operator="containsText" text="Pesquisa de Preços">
      <formula>NOT(ISERROR(SEARCH("Pesquisa de Preços",E6926)))</formula>
    </cfRule>
  </conditionalFormatting>
  <conditionalFormatting sqref="D6932">
    <cfRule type="containsText" dxfId="651" priority="1710" operator="containsText" text="Pesquisa de Preços">
      <formula>NOT(ISERROR(SEARCH("Pesquisa de Preços",D6932)))</formula>
    </cfRule>
  </conditionalFormatting>
  <conditionalFormatting sqref="E6945">
    <cfRule type="containsText" dxfId="650" priority="1686" operator="containsText" text="Pesquisa de Preços">
      <formula>NOT(ISERROR(SEARCH("Pesquisa de Preços",E6945)))</formula>
    </cfRule>
  </conditionalFormatting>
  <conditionalFormatting sqref="D6930">
    <cfRule type="containsText" dxfId="649" priority="1708" operator="containsText" text="Pesquisa de Preços">
      <formula>NOT(ISERROR(SEARCH("Pesquisa de Preços",D6930)))</formula>
    </cfRule>
  </conditionalFormatting>
  <conditionalFormatting sqref="D6929">
    <cfRule type="containsText" dxfId="648" priority="1709" operator="containsText" text="Pesquisa de Preços">
      <formula>NOT(ISERROR(SEARCH("Pesquisa de Preços",D6929)))</formula>
    </cfRule>
  </conditionalFormatting>
  <conditionalFormatting sqref="E6946 E6948">
    <cfRule type="containsText" dxfId="647" priority="1687" operator="containsText" text="Pesquisa de Preços">
      <formula>NOT(ISERROR(SEARCH("Pesquisa de Preços",E6946)))</formula>
    </cfRule>
  </conditionalFormatting>
  <conditionalFormatting sqref="D6936">
    <cfRule type="containsText" dxfId="646" priority="1705" operator="containsText" text="Pesquisa de Preços">
      <formula>NOT(ISERROR(SEARCH("Pesquisa de Preços",D6936)))</formula>
    </cfRule>
  </conditionalFormatting>
  <conditionalFormatting sqref="E6933">
    <cfRule type="containsText" dxfId="645" priority="1701" operator="containsText" text="Pesquisa de Preços">
      <formula>NOT(ISERROR(SEARCH("Pesquisa de Preços",E6933)))</formula>
    </cfRule>
  </conditionalFormatting>
  <conditionalFormatting sqref="D6934">
    <cfRule type="containsText" dxfId="644" priority="1703" operator="containsText" text="Pesquisa de Preços">
      <formula>NOT(ISERROR(SEARCH("Pesquisa de Preços",D6934)))</formula>
    </cfRule>
  </conditionalFormatting>
  <conditionalFormatting sqref="D6933">
    <cfRule type="containsText" dxfId="643" priority="1704" operator="containsText" text="Pesquisa de Preços">
      <formula>NOT(ISERROR(SEARCH("Pesquisa de Preços",D6933)))</formula>
    </cfRule>
  </conditionalFormatting>
  <conditionalFormatting sqref="E6934 E6936">
    <cfRule type="containsText" dxfId="642" priority="1702" operator="containsText" text="Pesquisa de Preços">
      <formula>NOT(ISERROR(SEARCH("Pesquisa de Preços",E6934)))</formula>
    </cfRule>
  </conditionalFormatting>
  <conditionalFormatting sqref="D6940">
    <cfRule type="containsText" dxfId="641" priority="1700" operator="containsText" text="Pesquisa de Preços">
      <formula>NOT(ISERROR(SEARCH("Pesquisa de Preços",D6940)))</formula>
    </cfRule>
  </conditionalFormatting>
  <conditionalFormatting sqref="E6937">
    <cfRule type="containsText" dxfId="640" priority="1696" operator="containsText" text="Pesquisa de Preços">
      <formula>NOT(ISERROR(SEARCH("Pesquisa de Preços",E6937)))</formula>
    </cfRule>
  </conditionalFormatting>
  <conditionalFormatting sqref="D6938">
    <cfRule type="containsText" dxfId="639" priority="1698" operator="containsText" text="Pesquisa de Preços">
      <formula>NOT(ISERROR(SEARCH("Pesquisa de Preços",D6938)))</formula>
    </cfRule>
  </conditionalFormatting>
  <conditionalFormatting sqref="D6937">
    <cfRule type="containsText" dxfId="638" priority="1699" operator="containsText" text="Pesquisa de Preços">
      <formula>NOT(ISERROR(SEARCH("Pesquisa de Preços",D6937)))</formula>
    </cfRule>
  </conditionalFormatting>
  <conditionalFormatting sqref="E6938 E6940">
    <cfRule type="containsText" dxfId="637" priority="1697" operator="containsText" text="Pesquisa de Preços">
      <formula>NOT(ISERROR(SEARCH("Pesquisa de Preços",E6938)))</formula>
    </cfRule>
  </conditionalFormatting>
  <conditionalFormatting sqref="D6944">
    <cfRule type="containsText" dxfId="636" priority="1695" operator="containsText" text="Pesquisa de Preços">
      <formula>NOT(ISERROR(SEARCH("Pesquisa de Preços",D6944)))</formula>
    </cfRule>
  </conditionalFormatting>
  <conditionalFormatting sqref="E6941">
    <cfRule type="containsText" dxfId="635" priority="1691" operator="containsText" text="Pesquisa de Preços">
      <formula>NOT(ISERROR(SEARCH("Pesquisa de Preços",E6941)))</formula>
    </cfRule>
  </conditionalFormatting>
  <conditionalFormatting sqref="D6942">
    <cfRule type="containsText" dxfId="634" priority="1693" operator="containsText" text="Pesquisa de Preços">
      <formula>NOT(ISERROR(SEARCH("Pesquisa de Preços",D6942)))</formula>
    </cfRule>
  </conditionalFormatting>
  <conditionalFormatting sqref="D6941">
    <cfRule type="containsText" dxfId="633" priority="1694" operator="containsText" text="Pesquisa de Preços">
      <formula>NOT(ISERROR(SEARCH("Pesquisa de Preços",D6941)))</formula>
    </cfRule>
  </conditionalFormatting>
  <conditionalFormatting sqref="E6942 E6944">
    <cfRule type="containsText" dxfId="632" priority="1692" operator="containsText" text="Pesquisa de Preços">
      <formula>NOT(ISERROR(SEARCH("Pesquisa de Preços",E6942)))</formula>
    </cfRule>
  </conditionalFormatting>
  <conditionalFormatting sqref="D6948">
    <cfRule type="containsText" dxfId="631" priority="1690" operator="containsText" text="Pesquisa de Preços">
      <formula>NOT(ISERROR(SEARCH("Pesquisa de Preços",D6948)))</formula>
    </cfRule>
  </conditionalFormatting>
  <conditionalFormatting sqref="D6632">
    <cfRule type="containsText" dxfId="630" priority="1637" operator="containsText" text="Pesquisa de Preços">
      <formula>NOT(ISERROR(SEARCH("Pesquisa de Preços",D6632)))</formula>
    </cfRule>
  </conditionalFormatting>
  <conditionalFormatting sqref="D6946">
    <cfRule type="containsText" dxfId="629" priority="1688" operator="containsText" text="Pesquisa de Preços">
      <formula>NOT(ISERROR(SEARCH("Pesquisa de Preços",D6946)))</formula>
    </cfRule>
  </conditionalFormatting>
  <conditionalFormatting sqref="D6945">
    <cfRule type="containsText" dxfId="628" priority="1689" operator="containsText" text="Pesquisa de Preços">
      <formula>NOT(ISERROR(SEARCH("Pesquisa de Preços",D6945)))</formula>
    </cfRule>
  </conditionalFormatting>
  <conditionalFormatting sqref="D6952">
    <cfRule type="containsText" dxfId="627" priority="1685" operator="containsText" text="Pesquisa de Preços">
      <formula>NOT(ISERROR(SEARCH("Pesquisa de Preços",D6952)))</formula>
    </cfRule>
  </conditionalFormatting>
  <conditionalFormatting sqref="E6949">
    <cfRule type="containsText" dxfId="626" priority="1681" operator="containsText" text="Pesquisa de Preços">
      <formula>NOT(ISERROR(SEARCH("Pesquisa de Preços",E6949)))</formula>
    </cfRule>
  </conditionalFormatting>
  <conditionalFormatting sqref="D6950">
    <cfRule type="containsText" dxfId="625" priority="1683" operator="containsText" text="Pesquisa de Preços">
      <formula>NOT(ISERROR(SEARCH("Pesquisa de Preços",D6950)))</formula>
    </cfRule>
  </conditionalFormatting>
  <conditionalFormatting sqref="D6949">
    <cfRule type="containsText" dxfId="624" priority="1684" operator="containsText" text="Pesquisa de Preços">
      <formula>NOT(ISERROR(SEARCH("Pesquisa de Preços",D6949)))</formula>
    </cfRule>
  </conditionalFormatting>
  <conditionalFormatting sqref="E6950 E6952">
    <cfRule type="containsText" dxfId="623" priority="1682" operator="containsText" text="Pesquisa de Preços">
      <formula>NOT(ISERROR(SEARCH("Pesquisa de Preços",E6950)))</formula>
    </cfRule>
  </conditionalFormatting>
  <conditionalFormatting sqref="D2724">
    <cfRule type="containsText" dxfId="622" priority="1676" operator="containsText" text="Pesquisa de Preços">
      <formula>NOT(ISERROR(SEARCH("Pesquisa de Preços",D2724)))</formula>
    </cfRule>
  </conditionalFormatting>
  <conditionalFormatting sqref="D2720">
    <cfRule type="containsText" dxfId="621" priority="1673" operator="containsText" text="Pesquisa de Preços">
      <formula>NOT(ISERROR(SEARCH("Pesquisa de Preços",D2720)))</formula>
    </cfRule>
  </conditionalFormatting>
  <conditionalFormatting sqref="D2732">
    <cfRule type="containsText" dxfId="620" priority="1666" operator="containsText" text="Pesquisa de Preços">
      <formula>NOT(ISERROR(SEARCH("Pesquisa de Preços",D2732)))</formula>
    </cfRule>
  </conditionalFormatting>
  <conditionalFormatting sqref="D2728">
    <cfRule type="containsText" dxfId="619" priority="1663" operator="containsText" text="Pesquisa de Preços">
      <formula>NOT(ISERROR(SEARCH("Pesquisa de Preços",D2728)))</formula>
    </cfRule>
  </conditionalFormatting>
  <conditionalFormatting sqref="D2744">
    <cfRule type="containsText" dxfId="618" priority="1656" operator="containsText" text="Pesquisa de Preços">
      <formula>NOT(ISERROR(SEARCH("Pesquisa de Preços",D2744)))</formula>
    </cfRule>
  </conditionalFormatting>
  <conditionalFormatting sqref="D2740">
    <cfRule type="containsText" dxfId="617" priority="1653" operator="containsText" text="Pesquisa de Preços">
      <formula>NOT(ISERROR(SEARCH("Pesquisa de Preços",D2740)))</formula>
    </cfRule>
  </conditionalFormatting>
  <conditionalFormatting sqref="D4742">
    <cfRule type="containsText" dxfId="616" priority="1648" operator="containsText" text="Pesquisa de Preços">
      <formula>NOT(ISERROR(SEARCH("Pesquisa de Preços",D4742)))</formula>
    </cfRule>
  </conditionalFormatting>
  <conditionalFormatting sqref="D4746">
    <cfRule type="containsText" dxfId="615" priority="1647" operator="containsText" text="Pesquisa de Preços">
      <formula>NOT(ISERROR(SEARCH("Pesquisa de Preços",D4746)))</formula>
    </cfRule>
  </conditionalFormatting>
  <conditionalFormatting sqref="D4754">
    <cfRule type="containsText" dxfId="614" priority="1642" operator="containsText" text="Pesquisa de Preços">
      <formula>NOT(ISERROR(SEARCH("Pesquisa de Preços",D4754)))</formula>
    </cfRule>
  </conditionalFormatting>
  <conditionalFormatting sqref="E6629">
    <cfRule type="containsText" dxfId="613" priority="1633" operator="containsText" text="Pesquisa de Preços">
      <formula>NOT(ISERROR(SEARCH("Pesquisa de Preços",E6629)))</formula>
    </cfRule>
  </conditionalFormatting>
  <conditionalFormatting sqref="D6629">
    <cfRule type="containsText" dxfId="612" priority="1636" operator="containsText" text="Pesquisa de Preços">
      <formula>NOT(ISERROR(SEARCH("Pesquisa de Preços",D6629)))</formula>
    </cfRule>
  </conditionalFormatting>
  <conditionalFormatting sqref="E6630 E6632">
    <cfRule type="containsText" dxfId="611" priority="1634" operator="containsText" text="Pesquisa de Preços">
      <formula>NOT(ISERROR(SEARCH("Pesquisa de Preços",E6630)))</formula>
    </cfRule>
  </conditionalFormatting>
  <conditionalFormatting sqref="D6492">
    <cfRule type="containsText" dxfId="610" priority="1628" operator="containsText" text="Pesquisa de Preços">
      <formula>NOT(ISERROR(SEARCH("Pesquisa de Preços",D6492)))</formula>
    </cfRule>
  </conditionalFormatting>
  <conditionalFormatting sqref="E6489">
    <cfRule type="containsText" dxfId="609" priority="1624" operator="containsText" text="Pesquisa de Preços">
      <formula>NOT(ISERROR(SEARCH("Pesquisa de Preços",E6489)))</formula>
    </cfRule>
  </conditionalFormatting>
  <conditionalFormatting sqref="D6490">
    <cfRule type="containsText" dxfId="608" priority="1626" operator="containsText" text="Pesquisa de Preços">
      <formula>NOT(ISERROR(SEARCH("Pesquisa de Preços",D6490)))</formula>
    </cfRule>
  </conditionalFormatting>
  <conditionalFormatting sqref="D6489">
    <cfRule type="containsText" dxfId="607" priority="1627" operator="containsText" text="Pesquisa de Preços">
      <formula>NOT(ISERROR(SEARCH("Pesquisa de Preços",D6489)))</formula>
    </cfRule>
  </conditionalFormatting>
  <conditionalFormatting sqref="E6490 E6492">
    <cfRule type="containsText" dxfId="606" priority="1625" operator="containsText" text="Pesquisa de Preços">
      <formula>NOT(ISERROR(SEARCH("Pesquisa de Preços",E6490)))</formula>
    </cfRule>
  </conditionalFormatting>
  <conditionalFormatting sqref="D6534">
    <cfRule type="containsText" dxfId="605" priority="1621" operator="containsText" text="Pesquisa de Preços">
      <formula>NOT(ISERROR(SEARCH("Pesquisa de Preços",D6534)))</formula>
    </cfRule>
  </conditionalFormatting>
  <conditionalFormatting sqref="E6533">
    <cfRule type="containsText" dxfId="604" priority="1619" operator="containsText" text="Pesquisa de Preços">
      <formula>NOT(ISERROR(SEARCH("Pesquisa de Preços",E6533)))</formula>
    </cfRule>
  </conditionalFormatting>
  <conditionalFormatting sqref="D6536">
    <cfRule type="containsText" dxfId="603" priority="1623" operator="containsText" text="Pesquisa de Preços">
      <formula>NOT(ISERROR(SEARCH("Pesquisa de Preços",D6536)))</formula>
    </cfRule>
  </conditionalFormatting>
  <conditionalFormatting sqref="D6533">
    <cfRule type="containsText" dxfId="602" priority="1622" operator="containsText" text="Pesquisa de Preços">
      <formula>NOT(ISERROR(SEARCH("Pesquisa de Preços",D6533)))</formula>
    </cfRule>
  </conditionalFormatting>
  <conditionalFormatting sqref="E6534 E6536">
    <cfRule type="containsText" dxfId="601" priority="1620" operator="containsText" text="Pesquisa de Preços">
      <formula>NOT(ISERROR(SEARCH("Pesquisa de Preços",E6534)))</formula>
    </cfRule>
  </conditionalFormatting>
  <conditionalFormatting sqref="D6582">
    <cfRule type="containsText" dxfId="600" priority="1614" operator="containsText" text="Pesquisa de Preços">
      <formula>NOT(ISERROR(SEARCH("Pesquisa de Preços",D6582)))</formula>
    </cfRule>
  </conditionalFormatting>
  <conditionalFormatting sqref="E6581">
    <cfRule type="containsText" dxfId="599" priority="1612" operator="containsText" text="Pesquisa de Preços">
      <formula>NOT(ISERROR(SEARCH("Pesquisa de Preços",E6581)))</formula>
    </cfRule>
  </conditionalFormatting>
  <conditionalFormatting sqref="D6584">
    <cfRule type="containsText" dxfId="598" priority="1616" operator="containsText" text="Pesquisa de Preços">
      <formula>NOT(ISERROR(SEARCH("Pesquisa de Preços",D6584)))</formula>
    </cfRule>
  </conditionalFormatting>
  <conditionalFormatting sqref="D6581">
    <cfRule type="containsText" dxfId="597" priority="1615" operator="containsText" text="Pesquisa de Preços">
      <formula>NOT(ISERROR(SEARCH("Pesquisa de Preços",D6581)))</formula>
    </cfRule>
  </conditionalFormatting>
  <conditionalFormatting sqref="E6582 E6584">
    <cfRule type="containsText" dxfId="596" priority="1613" operator="containsText" text="Pesquisa de Preços">
      <formula>NOT(ISERROR(SEARCH("Pesquisa de Preços",E6582)))</formula>
    </cfRule>
  </conditionalFormatting>
  <conditionalFormatting sqref="D6646">
    <cfRule type="containsText" dxfId="595" priority="1605" operator="containsText" text="Pesquisa de Preços">
      <formula>NOT(ISERROR(SEARCH("Pesquisa de Preços",D6646)))</formula>
    </cfRule>
  </conditionalFormatting>
  <conditionalFormatting sqref="E6645">
    <cfRule type="containsText" dxfId="594" priority="1603" operator="containsText" text="Pesquisa de Preços">
      <formula>NOT(ISERROR(SEARCH("Pesquisa de Preços",E6645)))</formula>
    </cfRule>
  </conditionalFormatting>
  <conditionalFormatting sqref="D6648">
    <cfRule type="containsText" dxfId="593" priority="1607" operator="containsText" text="Pesquisa de Preços">
      <formula>NOT(ISERROR(SEARCH("Pesquisa de Preços",D6648)))</formula>
    </cfRule>
  </conditionalFormatting>
  <conditionalFormatting sqref="D6645">
    <cfRule type="containsText" dxfId="592" priority="1606" operator="containsText" text="Pesquisa de Preços">
      <formula>NOT(ISERROR(SEARCH("Pesquisa de Preços",D6645)))</formula>
    </cfRule>
  </conditionalFormatting>
  <conditionalFormatting sqref="E6646 E6648">
    <cfRule type="containsText" dxfId="591" priority="1604" operator="containsText" text="Pesquisa de Preços">
      <formula>NOT(ISERROR(SEARCH("Pesquisa de Preços",E6646)))</formula>
    </cfRule>
  </conditionalFormatting>
  <conditionalFormatting sqref="D6650">
    <cfRule type="containsText" dxfId="590" priority="1600" operator="containsText" text="Pesquisa de Preços">
      <formula>NOT(ISERROR(SEARCH("Pesquisa de Preços",D6650)))</formula>
    </cfRule>
  </conditionalFormatting>
  <conditionalFormatting sqref="E6649">
    <cfRule type="containsText" dxfId="589" priority="1598" operator="containsText" text="Pesquisa de Preços">
      <formula>NOT(ISERROR(SEARCH("Pesquisa de Preços",E6649)))</formula>
    </cfRule>
  </conditionalFormatting>
  <conditionalFormatting sqref="D6652">
    <cfRule type="containsText" dxfId="588" priority="1602" operator="containsText" text="Pesquisa de Preços">
      <formula>NOT(ISERROR(SEARCH("Pesquisa de Preços",D6652)))</formula>
    </cfRule>
  </conditionalFormatting>
  <conditionalFormatting sqref="D6649">
    <cfRule type="containsText" dxfId="587" priority="1601" operator="containsText" text="Pesquisa de Preços">
      <formula>NOT(ISERROR(SEARCH("Pesquisa de Preços",D6649)))</formula>
    </cfRule>
  </conditionalFormatting>
  <conditionalFormatting sqref="E6650 E6652">
    <cfRule type="containsText" dxfId="586" priority="1599" operator="containsText" text="Pesquisa de Preços">
      <formula>NOT(ISERROR(SEARCH("Pesquisa de Preços",E6650)))</formula>
    </cfRule>
  </conditionalFormatting>
  <conditionalFormatting sqref="D6654">
    <cfRule type="containsText" dxfId="585" priority="1595" operator="containsText" text="Pesquisa de Preços">
      <formula>NOT(ISERROR(SEARCH("Pesquisa de Preços",D6654)))</formula>
    </cfRule>
  </conditionalFormatting>
  <conditionalFormatting sqref="E6653">
    <cfRule type="containsText" dxfId="584" priority="1593" operator="containsText" text="Pesquisa de Preços">
      <formula>NOT(ISERROR(SEARCH("Pesquisa de Preços",E6653)))</formula>
    </cfRule>
  </conditionalFormatting>
  <conditionalFormatting sqref="D6656">
    <cfRule type="containsText" dxfId="583" priority="1597" operator="containsText" text="Pesquisa de Preços">
      <formula>NOT(ISERROR(SEARCH("Pesquisa de Preços",D6656)))</formula>
    </cfRule>
  </conditionalFormatting>
  <conditionalFormatting sqref="D6653">
    <cfRule type="containsText" dxfId="582" priority="1596" operator="containsText" text="Pesquisa de Preços">
      <formula>NOT(ISERROR(SEARCH("Pesquisa de Preços",D6653)))</formula>
    </cfRule>
  </conditionalFormatting>
  <conditionalFormatting sqref="E6654 E6656">
    <cfRule type="containsText" dxfId="581" priority="1594" operator="containsText" text="Pesquisa de Preços">
      <formula>NOT(ISERROR(SEARCH("Pesquisa de Preços",E6654)))</formula>
    </cfRule>
  </conditionalFormatting>
  <conditionalFormatting sqref="D6626">
    <cfRule type="containsText" dxfId="580" priority="1586" operator="containsText" text="Pesquisa de Preços">
      <formula>NOT(ISERROR(SEARCH("Pesquisa de Preços",D6626)))</formula>
    </cfRule>
  </conditionalFormatting>
  <conditionalFormatting sqref="E6625">
    <cfRule type="containsText" dxfId="579" priority="1584" operator="containsText" text="Pesquisa de Preços">
      <formula>NOT(ISERROR(SEARCH("Pesquisa de Preços",E6625)))</formula>
    </cfRule>
  </conditionalFormatting>
  <conditionalFormatting sqref="D6628">
    <cfRule type="containsText" dxfId="578" priority="1588" operator="containsText" text="Pesquisa de Preços">
      <formula>NOT(ISERROR(SEARCH("Pesquisa de Preços",D6628)))</formula>
    </cfRule>
  </conditionalFormatting>
  <conditionalFormatting sqref="D6625">
    <cfRule type="containsText" dxfId="577" priority="1587" operator="containsText" text="Pesquisa de Preços">
      <formula>NOT(ISERROR(SEARCH("Pesquisa de Preços",D6625)))</formula>
    </cfRule>
  </conditionalFormatting>
  <conditionalFormatting sqref="E6626 E6628">
    <cfRule type="containsText" dxfId="576" priority="1585" operator="containsText" text="Pesquisa de Preços">
      <formula>NOT(ISERROR(SEARCH("Pesquisa de Preços",E6626)))</formula>
    </cfRule>
  </conditionalFormatting>
  <conditionalFormatting sqref="D6622">
    <cfRule type="containsText" dxfId="575" priority="1577" operator="containsText" text="Pesquisa de Preços">
      <formula>NOT(ISERROR(SEARCH("Pesquisa de Preços",D6622)))</formula>
    </cfRule>
  </conditionalFormatting>
  <conditionalFormatting sqref="E6621">
    <cfRule type="containsText" dxfId="574" priority="1575" operator="containsText" text="Pesquisa de Preços">
      <formula>NOT(ISERROR(SEARCH("Pesquisa de Preços",E6621)))</formula>
    </cfRule>
  </conditionalFormatting>
  <conditionalFormatting sqref="D6624">
    <cfRule type="containsText" dxfId="573" priority="1579" operator="containsText" text="Pesquisa de Preços">
      <formula>NOT(ISERROR(SEARCH("Pesquisa de Preços",D6624)))</formula>
    </cfRule>
  </conditionalFormatting>
  <conditionalFormatting sqref="D6621">
    <cfRule type="containsText" dxfId="572" priority="1578" operator="containsText" text="Pesquisa de Preços">
      <formula>NOT(ISERROR(SEARCH("Pesquisa de Preços",D6621)))</formula>
    </cfRule>
  </conditionalFormatting>
  <conditionalFormatting sqref="E6622 E6624">
    <cfRule type="containsText" dxfId="571" priority="1576" operator="containsText" text="Pesquisa de Preços">
      <formula>NOT(ISERROR(SEARCH("Pesquisa de Preços",E6622)))</formula>
    </cfRule>
  </conditionalFormatting>
  <conditionalFormatting sqref="D6678 D6682 D6686 D6690 D6694 D6698 D6702 D6706 D6710 D6714 D6722 D6726 D6730 D6734 D6738 D6742 D6746 D6750 D6754 D6758 D6762 D6766 D6770 D6774 D6778 D6782 D6786 D6790 D6794 D6798 D6802 D6806 D6810 D6814 D6818 D6822 D6826 D6830 D6834 D6838 D6854 D6858">
    <cfRule type="containsText" dxfId="570" priority="1570" operator="containsText" text="Pesquisa de Preços">
      <formula>NOT(ISERROR(SEARCH("Pesquisa de Preços",D6678)))</formula>
    </cfRule>
  </conditionalFormatting>
  <conditionalFormatting sqref="E6677 E6681 E6685 E6689 E6693 E6697 E6701 E6705 E6709 E6713 E6721 E6725 E6729 E6733 E6737 E6741 E6745 E6749 E6753 E6757 E6761 E6765 E6769 E6773 E6777 E6781 E6785 E6789 E6793 E6797 E6801 E6805 E6809 E6813 E6817 E6821 E6825 E6829 E6833 E6837 E6853 E6857">
    <cfRule type="containsText" dxfId="569" priority="1568" operator="containsText" text="Pesquisa de Preços">
      <formula>NOT(ISERROR(SEARCH("Pesquisa de Preços",E6677)))</formula>
    </cfRule>
  </conditionalFormatting>
  <conditionalFormatting sqref="D6680 D6684 D6688 D6692 D6696 D6700 D6704 D6708 D6712 D6716 D6724 D6728 D6732 D6736 D6740 D6744 D6748 D6752 D6756 D6760 D6764 D6768 D6772 D6776 D6780 D6784 D6788 D6792 D6796 D6800 D6804 D6808 D6812 D6816 D6820 D6824 D6828 D6832 D6836 D6840 D6856 D6860">
    <cfRule type="containsText" dxfId="568" priority="1572" operator="containsText" text="Pesquisa de Preços">
      <formula>NOT(ISERROR(SEARCH("Pesquisa de Preços",D6680)))</formula>
    </cfRule>
  </conditionalFormatting>
  <conditionalFormatting sqref="D6677 D6681 D6685 D6689 D6693 D6697 D6701 D6705 D6709 D6713 D6721 D6725 D6729 D6733 D6737 D6741 D6745 D6749 D6753 D6757 D6761 D6765 D6769 D6773 D6777 D6781 D6785 D6789 D6793 D6797 D6801 D6805 D6809 D6813 D6817 D6821 D6825 D6829 D6833 D6837 D6853 D6857">
    <cfRule type="containsText" dxfId="567" priority="1571" operator="containsText" text="Pesquisa de Preços">
      <formula>NOT(ISERROR(SEARCH("Pesquisa de Preços",D6677)))</formula>
    </cfRule>
  </conditionalFormatting>
  <conditionalFormatting sqref="E6678 E6682 E6686 E6690 E6694 E6698 E6702 E6706 E6710 E6714 E6722 E6726 E6730 E6734 E6738 E6742 E6746 E6750 E6754 E6758 E6762 E6766 E6770 E6774 E6778 E6782 E6786 E6790 E6794 E6798 E6802 E6806 E6810 E6814 E6818 E6822 E6826 E6830 E6834 E6838 E6854 E6858 E6680 E6684 E6688 E6692 E6696 E6700 E6704 E6708 E6712 E6716 E6724 E6728 E6732 E6736 E6740 E6744 E6748 E6752 E6756 E6760 E6764 E6768 E6772 E6776 E6780 E6784 E6788 E6792 E6796 E6800 E6804 E6808 E6812 E6816 E6820 E6824 E6828 E6832 E6836 E6840 E6856 E6860">
    <cfRule type="containsText" dxfId="566" priority="1569" operator="containsText" text="Pesquisa de Preços">
      <formula>NOT(ISERROR(SEARCH("Pesquisa de Preços",E6678)))</formula>
    </cfRule>
  </conditionalFormatting>
  <conditionalFormatting sqref="D6898">
    <cfRule type="containsText" dxfId="565" priority="1563" operator="containsText" text="Pesquisa de Preços">
      <formula>NOT(ISERROR(SEARCH("Pesquisa de Preços",D6898)))</formula>
    </cfRule>
  </conditionalFormatting>
  <conditionalFormatting sqref="E6897">
    <cfRule type="containsText" dxfId="564" priority="1561" operator="containsText" text="Pesquisa de Preços">
      <formula>NOT(ISERROR(SEARCH("Pesquisa de Preços",E6897)))</formula>
    </cfRule>
  </conditionalFormatting>
  <conditionalFormatting sqref="D6900">
    <cfRule type="containsText" dxfId="563" priority="1565" operator="containsText" text="Pesquisa de Preços">
      <formula>NOT(ISERROR(SEARCH("Pesquisa de Preços",D6900)))</formula>
    </cfRule>
  </conditionalFormatting>
  <conditionalFormatting sqref="D6897">
    <cfRule type="containsText" dxfId="562" priority="1564" operator="containsText" text="Pesquisa de Preços">
      <formula>NOT(ISERROR(SEARCH("Pesquisa de Preços",D6897)))</formula>
    </cfRule>
  </conditionalFormatting>
  <conditionalFormatting sqref="E6898 E6900">
    <cfRule type="containsText" dxfId="561" priority="1562" operator="containsText" text="Pesquisa de Preços">
      <formula>NOT(ISERROR(SEARCH("Pesquisa de Preços",E6898)))</formula>
    </cfRule>
  </conditionalFormatting>
  <conditionalFormatting sqref="D6902">
    <cfRule type="containsText" dxfId="560" priority="1556" operator="containsText" text="Pesquisa de Preços">
      <formula>NOT(ISERROR(SEARCH("Pesquisa de Preços",D6902)))</formula>
    </cfRule>
  </conditionalFormatting>
  <conditionalFormatting sqref="E6901">
    <cfRule type="containsText" dxfId="559" priority="1554" operator="containsText" text="Pesquisa de Preços">
      <formula>NOT(ISERROR(SEARCH("Pesquisa de Preços",E6901)))</formula>
    </cfRule>
  </conditionalFormatting>
  <conditionalFormatting sqref="D6904">
    <cfRule type="containsText" dxfId="558" priority="1558" operator="containsText" text="Pesquisa de Preços">
      <formula>NOT(ISERROR(SEARCH("Pesquisa de Preços",D6904)))</formula>
    </cfRule>
  </conditionalFormatting>
  <conditionalFormatting sqref="D6901">
    <cfRule type="containsText" dxfId="557" priority="1557" operator="containsText" text="Pesquisa de Preços">
      <formula>NOT(ISERROR(SEARCH("Pesquisa de Preços",D6901)))</formula>
    </cfRule>
  </conditionalFormatting>
  <conditionalFormatting sqref="E6902 E6904">
    <cfRule type="containsText" dxfId="556" priority="1555" operator="containsText" text="Pesquisa de Preços">
      <formula>NOT(ISERROR(SEARCH("Pesquisa de Preços",E6902)))</formula>
    </cfRule>
  </conditionalFormatting>
  <conditionalFormatting sqref="D6918">
    <cfRule type="containsText" dxfId="555" priority="1549" operator="containsText" text="Pesquisa de Preços">
      <formula>NOT(ISERROR(SEARCH("Pesquisa de Preços",D6918)))</formula>
    </cfRule>
  </conditionalFormatting>
  <conditionalFormatting sqref="E6917">
    <cfRule type="containsText" dxfId="554" priority="1547" operator="containsText" text="Pesquisa de Preços">
      <formula>NOT(ISERROR(SEARCH("Pesquisa de Preços",E6917)))</formula>
    </cfRule>
  </conditionalFormatting>
  <conditionalFormatting sqref="D6920">
    <cfRule type="containsText" dxfId="553" priority="1551" operator="containsText" text="Pesquisa de Preços">
      <formula>NOT(ISERROR(SEARCH("Pesquisa de Preços",D6920)))</formula>
    </cfRule>
  </conditionalFormatting>
  <conditionalFormatting sqref="D6917">
    <cfRule type="containsText" dxfId="552" priority="1550" operator="containsText" text="Pesquisa de Preços">
      <formula>NOT(ISERROR(SEARCH("Pesquisa de Preços",D6917)))</formula>
    </cfRule>
  </conditionalFormatting>
  <conditionalFormatting sqref="E6918 E6920">
    <cfRule type="containsText" dxfId="551" priority="1548" operator="containsText" text="Pesquisa de Preços">
      <formula>NOT(ISERROR(SEARCH("Pesquisa de Preços",E6918)))</formula>
    </cfRule>
  </conditionalFormatting>
  <conditionalFormatting sqref="D6914">
    <cfRule type="containsText" dxfId="550" priority="1542" operator="containsText" text="Pesquisa de Preços">
      <formula>NOT(ISERROR(SEARCH("Pesquisa de Preços",D6914)))</formula>
    </cfRule>
  </conditionalFormatting>
  <conditionalFormatting sqref="E6913">
    <cfRule type="containsText" dxfId="549" priority="1540" operator="containsText" text="Pesquisa de Preços">
      <formula>NOT(ISERROR(SEARCH("Pesquisa de Preços",E6913)))</formula>
    </cfRule>
  </conditionalFormatting>
  <conditionalFormatting sqref="D6916">
    <cfRule type="containsText" dxfId="548" priority="1544" operator="containsText" text="Pesquisa de Preços">
      <formula>NOT(ISERROR(SEARCH("Pesquisa de Preços",D6916)))</formula>
    </cfRule>
  </conditionalFormatting>
  <conditionalFormatting sqref="D6913">
    <cfRule type="containsText" dxfId="547" priority="1543" operator="containsText" text="Pesquisa de Preços">
      <formula>NOT(ISERROR(SEARCH("Pesquisa de Preços",D6913)))</formula>
    </cfRule>
  </conditionalFormatting>
  <conditionalFormatting sqref="E6914 E6916">
    <cfRule type="containsText" dxfId="546" priority="1541" operator="containsText" text="Pesquisa de Preços">
      <formula>NOT(ISERROR(SEARCH("Pesquisa de Preços",E6914)))</formula>
    </cfRule>
  </conditionalFormatting>
  <conditionalFormatting sqref="E6953 E6957 E6965 E6969 E6973 E6977 E6981 E6985 E6989 E6993 E6997 E7001 E7009 E7013 E7017 E7021 E7025 E7029 E7045">
    <cfRule type="containsText" dxfId="545" priority="1533" operator="containsText" text="Pesquisa de Preços">
      <formula>NOT(ISERROR(SEARCH("Pesquisa de Preços",E6953)))</formula>
    </cfRule>
  </conditionalFormatting>
  <conditionalFormatting sqref="D6954 D6958 D6966 D6970 D6974 D6978 D6982 D6986 D6990 D6994 D6998 D7002 D7010 D7014 D7018 D7022 D7026 D7030 D7046">
    <cfRule type="containsText" dxfId="544" priority="1535" operator="containsText" text="Pesquisa de Preços">
      <formula>NOT(ISERROR(SEARCH("Pesquisa de Preços",D6954)))</formula>
    </cfRule>
  </conditionalFormatting>
  <conditionalFormatting sqref="D6956 D6960 D6968 D6972 D6976 D6980 D6984 D6988 D6992 D6996 D7000 D7004 D7012 D7016 D7020 D7024 D7028 D7032 D7048">
    <cfRule type="containsText" dxfId="543" priority="1537" operator="containsText" text="Pesquisa de Preços">
      <formula>NOT(ISERROR(SEARCH("Pesquisa de Preços",D6956)))</formula>
    </cfRule>
  </conditionalFormatting>
  <conditionalFormatting sqref="D6953 D6957 D6965 D6969 D6973 D6977 D6981 D6985 D6989 D6993 D6997 D7001 D7009 D7013 D7017 D7021 D7025 D7029 D7045">
    <cfRule type="containsText" dxfId="542" priority="1536" operator="containsText" text="Pesquisa de Preços">
      <formula>NOT(ISERROR(SEARCH("Pesquisa de Preços",D6953)))</formula>
    </cfRule>
  </conditionalFormatting>
  <conditionalFormatting sqref="E6954 E6958 E6966 E6970 E6974 E6978 E6982 E6986 E6990 E6994 E6998 E7002 E7010 E7014 E7018 E7022 E7026 E7030 E7046 E6956 E6960 E6968 E6972 E6976 E6980 E6984 E6988 E6992 E6996 E7000 E7004 E7012 E7016 E7020 E7024 E7028 E7032 E7048">
    <cfRule type="containsText" dxfId="541" priority="1534" operator="containsText" text="Pesquisa de Preços">
      <formula>NOT(ISERROR(SEARCH("Pesquisa de Preços",E6954)))</formula>
    </cfRule>
  </conditionalFormatting>
  <conditionalFormatting sqref="D7050 D7054 D7058 D7062 D7066 D7070 D7074 D7078 D7082 D7086 D7090 D7094 D7098 D7102 D7106 D7110 D7114 D7118 D7122 D7126 D7130 D7134 D7138 D7210">
    <cfRule type="containsText" dxfId="540" priority="1528" operator="containsText" text="Pesquisa de Preços">
      <formula>NOT(ISERROR(SEARCH("Pesquisa de Preços",D7050)))</formula>
    </cfRule>
  </conditionalFormatting>
  <conditionalFormatting sqref="E7049 E7053 E7057 E7061 E7065 E7069 E7073 E7077 E7081 E7085 E7089 E7093 E7097 E7101 E7105 E7109 E7113 E7117 E7121 E7125 E7129 E7133 E7137 E7209">
    <cfRule type="containsText" dxfId="539" priority="1526" operator="containsText" text="Pesquisa de Preços">
      <formula>NOT(ISERROR(SEARCH("Pesquisa de Preços",E7049)))</formula>
    </cfRule>
  </conditionalFormatting>
  <conditionalFormatting sqref="D7052 D7056 D7060 D7064 D7068 D7072 D7076 D7080 D7084 D7088 D7092 D7096 D7100 D7104 D7108 D7112 D7116 D7120 D7124 D7128 D7132 D7136 D7140 D7212">
    <cfRule type="containsText" dxfId="538" priority="1530" operator="containsText" text="Pesquisa de Preços">
      <formula>NOT(ISERROR(SEARCH("Pesquisa de Preços",D7052)))</formula>
    </cfRule>
  </conditionalFormatting>
  <conditionalFormatting sqref="D7049 D7053 D7057 D7061 D7065 D7069 D7073 D7077 D7081 D7085 D7089 D7093 D7097 D7101 D7105 D7109 D7113 D7117 D7121 D7125 D7129 D7133 D7137 D7209">
    <cfRule type="containsText" dxfId="537" priority="1529" operator="containsText" text="Pesquisa de Preços">
      <formula>NOT(ISERROR(SEARCH("Pesquisa de Preços",D7049)))</formula>
    </cfRule>
  </conditionalFormatting>
  <conditionalFormatting sqref="E7050 E7054 E7058 E7062 E7066 E7070 E7074 E7078 E7082 E7086 E7090 E7094 E7098 E7102 E7106 E7110 E7114 E7118 E7122 E7126 E7130 E7134 E7138 E7210 E7052 E7056 E7060 E7064 E7068 E7072 E7076 E7080 E7084 E7088 E7092 E7096 E7100 E7104 E7108 E7112 E7116 E7120 E7124 E7128 E7132 E7136 E7140 E7212">
    <cfRule type="containsText" dxfId="536" priority="1527" operator="containsText" text="Pesquisa de Preços">
      <formula>NOT(ISERROR(SEARCH("Pesquisa de Preços",E7050)))</formula>
    </cfRule>
  </conditionalFormatting>
  <conditionalFormatting sqref="D7034">
    <cfRule type="containsText" dxfId="535" priority="1521" operator="containsText" text="Pesquisa de Preços">
      <formula>NOT(ISERROR(SEARCH("Pesquisa de Preços",D7034)))</formula>
    </cfRule>
  </conditionalFormatting>
  <conditionalFormatting sqref="E7033">
    <cfRule type="containsText" dxfId="534" priority="1519" operator="containsText" text="Pesquisa de Preços">
      <formula>NOT(ISERROR(SEARCH("Pesquisa de Preços",E7033)))</formula>
    </cfRule>
  </conditionalFormatting>
  <conditionalFormatting sqref="D7036">
    <cfRule type="containsText" dxfId="533" priority="1523" operator="containsText" text="Pesquisa de Preços">
      <formula>NOT(ISERROR(SEARCH("Pesquisa de Preços",D7036)))</formula>
    </cfRule>
  </conditionalFormatting>
  <conditionalFormatting sqref="D7033">
    <cfRule type="containsText" dxfId="532" priority="1522" operator="containsText" text="Pesquisa de Preços">
      <formula>NOT(ISERROR(SEARCH("Pesquisa de Preços",D7033)))</formula>
    </cfRule>
  </conditionalFormatting>
  <conditionalFormatting sqref="E7034 E7036">
    <cfRule type="containsText" dxfId="531" priority="1520" operator="containsText" text="Pesquisa de Preços">
      <formula>NOT(ISERROR(SEARCH("Pesquisa de Preços",E7034)))</formula>
    </cfRule>
  </conditionalFormatting>
  <conditionalFormatting sqref="D7038">
    <cfRule type="containsText" dxfId="530" priority="1514" operator="containsText" text="Pesquisa de Preços">
      <formula>NOT(ISERROR(SEARCH("Pesquisa de Preços",D7038)))</formula>
    </cfRule>
  </conditionalFormatting>
  <conditionalFormatting sqref="E7037">
    <cfRule type="containsText" dxfId="529" priority="1512" operator="containsText" text="Pesquisa de Preços">
      <formula>NOT(ISERROR(SEARCH("Pesquisa de Preços",E7037)))</formula>
    </cfRule>
  </conditionalFormatting>
  <conditionalFormatting sqref="D7040">
    <cfRule type="containsText" dxfId="528" priority="1516" operator="containsText" text="Pesquisa de Preços">
      <formula>NOT(ISERROR(SEARCH("Pesquisa de Preços",D7040)))</formula>
    </cfRule>
  </conditionalFormatting>
  <conditionalFormatting sqref="D7037">
    <cfRule type="containsText" dxfId="527" priority="1515" operator="containsText" text="Pesquisa de Preços">
      <formula>NOT(ISERROR(SEARCH("Pesquisa de Preços",D7037)))</formula>
    </cfRule>
  </conditionalFormatting>
  <conditionalFormatting sqref="E7038 E7040">
    <cfRule type="containsText" dxfId="526" priority="1513" operator="containsText" text="Pesquisa de Preços">
      <formula>NOT(ISERROR(SEARCH("Pesquisa de Preços",E7038)))</formula>
    </cfRule>
  </conditionalFormatting>
  <conditionalFormatting sqref="D7042">
    <cfRule type="containsText" dxfId="525" priority="1507" operator="containsText" text="Pesquisa de Preços">
      <formula>NOT(ISERROR(SEARCH("Pesquisa de Preços",D7042)))</formula>
    </cfRule>
  </conditionalFormatting>
  <conditionalFormatting sqref="E7041">
    <cfRule type="containsText" dxfId="524" priority="1505" operator="containsText" text="Pesquisa de Preços">
      <formula>NOT(ISERROR(SEARCH("Pesquisa de Preços",E7041)))</formula>
    </cfRule>
  </conditionalFormatting>
  <conditionalFormatting sqref="D7044">
    <cfRule type="containsText" dxfId="523" priority="1509" operator="containsText" text="Pesquisa de Preços">
      <formula>NOT(ISERROR(SEARCH("Pesquisa de Preços",D7044)))</formula>
    </cfRule>
  </conditionalFormatting>
  <conditionalFormatting sqref="D7041">
    <cfRule type="containsText" dxfId="522" priority="1508" operator="containsText" text="Pesquisa de Preços">
      <formula>NOT(ISERROR(SEARCH("Pesquisa de Preços",D7041)))</formula>
    </cfRule>
  </conditionalFormatting>
  <conditionalFormatting sqref="E7042 E7044">
    <cfRule type="containsText" dxfId="521" priority="1506" operator="containsText" text="Pesquisa de Preços">
      <formula>NOT(ISERROR(SEARCH("Pesquisa de Preços",E7042)))</formula>
    </cfRule>
  </conditionalFormatting>
  <conditionalFormatting sqref="D6842">
    <cfRule type="containsText" dxfId="520" priority="1500" operator="containsText" text="Pesquisa de Preços">
      <formula>NOT(ISERROR(SEARCH("Pesquisa de Preços",D6842)))</formula>
    </cfRule>
  </conditionalFormatting>
  <conditionalFormatting sqref="E6841">
    <cfRule type="containsText" dxfId="519" priority="1498" operator="containsText" text="Pesquisa de Preços">
      <formula>NOT(ISERROR(SEARCH("Pesquisa de Preços",E6841)))</formula>
    </cfRule>
  </conditionalFormatting>
  <conditionalFormatting sqref="D6844">
    <cfRule type="containsText" dxfId="518" priority="1502" operator="containsText" text="Pesquisa de Preços">
      <formula>NOT(ISERROR(SEARCH("Pesquisa de Preços",D6844)))</formula>
    </cfRule>
  </conditionalFormatting>
  <conditionalFormatting sqref="D6841">
    <cfRule type="containsText" dxfId="517" priority="1501" operator="containsText" text="Pesquisa de Preços">
      <formula>NOT(ISERROR(SEARCH("Pesquisa de Preços",D6841)))</formula>
    </cfRule>
  </conditionalFormatting>
  <conditionalFormatting sqref="E6842 E6844">
    <cfRule type="containsText" dxfId="516" priority="1499" operator="containsText" text="Pesquisa de Preços">
      <formula>NOT(ISERROR(SEARCH("Pesquisa de Preços",E6842)))</formula>
    </cfRule>
  </conditionalFormatting>
  <conditionalFormatting sqref="D6718">
    <cfRule type="containsText" dxfId="515" priority="1493" operator="containsText" text="Pesquisa de Preços">
      <formula>NOT(ISERROR(SEARCH("Pesquisa de Preços",D6718)))</formula>
    </cfRule>
  </conditionalFormatting>
  <conditionalFormatting sqref="E6717">
    <cfRule type="containsText" dxfId="514" priority="1491" operator="containsText" text="Pesquisa de Preços">
      <formula>NOT(ISERROR(SEARCH("Pesquisa de Preços",E6717)))</formula>
    </cfRule>
  </conditionalFormatting>
  <conditionalFormatting sqref="D6720">
    <cfRule type="containsText" dxfId="513" priority="1495" operator="containsText" text="Pesquisa de Preços">
      <formula>NOT(ISERROR(SEARCH("Pesquisa de Preços",D6720)))</formula>
    </cfRule>
  </conditionalFormatting>
  <conditionalFormatting sqref="D6717">
    <cfRule type="containsText" dxfId="512" priority="1494" operator="containsText" text="Pesquisa de Preços">
      <formula>NOT(ISERROR(SEARCH("Pesquisa de Preços",D6717)))</formula>
    </cfRule>
  </conditionalFormatting>
  <conditionalFormatting sqref="E6718 E6720">
    <cfRule type="containsText" dxfId="511" priority="1492" operator="containsText" text="Pesquisa de Preços">
      <formula>NOT(ISERROR(SEARCH("Pesquisa de Preços",E6718)))</formula>
    </cfRule>
  </conditionalFormatting>
  <conditionalFormatting sqref="D6554">
    <cfRule type="containsText" dxfId="510" priority="1484" operator="containsText" text="Pesquisa de Preços">
      <formula>NOT(ISERROR(SEARCH("Pesquisa de Preços",D6554)))</formula>
    </cfRule>
  </conditionalFormatting>
  <conditionalFormatting sqref="E6553">
    <cfRule type="containsText" dxfId="509" priority="1482" operator="containsText" text="Pesquisa de Preços">
      <formula>NOT(ISERROR(SEARCH("Pesquisa de Preços",E6553)))</formula>
    </cfRule>
  </conditionalFormatting>
  <conditionalFormatting sqref="D6556">
    <cfRule type="containsText" dxfId="508" priority="1486" operator="containsText" text="Pesquisa de Preços">
      <formula>NOT(ISERROR(SEARCH("Pesquisa de Preços",D6556)))</formula>
    </cfRule>
  </conditionalFormatting>
  <conditionalFormatting sqref="D6553">
    <cfRule type="containsText" dxfId="507" priority="1485" operator="containsText" text="Pesquisa de Preços">
      <formula>NOT(ISERROR(SEARCH("Pesquisa de Preços",D6553)))</formula>
    </cfRule>
  </conditionalFormatting>
  <conditionalFormatting sqref="E6554 E6556">
    <cfRule type="containsText" dxfId="506" priority="1483" operator="containsText" text="Pesquisa de Preços">
      <formula>NOT(ISERROR(SEARCH("Pesquisa de Preços",E6554)))</formula>
    </cfRule>
  </conditionalFormatting>
  <conditionalFormatting sqref="D6886">
    <cfRule type="containsText" dxfId="505" priority="1477" operator="containsText" text="Pesquisa de Preços">
      <formula>NOT(ISERROR(SEARCH("Pesquisa de Preços",D6886)))</formula>
    </cfRule>
  </conditionalFormatting>
  <conditionalFormatting sqref="E6885">
    <cfRule type="containsText" dxfId="504" priority="1475" operator="containsText" text="Pesquisa de Preços">
      <formula>NOT(ISERROR(SEARCH("Pesquisa de Preços",E6885)))</formula>
    </cfRule>
  </conditionalFormatting>
  <conditionalFormatting sqref="D6888">
    <cfRule type="containsText" dxfId="503" priority="1479" operator="containsText" text="Pesquisa de Preços">
      <formula>NOT(ISERROR(SEARCH("Pesquisa de Preços",D6888)))</formula>
    </cfRule>
  </conditionalFormatting>
  <conditionalFormatting sqref="D6885">
    <cfRule type="containsText" dxfId="502" priority="1478" operator="containsText" text="Pesquisa de Preços">
      <formula>NOT(ISERROR(SEARCH("Pesquisa de Preços",D6885)))</formula>
    </cfRule>
  </conditionalFormatting>
  <conditionalFormatting sqref="E6886 E6888">
    <cfRule type="containsText" dxfId="501" priority="1476" operator="containsText" text="Pesquisa de Preços">
      <formula>NOT(ISERROR(SEARCH("Pesquisa de Preços",E6886)))</formula>
    </cfRule>
  </conditionalFormatting>
  <conditionalFormatting sqref="E6889">
    <cfRule type="containsText" dxfId="500" priority="1469" operator="containsText" text="Pesquisa de Preços">
      <formula>NOT(ISERROR(SEARCH("Pesquisa de Preços",E6889)))</formula>
    </cfRule>
  </conditionalFormatting>
  <conditionalFormatting sqref="D6890">
    <cfRule type="containsText" dxfId="499" priority="1471" operator="containsText" text="Pesquisa de Preços">
      <formula>NOT(ISERROR(SEARCH("Pesquisa de Preços",D6890)))</formula>
    </cfRule>
  </conditionalFormatting>
  <conditionalFormatting sqref="D6889">
    <cfRule type="containsText" dxfId="498" priority="1472" operator="containsText" text="Pesquisa de Preços">
      <formula>NOT(ISERROR(SEARCH("Pesquisa de Preços",D6889)))</formula>
    </cfRule>
  </conditionalFormatting>
  <conditionalFormatting sqref="E6890">
    <cfRule type="containsText" dxfId="497" priority="1470" operator="containsText" text="Pesquisa de Preços">
      <formula>NOT(ISERROR(SEARCH("Pesquisa de Preços",E6890)))</formula>
    </cfRule>
  </conditionalFormatting>
  <conditionalFormatting sqref="D7006">
    <cfRule type="containsText" dxfId="496" priority="1466" operator="containsText" text="Pesquisa de Preços">
      <formula>NOT(ISERROR(SEARCH("Pesquisa de Preços",D7006)))</formula>
    </cfRule>
  </conditionalFormatting>
  <conditionalFormatting sqref="E7005">
    <cfRule type="containsText" dxfId="495" priority="1464" operator="containsText" text="Pesquisa de Preços">
      <formula>NOT(ISERROR(SEARCH("Pesquisa de Preços",E7005)))</formula>
    </cfRule>
  </conditionalFormatting>
  <conditionalFormatting sqref="D7008">
    <cfRule type="containsText" dxfId="494" priority="1468" operator="containsText" text="Pesquisa de Preços">
      <formula>NOT(ISERROR(SEARCH("Pesquisa de Preços",D7008)))</formula>
    </cfRule>
  </conditionalFormatting>
  <conditionalFormatting sqref="D7005">
    <cfRule type="containsText" dxfId="493" priority="1467" operator="containsText" text="Pesquisa de Preços">
      <formula>NOT(ISERROR(SEARCH("Pesquisa de Preços",D7005)))</formula>
    </cfRule>
  </conditionalFormatting>
  <conditionalFormatting sqref="E7006 E7008">
    <cfRule type="containsText" dxfId="492" priority="1465" operator="containsText" text="Pesquisa de Preços">
      <formula>NOT(ISERROR(SEARCH("Pesquisa de Preços",E7006)))</formula>
    </cfRule>
  </conditionalFormatting>
  <conditionalFormatting sqref="D6846 D6850">
    <cfRule type="containsText" dxfId="491" priority="1459" operator="containsText" text="Pesquisa de Preços">
      <formula>NOT(ISERROR(SEARCH("Pesquisa de Preços",D6846)))</formula>
    </cfRule>
  </conditionalFormatting>
  <conditionalFormatting sqref="E6845 E6849">
    <cfRule type="containsText" dxfId="490" priority="1457" operator="containsText" text="Pesquisa de Preços">
      <formula>NOT(ISERROR(SEARCH("Pesquisa de Preços",E6845)))</formula>
    </cfRule>
  </conditionalFormatting>
  <conditionalFormatting sqref="D6848 D6852">
    <cfRule type="containsText" dxfId="489" priority="1461" operator="containsText" text="Pesquisa de Preços">
      <formula>NOT(ISERROR(SEARCH("Pesquisa de Preços",D6848)))</formula>
    </cfRule>
  </conditionalFormatting>
  <conditionalFormatting sqref="D6845 D6849">
    <cfRule type="containsText" dxfId="488" priority="1460" operator="containsText" text="Pesquisa de Preços">
      <formula>NOT(ISERROR(SEARCH("Pesquisa de Preços",D6845)))</formula>
    </cfRule>
  </conditionalFormatting>
  <conditionalFormatting sqref="E6846 E6850 E6848 E6852">
    <cfRule type="containsText" dxfId="487" priority="1458" operator="containsText" text="Pesquisa de Preços">
      <formula>NOT(ISERROR(SEARCH("Pesquisa de Preços",E6846)))</formula>
    </cfRule>
  </conditionalFormatting>
  <conditionalFormatting sqref="D7159">
    <cfRule type="containsText" dxfId="486" priority="1424" operator="containsText" text="Pesquisa de Preços">
      <formula>NOT(ISERROR(SEARCH("Pesquisa de Preços",D7159)))</formula>
    </cfRule>
  </conditionalFormatting>
  <conditionalFormatting sqref="D7153">
    <cfRule type="containsText" dxfId="485" priority="1427" operator="containsText" text="Pesquisa de Preços">
      <formula>NOT(ISERROR(SEARCH("Pesquisa de Preços",D7153)))</formula>
    </cfRule>
  </conditionalFormatting>
  <conditionalFormatting sqref="D7214">
    <cfRule type="containsText" dxfId="484" priority="1452" operator="containsText" text="Pesquisa de Preços">
      <formula>NOT(ISERROR(SEARCH("Pesquisa de Preços",D7214)))</formula>
    </cfRule>
  </conditionalFormatting>
  <conditionalFormatting sqref="E7213">
    <cfRule type="containsText" dxfId="483" priority="1450" operator="containsText" text="Pesquisa de Preços">
      <formula>NOT(ISERROR(SEARCH("Pesquisa de Preços",E7213)))</formula>
    </cfRule>
  </conditionalFormatting>
  <conditionalFormatting sqref="D7216">
    <cfRule type="containsText" dxfId="482" priority="1454" operator="containsText" text="Pesquisa de Preços">
      <formula>NOT(ISERROR(SEARCH("Pesquisa de Preços",D7216)))</formula>
    </cfRule>
  </conditionalFormatting>
  <conditionalFormatting sqref="D7213">
    <cfRule type="containsText" dxfId="481" priority="1453" operator="containsText" text="Pesquisa de Preços">
      <formula>NOT(ISERROR(SEARCH("Pesquisa de Preços",D7213)))</formula>
    </cfRule>
  </conditionalFormatting>
  <conditionalFormatting sqref="E7214 E7216">
    <cfRule type="containsText" dxfId="480" priority="1451" operator="containsText" text="Pesquisa de Preços">
      <formula>NOT(ISERROR(SEARCH("Pesquisa de Preços",E7214)))</formula>
    </cfRule>
  </conditionalFormatting>
  <conditionalFormatting sqref="D7202">
    <cfRule type="containsText" dxfId="479" priority="1445" operator="containsText" text="Pesquisa de Preços">
      <formula>NOT(ISERROR(SEARCH("Pesquisa de Preços",D7202)))</formula>
    </cfRule>
  </conditionalFormatting>
  <conditionalFormatting sqref="E7201">
    <cfRule type="containsText" dxfId="478" priority="1443" operator="containsText" text="Pesquisa de Preços">
      <formula>NOT(ISERROR(SEARCH("Pesquisa de Preços",E7201)))</formula>
    </cfRule>
  </conditionalFormatting>
  <conditionalFormatting sqref="D7204">
    <cfRule type="containsText" dxfId="477" priority="1447" operator="containsText" text="Pesquisa de Preços">
      <formula>NOT(ISERROR(SEARCH("Pesquisa de Preços",D7204)))</formula>
    </cfRule>
  </conditionalFormatting>
  <conditionalFormatting sqref="D7201">
    <cfRule type="containsText" dxfId="476" priority="1446" operator="containsText" text="Pesquisa de Preços">
      <formula>NOT(ISERROR(SEARCH("Pesquisa de Preços",D7201)))</formula>
    </cfRule>
  </conditionalFormatting>
  <conditionalFormatting sqref="E7202 E7204">
    <cfRule type="containsText" dxfId="475" priority="1444" operator="containsText" text="Pesquisa de Preços">
      <formula>NOT(ISERROR(SEARCH("Pesquisa de Preços",E7202)))</formula>
    </cfRule>
  </conditionalFormatting>
  <conditionalFormatting sqref="D7206">
    <cfRule type="containsText" dxfId="474" priority="1438" operator="containsText" text="Pesquisa de Preços">
      <formula>NOT(ISERROR(SEARCH("Pesquisa de Preços",D7206)))</formula>
    </cfRule>
  </conditionalFormatting>
  <conditionalFormatting sqref="E7205">
    <cfRule type="containsText" dxfId="473" priority="1436" operator="containsText" text="Pesquisa de Preços">
      <formula>NOT(ISERROR(SEARCH("Pesquisa de Preços",E7205)))</formula>
    </cfRule>
  </conditionalFormatting>
  <conditionalFormatting sqref="D7208">
    <cfRule type="containsText" dxfId="472" priority="1440" operator="containsText" text="Pesquisa de Preços">
      <formula>NOT(ISERROR(SEARCH("Pesquisa de Preços",D7208)))</formula>
    </cfRule>
  </conditionalFormatting>
  <conditionalFormatting sqref="D7205">
    <cfRule type="containsText" dxfId="471" priority="1439" operator="containsText" text="Pesquisa de Preços">
      <formula>NOT(ISERROR(SEARCH("Pesquisa de Preços",D7205)))</formula>
    </cfRule>
  </conditionalFormatting>
  <conditionalFormatting sqref="E7206 E7208">
    <cfRule type="containsText" dxfId="470" priority="1437" operator="containsText" text="Pesquisa de Preços">
      <formula>NOT(ISERROR(SEARCH("Pesquisa de Preços",E7206)))</formula>
    </cfRule>
  </conditionalFormatting>
  <conditionalFormatting sqref="D7141">
    <cfRule type="containsText" dxfId="469" priority="1433" operator="containsText" text="Pesquisa de Preços">
      <formula>NOT(ISERROR(SEARCH("Pesquisa de Preços",D7141)))</formula>
    </cfRule>
  </conditionalFormatting>
  <conditionalFormatting sqref="D7147">
    <cfRule type="containsText" dxfId="468" priority="1430" operator="containsText" text="Pesquisa de Preços">
      <formula>NOT(ISERROR(SEARCH("Pesquisa de Preços",D7147)))</formula>
    </cfRule>
  </conditionalFormatting>
  <conditionalFormatting sqref="D3768">
    <cfRule type="containsText" dxfId="467" priority="1372" operator="containsText" text="Pesquisa de Preços">
      <formula>NOT(ISERROR(SEARCH("Pesquisa de Preços",D3768)))</formula>
    </cfRule>
  </conditionalFormatting>
  <conditionalFormatting sqref="D3774">
    <cfRule type="containsText" dxfId="466" priority="1371" operator="containsText" text="Pesquisa de Preços">
      <formula>NOT(ISERROR(SEARCH("Pesquisa de Preços",D3774)))</formula>
    </cfRule>
  </conditionalFormatting>
  <conditionalFormatting sqref="D7165">
    <cfRule type="containsText" dxfId="465" priority="1421" operator="containsText" text="Pesquisa de Preços">
      <formula>NOT(ISERROR(SEARCH("Pesquisa de Preços",D7165)))</formula>
    </cfRule>
  </conditionalFormatting>
  <conditionalFormatting sqref="D7171">
    <cfRule type="containsText" dxfId="464" priority="1418" operator="containsText" text="Pesquisa de Preços">
      <formula>NOT(ISERROR(SEARCH("Pesquisa de Preços",D7171)))</formula>
    </cfRule>
  </conditionalFormatting>
  <conditionalFormatting sqref="D7177">
    <cfRule type="containsText" dxfId="463" priority="1417" operator="containsText" text="Pesquisa de Preços">
      <formula>NOT(ISERROR(SEARCH("Pesquisa de Preços",D7177)))</formula>
    </cfRule>
  </conditionalFormatting>
  <conditionalFormatting sqref="D7183">
    <cfRule type="containsText" dxfId="462" priority="1416" operator="containsText" text="Pesquisa de Preços">
      <formula>NOT(ISERROR(SEARCH("Pesquisa de Preços",D7183)))</formula>
    </cfRule>
  </conditionalFormatting>
  <conditionalFormatting sqref="D7189">
    <cfRule type="containsText" dxfId="461" priority="1415" operator="containsText" text="Pesquisa de Preços">
      <formula>NOT(ISERROR(SEARCH("Pesquisa de Preços",D7189)))</formula>
    </cfRule>
  </conditionalFormatting>
  <conditionalFormatting sqref="D7195">
    <cfRule type="containsText" dxfId="460" priority="1414" operator="containsText" text="Pesquisa de Preços">
      <formula>NOT(ISERROR(SEARCH("Pesquisa de Preços",D7195)))</formula>
    </cfRule>
  </conditionalFormatting>
  <conditionalFormatting sqref="D6906">
    <cfRule type="containsText" dxfId="459" priority="1411" operator="containsText" text="Pesquisa de Preços">
      <formula>NOT(ISERROR(SEARCH("Pesquisa de Preços",D6906)))</formula>
    </cfRule>
  </conditionalFormatting>
  <conditionalFormatting sqref="E6905">
    <cfRule type="containsText" dxfId="458" priority="1409" operator="containsText" text="Pesquisa de Preços">
      <formula>NOT(ISERROR(SEARCH("Pesquisa de Preços",E6905)))</formula>
    </cfRule>
  </conditionalFormatting>
  <conditionalFormatting sqref="D6908">
    <cfRule type="containsText" dxfId="457" priority="1413" operator="containsText" text="Pesquisa de Preços">
      <formula>NOT(ISERROR(SEARCH("Pesquisa de Preços",D6908)))</formula>
    </cfRule>
  </conditionalFormatting>
  <conditionalFormatting sqref="D6905">
    <cfRule type="containsText" dxfId="456" priority="1412" operator="containsText" text="Pesquisa de Preços">
      <formula>NOT(ISERROR(SEARCH("Pesquisa de Preços",D6905)))</formula>
    </cfRule>
  </conditionalFormatting>
  <conditionalFormatting sqref="E6906 E6908">
    <cfRule type="containsText" dxfId="455" priority="1410" operator="containsText" text="Pesquisa de Preços">
      <formula>NOT(ISERROR(SEARCH("Pesquisa de Preços",E6906)))</formula>
    </cfRule>
  </conditionalFormatting>
  <conditionalFormatting sqref="D3762">
    <cfRule type="containsText" dxfId="454" priority="1375" operator="containsText" text="Pesquisa de Preços">
      <formula>NOT(ISERROR(SEARCH("Pesquisa de Preços",D3762)))</formula>
    </cfRule>
  </conditionalFormatting>
  <conditionalFormatting sqref="D3780">
    <cfRule type="containsText" dxfId="453" priority="1370" operator="containsText" text="Pesquisa de Preços">
      <formula>NOT(ISERROR(SEARCH("Pesquisa de Preços",D3780)))</formula>
    </cfRule>
  </conditionalFormatting>
  <conditionalFormatting sqref="D3786">
    <cfRule type="containsText" dxfId="452" priority="1369" operator="containsText" text="Pesquisa de Preços">
      <formula>NOT(ISERROR(SEARCH("Pesquisa de Preços",D3786)))</formula>
    </cfRule>
  </conditionalFormatting>
  <conditionalFormatting sqref="D3792">
    <cfRule type="containsText" dxfId="451" priority="1368" operator="containsText" text="Pesquisa de Preços">
      <formula>NOT(ISERROR(SEARCH("Pesquisa de Preços",D3792)))</formula>
    </cfRule>
  </conditionalFormatting>
  <conditionalFormatting sqref="D3798">
    <cfRule type="containsText" dxfId="450" priority="1367" operator="containsText" text="Pesquisa de Preços">
      <formula>NOT(ISERROR(SEARCH("Pesquisa de Preços",D3798)))</formula>
    </cfRule>
  </conditionalFormatting>
  <conditionalFormatting sqref="D3804">
    <cfRule type="containsText" dxfId="449" priority="1366" operator="containsText" text="Pesquisa de Preços">
      <formula>NOT(ISERROR(SEARCH("Pesquisa de Preços",D3804)))</formula>
    </cfRule>
  </conditionalFormatting>
  <conditionalFormatting sqref="D3810">
    <cfRule type="containsText" dxfId="448" priority="1365" operator="containsText" text="Pesquisa de Preços">
      <formula>NOT(ISERROR(SEARCH("Pesquisa de Preços",D3810)))</formula>
    </cfRule>
  </conditionalFormatting>
  <conditionalFormatting sqref="D2708">
    <cfRule type="containsText" dxfId="447" priority="1358" operator="containsText" text="Pesquisa de Preços">
      <formula>NOT(ISERROR(SEARCH("Pesquisa de Preços",D2708)))</formula>
    </cfRule>
  </conditionalFormatting>
  <conditionalFormatting sqref="D2712">
    <cfRule type="containsText" dxfId="446" priority="1353" operator="containsText" text="Pesquisa de Preços">
      <formula>NOT(ISERROR(SEARCH("Pesquisa de Preços",D2712)))</formula>
    </cfRule>
  </conditionalFormatting>
  <conditionalFormatting sqref="D2716">
    <cfRule type="containsText" dxfId="445" priority="1348" operator="containsText" text="Pesquisa de Preços">
      <formula>NOT(ISERROR(SEARCH("Pesquisa de Preços",D2716)))</formula>
    </cfRule>
  </conditionalFormatting>
  <conditionalFormatting sqref="D2736">
    <cfRule type="containsText" dxfId="444" priority="1345" operator="containsText" text="Pesquisa de Preços">
      <formula>NOT(ISERROR(SEARCH("Pesquisa de Preços",D2736)))</formula>
    </cfRule>
  </conditionalFormatting>
  <conditionalFormatting sqref="D2748">
    <cfRule type="containsText" dxfId="443" priority="1336" operator="containsText" text="Pesquisa de Preços">
      <formula>NOT(ISERROR(SEARCH("Pesquisa de Preços",D2748)))</formula>
    </cfRule>
  </conditionalFormatting>
  <conditionalFormatting sqref="D3455">
    <cfRule type="containsText" dxfId="442" priority="1335" operator="containsText" text="Pesquisa de Preços">
      <formula>NOT(ISERROR(SEARCH("Pesquisa de Preços",D3455)))</formula>
    </cfRule>
  </conditionalFormatting>
  <conditionalFormatting sqref="D3526">
    <cfRule type="containsText" dxfId="441" priority="1332" operator="containsText" text="Pesquisa de Preços">
      <formula>NOT(ISERROR(SEARCH("Pesquisa de Preços",D3526)))</formula>
    </cfRule>
  </conditionalFormatting>
  <conditionalFormatting sqref="D4738">
    <cfRule type="containsText" dxfId="440" priority="1329" operator="containsText" text="Pesquisa de Preços">
      <formula>NOT(ISERROR(SEARCH("Pesquisa de Preços",D4738)))</formula>
    </cfRule>
  </conditionalFormatting>
  <conditionalFormatting sqref="D6039">
    <cfRule type="containsText" dxfId="439" priority="1321" operator="containsText" text="Pesquisa de Preços">
      <formula>NOT(ISERROR(SEARCH("Pesquisa de Preços",D6039)))</formula>
    </cfRule>
  </conditionalFormatting>
  <conditionalFormatting sqref="D6059">
    <cfRule type="containsText" dxfId="438" priority="1313" operator="containsText" text="Pesquisa de Preços">
      <formula>NOT(ISERROR(SEARCH("Pesquisa de Preços",D6059)))</formula>
    </cfRule>
  </conditionalFormatting>
  <conditionalFormatting sqref="D4750">
    <cfRule type="containsText" dxfId="437" priority="1326" operator="containsText" text="Pesquisa de Preços">
      <formula>NOT(ISERROR(SEARCH("Pesquisa de Preços",D4750)))</formula>
    </cfRule>
  </conditionalFormatting>
  <conditionalFormatting sqref="D6123">
    <cfRule type="containsText" dxfId="436" priority="1308" operator="containsText" text="Pesquisa de Preços">
      <formula>NOT(ISERROR(SEARCH("Pesquisa de Preços",D6123)))</formula>
    </cfRule>
  </conditionalFormatting>
  <conditionalFormatting sqref="D6055">
    <cfRule type="containsText" dxfId="435" priority="1314" operator="containsText" text="Pesquisa de Preços">
      <formula>NOT(ISERROR(SEARCH("Pesquisa de Preços",D6055)))</formula>
    </cfRule>
  </conditionalFormatting>
  <conditionalFormatting sqref="D6127">
    <cfRule type="containsText" dxfId="434" priority="1303" operator="containsText" text="Pesquisa de Preços">
      <formula>NOT(ISERROR(SEARCH("Pesquisa de Preços",D6127)))</formula>
    </cfRule>
  </conditionalFormatting>
  <conditionalFormatting sqref="D6131">
    <cfRule type="containsText" dxfId="433" priority="1298" operator="containsText" text="Pesquisa de Preços">
      <formula>NOT(ISERROR(SEARCH("Pesquisa de Preços",D6131)))</formula>
    </cfRule>
  </conditionalFormatting>
  <conditionalFormatting sqref="D6964">
    <cfRule type="containsText" dxfId="432" priority="1295" operator="containsText" text="Pesquisa de Preços">
      <formula>NOT(ISERROR(SEARCH("Pesquisa de Preços",D6964)))</formula>
    </cfRule>
  </conditionalFormatting>
  <conditionalFormatting sqref="E6961">
    <cfRule type="containsText" dxfId="431" priority="1291" operator="containsText" text="Pesquisa de Preços">
      <formula>NOT(ISERROR(SEARCH("Pesquisa de Preços",E6961)))</formula>
    </cfRule>
  </conditionalFormatting>
  <conditionalFormatting sqref="D6962">
    <cfRule type="containsText" dxfId="430" priority="1293" operator="containsText" text="Pesquisa de Preços">
      <formula>NOT(ISERROR(SEARCH("Pesquisa de Preços",D6962)))</formula>
    </cfRule>
  </conditionalFormatting>
  <conditionalFormatting sqref="D6961">
    <cfRule type="containsText" dxfId="429" priority="1294" operator="containsText" text="Pesquisa de Preços">
      <formula>NOT(ISERROR(SEARCH("Pesquisa de Preços",D6961)))</formula>
    </cfRule>
  </conditionalFormatting>
  <conditionalFormatting sqref="E6962 E6964">
    <cfRule type="containsText" dxfId="428" priority="1292" operator="containsText" text="Pesquisa de Preços">
      <formula>NOT(ISERROR(SEARCH("Pesquisa de Preços",E6962)))</formula>
    </cfRule>
  </conditionalFormatting>
  <conditionalFormatting sqref="E307">
    <cfRule type="containsText" dxfId="427" priority="1286" operator="containsText" text="Pesquisa de Preços">
      <formula>NOT(ISERROR(SEARCH("Pesquisa de Preços",E307)))</formula>
    </cfRule>
  </conditionalFormatting>
  <conditionalFormatting sqref="D7228">
    <cfRule type="containsText" dxfId="426" priority="1285" operator="containsText" text="Pesquisa de Preços">
      <formula>NOT(ISERROR(SEARCH("Pesquisa de Preços",D7228)))</formula>
    </cfRule>
  </conditionalFormatting>
  <conditionalFormatting sqref="D7223">
    <cfRule type="containsText" dxfId="425" priority="1284" operator="containsText" text="Pesquisa de Preços">
      <formula>NOT(ISERROR(SEARCH("Pesquisa de Preços",D7223)))</formula>
    </cfRule>
  </conditionalFormatting>
  <conditionalFormatting sqref="D7229">
    <cfRule type="containsText" dxfId="424" priority="1283" operator="containsText" text="Pesquisa de Preços">
      <formula>NOT(ISERROR(SEARCH("Pesquisa de Preços",D7229)))</formula>
    </cfRule>
  </conditionalFormatting>
  <conditionalFormatting sqref="E7232">
    <cfRule type="containsText" dxfId="423" priority="1282" operator="containsText" text="Pesquisa de Preços">
      <formula>NOT(ISERROR(SEARCH("Pesquisa de Preços",E7232)))</formula>
    </cfRule>
  </conditionalFormatting>
  <conditionalFormatting sqref="E7217">
    <cfRule type="containsText" dxfId="422" priority="1278" operator="containsText" text="Pesquisa de Preços">
      <formula>NOT(ISERROR(SEARCH("Pesquisa de Preços",E7217)))</formula>
    </cfRule>
  </conditionalFormatting>
  <conditionalFormatting sqref="E7220">
    <cfRule type="containsText" dxfId="421" priority="1277" operator="containsText" text="Pesquisa de Preços">
      <formula>NOT(ISERROR(SEARCH("Pesquisa de Preços",E7220)))</formula>
    </cfRule>
  </conditionalFormatting>
  <conditionalFormatting sqref="D7217">
    <cfRule type="containsText" dxfId="420" priority="1281" operator="containsText" text="Pesquisa de Preços">
      <formula>NOT(ISERROR(SEARCH("Pesquisa de Preços",D7217)))</formula>
    </cfRule>
  </conditionalFormatting>
  <conditionalFormatting sqref="D7218 D7221:D7222">
    <cfRule type="containsText" dxfId="419" priority="1280" operator="containsText" text="Pesquisa de Preços">
      <formula>NOT(ISERROR(SEARCH("Pesquisa de Preços",D7218)))</formula>
    </cfRule>
  </conditionalFormatting>
  <conditionalFormatting sqref="E7218:E7219 E7221:E7222">
    <cfRule type="containsText" dxfId="418" priority="1279" operator="containsText" text="Pesquisa de Preços">
      <formula>NOT(ISERROR(SEARCH("Pesquisa de Preços",E7218)))</formula>
    </cfRule>
  </conditionalFormatting>
  <conditionalFormatting sqref="E7233">
    <cfRule type="containsText" dxfId="417" priority="1274" operator="containsText" text="Pesquisa de Preços">
      <formula>NOT(ISERROR(SEARCH("Pesquisa de Preços",E7233)))</formula>
    </cfRule>
  </conditionalFormatting>
  <conditionalFormatting sqref="E7234">
    <cfRule type="containsText" dxfId="416" priority="1273" operator="containsText" text="Pesquisa de Preços">
      <formula>NOT(ISERROR(SEARCH("Pesquisa de Preços",E7234)))</formula>
    </cfRule>
  </conditionalFormatting>
  <conditionalFormatting sqref="D6428">
    <cfRule type="containsText" dxfId="415" priority="1272" operator="containsText" text="Pesquisa de Preços">
      <formula>NOT(ISERROR(SEARCH("Pesquisa de Preços",D6428)))</formula>
    </cfRule>
  </conditionalFormatting>
  <conditionalFormatting sqref="D6433">
    <cfRule type="containsText" dxfId="414" priority="1269" operator="containsText" text="Pesquisa de Preços">
      <formula>NOT(ISERROR(SEARCH("Pesquisa de Preços",D6433)))</formula>
    </cfRule>
  </conditionalFormatting>
  <conditionalFormatting sqref="D7264">
    <cfRule type="containsText" dxfId="413" priority="1264" operator="containsText" text="Pesquisa de Preços">
      <formula>NOT(ISERROR(SEARCH("Pesquisa de Preços",D7264)))</formula>
    </cfRule>
  </conditionalFormatting>
  <conditionalFormatting sqref="E7263">
    <cfRule type="containsText" dxfId="412" priority="1262" operator="containsText" text="Pesquisa de Preços">
      <formula>NOT(ISERROR(SEARCH("Pesquisa de Preços",E7263)))</formula>
    </cfRule>
  </conditionalFormatting>
  <conditionalFormatting sqref="D7266">
    <cfRule type="containsText" dxfId="411" priority="1266" operator="containsText" text="Pesquisa de Preços">
      <formula>NOT(ISERROR(SEARCH("Pesquisa de Preços",D7266)))</formula>
    </cfRule>
  </conditionalFormatting>
  <conditionalFormatting sqref="D7263">
    <cfRule type="containsText" dxfId="410" priority="1265" operator="containsText" text="Pesquisa de Preços">
      <formula>NOT(ISERROR(SEARCH("Pesquisa de Preços",D7263)))</formula>
    </cfRule>
  </conditionalFormatting>
  <conditionalFormatting sqref="E7264 E7266">
    <cfRule type="containsText" dxfId="409" priority="1263" operator="containsText" text="Pesquisa de Preços">
      <formula>NOT(ISERROR(SEARCH("Pesquisa de Preços",E7264)))</formula>
    </cfRule>
  </conditionalFormatting>
  <conditionalFormatting sqref="D7268">
    <cfRule type="containsText" dxfId="408" priority="1259" operator="containsText" text="Pesquisa de Preços">
      <formula>NOT(ISERROR(SEARCH("Pesquisa de Preços",D7268)))</formula>
    </cfRule>
  </conditionalFormatting>
  <conditionalFormatting sqref="E7267">
    <cfRule type="containsText" dxfId="407" priority="1257" operator="containsText" text="Pesquisa de Preços">
      <formula>NOT(ISERROR(SEARCH("Pesquisa de Preços",E7267)))</formula>
    </cfRule>
  </conditionalFormatting>
  <conditionalFormatting sqref="D7270">
    <cfRule type="containsText" dxfId="406" priority="1261" operator="containsText" text="Pesquisa de Preços">
      <formula>NOT(ISERROR(SEARCH("Pesquisa de Preços",D7270)))</formula>
    </cfRule>
  </conditionalFormatting>
  <conditionalFormatting sqref="D7267">
    <cfRule type="containsText" dxfId="405" priority="1260" operator="containsText" text="Pesquisa de Preços">
      <formula>NOT(ISERROR(SEARCH("Pesquisa de Preços",D7267)))</formula>
    </cfRule>
  </conditionalFormatting>
  <conditionalFormatting sqref="E7268 E7270">
    <cfRule type="containsText" dxfId="404" priority="1258" operator="containsText" text="Pesquisa de Preços">
      <formula>NOT(ISERROR(SEARCH("Pesquisa de Preços",E7268)))</formula>
    </cfRule>
  </conditionalFormatting>
  <conditionalFormatting sqref="D2628">
    <cfRule type="containsText" dxfId="403" priority="1256" operator="containsText" text="Pesquisa de Preços">
      <formula>NOT(ISERROR(SEARCH("Pesquisa de Preços",D2628)))</formula>
    </cfRule>
  </conditionalFormatting>
  <conditionalFormatting sqref="D4758">
    <cfRule type="containsText" dxfId="402" priority="1249" operator="containsText" text="Pesquisa de Preços">
      <formula>NOT(ISERROR(SEARCH("Pesquisa de Preços",D4758)))</formula>
    </cfRule>
  </conditionalFormatting>
  <conditionalFormatting sqref="D4762">
    <cfRule type="containsText" dxfId="401" priority="1244" operator="containsText" text="Pesquisa de Preços">
      <formula>NOT(ISERROR(SEARCH("Pesquisa de Preços",D4762)))</formula>
    </cfRule>
  </conditionalFormatting>
  <conditionalFormatting sqref="D7283">
    <cfRule type="containsText" dxfId="400" priority="1239" operator="containsText" text="Pesquisa de Preços">
      <formula>NOT(ISERROR(SEARCH("Pesquisa de Preços",D7283)))</formula>
    </cfRule>
  </conditionalFormatting>
  <conditionalFormatting sqref="D7275">
    <cfRule type="containsText" dxfId="399" priority="1238" operator="containsText" text="Pesquisa de Preços">
      <formula>NOT(ISERROR(SEARCH("Pesquisa de Preços",D7275)))</formula>
    </cfRule>
  </conditionalFormatting>
  <conditionalFormatting sqref="D7279">
    <cfRule type="containsText" dxfId="398" priority="1237" operator="containsText" text="Pesquisa de Preços">
      <formula>NOT(ISERROR(SEARCH("Pesquisa de Preços",D7279)))</formula>
    </cfRule>
  </conditionalFormatting>
  <conditionalFormatting sqref="D7287">
    <cfRule type="containsText" dxfId="397" priority="1236" operator="containsText" text="Pesquisa de Preços">
      <formula>NOT(ISERROR(SEARCH("Pesquisa de Preços",D7287)))</formula>
    </cfRule>
  </conditionalFormatting>
  <conditionalFormatting sqref="D7271">
    <cfRule type="containsText" dxfId="396" priority="1232" operator="containsText" text="Pesquisa de Preços">
      <formula>NOT(ISERROR(SEARCH("Pesquisa de Preços",D7271)))</formula>
    </cfRule>
  </conditionalFormatting>
  <conditionalFormatting sqref="D4712">
    <cfRule type="containsText" dxfId="395" priority="1235" operator="containsText" text="Pesquisa de Preços">
      <formula>NOT(ISERROR(SEARCH("Pesquisa de Preços",D4712)))</formula>
    </cfRule>
  </conditionalFormatting>
  <conditionalFormatting sqref="D7269">
    <cfRule type="containsText" dxfId="394" priority="1231" operator="containsText" text="Pesquisa de Preços">
      <formula>NOT(ISERROR(SEARCH("Pesquisa de Preços",D7269)))</formula>
    </cfRule>
  </conditionalFormatting>
  <conditionalFormatting sqref="D7303 D7307">
    <cfRule type="containsText" dxfId="393" priority="1230" operator="containsText" text="Pesquisa de Preços">
      <formula>NOT(ISERROR(SEARCH("Pesquisa de Preços",D7303)))</formula>
    </cfRule>
  </conditionalFormatting>
  <conditionalFormatting sqref="D7291 D7295 D7299">
    <cfRule type="containsText" dxfId="392" priority="1229" operator="containsText" text="Pesquisa de Preços">
      <formula>NOT(ISERROR(SEARCH("Pesquisa de Preços",D7291)))</formula>
    </cfRule>
  </conditionalFormatting>
  <conditionalFormatting sqref="D4734">
    <cfRule type="containsText" dxfId="391" priority="1208" operator="containsText" text="Pesquisa de Preços">
      <formula>NOT(ISERROR(SEARCH("Pesquisa de Preços",D4734)))</formula>
    </cfRule>
  </conditionalFormatting>
  <conditionalFormatting sqref="D4730">
    <cfRule type="containsText" dxfId="390" priority="1205" operator="containsText" text="Pesquisa de Preços">
      <formula>NOT(ISERROR(SEARCH("Pesquisa de Preços",D4730)))</formula>
    </cfRule>
  </conditionalFormatting>
  <conditionalFormatting sqref="D7252">
    <cfRule type="containsText" dxfId="389" priority="1200" operator="containsText" text="Pesquisa de Preços">
      <formula>NOT(ISERROR(SEARCH("Pesquisa de Preços",D7252)))</formula>
    </cfRule>
  </conditionalFormatting>
  <conditionalFormatting sqref="E7251">
    <cfRule type="containsText" dxfId="388" priority="1198" operator="containsText" text="Pesquisa de Preços">
      <formula>NOT(ISERROR(SEARCH("Pesquisa de Preços",E7251)))</formula>
    </cfRule>
  </conditionalFormatting>
  <conditionalFormatting sqref="D7254">
    <cfRule type="containsText" dxfId="387" priority="1202" operator="containsText" text="Pesquisa de Preços">
      <formula>NOT(ISERROR(SEARCH("Pesquisa de Preços",D7254)))</formula>
    </cfRule>
  </conditionalFormatting>
  <conditionalFormatting sqref="D7251">
    <cfRule type="containsText" dxfId="386" priority="1201" operator="containsText" text="Pesquisa de Preços">
      <formula>NOT(ISERROR(SEARCH("Pesquisa de Preços",D7251)))</formula>
    </cfRule>
  </conditionalFormatting>
  <conditionalFormatting sqref="E7252 E7254">
    <cfRule type="containsText" dxfId="385" priority="1199" operator="containsText" text="Pesquisa de Preços">
      <formula>NOT(ISERROR(SEARCH("Pesquisa de Preços",E7252)))</formula>
    </cfRule>
  </conditionalFormatting>
  <conditionalFormatting sqref="D7256">
    <cfRule type="containsText" dxfId="384" priority="1195" operator="containsText" text="Pesquisa de Preços">
      <formula>NOT(ISERROR(SEARCH("Pesquisa de Preços",D7256)))</formula>
    </cfRule>
  </conditionalFormatting>
  <conditionalFormatting sqref="E7255">
    <cfRule type="containsText" dxfId="383" priority="1193" operator="containsText" text="Pesquisa de Preços">
      <formula>NOT(ISERROR(SEARCH("Pesquisa de Preços",E7255)))</formula>
    </cfRule>
  </conditionalFormatting>
  <conditionalFormatting sqref="D7258">
    <cfRule type="containsText" dxfId="382" priority="1197" operator="containsText" text="Pesquisa de Preços">
      <formula>NOT(ISERROR(SEARCH("Pesquisa de Preços",D7258)))</formula>
    </cfRule>
  </conditionalFormatting>
  <conditionalFormatting sqref="D7255">
    <cfRule type="containsText" dxfId="381" priority="1196" operator="containsText" text="Pesquisa de Preços">
      <formula>NOT(ISERROR(SEARCH("Pesquisa de Preços",D7255)))</formula>
    </cfRule>
  </conditionalFormatting>
  <conditionalFormatting sqref="E7256 E7258">
    <cfRule type="containsText" dxfId="380" priority="1194" operator="containsText" text="Pesquisa de Preços">
      <formula>NOT(ISERROR(SEARCH("Pesquisa de Preços",E7256)))</formula>
    </cfRule>
  </conditionalFormatting>
  <conditionalFormatting sqref="D7259">
    <cfRule type="containsText" dxfId="379" priority="1192" operator="containsText" text="Pesquisa de Preços">
      <formula>NOT(ISERROR(SEARCH("Pesquisa de Preços",D7259)))</formula>
    </cfRule>
  </conditionalFormatting>
  <conditionalFormatting sqref="D7237">
    <cfRule type="containsText" dxfId="378" priority="1181" operator="containsText" text="Pesquisa de Preços">
      <formula>NOT(ISERROR(SEARCH("Pesquisa de Preços",D7237)))</formula>
    </cfRule>
  </conditionalFormatting>
  <conditionalFormatting sqref="E7236">
    <cfRule type="containsText" dxfId="377" priority="1179" operator="containsText" text="Pesquisa de Preços">
      <formula>NOT(ISERROR(SEARCH("Pesquisa de Preços",E7236)))</formula>
    </cfRule>
  </conditionalFormatting>
  <conditionalFormatting sqref="D7240">
    <cfRule type="containsText" dxfId="376" priority="1183" operator="containsText" text="Pesquisa de Preços">
      <formula>NOT(ISERROR(SEARCH("Pesquisa de Preços",D7240)))</formula>
    </cfRule>
  </conditionalFormatting>
  <conditionalFormatting sqref="D7236">
    <cfRule type="containsText" dxfId="375" priority="1182" operator="containsText" text="Pesquisa de Preços">
      <formula>NOT(ISERROR(SEARCH("Pesquisa de Preços",D7236)))</formula>
    </cfRule>
  </conditionalFormatting>
  <conditionalFormatting sqref="E7237 E7240">
    <cfRule type="containsText" dxfId="374" priority="1180" operator="containsText" text="Pesquisa de Preços">
      <formula>NOT(ISERROR(SEARCH("Pesquisa de Preços",E7237)))</formula>
    </cfRule>
  </conditionalFormatting>
  <conditionalFormatting sqref="D7242">
    <cfRule type="containsText" dxfId="373" priority="1176" operator="containsText" text="Pesquisa de Preços">
      <formula>NOT(ISERROR(SEARCH("Pesquisa de Preços",D7242)))</formula>
    </cfRule>
  </conditionalFormatting>
  <conditionalFormatting sqref="E7241">
    <cfRule type="containsText" dxfId="372" priority="1174" operator="containsText" text="Pesquisa de Preços">
      <formula>NOT(ISERROR(SEARCH("Pesquisa de Preços",E7241)))</formula>
    </cfRule>
  </conditionalFormatting>
  <conditionalFormatting sqref="D7245">
    <cfRule type="containsText" dxfId="371" priority="1178" operator="containsText" text="Pesquisa de Preços">
      <formula>NOT(ISERROR(SEARCH("Pesquisa de Preços",D7245)))</formula>
    </cfRule>
  </conditionalFormatting>
  <conditionalFormatting sqref="D7241">
    <cfRule type="containsText" dxfId="370" priority="1177" operator="containsText" text="Pesquisa de Preços">
      <formula>NOT(ISERROR(SEARCH("Pesquisa de Preços",D7241)))</formula>
    </cfRule>
  </conditionalFormatting>
  <conditionalFormatting sqref="E7242 E7245">
    <cfRule type="containsText" dxfId="369" priority="1175" operator="containsText" text="Pesquisa de Preços">
      <formula>NOT(ISERROR(SEARCH("Pesquisa de Preços",E7242)))</formula>
    </cfRule>
  </conditionalFormatting>
  <conditionalFormatting sqref="D7246">
    <cfRule type="containsText" dxfId="368" priority="1173" operator="containsText" text="Pesquisa de Preços">
      <formula>NOT(ISERROR(SEARCH("Pesquisa de Preços",D7246)))</formula>
    </cfRule>
  </conditionalFormatting>
  <conditionalFormatting sqref="E7243:E7244">
    <cfRule type="containsText" dxfId="367" priority="1168" operator="containsText" text="Pesquisa de Preços">
      <formula>NOT(ISERROR(SEARCH("Pesquisa de Preços",E7243)))</formula>
    </cfRule>
  </conditionalFormatting>
  <conditionalFormatting sqref="E7248:E7249">
    <cfRule type="containsText" dxfId="366" priority="1167" operator="containsText" text="Pesquisa de Preços">
      <formula>NOT(ISERROR(SEARCH("Pesquisa de Preços",E7248)))</formula>
    </cfRule>
  </conditionalFormatting>
  <conditionalFormatting sqref="D7318">
    <cfRule type="containsText" dxfId="365" priority="1164" operator="containsText" text="Pesquisa de Preços">
      <formula>NOT(ISERROR(SEARCH("Pesquisa de Preços",D7318)))</formula>
    </cfRule>
  </conditionalFormatting>
  <conditionalFormatting sqref="E7321">
    <cfRule type="containsText" dxfId="364" priority="1163" operator="containsText" text="Pesquisa de Preços">
      <formula>NOT(ISERROR(SEARCH("Pesquisa de Preços",E7321)))</formula>
    </cfRule>
  </conditionalFormatting>
  <conditionalFormatting sqref="E7322">
    <cfRule type="containsText" dxfId="363" priority="1162" operator="containsText" text="Pesquisa de Preços">
      <formula>NOT(ISERROR(SEARCH("Pesquisa de Preços",E7322)))</formula>
    </cfRule>
  </conditionalFormatting>
  <conditionalFormatting sqref="D7311">
    <cfRule type="containsText" dxfId="362" priority="1157" operator="containsText" text="Pesquisa de Preços">
      <formula>NOT(ISERROR(SEARCH("Pesquisa de Preços",D7311)))</formula>
    </cfRule>
  </conditionalFormatting>
  <conditionalFormatting sqref="E7314">
    <cfRule type="containsText" dxfId="361" priority="1156" operator="containsText" text="Pesquisa de Preços">
      <formula>NOT(ISERROR(SEARCH("Pesquisa de Preços",E7314)))</formula>
    </cfRule>
  </conditionalFormatting>
  <conditionalFormatting sqref="E7315">
    <cfRule type="containsText" dxfId="360" priority="1155" operator="containsText" text="Pesquisa de Preços">
      <formula>NOT(ISERROR(SEARCH("Pesquisa de Preços",E7315)))</formula>
    </cfRule>
  </conditionalFormatting>
  <conditionalFormatting sqref="E7316">
    <cfRule type="containsText" dxfId="359" priority="1154" operator="containsText" text="Pesquisa de Preços">
      <formula>NOT(ISERROR(SEARCH("Pesquisa de Preços",E7316)))</formula>
    </cfRule>
  </conditionalFormatting>
  <conditionalFormatting sqref="D7324">
    <cfRule type="containsText" dxfId="358" priority="1147" operator="containsText" text="Pesquisa de Preços">
      <formula>NOT(ISERROR(SEARCH("Pesquisa de Preços",D7324)))</formula>
    </cfRule>
  </conditionalFormatting>
  <conditionalFormatting sqref="E7327">
    <cfRule type="containsText" dxfId="357" priority="1146" operator="containsText" text="Pesquisa de Preços">
      <formula>NOT(ISERROR(SEARCH("Pesquisa de Preços",E7327)))</formula>
    </cfRule>
  </conditionalFormatting>
  <conditionalFormatting sqref="E7328">
    <cfRule type="containsText" dxfId="356" priority="1145" operator="containsText" text="Pesquisa de Preços">
      <formula>NOT(ISERROR(SEARCH("Pesquisa de Preços",E7328)))</formula>
    </cfRule>
  </conditionalFormatting>
  <conditionalFormatting sqref="E7329">
    <cfRule type="containsText" dxfId="355" priority="1138" operator="containsText" text="Pesquisa de Preços">
      <formula>NOT(ISERROR(SEARCH("Pesquisa de Preços",E7329)))</formula>
    </cfRule>
  </conditionalFormatting>
  <conditionalFormatting sqref="E7335">
    <cfRule type="containsText" dxfId="354" priority="1129" operator="containsText" text="Pesquisa de Preços">
      <formula>NOT(ISERROR(SEARCH("Pesquisa de Preços",E7335)))</formula>
    </cfRule>
  </conditionalFormatting>
  <conditionalFormatting sqref="E7348">
    <cfRule type="containsText" dxfId="353" priority="1096" operator="containsText" text="Pesquisa de Preços">
      <formula>NOT(ISERROR(SEARCH("Pesquisa de Preços",E7348)))</formula>
    </cfRule>
  </conditionalFormatting>
  <conditionalFormatting sqref="E7330">
    <cfRule type="containsText" dxfId="352" priority="1133" operator="containsText" text="Pesquisa de Preços">
      <formula>NOT(ISERROR(SEARCH("Pesquisa de Preços",E7330)))</formula>
    </cfRule>
  </conditionalFormatting>
  <conditionalFormatting sqref="D7332">
    <cfRule type="containsText" dxfId="351" priority="1130" operator="containsText" text="Pesquisa de Preços">
      <formula>NOT(ISERROR(SEARCH("Pesquisa de Preços",D7332)))</formula>
    </cfRule>
  </conditionalFormatting>
  <conditionalFormatting sqref="E7336">
    <cfRule type="containsText" dxfId="350" priority="1128" operator="containsText" text="Pesquisa de Preços">
      <formula>NOT(ISERROR(SEARCH("Pesquisa de Preços",E7336)))</formula>
    </cfRule>
  </conditionalFormatting>
  <conditionalFormatting sqref="E7337">
    <cfRule type="containsText" dxfId="349" priority="1121" operator="containsText" text="Pesquisa de Preços">
      <formula>NOT(ISERROR(SEARCH("Pesquisa de Preços",E7337)))</formula>
    </cfRule>
  </conditionalFormatting>
  <conditionalFormatting sqref="E7344">
    <cfRule type="containsText" dxfId="348" priority="1111" operator="containsText" text="Pesquisa de Preços">
      <formula>NOT(ISERROR(SEARCH("Pesquisa de Preços",E7344)))</formula>
    </cfRule>
  </conditionalFormatting>
  <conditionalFormatting sqref="E7338">
    <cfRule type="containsText" dxfId="347" priority="1116" operator="containsText" text="Pesquisa de Preços">
      <formula>NOT(ISERROR(SEARCH("Pesquisa de Preços",E7338)))</formula>
    </cfRule>
  </conditionalFormatting>
  <conditionalFormatting sqref="D7340">
    <cfRule type="containsText" dxfId="346" priority="1113" operator="containsText" text="Pesquisa de Preços">
      <formula>NOT(ISERROR(SEARCH("Pesquisa de Preços",D7340)))</formula>
    </cfRule>
  </conditionalFormatting>
  <conditionalFormatting sqref="E7343">
    <cfRule type="containsText" dxfId="345" priority="1112" operator="containsText" text="Pesquisa de Preços">
      <formula>NOT(ISERROR(SEARCH("Pesquisa de Preços",E7343)))</formula>
    </cfRule>
  </conditionalFormatting>
  <conditionalFormatting sqref="E7342">
    <cfRule type="containsText" dxfId="344" priority="1106" operator="containsText" text="Pesquisa de Preços">
      <formula>NOT(ISERROR(SEARCH("Pesquisa de Preços",E7342)))</formula>
    </cfRule>
  </conditionalFormatting>
  <conditionalFormatting sqref="D7346">
    <cfRule type="containsText" dxfId="343" priority="1103" operator="containsText" text="Pesquisa de Preços">
      <formula>NOT(ISERROR(SEARCH("Pesquisa de Preços",D7346)))</formula>
    </cfRule>
  </conditionalFormatting>
  <conditionalFormatting sqref="E7349">
    <cfRule type="containsText" dxfId="342" priority="1102" operator="containsText" text="Pesquisa de Preços">
      <formula>NOT(ISERROR(SEARCH("Pesquisa de Preços",E7349)))</formula>
    </cfRule>
  </conditionalFormatting>
  <conditionalFormatting sqref="E7348">
    <cfRule type="containsText" dxfId="341" priority="1097" operator="containsText" text="Pesquisa de Preços">
      <formula>NOT(ISERROR(SEARCH("Pesquisa de Preços",E7348)))</formula>
    </cfRule>
  </conditionalFormatting>
  <conditionalFormatting sqref="E7349">
    <cfRule type="containsText" dxfId="340" priority="1095" operator="containsText" text="Pesquisa de Preços">
      <formula>NOT(ISERROR(SEARCH("Pesquisa de Preços",E7349)))</formula>
    </cfRule>
  </conditionalFormatting>
  <conditionalFormatting sqref="E7353">
    <cfRule type="containsText" dxfId="339" priority="1085" operator="containsText" text="Pesquisa de Preços">
      <formula>NOT(ISERROR(SEARCH("Pesquisa de Preços",E7353)))</formula>
    </cfRule>
  </conditionalFormatting>
  <conditionalFormatting sqref="D7351">
    <cfRule type="containsText" dxfId="338" priority="1092" operator="containsText" text="Pesquisa de Preços">
      <formula>NOT(ISERROR(SEARCH("Pesquisa de Preços",D7351)))</formula>
    </cfRule>
  </conditionalFormatting>
  <conditionalFormatting sqref="E7354">
    <cfRule type="containsText" dxfId="337" priority="1091" operator="containsText" text="Pesquisa de Preços">
      <formula>NOT(ISERROR(SEARCH("Pesquisa de Preços",E7354)))</formula>
    </cfRule>
  </conditionalFormatting>
  <conditionalFormatting sqref="E7353">
    <cfRule type="containsText" dxfId="336" priority="1086" operator="containsText" text="Pesquisa de Preços">
      <formula>NOT(ISERROR(SEARCH("Pesquisa de Preços",E7353)))</formula>
    </cfRule>
  </conditionalFormatting>
  <conditionalFormatting sqref="E7354">
    <cfRule type="containsText" dxfId="335" priority="1084" operator="containsText" text="Pesquisa de Preços">
      <formula>NOT(ISERROR(SEARCH("Pesquisa de Preços",E7354)))</formula>
    </cfRule>
  </conditionalFormatting>
  <conditionalFormatting sqref="D7356">
    <cfRule type="containsText" dxfId="334" priority="1083" operator="containsText" text="Pesquisa de Preços">
      <formula>NOT(ISERROR(SEARCH("Pesquisa de Preços",D7356)))</formula>
    </cfRule>
  </conditionalFormatting>
  <conditionalFormatting sqref="D7362 D7357">
    <cfRule type="containsText" dxfId="333" priority="1081" operator="containsText" text="Pesquisa de Preços">
      <formula>NOT(ISERROR(SEARCH("Pesquisa de Preços",D7357)))</formula>
    </cfRule>
  </conditionalFormatting>
  <conditionalFormatting sqref="D7360">
    <cfRule type="containsText" dxfId="332" priority="1080" operator="containsText" text="Pesquisa de Preços">
      <formula>NOT(ISERROR(SEARCH("Pesquisa de Preços",D7360)))</formula>
    </cfRule>
  </conditionalFormatting>
  <conditionalFormatting sqref="E7357 E7362">
    <cfRule type="containsText" dxfId="331" priority="1079" operator="containsText" text="Pesquisa de Preços">
      <formula>NOT(ISERROR(SEARCH("Pesquisa de Preços",E7357)))</formula>
    </cfRule>
  </conditionalFormatting>
  <conditionalFormatting sqref="E7356">
    <cfRule type="containsText" dxfId="330" priority="1078" operator="containsText" text="Pesquisa de Preços">
      <formula>NOT(ISERROR(SEARCH("Pesquisa de Preços",E7356)))</formula>
    </cfRule>
  </conditionalFormatting>
  <conditionalFormatting sqref="D6475">
    <cfRule type="containsText" dxfId="329" priority="1075" operator="containsText" text="Pesquisa de Preços">
      <formula>NOT(ISERROR(SEARCH("Pesquisa de Preços",D6475)))</formula>
    </cfRule>
  </conditionalFormatting>
  <conditionalFormatting sqref="D6482">
    <cfRule type="containsText" dxfId="328" priority="1070" operator="containsText" text="Pesquisa de Preços">
      <formula>NOT(ISERROR(SEARCH("Pesquisa de Preços",D6482)))</formula>
    </cfRule>
  </conditionalFormatting>
  <conditionalFormatting sqref="D7363">
    <cfRule type="containsText" dxfId="327" priority="1065" operator="containsText" text="Pesquisa de Preços">
      <formula>NOT(ISERROR(SEARCH("Pesquisa de Preços",D7363)))</formula>
    </cfRule>
  </conditionalFormatting>
  <conditionalFormatting sqref="D7370">
    <cfRule type="containsText" dxfId="326" priority="1060" operator="containsText" text="Pesquisa de Preços">
      <formula>NOT(ISERROR(SEARCH("Pesquisa de Preços",D7370)))</formula>
    </cfRule>
  </conditionalFormatting>
  <conditionalFormatting sqref="D7378">
    <cfRule type="containsText" dxfId="325" priority="1051" operator="containsText" text="Pesquisa de Preços">
      <formula>NOT(ISERROR(SEARCH("Pesquisa de Preços",D7378)))</formula>
    </cfRule>
  </conditionalFormatting>
  <conditionalFormatting sqref="E7381">
    <cfRule type="containsText" dxfId="324" priority="1050" operator="containsText" text="Pesquisa de Preços">
      <formula>NOT(ISERROR(SEARCH("Pesquisa de Preços",E7381)))</formula>
    </cfRule>
  </conditionalFormatting>
  <conditionalFormatting sqref="E7382">
    <cfRule type="containsText" dxfId="323" priority="1049" operator="containsText" text="Pesquisa de Preços">
      <formula>NOT(ISERROR(SEARCH("Pesquisa de Preços",E7382)))</formula>
    </cfRule>
  </conditionalFormatting>
  <conditionalFormatting sqref="D7384">
    <cfRule type="containsText" dxfId="322" priority="1042" operator="containsText" text="Pesquisa de Preços">
      <formula>NOT(ISERROR(SEARCH("Pesquisa de Preços",D7384)))</formula>
    </cfRule>
  </conditionalFormatting>
  <conditionalFormatting sqref="D7390 D7385">
    <cfRule type="containsText" dxfId="321" priority="1040" operator="containsText" text="Pesquisa de Preços">
      <formula>NOT(ISERROR(SEARCH("Pesquisa de Preços",D7385)))</formula>
    </cfRule>
  </conditionalFormatting>
  <conditionalFormatting sqref="E7385 E7390">
    <cfRule type="containsText" dxfId="320" priority="1039" operator="containsText" text="Pesquisa de Preços">
      <formula>NOT(ISERROR(SEARCH("Pesquisa de Preços",E7385)))</formula>
    </cfRule>
  </conditionalFormatting>
  <conditionalFormatting sqref="E7384">
    <cfRule type="containsText" dxfId="319" priority="1038" operator="containsText" text="Pesquisa de Preços">
      <formula>NOT(ISERROR(SEARCH("Pesquisa de Preços",E7384)))</formula>
    </cfRule>
  </conditionalFormatting>
  <conditionalFormatting sqref="D7421">
    <cfRule type="containsText" dxfId="318" priority="1035" operator="containsText" text="Pesquisa de Preços">
      <formula>NOT(ISERROR(SEARCH("Pesquisa de Preços",D7421)))</formula>
    </cfRule>
  </conditionalFormatting>
  <conditionalFormatting sqref="D7435">
    <cfRule type="containsText" dxfId="317" priority="1026" operator="containsText" text="Pesquisa de Preços">
      <formula>NOT(ISERROR(SEARCH("Pesquisa de Preços",D7435)))</formula>
    </cfRule>
  </conditionalFormatting>
  <conditionalFormatting sqref="D7415">
    <cfRule type="containsText" dxfId="316" priority="1019" operator="containsText" text="Pesquisa de Preços">
      <formula>NOT(ISERROR(SEARCH("Pesquisa de Preços",D7415)))</formula>
    </cfRule>
  </conditionalFormatting>
  <conditionalFormatting sqref="E7433">
    <cfRule type="containsText" dxfId="315" priority="1012" operator="containsText" text="Pesquisa de Preços">
      <formula>NOT(ISERROR(SEARCH("Pesquisa de Preços",E7433)))</formula>
    </cfRule>
  </conditionalFormatting>
  <conditionalFormatting sqref="D7429">
    <cfRule type="containsText" dxfId="314" priority="1014" operator="containsText" text="Pesquisa de Preços">
      <formula>NOT(ISERROR(SEARCH("Pesquisa de Preços",D7429)))</formula>
    </cfRule>
  </conditionalFormatting>
  <conditionalFormatting sqref="E7432">
    <cfRule type="containsText" dxfId="313" priority="1013" operator="containsText" text="Pesquisa de Preços">
      <formula>NOT(ISERROR(SEARCH("Pesquisa de Preços",E7432)))</formula>
    </cfRule>
  </conditionalFormatting>
  <conditionalFormatting sqref="E7431">
    <cfRule type="containsText" dxfId="312" priority="1009" operator="containsText" text="Pesquisa de Preços">
      <formula>NOT(ISERROR(SEARCH("Pesquisa de Preços",E7431)))</formula>
    </cfRule>
  </conditionalFormatting>
  <conditionalFormatting sqref="D7396">
    <cfRule type="containsText" dxfId="311" priority="1006" operator="containsText" text="Pesquisa de Preços">
      <formula>NOT(ISERROR(SEARCH("Pesquisa de Preços",D7396)))</formula>
    </cfRule>
  </conditionalFormatting>
  <conditionalFormatting sqref="D7392">
    <cfRule type="containsText" dxfId="310" priority="1005" operator="containsText" text="Pesquisa de Preços">
      <formula>NOT(ISERROR(SEARCH("Pesquisa de Preços",D7392)))</formula>
    </cfRule>
  </conditionalFormatting>
  <conditionalFormatting sqref="E7396">
    <cfRule type="containsText" dxfId="309" priority="1004" operator="containsText" text="Pesquisa de Preços">
      <formula>NOT(ISERROR(SEARCH("Pesquisa de Preços",E7396)))</formula>
    </cfRule>
  </conditionalFormatting>
  <conditionalFormatting sqref="E7392">
    <cfRule type="containsText" dxfId="308" priority="1003" operator="containsText" text="Pesquisa de Preços">
      <formula>NOT(ISERROR(SEARCH("Pesquisa de Preços",E7392)))</formula>
    </cfRule>
  </conditionalFormatting>
  <conditionalFormatting sqref="D7397">
    <cfRule type="containsText" dxfId="307" priority="1002" operator="containsText" text="Pesquisa de Preços">
      <formula>NOT(ISERROR(SEARCH("Pesquisa de Preços",D7397)))</formula>
    </cfRule>
  </conditionalFormatting>
  <conditionalFormatting sqref="D7402">
    <cfRule type="containsText" dxfId="306" priority="1001" operator="containsText" text="Pesquisa de Preços">
      <formula>NOT(ISERROR(SEARCH("Pesquisa de Preços",D7402)))</formula>
    </cfRule>
  </conditionalFormatting>
  <conditionalFormatting sqref="D7398">
    <cfRule type="containsText" dxfId="305" priority="1000" operator="containsText" text="Pesquisa de Preços">
      <formula>NOT(ISERROR(SEARCH("Pesquisa de Preços",D7398)))</formula>
    </cfRule>
  </conditionalFormatting>
  <conditionalFormatting sqref="E7402">
    <cfRule type="containsText" dxfId="304" priority="999" operator="containsText" text="Pesquisa de Preços">
      <formula>NOT(ISERROR(SEARCH("Pesquisa de Preços",E7402)))</formula>
    </cfRule>
  </conditionalFormatting>
  <conditionalFormatting sqref="E7398">
    <cfRule type="containsText" dxfId="303" priority="998" operator="containsText" text="Pesquisa de Preços">
      <formula>NOT(ISERROR(SEARCH("Pesquisa de Preços",E7398)))</formula>
    </cfRule>
  </conditionalFormatting>
  <conditionalFormatting sqref="D7403">
    <cfRule type="containsText" dxfId="302" priority="997" operator="containsText" text="Pesquisa de Preços">
      <formula>NOT(ISERROR(SEARCH("Pesquisa de Preços",D7403)))</formula>
    </cfRule>
  </conditionalFormatting>
  <conditionalFormatting sqref="D7408">
    <cfRule type="containsText" dxfId="301" priority="996" operator="containsText" text="Pesquisa de Preços">
      <formula>NOT(ISERROR(SEARCH("Pesquisa de Preços",D7408)))</formula>
    </cfRule>
  </conditionalFormatting>
  <conditionalFormatting sqref="D7404">
    <cfRule type="containsText" dxfId="300" priority="995" operator="containsText" text="Pesquisa de Preços">
      <formula>NOT(ISERROR(SEARCH("Pesquisa de Preços",D7404)))</formula>
    </cfRule>
  </conditionalFormatting>
  <conditionalFormatting sqref="E7408">
    <cfRule type="containsText" dxfId="299" priority="994" operator="containsText" text="Pesquisa de Preços">
      <formula>NOT(ISERROR(SEARCH("Pesquisa de Preços",E7408)))</formula>
    </cfRule>
  </conditionalFormatting>
  <conditionalFormatting sqref="E7404">
    <cfRule type="containsText" dxfId="298" priority="993" operator="containsText" text="Pesquisa de Preços">
      <formula>NOT(ISERROR(SEARCH("Pesquisa de Preços",E7404)))</formula>
    </cfRule>
  </conditionalFormatting>
  <conditionalFormatting sqref="D7409">
    <cfRule type="containsText" dxfId="297" priority="990" operator="containsText" text="Pesquisa de Preços">
      <formula>NOT(ISERROR(SEARCH("Pesquisa de Preços",D7409)))</formula>
    </cfRule>
  </conditionalFormatting>
  <conditionalFormatting sqref="D7414">
    <cfRule type="containsText" dxfId="296" priority="989" operator="containsText" text="Pesquisa de Preços">
      <formula>NOT(ISERROR(SEARCH("Pesquisa de Preços",D7414)))</formula>
    </cfRule>
  </conditionalFormatting>
  <conditionalFormatting sqref="D7410">
    <cfRule type="containsText" dxfId="295" priority="988" operator="containsText" text="Pesquisa de Preços">
      <formula>NOT(ISERROR(SEARCH("Pesquisa de Preços",D7410)))</formula>
    </cfRule>
  </conditionalFormatting>
  <conditionalFormatting sqref="E7414">
    <cfRule type="containsText" dxfId="294" priority="987" operator="containsText" text="Pesquisa de Preços">
      <formula>NOT(ISERROR(SEARCH("Pesquisa de Preços",E7414)))</formula>
    </cfRule>
  </conditionalFormatting>
  <conditionalFormatting sqref="E7410">
    <cfRule type="containsText" dxfId="293" priority="986" operator="containsText" text="Pesquisa de Preços">
      <formula>NOT(ISERROR(SEARCH("Pesquisa de Preços",E7410)))</formula>
    </cfRule>
  </conditionalFormatting>
  <conditionalFormatting sqref="D7391">
    <cfRule type="containsText" dxfId="292" priority="979" operator="containsText" text="Pesquisa de Preços">
      <formula>NOT(ISERROR(SEARCH("Pesquisa de Preços",D7391)))</formula>
    </cfRule>
  </conditionalFormatting>
  <conditionalFormatting sqref="D7388">
    <cfRule type="containsText" dxfId="291" priority="977" operator="containsText" text="Pesquisa de Preços">
      <formula>NOT(ISERROR(SEARCH("Pesquisa de Preços",D7388)))</formula>
    </cfRule>
  </conditionalFormatting>
  <conditionalFormatting sqref="E35">
    <cfRule type="containsText" dxfId="290" priority="974" operator="containsText" text="Pesquisa de Preços">
      <formula>NOT(ISERROR(SEARCH("Pesquisa de Preços",E35)))</formula>
    </cfRule>
  </conditionalFormatting>
  <conditionalFormatting sqref="D7449">
    <cfRule type="containsText" dxfId="289" priority="971" operator="containsText" text="Pesquisa de Preços">
      <formula>NOT(ISERROR(SEARCH("Pesquisa de Preços",D7449)))</formula>
    </cfRule>
  </conditionalFormatting>
  <conditionalFormatting sqref="E7452">
    <cfRule type="containsText" dxfId="288" priority="970" operator="containsText" text="Pesquisa de Preços">
      <formula>NOT(ISERROR(SEARCH("Pesquisa de Preços",E7452)))</formula>
    </cfRule>
  </conditionalFormatting>
  <conditionalFormatting sqref="E7453">
    <cfRule type="containsText" dxfId="287" priority="969" operator="containsText" text="Pesquisa de Preços">
      <formula>NOT(ISERROR(SEARCH("Pesquisa de Preços",E7453)))</formula>
    </cfRule>
  </conditionalFormatting>
  <conditionalFormatting sqref="E7454">
    <cfRule type="containsText" dxfId="286" priority="968" operator="containsText" text="Pesquisa de Preços">
      <formula>NOT(ISERROR(SEARCH("Pesquisa de Preços",E7454)))</formula>
    </cfRule>
  </conditionalFormatting>
  <conditionalFormatting sqref="D7456">
    <cfRule type="containsText" dxfId="285" priority="963" operator="containsText" text="Pesquisa de Preços">
      <formula>NOT(ISERROR(SEARCH("Pesquisa de Preços",D7456)))</formula>
    </cfRule>
  </conditionalFormatting>
  <conditionalFormatting sqref="D7442">
    <cfRule type="containsText" dxfId="284" priority="958" operator="containsText" text="Pesquisa de Preços">
      <formula>NOT(ISERROR(SEARCH("Pesquisa de Preços",D7442)))</formula>
    </cfRule>
  </conditionalFormatting>
  <conditionalFormatting sqref="D7552">
    <cfRule type="containsText" dxfId="283" priority="948" operator="containsText" text="Pesquisa de Preços">
      <formula>NOT(ISERROR(SEARCH("Pesquisa de Preços",D7552)))</formula>
    </cfRule>
  </conditionalFormatting>
  <conditionalFormatting sqref="D7460">
    <cfRule type="containsText" dxfId="282" priority="823" operator="containsText" text="Pesquisa de Preços">
      <formula>NOT(ISERROR(SEARCH("Pesquisa de Preços",D7460)))</formula>
    </cfRule>
  </conditionalFormatting>
  <conditionalFormatting sqref="D7468">
    <cfRule type="containsText" dxfId="281" priority="822" operator="containsText" text="Pesquisa de Preços">
      <formula>NOT(ISERROR(SEARCH("Pesquisa de Preços",D7468)))</formula>
    </cfRule>
  </conditionalFormatting>
  <conditionalFormatting sqref="D7476">
    <cfRule type="containsText" dxfId="280" priority="821" operator="containsText" text="Pesquisa de Preços">
      <formula>NOT(ISERROR(SEARCH("Pesquisa de Preços",D7476)))</formula>
    </cfRule>
  </conditionalFormatting>
  <conditionalFormatting sqref="D7496">
    <cfRule type="containsText" dxfId="279" priority="820" operator="containsText" text="Pesquisa de Preços">
      <formula>NOT(ISERROR(SEARCH("Pesquisa de Preços",D7496)))</formula>
    </cfRule>
  </conditionalFormatting>
  <conditionalFormatting sqref="D7505">
    <cfRule type="containsText" dxfId="278" priority="819" operator="containsText" text="Pesquisa de Preços">
      <formula>NOT(ISERROR(SEARCH("Pesquisa de Preços",D7505)))</formula>
    </cfRule>
  </conditionalFormatting>
  <conditionalFormatting sqref="D7511">
    <cfRule type="containsText" dxfId="277" priority="818" operator="containsText" text="Pesquisa de Preços">
      <formula>NOT(ISERROR(SEARCH("Pesquisa de Preços",D7511)))</formula>
    </cfRule>
  </conditionalFormatting>
  <conditionalFormatting sqref="D7517">
    <cfRule type="containsText" dxfId="276" priority="817" operator="containsText" text="Pesquisa de Preços">
      <formula>NOT(ISERROR(SEARCH("Pesquisa de Preços",D7517)))</formula>
    </cfRule>
  </conditionalFormatting>
  <conditionalFormatting sqref="D7531">
    <cfRule type="containsText" dxfId="275" priority="816" operator="containsText" text="Pesquisa de Preços">
      <formula>NOT(ISERROR(SEARCH("Pesquisa de Preços",D7531)))</formula>
    </cfRule>
  </conditionalFormatting>
  <conditionalFormatting sqref="D7545">
    <cfRule type="containsText" dxfId="274" priority="815" operator="containsText" text="Pesquisa de Preços">
      <formula>NOT(ISERROR(SEARCH("Pesquisa de Preços",D7545)))</formula>
    </cfRule>
  </conditionalFormatting>
  <conditionalFormatting sqref="D7556 D7560 D7564 D7568 D7572 D7576 D7580 D7584 D7588 D7592 D7596 D7600 D7604 D7608 D7612 D7616 D7620 D7624 D7628 D7632 D7636 D7640 D7644 D7648 D7652 D7656 D7660 D7664 D7668 D7672 D7676 D7680 D7684 D7688 D7692 D7696 D7700 D7704 D7708 D7712 D7716 D7720 D7724 D7728 D7732 D7736 D7740 D7744 D7748 D7752 D7756 D7760 D7764 D7768 D7772 D7776 D7780 D7784 D7788 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48 D8052 D8056 D8060 D8064 D8068 D8072 D8076 D8080 D8084 D8088 D8092 D8096 D8100 D8104 D8108 D8112 D8116 D8120 D8124 D8128 D8132 D8136 D8140 D8144 D8148 D8152 D8156 D8160 D8164 D8168 D8172 D8176 D8180">
    <cfRule type="containsText" dxfId="273" priority="306" operator="containsText" text="Pesquisa de Preços">
      <formula>NOT(ISERROR(SEARCH("Pesquisa de Preços",D7556)))</formula>
    </cfRule>
  </conditionalFormatting>
  <conditionalFormatting sqref="D8188">
    <cfRule type="containsText" dxfId="272" priority="301" operator="containsText" text="Pesquisa de Preços">
      <formula>NOT(ISERROR(SEARCH("Pesquisa de Preços",D8188)))</formula>
    </cfRule>
  </conditionalFormatting>
  <conditionalFormatting sqref="D8198">
    <cfRule type="containsText" dxfId="271" priority="294" operator="containsText" text="Pesquisa de Preços">
      <formula>NOT(ISERROR(SEARCH("Pesquisa de Preços",D8198)))</formula>
    </cfRule>
  </conditionalFormatting>
  <conditionalFormatting sqref="D8225">
    <cfRule type="containsText" dxfId="270" priority="287" operator="containsText" text="Pesquisa de Preços">
      <formula>NOT(ISERROR(SEARCH("Pesquisa de Preços",D8225)))</formula>
    </cfRule>
  </conditionalFormatting>
  <conditionalFormatting sqref="D8213">
    <cfRule type="containsText" dxfId="269" priority="282" operator="containsText" text="Pesquisa de Preços">
      <formula>NOT(ISERROR(SEARCH("Pesquisa de Preços",D8213)))</formula>
    </cfRule>
  </conditionalFormatting>
  <conditionalFormatting sqref="D8234">
    <cfRule type="containsText" dxfId="268" priority="273" operator="containsText" text="Pesquisa de Preços">
      <formula>NOT(ISERROR(SEARCH("Pesquisa de Preços",D8234)))</formula>
    </cfRule>
  </conditionalFormatting>
  <conditionalFormatting sqref="D8251">
    <cfRule type="containsText" dxfId="267" priority="270" operator="containsText" text="Pesquisa de Preços">
      <formula>NOT(ISERROR(SEARCH("Pesquisa de Preços",D8251)))</formula>
    </cfRule>
  </conditionalFormatting>
  <conditionalFormatting sqref="D8229">
    <cfRule type="containsText" dxfId="266" priority="265" operator="containsText" text="Pesquisa de Preços">
      <formula>NOT(ISERROR(SEARCH("Pesquisa de Preços",D8229)))</formula>
    </cfRule>
  </conditionalFormatting>
  <conditionalFormatting sqref="D8231">
    <cfRule type="containsText" dxfId="265" priority="262" operator="containsText" text="Pesquisa de Preços">
      <formula>NOT(ISERROR(SEARCH("Pesquisa de Preços",D8231)))</formula>
    </cfRule>
  </conditionalFormatting>
  <conditionalFormatting sqref="D8245">
    <cfRule type="containsText" dxfId="264" priority="257" operator="containsText" text="Pesquisa de Preços">
      <formula>NOT(ISERROR(SEARCH("Pesquisa de Preços",D8245)))</formula>
    </cfRule>
  </conditionalFormatting>
  <conditionalFormatting sqref="D7490">
    <cfRule type="containsText" dxfId="263" priority="250" operator="containsText" text="Pesquisa de Preços">
      <formula>NOT(ISERROR(SEARCH("Pesquisa de Preços",D7490)))</formula>
    </cfRule>
  </conditionalFormatting>
  <conditionalFormatting sqref="D8258">
    <cfRule type="containsText" dxfId="262" priority="235" operator="containsText" text="Pesquisa de Preços">
      <formula>NOT(ISERROR(SEARCH("Pesquisa de Preços",D8258)))</formula>
    </cfRule>
  </conditionalFormatting>
  <conditionalFormatting sqref="D8184">
    <cfRule type="containsText" dxfId="261" priority="230" operator="containsText" text="Pesquisa de Preços">
      <formula>NOT(ISERROR(SEARCH("Pesquisa de Preços",D8184)))</formula>
    </cfRule>
  </conditionalFormatting>
  <conditionalFormatting sqref="D8261:D8262">
    <cfRule type="containsText" dxfId="260" priority="227" operator="containsText" text="Pesquisa de Preços">
      <formula>NOT(ISERROR(SEARCH("Pesquisa de Preços",D8261)))</formula>
    </cfRule>
  </conditionalFormatting>
  <conditionalFormatting sqref="D8264">
    <cfRule type="containsText" dxfId="259" priority="226" operator="containsText" text="Pesquisa de Preços">
      <formula>NOT(ISERROR(SEARCH("Pesquisa de Preços",D8264)))</formula>
    </cfRule>
  </conditionalFormatting>
  <conditionalFormatting sqref="D8273">
    <cfRule type="containsText" dxfId="258" priority="221" operator="containsText" text="Pesquisa de Preços">
      <formula>NOT(ISERROR(SEARCH("Pesquisa de Preços",D8273)))</formula>
    </cfRule>
  </conditionalFormatting>
  <conditionalFormatting sqref="D8292">
    <cfRule type="containsText" dxfId="257" priority="217" operator="containsText" text="Pesquisa de Preços">
      <formula>NOT(ISERROR(SEARCH("Pesquisa de Preços",D8292)))</formula>
    </cfRule>
  </conditionalFormatting>
  <conditionalFormatting sqref="D8283">
    <cfRule type="containsText" dxfId="256" priority="218" operator="containsText" text="Pesquisa de Preços">
      <formula>NOT(ISERROR(SEARCH("Pesquisa de Preços",D8283)))</formula>
    </cfRule>
  </conditionalFormatting>
  <conditionalFormatting sqref="D8300">
    <cfRule type="containsText" dxfId="255" priority="212" operator="containsText" text="Pesquisa de Preços">
      <formula>NOT(ISERROR(SEARCH("Pesquisa de Preços",D8300)))</formula>
    </cfRule>
  </conditionalFormatting>
  <conditionalFormatting sqref="D8306">
    <cfRule type="containsText" dxfId="254" priority="201" operator="containsText" text="Pesquisa de Preços">
      <formula>NOT(ISERROR(SEARCH("Pesquisa de Preços",D8306)))</formula>
    </cfRule>
  </conditionalFormatting>
  <conditionalFormatting sqref="D8310">
    <cfRule type="containsText" dxfId="253" priority="194" operator="containsText" text="Pesquisa de Preços">
      <formula>NOT(ISERROR(SEARCH("Pesquisa de Preços",D8310)))</formula>
    </cfRule>
  </conditionalFormatting>
  <conditionalFormatting sqref="D8277">
    <cfRule type="containsText" dxfId="252" priority="193" operator="containsText" text="Pesquisa de Preços">
      <formula>NOT(ISERROR(SEARCH("Pesquisa de Preços",D8277)))</formula>
    </cfRule>
  </conditionalFormatting>
  <conditionalFormatting sqref="D7484">
    <cfRule type="containsText" dxfId="251" priority="189" operator="containsText" text="Pesquisa de Preços">
      <formula>NOT(ISERROR(SEARCH("Pesquisa de Preços",D7484)))</formula>
    </cfRule>
  </conditionalFormatting>
  <conditionalFormatting sqref="D8319">
    <cfRule type="containsText" dxfId="250" priority="190" operator="containsText" text="Pesquisa de Preços">
      <formula>NOT(ISERROR(SEARCH("Pesquisa de Preços",D8319)))</formula>
    </cfRule>
  </conditionalFormatting>
  <conditionalFormatting sqref="D8208">
    <cfRule type="containsText" dxfId="249" priority="188" operator="containsText" text="Pesquisa de Preços">
      <formula>NOT(ISERROR(SEARCH("Pesquisa de Preços",D8208)))</formula>
    </cfRule>
  </conditionalFormatting>
  <conditionalFormatting sqref="E8211">
    <cfRule type="containsText" dxfId="248" priority="184" operator="containsText" text="Pesquisa de Preços">
      <formula>NOT(ISERROR(SEARCH("Pesquisa de Preços",E8211)))</formula>
    </cfRule>
  </conditionalFormatting>
  <conditionalFormatting sqref="D8209">
    <cfRule type="containsText" dxfId="247" priority="187" operator="containsText" text="Pesquisa de Preços">
      <formula>NOT(ISERROR(SEARCH("Pesquisa de Preços",D8209)))</formula>
    </cfRule>
  </conditionalFormatting>
  <conditionalFormatting sqref="E8209:E8210">
    <cfRule type="containsText" dxfId="246" priority="186" operator="containsText" text="Pesquisa de Preços">
      <formula>NOT(ISERROR(SEARCH("Pesquisa de Preços",E8209)))</formula>
    </cfRule>
  </conditionalFormatting>
  <conditionalFormatting sqref="E8208">
    <cfRule type="containsText" dxfId="245" priority="185" operator="containsText" text="Pesquisa de Preços">
      <formula>NOT(ISERROR(SEARCH("Pesquisa de Preços",E8208)))</formula>
    </cfRule>
  </conditionalFormatting>
  <conditionalFormatting sqref="E1354">
    <cfRule type="containsText" dxfId="244" priority="178" operator="containsText" text="Pesquisa de Preços">
      <formula>NOT(ISERROR(SEARCH("Pesquisa de Preços",E1354)))</formula>
    </cfRule>
  </conditionalFormatting>
  <conditionalFormatting sqref="E296">
    <cfRule type="containsText" dxfId="243" priority="179" operator="containsText" text="Pesquisa de Preços">
      <formula>NOT(ISERROR(SEARCH("Pesquisa de Preços",E296)))</formula>
    </cfRule>
  </conditionalFormatting>
  <conditionalFormatting sqref="E1355">
    <cfRule type="containsText" dxfId="242" priority="177" operator="containsText" text="Pesquisa de Preços">
      <formula>NOT(ISERROR(SEARCH("Pesquisa de Preços",E1355)))</formula>
    </cfRule>
  </conditionalFormatting>
  <conditionalFormatting sqref="E1541">
    <cfRule type="containsText" dxfId="241" priority="176" operator="containsText" text="Pesquisa de Preços">
      <formula>NOT(ISERROR(SEARCH("Pesquisa de Preços",E1541)))</formula>
    </cfRule>
  </conditionalFormatting>
  <conditionalFormatting sqref="E1550">
    <cfRule type="containsText" dxfId="240" priority="175" operator="containsText" text="Pesquisa de Preços">
      <formula>NOT(ISERROR(SEARCH("Pesquisa de Preços",E1550)))</formula>
    </cfRule>
  </conditionalFormatting>
  <conditionalFormatting sqref="E1557">
    <cfRule type="containsText" dxfId="239" priority="174" operator="containsText" text="Pesquisa de Preços">
      <formula>NOT(ISERROR(SEARCH("Pesquisa de Preços",E1557)))</formula>
    </cfRule>
  </conditionalFormatting>
  <conditionalFormatting sqref="E1639:E1640">
    <cfRule type="containsText" dxfId="238" priority="166" operator="containsText" text="Pesquisa de Preços">
      <formula>NOT(ISERROR(SEARCH("Pesquisa de Preços",E1639)))</formula>
    </cfRule>
  </conditionalFormatting>
  <conditionalFormatting sqref="E1626:E1627">
    <cfRule type="containsText" dxfId="237" priority="167" operator="containsText" text="Pesquisa de Preços">
      <formula>NOT(ISERROR(SEARCH("Pesquisa de Preços",E1626)))</formula>
    </cfRule>
  </conditionalFormatting>
  <conditionalFormatting sqref="E1672">
    <cfRule type="containsText" dxfId="236" priority="165" operator="containsText" text="Pesquisa de Preços">
      <formula>NOT(ISERROR(SEARCH("Pesquisa de Preços",E1672)))</formula>
    </cfRule>
  </conditionalFormatting>
  <conditionalFormatting sqref="E1754">
    <cfRule type="containsText" dxfId="235" priority="164" operator="containsText" text="Pesquisa de Preços">
      <formula>NOT(ISERROR(SEARCH("Pesquisa de Preços",E1754)))</formula>
    </cfRule>
  </conditionalFormatting>
  <conditionalFormatting sqref="E1762">
    <cfRule type="containsText" dxfId="234" priority="163" operator="containsText" text="Pesquisa de Preços">
      <formula>NOT(ISERROR(SEARCH("Pesquisa de Preços",E1762)))</formula>
    </cfRule>
  </conditionalFormatting>
  <conditionalFormatting sqref="E1763">
    <cfRule type="containsText" dxfId="233" priority="162" operator="containsText" text="Pesquisa de Preços">
      <formula>NOT(ISERROR(SEARCH("Pesquisa de Preços",E1763)))</formula>
    </cfRule>
  </conditionalFormatting>
  <conditionalFormatting sqref="E1769">
    <cfRule type="containsText" dxfId="232" priority="161" operator="containsText" text="Pesquisa de Preços">
      <formula>NOT(ISERROR(SEARCH("Pesquisa de Preços",E1769)))</formula>
    </cfRule>
  </conditionalFormatting>
  <conditionalFormatting sqref="E1770">
    <cfRule type="containsText" dxfId="231" priority="160" operator="containsText" text="Pesquisa de Preços">
      <formula>NOT(ISERROR(SEARCH("Pesquisa de Preços",E1770)))</formula>
    </cfRule>
  </conditionalFormatting>
  <conditionalFormatting sqref="E1768">
    <cfRule type="containsText" dxfId="230" priority="159" operator="containsText" text="Pesquisa de Preços">
      <formula>NOT(ISERROR(SEARCH("Pesquisa de Preços",E1768)))</formula>
    </cfRule>
  </conditionalFormatting>
  <conditionalFormatting sqref="E1783">
    <cfRule type="containsText" dxfId="229" priority="158" operator="containsText" text="Pesquisa de Preços">
      <formula>NOT(ISERROR(SEARCH("Pesquisa de Preços",E1783)))</formula>
    </cfRule>
  </conditionalFormatting>
  <conditionalFormatting sqref="E1784">
    <cfRule type="containsText" dxfId="228" priority="157" operator="containsText" text="Pesquisa de Preços">
      <formula>NOT(ISERROR(SEARCH("Pesquisa de Preços",E1784)))</formula>
    </cfRule>
  </conditionalFormatting>
  <conditionalFormatting sqref="E936">
    <cfRule type="containsText" dxfId="227" priority="156" operator="containsText" text="Pesquisa de Preços">
      <formula>NOT(ISERROR(SEARCH("Pesquisa de Preços",E936)))</formula>
    </cfRule>
  </conditionalFormatting>
  <conditionalFormatting sqref="D8239">
    <cfRule type="containsText" dxfId="226" priority="149" operator="containsText" text="Pesquisa de Preços">
      <formula>NOT(ISERROR(SEARCH("Pesquisa de Preços",D8239)))</formula>
    </cfRule>
  </conditionalFormatting>
  <conditionalFormatting sqref="D8243">
    <cfRule type="containsText" dxfId="225" priority="148" operator="containsText" text="Pesquisa de Preços">
      <formula>NOT(ISERROR(SEARCH("Pesquisa de Preços",D8243)))</formula>
    </cfRule>
  </conditionalFormatting>
  <conditionalFormatting sqref="D2644">
    <cfRule type="containsText" dxfId="224" priority="139" operator="containsText" text="Pesquisa de Preços">
      <formula>NOT(ISERROR(SEARCH("Pesquisa de Preços",D2644)))</formula>
    </cfRule>
  </conditionalFormatting>
  <conditionalFormatting sqref="D8328 D8338">
    <cfRule type="containsText" dxfId="223" priority="132" operator="containsText" text="Pesquisa de Preços">
      <formula>NOT(ISERROR(SEARCH("Pesquisa de Preços",D8328)))</formula>
    </cfRule>
  </conditionalFormatting>
  <conditionalFormatting sqref="E8328">
    <cfRule type="containsText" dxfId="222" priority="128" operator="containsText" text="Pesquisa de Preços">
      <formula>NOT(ISERROR(SEARCH("Pesquisa de Preços",E8328)))</formula>
    </cfRule>
  </conditionalFormatting>
  <conditionalFormatting sqref="D8337 D8329:D8330">
    <cfRule type="containsText" dxfId="221" priority="131" operator="containsText" text="Pesquisa de Preços">
      <formula>NOT(ISERROR(SEARCH("Pesquisa de Preços",D8329)))</formula>
    </cfRule>
  </conditionalFormatting>
  <conditionalFormatting sqref="D8347 D8339:D8340">
    <cfRule type="containsText" dxfId="220" priority="130" operator="containsText" text="Pesquisa de Preços">
      <formula>NOT(ISERROR(SEARCH("Pesquisa de Preços",D8339)))</formula>
    </cfRule>
  </conditionalFormatting>
  <conditionalFormatting sqref="E8338">
    <cfRule type="containsText" dxfId="219" priority="126" operator="containsText" text="Pesquisa de Preços">
      <formula>NOT(ISERROR(SEARCH("Pesquisa de Preços",E8338)))</formula>
    </cfRule>
  </conditionalFormatting>
  <conditionalFormatting sqref="E8337 E8329:E8330">
    <cfRule type="containsText" dxfId="218" priority="129" operator="containsText" text="Pesquisa de Preços">
      <formula>NOT(ISERROR(SEARCH("Pesquisa de Preços",E8329)))</formula>
    </cfRule>
  </conditionalFormatting>
  <conditionalFormatting sqref="E8339 E8347">
    <cfRule type="containsText" dxfId="217" priority="127" operator="containsText" text="Pesquisa de Preços">
      <formula>NOT(ISERROR(SEARCH("Pesquisa de Preços",E8339)))</formula>
    </cfRule>
  </conditionalFormatting>
  <conditionalFormatting sqref="E8336">
    <cfRule type="containsText" dxfId="216" priority="124" operator="containsText" text="Pesquisa de Preços">
      <formula>NOT(ISERROR(SEARCH("Pesquisa de Preços",E8336)))</formula>
    </cfRule>
  </conditionalFormatting>
  <conditionalFormatting sqref="E8340">
    <cfRule type="containsText" dxfId="215" priority="125" operator="containsText" text="Pesquisa de Preços">
      <formula>NOT(ISERROR(SEARCH("Pesquisa de Preços",E8340)))</formula>
    </cfRule>
  </conditionalFormatting>
  <conditionalFormatting sqref="E8335">
    <cfRule type="containsText" dxfId="214" priority="123" operator="containsText" text="Pesquisa de Preços">
      <formula>NOT(ISERROR(SEARCH("Pesquisa de Preços",E8335)))</formula>
    </cfRule>
  </conditionalFormatting>
  <conditionalFormatting sqref="D8348">
    <cfRule type="containsText" dxfId="213" priority="118" operator="containsText" text="Pesquisa de Preços">
      <formula>NOT(ISERROR(SEARCH("Pesquisa de Preços",D8348)))</formula>
    </cfRule>
  </conditionalFormatting>
  <conditionalFormatting sqref="D8351:D8352">
    <cfRule type="containsText" dxfId="212" priority="117" operator="containsText" text="Pesquisa de Preços">
      <formula>NOT(ISERROR(SEARCH("Pesquisa de Preços",D8351)))</formula>
    </cfRule>
  </conditionalFormatting>
  <conditionalFormatting sqref="D8354">
    <cfRule type="containsText" dxfId="211" priority="112" operator="containsText" text="Pesquisa de Preços">
      <formula>NOT(ISERROR(SEARCH("Pesquisa de Preços",D8354)))</formula>
    </cfRule>
  </conditionalFormatting>
  <conditionalFormatting sqref="D8360">
    <cfRule type="containsText" dxfId="210" priority="101" operator="containsText" text="Pesquisa de Preços">
      <formula>NOT(ISERROR(SEARCH("Pesquisa de Preços",D8360)))</formula>
    </cfRule>
  </conditionalFormatting>
  <conditionalFormatting sqref="D8363:D8364">
    <cfRule type="containsText" dxfId="209" priority="100" operator="containsText" text="Pesquisa de Preços">
      <formula>NOT(ISERROR(SEARCH("Pesquisa de Preços",D8363)))</formula>
    </cfRule>
  </conditionalFormatting>
  <conditionalFormatting sqref="D8">
    <cfRule type="containsText" dxfId="208" priority="96" operator="containsText" text="Pesquisa de Preços">
      <formula>NOT(ISERROR(SEARCH("Pesquisa de Preços",D8)))</formula>
    </cfRule>
  </conditionalFormatting>
  <conditionalFormatting sqref="E1392">
    <cfRule type="containsText" dxfId="207" priority="97" operator="containsText" text="Pesquisa de Preços">
      <formula>NOT(ISERROR(SEARCH("Pesquisa de Preços",E1392)))</formula>
    </cfRule>
  </conditionalFormatting>
  <conditionalFormatting sqref="D8362 D8356:D8358 D8350 D8345:D8346 D8335:D8336 D8321:D8326 D8308:D8309 D8302:D8304 D8294:D8298 D8285:D8290 D8279:D8281 D8275 D8266:D8271 D8260 D8254:D8256 D8247:D8248 D8241:D8242 D8236:D8237 D8232 D8227 D8215:D8223 D8210:D8211 D8200:D8206 D8190:D8196 D8186 D8182 D8178 D8174 D8170 D8166 D8162 D8158 D8154 D8150 D8146 D8142 D8138 D8134 D8130 D8126 D8122 D8118 D8114 D8110 D8106 D8102 D8098 D8094 D8090 D8086 D8082 D8078 D8074 D8070 D8066 D8062 D8058 D8054 D8050 D8046 D8042 D8038 D8034 D8030 D8026 D8022 D8018 D8014 D8010 D8006 D8002 D7998 D7994 D7990 D7986 D7982 D7978 D7974 D7970 D7966 D7962 D7958 D7954 D7950 D7942 D7938 D7934 D7930 D7926 D7922 D7918 D7914 D7910 D7906 D7902 D7894 D7890 D7886 D7882 D7878 D7874 D7870 D7866 D7858 D7854 D7846 D7842 D7838 D7834 D7830 D7826 D7822 D7818 D7814 D7806 D7802 D7798 D7794 D7790 D7786 D7782 D7778 D7774 D7770 D7766 D7762 D7758 D7754 D7750 D7746 D7742 D7738 D7734 D7730 D7726 D7722 D7718 D7714 D7710 D7706 D7702 D7698 D7694 D7690 D7686 D7682 D7678 D7674 D7670 D7666 D7662 D7658 D7654 D7650 D7646 D7642 D7638 D7634 D7630 D7626 D7622 D7618 D7614 D7610 D7606 D7602 D7598 D7594 D7590 D7586 D7582 D7578 D7574 D7570 D7566 D7562 D7558 D7554 D7548:D7550 D7533:D7537 D7519:D7523 D7513:D7514 D7507:D7508 D7498:D7499 D7492:D7493 D7486:D7488 D7479:D7482 D7471:D7474 D7463:D7466 D7458 D7451:D7454 D7445:D7447 D7437:D7440 D7432:D7433 D7423:D7427 D7417:D7418 D7412:D7413 D7406:D7407 D7400:D7401 D7394:D7395 D7389 D7386:D7387 D7380:D7382 D7372:D7376 D7366:D7368 D7361 D7358:D7359 D7353:D7354 D7348:D7349 D7343:D7344 D7334:D7338 D7326:D7330 D7320:D7322 D7313:D7316 D7309 D7305 D7285 D7281 D7277 D7273 D7265 D7261 D7257 D7253 D7231:D7234 D7225:D7227 D7219:D7220 D7215 D7211 D7207 D7203 D7197 D7191 D7185 D7179 D7173 D7167 D7161 D7155 D7149 D7143 D7139 D7135 D7131 D7123 D7119 D7115 D7111 D7107 D7103 D7099 D7095 D7091 D7087 D7083 D7079 D7075 D7071 D7067 D7063 D7059 D7055 D7051 D7047 D7043 D7039 D7035 D7031 D7027 D7023 D7019 D7015 D7011 D7007 D7003 D6999 D6995 D6991 D6987 D6983 D6979 D6975 D6971 D6967 D6963 D6959 D6955 D6947 D6943 D6939 D6935 D6931 D6927 D6923 D6919 D6915 D6911 D6907 D6903 D6899 D6895 D6891 D6887 D6883 D6879 D6875 D6871 D6867 D6863 D6859 D6855 D6851 D6847 D6843 D6839 D6835 D6831 D6827 D6823 D6819 D6815 D6811 D6803 D6795 D6791 D6787 D6783 D6779 D6775 D6771 D6767 D6763 D6759 D6755 D6751 D6747 D6743 D6739 D6735 D6731 D6727 D6723 D6719 D6715 D6711 D6707 D6703 D6699 D6695 D6691 D6687 D6683 D6679 D6675 D6671 D6667 D6663 D6659 D6655 D6651 D6647 D6643 D6639 D6635 D6631 D6627 D6623 D6619 D6615 D6611 D6607 D6603 D6599 D6595 D6591 D6587 D6583 D6579 D6575 D6571 D6567 D6563 D6559 D6555 D6551 D6547 D6543 D6539 D6535 D6531 D6527 D6523 D6519 D6515 D6511 D6507 D6503 D6499 D6495 D6491 D6485:D6487 D6478:D6480 D6471:D6473 D6465:D6466 D6463 D6456:D6459 D6447:D6452 D6442:D6443 D6435:D6438 D6430:D6431 D6425:D6426 D6420:D6421 D6416 D6412 D6407:D6408 D6403 D6396:D6399 D6391:D6392 D6384:D6386 D6369:D6376 D6354:D6364 D6349:D6350 D6340:D6345 D6334:D6335 D6306:D6326 D6296:D6302 D6289:D6292 D6281:D6285 D6273:D6277 D6262:D6269 D6253:D6258 D6248:D6249 D6241:D6243 D6234:D6237 D6228:D6230 D6221:D6224 D6212:D6217 D6204:D6208 D6196:D6197 D6191:D6192 D6186:D6187 D6179:D6182 D6172:D6174 D6168:D6169 D6161:D6163 D6157:D6158 D6153 D6149 D6145 D6137:D6138 D6133 D6129 D6125 D6121 D6117 D6113 D6109 D6105 D6101 D6097 D6093 D6089 D6085 D6077 D6069 D6065 D6061 D6057 D6053 D6049 D6045 D6041 D6037 D6001 D5997 D5993 D5989 D5985 D5981 D5977 D5973 D5969 D5965 D5961 D5957 D5953 D5949 D5945 D5941 D5937 D5933 D5929 D5925 D5921 D5917 D5913 D5909 D5905 D5901 D5897 D5893 D5889 D5885 D5881 D5877 D5873 D5869 D5865 D5861 D5857 D5853 D5849 D5845 D5841 D5837 D5833 D5829 D5825 D5821 D5817 D5813 D5809 D5805 D5801 D5797 D5793 D5789 D5785 D5781 D5777 D5773 D5769 D5765 D5761 D5757 D5753 D5749 D5713 D5709 D5705 D5701 D5697 D5693 D5689 D5685 D5681 D5677 D5673 D5669 D5665 D5661 D5657 D5653 D5649 D5645 D5641 D5637 D5633 D5629 D5625 D5621 D5617 D5611 D5605 D5599 D5593 D5587 D5581 D5575 D5569 D5563 D5557 D5551 D5545 D5539 D5533 D5527 D5521 D5515 D5509 D5503 D5497 D5493 D5488:D5489 D5486 D5482 D5476:D5477 D5471:D5472 D5464:D5466 D5457:D5458 D5452:D5453 D5446:D5447 D5433:D5441 D5423:D5429 D5416:D5419 D5408:D5412 D5400:D5404 D5395:D5396 D5386:D5387 D5380:D5381 D5373:D5374 D5368:D5369 D5362:D5363 D5354:D5356 D5347:D5349 D5340:D5343 D5335:D5336 D5329:D5330 D5323:D5324 D5317:D5318 D5311:D5312 D5304:D5306 D5298:D5300 D5291:D5294 D5285:D5287 D5277:D5280 D5265:D5273 D5258:D5261 D5253:D5254 D5247:D5248 D5241:D5242 D5239 D5232:D5235 D5217:D5226 D5202:D5211 D5196:D5198 D5194 D5188:D5190 D5186 D5180:D5182 D5178 D5173:D5174 D5166:D5168 D5164 D5159:D5160 D5152:D5154 D5150 D5144:D5146 D5142 D5136:D5138 D5134 D5128:D5130 D5126 D5120:D5121 D5114 D5109:D5112 D5102:D5105 D5095:D5098 D5089:D5091 D5084:D5085 D5078:D5079 D5072:D5073 D5063:D5067 D5057:D5059 D5049:D5051 D5041:D5045 D5035:D5037 D5029:D5031 D5025 D5019:D5021 D5012:D5015 D5006:D5007 D4999:D5002 D4993:D4995 D4987:D4989 D4981:D4983 D4975:D4977 D4970:D4971 D4965:D4966 D4963 D4958:D4959 D4956 D4949:D4952 D4944:D4945 D4937 D4932:D4933 D4930 D4925:D4926 D4923 D4918:D4919 D4916 D4911:D4912 D4909 D4903:D4905 D4894:D4898 D4885:D4889 D4875:D4876 D4867:D4868 D4859:D4860 D4851:D4852 D4843:D4844 D4835:D4836 D4827:D4828 D4819:D4820 D4814 D4809 D4804 D4794:D4800 D4784:D4790 D4779:D4780 D4772:D4774 D4768:D4769 D4764 D4760 D4756 D4752 D4748 D4744 D4740 D4736 D4732 D4724:D4726 D4718 D4706:D4707 D4702:D4704 D4693:D4698 D4686 D4679:D4681 D4668 D4662:D4664 D4660 D4652:D4656 D4646:D4648 D4638:D4639 D4626:D4632 D4620:D4621 D4612:D4613 D4603:D4608 D4595:D4599 D4582:D4589 D4576:D4580 D4564:D4572 D4552:D4560 D4548 D4546 D4542 D4532:D4533 D4523:D4526 D4518:D4519 D4513:D4514 D4507:D4509 D4499:D4503 D4491:D4493 D4471:D4485 D4465 D4433:D4434 D4423:D4429 D4413:D4419 D4403:D4409 D4395:D4396 D4387:D4388 D4377:D4378 D4370:D4373 D4368 D4360:D4364 D4352:D4355 D4350 D4341:D4346 D4330:D4337 D4323 D4311:D4317 D4296:D4309 D4280:D4290 D4276 D4271 D4263:D4267 D4259 D4253:D4254 D4242:D4247 D4234:D4238 D4226:D4228 D4220:D4222 D4210:D4216 D4205:D4206 D4199:D4200 D4193:D4194 D4185:D4188 D4178:D4181 D4163:D4164 D4156 D4152:D4154 D4146:D4148 D4140 D4132:D4136 D4124:D4127 D4116:D4119 D4109:D4111 D4105 D4099 D4092:D4095 D4086:D4088 D4080:D4082 D4071:D4076 D4062:D4067 D4053:D4058 D4044:D4049 D4035:D4040 D4026:D4031 D4022 D4018 D4013 D4000:D4009 D3987:D3994 D3980:D3983 D3972:D3975 D3964:D3968 D3962 D3954:D3958 D3949:D3950 D3939:D3941 D3933:D3934 D3927:D3928 D3920:D3922 D3902:D3916 D3897:D3898 D3895 D3880:D3890 D3868:D3874 D3860:D3864 D3851:D3856 D3844:D3847 D3841:D3842 D3833 D3829:D3831 D3824 D3818 D3812 D3806 D3800 D3794 D3788 D3782 D3776 D3770 D3764 D3760 D3756 D3752 D3745:D3748 D3737:D3738 D3731:D3732 D3721:D3727 D3717 D3711 D3706:D3707 D3693:D3700 D3681:D3687 D3673:D3675 D3658:D3667 D3652:D3654 D3648 D3640:D3644 D3635:D3636 D3630:D3631 D3620:D3626 D3614:D3616 D3607:D3610 D3596 D3592:D3593 D3587:D3588 D3583 D3580 D3573:D3576 D3566:D3567 D3560:D3561 D3553 D3544:D3549 D3537:D3540 D3528:D3529 D3519:D3520 D3511 D3502:D3507 D3494:D3497 D3486 D3477:D3482 D3469:D3472 D3462 D3457:D3458 D3451 D3446:D3447 D3440 D3436:D3437 D3432 D3428 D3423:D3424 D3418:D3419 D3413:D3414 D3406:D3409 D3399:D3402 D3392:D3395 D3388 D3384 D3379:D3380 D3375 D3371 D3364:D3367 D3359:D3360 D3357 D3351:D3353 D3345:D3346 D3336:D3339 D3330:D3332 D3324:D3326 D3318:D3320 D3311:D3313 D3304:D3306 D3297:D3299 D3290:D3292 D3283:D3285 D3276:D3278 D3269:D3271 D3262:D3264 D3255:D3257 D3250 D3239:D3244 D3233:D3235 D3227:D3229 D3221:D3223 D3208:D3215 D3201:D3204 D3197 D3192:D3193 D3184:D3188 D3176:D3180 D3167:D3169 D3162:D3163 D3157:D3158 D3151:D3152 D3145:D3147 D3139:D3141 D3133:D3135 D3127 D3122 D3117 D3112 D3107 D3102 D3097 D3092 D3087 D3082 D3074:D3078 D3069 D3061:D3064 D3057 D3049:D3050 D3044 D3036:D3037 D3031 D3026 D3021 D3016 D3011 D3006 D3001 D2996 D2991 D2981:D2987 D2976 D2971 D2966 D2961 D2956 D2951 D2946 D2941 D2936 D2931 D2923:D2924 D2915:D2916 D2907:D2908 D2899:D2900 D2891:D2892 D2886 D2881 D2876 D2869:D2870 D2864 D2859 D2854 D2849 D2844 D2839 D2834 D2829 D2822 D2817 D2812 D2807 D2797:D2803 D2792:D2793 D2787:D2788 D2781:D2783 D2771:D2777 D2766:D2767 D2762 D2758 D2754 D2750 D2746 D2742 D2738 D2734 D2730 D2726 D2722 D2718 D2714 D2710 D2704 D2698 D2692 D2686 D2680 D2674 D2668 D2662 D2656 D2650 D2646 D2642 D2638 D2634 D2630 D2626 D2622 D2618 D2614 D2610 D2606 D2602 D2594 D2590 D2586 D2578:D2580 D2570:D2572 D2562:D2564 D2558 D2554 D2550 D2546 D2542 D2538 D2534 D2530 D2526 D2522 D2518 D2514 D2510 D2506 D2502 D2498 D2494 D2490 D2486 D2482 D2478 D2474 D2470 D2466 D2462 D2458 D2454 D2450 D2446 D2442 D2438 D2434 D2430 D2426 D2422 D2418 D2414 D2410 D2406 D2402 D2398 D2394 D2390 D2386 D2380:D2381 D2374:D2376 D2367:D2369 D2360:D2361 D2355:D2356 D2346:D2347 D2341 D2336 D2331:D2332 D2326:D2327 D2320:D2321 D2314:D2315 D2307:D2309 D2300:D2303 D2293:D2296 D2287 D2283:D2285 D2277 D2273:D2275 D2267 D2263:D2265 D2257 D2253:D2255 D2247 D2243:D2245 D2237:D2238 D2231 D2223:D2229 D2217:D2218 D2211:D2213 D2204:D2206 D2197:D2200 D2192:D2193 D2185:D2186 D2177:D2178 D2169:D2170 D2160:D2162 D2152:D2154 D2144:D2146 D2136:D2138 D2128:D2130 D2122:D2124 D2116:D2118 D2110:D2112 D2104:D2106 D2098:D2099 D2091:D2092 D2083:D2084 D2075:D2076 D2067:D2068 D2059:D2060 D2051:D2052 D2043:D2044 D2035:D2036 D2027:D2028 D2019:D2020 D2011:D2012 D2004:D2005 D1997:D2000 D1990:D1993 D1983:D1986 D1976:D1979 D1968:D1970 D1960:D1962 D1956 D1953:D1954 D1949 D1946:D1947 D1940:D1941 D1934:D1935 D1927 D1922 D1917 D1911:D1912 D1906:D1907 D1901:D1902 D1896:D1897 D1890:D1891 D1884:D1885 D1878:D1879 D1872:D1873 D1866:D1867 D1860:D1861 D1854:D1855 D1848:D1849 D1842:D1843 D1836:D1837 D1830:D1831 D1824:D1825 D1819:D1820 D1817 D1811:D1812 D1805:D1806 D1800:D1801 D1795:D1796 D1789:D1791 D1784 D1781:D1782 D1777 D1774:D1775 D1770 D1767:D1768 D1763 D1760:D1761 D1756 D1753:D1754 D1749 D1746:D1747 D1742 D1739:D1740 D1734:D1735 D1724:D1725 D1714:D1715 D1704:D1705 D1691:D1692 D1686:D1687 D1678:D1679 D1671:D1672 D1665:D1666 D1660 D1655 D1650 D1644:D1645 D1638:D1640 D1632:D1634 D1626:D1627 D1621 D1615:D1617 D1609:D1611 D1604 D1597:D1598 D1591:D1593 D1583:D1586 D1576:D1579 D1567 D1562:D1563 D1554:D1557 D1547:D1550 D1540:D1543 D1533:D1536 D1528:D1529 D1522:D1523 D1516:D1517 D1510:D1511 D1504:D1505 D1493 D1488:D1489 D1478 D1473:D1474 D1463 D1458:D1459 D1448 D1443:D1444 D1433 D1428:D1429 D1418 D1413:D1414 D1403 D1398:D1399 D1391:D1394 D1386:D1387 D1379:D1380 D1373:D1375 D1366:D1367 D1360:D1361 D1354:D1355 D1347:D1350 D1341:D1342 D1334:D1337 D1329:D1330 D1323:D1324 D1317:D1318 D1311:D1312 D1304:D1305 D1301:D1302 D1294:D1297 D1289 D1286:D1287 D1280:D1282 D1273:D1275 D1266:D1268 D1259:D1260 D1252:D1255 D1245:D1248 D1238:D1241 D1233:D1234 D1227:D1228 D1221:D1222 D1215:D1216 D1207:D1210 D1201:D1203 D1193:D1196 D1187:D1189 D1180:D1182 D1173:D1175 D1166:D1168 D1159:D1161 D1151:D1154 D1144:D1147 D1138:D1140 D1130:D1133 D1125:D1126 D1120:D1121 D1115 D1110 D1102:D1105 D1091:D1095 D1083:D1087 D1075:D1079 D1066:D1069 D1059:D1062 D1053:D1055 D1046:D1048 D1039:D1041 D1030:D1034 D1021:D1025 D1019 D1015 D1005:D1010 D1001 D996 D986:D991 D977:D982 D971:D973 D963:D966 D956:D959 D950:D952 D943:D946 D936:D939 D929:D932 D922:D925 D915:D918 D909:D910 D905 D898:D899 D893:D894 D885:D889 D877:D881 D869:D871 D864:D865 D859:D860 D852:D854 D847 D841:D843 D834:D837 D829:D830 D825 D820:D821 D816 D806:D812 D792:D802 D785:D786 D776:D781 D774 D768:D770 D757:D764 D752:D753 D750 D739:D742 D732:D734 D725:D728 D716:D721 D709:D712 D706:D707 D699:D702 D690:D694 D688 D681:D684 D678:D679 D671:D674 D666 D662 D658 D654 D650 D646 D639:D642 D631:D634 D623:D626 D617:D619 D609:D611 D599:D602 D590:D593 D582:D584 D572:D575 D563:D566 D555:D559 D547:D551 D539:D543 D533:D535 D526 D520 D513:D515 D506:D509 D499:D502 D491 D485:D486 D476 D473:D474 D466:D469 D456:D459 D448:D449 D442:D444 D436:D438 D424:D432 D417:D420 D403:D413 D396:D399 D382:D392 D373:D378 D367:D369 D359:D361 D353:D357 D343:D349 D334:D335 D331:D332 D328:D329 D322:D324 D307:D316 D292:D301 D285:D288 D278:D281 D270:D274 D265:D266 D260 D253:D258 D250:D251 D242:D246 D238 D234 D230 D226 D221:D222 D216:D217 D212 D207:D208 D203 D199 D192:D195 D185:D186 D181 D177 D173 D168:D169 D163:D164 D156:D157 D151:D152 D146:D147 D141:D142 D137 D133 D128:D129 D123:D124 D118:D119 D113:D114 D108:D109 D104 D99:D100 D94:D95 D89:D90 D84:D85 D79:D80 D71:D75 D66:D67 D61:D62 D54:D57 D49:D50 D44:D45 D39:D40 D35 D30:D31 D25:D26 D20 D16 D12 D4528 D4535:D4537 D4670 D3835 D4450:D4452">
    <cfRule type="containsText" dxfId="206" priority="95" operator="containsText" text="Pesquisa de Preços">
      <formula>NOT(ISERROR(SEARCH("Pesquisa de Preços",D12)))</formula>
    </cfRule>
  </conditionalFormatting>
  <conditionalFormatting sqref="D8385">
    <cfRule type="containsText" dxfId="205" priority="84" operator="containsText" text="Pesquisa de Preços">
      <formula>NOT(ISERROR(SEARCH("Pesquisa de Preços",D8385)))</formula>
    </cfRule>
  </conditionalFormatting>
  <conditionalFormatting sqref="D4527">
    <cfRule type="containsText" dxfId="204" priority="92" operator="containsText" text="Pesquisa de Preços">
      <formula>NOT(ISERROR(SEARCH("Pesquisa de Preços",D4527)))</formula>
    </cfRule>
  </conditionalFormatting>
  <conditionalFormatting sqref="D4534">
    <cfRule type="containsText" dxfId="203" priority="89" operator="containsText" text="Pesquisa de Preços">
      <formula>NOT(ISERROR(SEARCH("Pesquisa de Preços",D4534)))</formula>
    </cfRule>
  </conditionalFormatting>
  <conditionalFormatting sqref="D8366">
    <cfRule type="containsText" dxfId="202" priority="75" operator="containsText" text="Pesquisa de Preços">
      <formula>NOT(ISERROR(SEARCH("Pesquisa de Preços",D8366)))</formula>
    </cfRule>
  </conditionalFormatting>
  <conditionalFormatting sqref="D8369">
    <cfRule type="containsText" dxfId="201" priority="74" operator="containsText" text="Pesquisa de Preços">
      <formula>NOT(ISERROR(SEARCH("Pesquisa de Preços",D8369)))</formula>
    </cfRule>
  </conditionalFormatting>
  <conditionalFormatting sqref="D8368">
    <cfRule type="containsText" dxfId="200" priority="73" operator="containsText" text="Pesquisa de Preços">
      <formula>NOT(ISERROR(SEARCH("Pesquisa de Preços",D8368)))</formula>
    </cfRule>
  </conditionalFormatting>
  <conditionalFormatting sqref="D4669">
    <cfRule type="containsText" dxfId="199" priority="70" operator="containsText" text="Pesquisa de Preços">
      <formula>NOT(ISERROR(SEARCH("Pesquisa de Preços",D4669)))</formula>
    </cfRule>
  </conditionalFormatting>
  <conditionalFormatting sqref="E5386">
    <cfRule type="containsText" dxfId="198" priority="67" operator="containsText" text="Pesquisa de Preços">
      <formula>NOT(ISERROR(SEARCH("Pesquisa de Preços",E5386)))</formula>
    </cfRule>
  </conditionalFormatting>
  <conditionalFormatting sqref="D6330">
    <cfRule type="containsText" dxfId="197" priority="64" operator="containsText" text="Pesquisa de Preços">
      <formula>NOT(ISERROR(SEARCH("Pesquisa de Preços",D6330)))</formula>
    </cfRule>
  </conditionalFormatting>
  <conditionalFormatting sqref="D6331">
    <cfRule type="containsText" dxfId="196" priority="63" operator="containsText" text="Pesquisa de Preços">
      <formula>NOT(ISERROR(SEARCH("Pesquisa de Preços",D6331)))</formula>
    </cfRule>
  </conditionalFormatting>
  <conditionalFormatting sqref="D6332">
    <cfRule type="containsText" dxfId="195" priority="62" operator="containsText" text="Pesquisa de Preços">
      <formula>NOT(ISERROR(SEARCH("Pesquisa de Preços",D6332)))</formula>
    </cfRule>
  </conditionalFormatting>
  <conditionalFormatting sqref="D6333">
    <cfRule type="containsText" dxfId="194" priority="61" operator="containsText" text="Pesquisa de Preços">
      <formula>NOT(ISERROR(SEARCH("Pesquisa de Preços",D6333)))</formula>
    </cfRule>
  </conditionalFormatting>
  <conditionalFormatting sqref="D8372">
    <cfRule type="containsText" dxfId="193" priority="53" operator="containsText" text="Pesquisa de Preços">
      <formula>NOT(ISERROR(SEARCH("Pesquisa de Preços",D8372)))</formula>
    </cfRule>
  </conditionalFormatting>
  <conditionalFormatting sqref="D8370">
    <cfRule type="containsText" dxfId="192" priority="54" operator="containsText" text="Pesquisa de Preços">
      <formula>NOT(ISERROR(SEARCH("Pesquisa de Preços",D8370)))</formula>
    </cfRule>
  </conditionalFormatting>
  <conditionalFormatting sqref="D8373:D8374">
    <cfRule type="containsText" dxfId="191" priority="52" operator="containsText" text="Pesquisa de Preços">
      <formula>NOT(ISERROR(SEARCH("Pesquisa de Preços",D8373)))</formula>
    </cfRule>
  </conditionalFormatting>
  <conditionalFormatting sqref="D8387:D8389">
    <cfRule type="containsText" dxfId="190" priority="51" operator="containsText" text="Pesquisa de Preços">
      <formula>NOT(ISERROR(SEARCH("Pesquisa de Preços",D8387)))</formula>
    </cfRule>
  </conditionalFormatting>
  <conditionalFormatting sqref="D8376">
    <cfRule type="containsText" dxfId="189" priority="50" operator="containsText" text="Pesquisa de Preços">
      <formula>NOT(ISERROR(SEARCH("Pesquisa de Preços",D8376)))</formula>
    </cfRule>
  </conditionalFormatting>
  <conditionalFormatting sqref="E8376">
    <cfRule type="containsText" dxfId="188" priority="47" operator="containsText" text="Pesquisa de Preços">
      <formula>NOT(ISERROR(SEARCH("Pesquisa de Preços",E8376)))</formula>
    </cfRule>
  </conditionalFormatting>
  <conditionalFormatting sqref="D8384 D8377:D8378">
    <cfRule type="containsText" dxfId="187" priority="49" operator="containsText" text="Pesquisa de Preços">
      <formula>NOT(ISERROR(SEARCH("Pesquisa de Preços",D8377)))</formula>
    </cfRule>
  </conditionalFormatting>
  <conditionalFormatting sqref="E8384 E8377:E8378">
    <cfRule type="containsText" dxfId="186" priority="48" operator="containsText" text="Pesquisa de Preços">
      <formula>NOT(ISERROR(SEARCH("Pesquisa de Preços",E8377)))</formula>
    </cfRule>
  </conditionalFormatting>
  <conditionalFormatting sqref="E8383">
    <cfRule type="containsText" dxfId="185" priority="46" operator="containsText" text="Pesquisa de Preços">
      <formula>NOT(ISERROR(SEARCH("Pesquisa de Preços",E8383)))</formula>
    </cfRule>
  </conditionalFormatting>
  <conditionalFormatting sqref="E8382">
    <cfRule type="containsText" dxfId="184" priority="45" operator="containsText" text="Pesquisa de Preços">
      <formula>NOT(ISERROR(SEARCH("Pesquisa de Preços",E8382)))</formula>
    </cfRule>
  </conditionalFormatting>
  <conditionalFormatting sqref="D8382:D8383">
    <cfRule type="containsText" dxfId="183" priority="44" operator="containsText" text="Pesquisa de Preços">
      <formula>NOT(ISERROR(SEARCH("Pesquisa de Preços",D8382)))</formula>
    </cfRule>
  </conditionalFormatting>
  <conditionalFormatting sqref="D3595">
    <cfRule type="containsText" dxfId="182" priority="41" operator="containsText" text="Pesquisa de Preços">
      <formula>NOT(ISERROR(SEARCH("Pesquisa de Preços",D3595)))</formula>
    </cfRule>
  </conditionalFormatting>
  <conditionalFormatting sqref="D3594">
    <cfRule type="containsText" dxfId="181" priority="40" operator="containsText" text="Pesquisa de Preços">
      <formula>NOT(ISERROR(SEARCH("Pesquisa de Preços",D3594)))</formula>
    </cfRule>
  </conditionalFormatting>
  <conditionalFormatting sqref="D3834">
    <cfRule type="containsText" dxfId="180" priority="37" operator="containsText" text="Pesquisa de Preços">
      <formula>NOT(ISERROR(SEARCH("Pesquisa de Preços",D3834)))</formula>
    </cfRule>
  </conditionalFormatting>
  <conditionalFormatting sqref="D4458">
    <cfRule type="containsText" dxfId="179" priority="36" operator="containsText" text="Pesquisa de Preços">
      <formula>NOT(ISERROR(SEARCH("Pesquisa de Preços",D4458)))</formula>
    </cfRule>
  </conditionalFormatting>
  <conditionalFormatting sqref="D4447:D4449">
    <cfRule type="containsText" dxfId="178" priority="31" operator="containsText" text="Pesquisa de Preços">
      <formula>NOT(ISERROR(SEARCH("Pesquisa de Preços",D4447)))</formula>
    </cfRule>
  </conditionalFormatting>
  <conditionalFormatting sqref="D4441:D4442 D4444:D4446">
    <cfRule type="containsText" dxfId="177" priority="30" operator="containsText" text="Pesquisa de Preços">
      <formula>NOT(ISERROR(SEARCH("Pesquisa de Preços",D4441)))</formula>
    </cfRule>
  </conditionalFormatting>
  <conditionalFormatting sqref="D4443">
    <cfRule type="containsText" dxfId="176" priority="29" operator="containsText" text="Pesquisa de Preços">
      <formula>NOT(ISERROR(SEARCH("Pesquisa de Preços",D4443)))</formula>
    </cfRule>
  </conditionalFormatting>
  <conditionalFormatting sqref="D5717">
    <cfRule type="containsText" dxfId="175" priority="20" operator="containsText" text="Pesquisa de Preços">
      <formula>NOT(ISERROR(SEARCH("Pesquisa de Preços",D5717)))</formula>
    </cfRule>
  </conditionalFormatting>
  <conditionalFormatting sqref="D5721">
    <cfRule type="containsText" dxfId="174" priority="15" operator="containsText" text="Pesquisa de Preços">
      <formula>NOT(ISERROR(SEARCH("Pesquisa de Preços",D5721)))</formula>
    </cfRule>
  </conditionalFormatting>
  <conditionalFormatting sqref="D8312">
    <cfRule type="containsText" dxfId="173" priority="2" operator="containsText" text="Pesquisa de Preços">
      <formula>NOT(ISERROR(SEARCH("Pesquisa de Preços",D8312)))</formula>
    </cfRule>
  </conditionalFormatting>
  <conditionalFormatting sqref="D8314:D8317">
    <cfRule type="containsText" dxfId="172" priority="1" operator="containsText" text="Pesquisa de Preços">
      <formula>NOT(ISERROR(SEARCH("Pesquisa de Preços",D8314)))</formula>
    </cfRule>
  </conditionalFormatting>
  <hyperlinks>
    <hyperlink ref="C462" r:id="rId1"/>
    <hyperlink ref="C496" r:id="rId2"/>
    <hyperlink ref="C495" r:id="rId3"/>
    <hyperlink ref="C481" r:id="rId4"/>
    <hyperlink ref="C4642" r:id="rId5"/>
    <hyperlink ref="C4710" r:id="rId6"/>
    <hyperlink ref="C4689" r:id="rId7"/>
    <hyperlink ref="C3172" r:id="rId8"/>
    <hyperlink ref="C480" r:id="rId9"/>
  </hyperlinks>
  <printOptions horizontalCentered="1"/>
  <pageMargins left="0.19685039370078741" right="0.19685039370078741" top="0.98425196850393704" bottom="0.59055118110236227" header="0.19685039370078741" footer="0.19685039370078741"/>
  <pageSetup paperSize="9" scale="56" fitToHeight="0" orientation="landscape"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50" manualBreakCount="50">
    <brk id="231" max="16383" man="1"/>
    <brk id="340" max="16383" man="1"/>
    <brk id="482" max="16383" man="1"/>
    <brk id="523" max="16383" man="1"/>
    <brk id="578" max="16383" man="1"/>
    <brk id="636" max="16383" man="1"/>
    <brk id="703" max="16383" man="1"/>
    <brk id="771" max="16383" man="1"/>
    <brk id="803" max="16383" man="1"/>
    <brk id="855" max="16383" man="1"/>
    <brk id="2551" max="16383" man="1"/>
    <brk id="2619" max="16383" man="1"/>
    <brk id="2659" max="16383" man="1"/>
    <brk id="2739" max="16383" man="1"/>
    <brk id="2784" max="16383" man="1"/>
    <brk id="2831" max="16383" man="1"/>
    <brk id="2873" max="16383" man="1"/>
    <brk id="2920" max="16383" man="1"/>
    <brk id="2963" max="16383" man="1"/>
    <brk id="3003" max="16383" man="1"/>
    <brk id="3046" max="16383" man="1"/>
    <brk id="3099" max="16383" man="1"/>
    <brk id="3148" max="16383" man="1"/>
    <brk id="3396" max="16383" man="1"/>
    <brk id="3632" max="16383" man="1"/>
    <brk id="3749" max="16383" man="1"/>
    <brk id="4137" max="16383" man="1"/>
    <brk id="4182" max="16383" man="1"/>
    <brk id="4223" max="16383" man="1"/>
    <brk id="4268" max="16383" man="1"/>
    <brk id="4293" max="16383" man="1"/>
    <brk id="4320" max="16383" man="1"/>
    <brk id="4356" max="16383" man="1"/>
    <brk id="4384" max="16383" man="1"/>
    <brk id="4410" max="16383" man="1"/>
    <brk id="4453" max="16383" man="1"/>
    <brk id="4496" max="16383" man="1"/>
    <brk id="4529" max="16383" man="1"/>
    <brk id="4561" max="16383" man="1"/>
    <brk id="4600" max="16383" man="1"/>
    <brk id="4635" max="16383" man="1"/>
    <brk id="4682" max="16383" man="1"/>
    <brk id="4721" max="16383" man="1"/>
    <brk id="6130" max="16383" man="1"/>
    <brk id="6427" max="16383" man="1"/>
    <brk id="7459" max="16383" man="1"/>
    <brk id="8183" max="16383" man="1"/>
    <brk id="8224" max="16383" man="1"/>
    <brk id="8282" max="16383" man="1"/>
    <brk id="8327"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filterMode="1">
    <pageSetUpPr fitToPage="1"/>
  </sheetPr>
  <dimension ref="A1:I711"/>
  <sheetViews>
    <sheetView view="pageBreakPreview" zoomScale="60" zoomScaleNormal="80" workbookViewId="0">
      <pane ySplit="5" topLeftCell="A6" activePane="bottomLeft" state="frozen"/>
      <selection pane="bottomLeft" activeCell="A3" sqref="A1:I711"/>
    </sheetView>
  </sheetViews>
  <sheetFormatPr defaultRowHeight="15" x14ac:dyDescent="0.25"/>
  <cols>
    <col min="1" max="1" width="46.85546875" customWidth="1"/>
    <col min="2" max="2" width="65.7109375" style="3"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10" t="s">
        <v>2026</v>
      </c>
      <c r="B1" s="111"/>
      <c r="C1" s="110"/>
      <c r="D1" s="110"/>
      <c r="E1" s="110"/>
      <c r="F1" s="110"/>
      <c r="G1" s="110"/>
      <c r="H1" s="112"/>
      <c r="I1" s="113"/>
    </row>
    <row r="2" spans="1:9" ht="24.95" customHeight="1" x14ac:dyDescent="0.25">
      <c r="A2" s="8" t="s">
        <v>2017</v>
      </c>
      <c r="B2" s="9"/>
      <c r="C2" s="9"/>
      <c r="D2" s="9"/>
      <c r="E2" s="9"/>
      <c r="F2" s="9"/>
      <c r="G2" s="9"/>
      <c r="H2" s="12"/>
      <c r="I2" s="113"/>
    </row>
    <row r="3" spans="1:9" ht="20.100000000000001" customHeight="1" x14ac:dyDescent="0.25">
      <c r="A3" s="13" t="s">
        <v>0</v>
      </c>
      <c r="B3" s="13"/>
      <c r="C3" s="13"/>
      <c r="D3" s="13"/>
      <c r="E3" s="13"/>
      <c r="F3" s="13"/>
      <c r="G3" s="13"/>
      <c r="H3" s="13"/>
      <c r="I3" s="114"/>
    </row>
    <row r="4" spans="1:9" ht="15.75" thickBot="1" x14ac:dyDescent="0.3">
      <c r="A4" s="115"/>
      <c r="B4" s="116"/>
      <c r="C4" s="116"/>
      <c r="D4" s="116"/>
      <c r="E4" s="116"/>
      <c r="F4" s="116"/>
      <c r="G4" s="116"/>
      <c r="H4" s="117"/>
      <c r="I4" s="118"/>
    </row>
    <row r="5" spans="1:9" ht="30.75" thickBot="1" x14ac:dyDescent="0.3">
      <c r="A5" s="21" t="s">
        <v>14</v>
      </c>
      <c r="B5" s="22" t="s">
        <v>15</v>
      </c>
      <c r="C5" s="22" t="s">
        <v>16</v>
      </c>
      <c r="D5" s="22" t="s">
        <v>17</v>
      </c>
      <c r="E5" s="22" t="s">
        <v>18</v>
      </c>
      <c r="F5" s="22" t="s">
        <v>19</v>
      </c>
      <c r="G5" s="25" t="s">
        <v>2018</v>
      </c>
      <c r="H5" s="26"/>
      <c r="I5" s="119" t="s">
        <v>21</v>
      </c>
    </row>
    <row r="6" spans="1:9" ht="26.25" customHeight="1" thickBot="1" x14ac:dyDescent="0.3">
      <c r="A6" s="255" t="s">
        <v>4740</v>
      </c>
      <c r="B6" s="61" t="s">
        <v>23</v>
      </c>
      <c r="C6" s="120" t="s">
        <v>3764</v>
      </c>
      <c r="D6" s="121"/>
      <c r="E6" s="122" t="s">
        <v>23</v>
      </c>
      <c r="F6" s="122" t="str">
        <f t="shared" ref="F6:F69" si="0">IF(ISNUMBER(E6),E6*$D6,"")</f>
        <v/>
      </c>
      <c r="G6" s="123"/>
      <c r="H6" s="33"/>
      <c r="I6" s="124">
        <v>3.72</v>
      </c>
    </row>
    <row r="7" spans="1:9" x14ac:dyDescent="0.25">
      <c r="A7" s="255"/>
      <c r="B7" s="36" t="s">
        <v>23</v>
      </c>
      <c r="C7" s="36"/>
      <c r="D7" s="125"/>
      <c r="E7" s="35" t="s">
        <v>23</v>
      </c>
      <c r="F7" s="35" t="str">
        <f t="shared" si="0"/>
        <v/>
      </c>
      <c r="G7" s="39"/>
      <c r="H7" s="35"/>
      <c r="I7" s="124">
        <v>3.72</v>
      </c>
    </row>
    <row r="8" spans="1:9" ht="25.5" x14ac:dyDescent="0.25">
      <c r="A8" s="255"/>
      <c r="B8" s="40" t="s">
        <v>3763</v>
      </c>
      <c r="C8" s="40" t="s">
        <v>3764</v>
      </c>
      <c r="D8" s="41">
        <v>1.07</v>
      </c>
      <c r="E8" s="35">
        <v>204.23099999999999</v>
      </c>
      <c r="F8" s="38">
        <f t="shared" si="0"/>
        <v>218.52717000000001</v>
      </c>
      <c r="G8" s="48">
        <f>SUM(F8:F12)</f>
        <v>763.57365893750011</v>
      </c>
      <c r="H8" s="49"/>
      <c r="I8" s="124">
        <v>3.72</v>
      </c>
    </row>
    <row r="9" spans="1:9" x14ac:dyDescent="0.25">
      <c r="A9" s="255"/>
      <c r="B9" s="40" t="s">
        <v>3759</v>
      </c>
      <c r="C9" s="40" t="s">
        <v>1035</v>
      </c>
      <c r="D9" s="41">
        <v>482.96</v>
      </c>
      <c r="E9" s="38">
        <v>0.627</v>
      </c>
      <c r="F9" s="38">
        <f t="shared" si="0"/>
        <v>302.81592000000001</v>
      </c>
      <c r="G9" s="48"/>
      <c r="H9" s="49"/>
      <c r="I9" s="124">
        <v>3.72</v>
      </c>
    </row>
    <row r="10" spans="1:9" x14ac:dyDescent="0.25">
      <c r="A10" s="255"/>
      <c r="B10" s="40" t="s">
        <v>3754</v>
      </c>
      <c r="C10" s="40" t="s">
        <v>3752</v>
      </c>
      <c r="D10" s="41">
        <v>8.57</v>
      </c>
      <c r="E10" s="35">
        <v>20.814499999999999</v>
      </c>
      <c r="F10" s="38">
        <f t="shared" si="0"/>
        <v>178.38026500000001</v>
      </c>
      <c r="G10" s="48"/>
      <c r="H10" s="49"/>
      <c r="I10" s="124">
        <v>3.72</v>
      </c>
    </row>
    <row r="11" spans="1:9" ht="51" x14ac:dyDescent="0.25">
      <c r="A11" s="255"/>
      <c r="B11" s="40" t="s">
        <v>4752</v>
      </c>
      <c r="C11" s="40" t="s">
        <v>3764</v>
      </c>
      <c r="D11" s="41">
        <f>ROUND(1*D8,4)</f>
        <v>1.07</v>
      </c>
      <c r="E11" s="35">
        <v>7.75243225</v>
      </c>
      <c r="F11" s="38">
        <f t="shared" si="0"/>
        <v>8.2951025075000011</v>
      </c>
      <c r="G11" s="48"/>
      <c r="H11" s="49"/>
      <c r="I11" s="124">
        <v>3.72</v>
      </c>
    </row>
    <row r="12" spans="1:9" ht="38.25" x14ac:dyDescent="0.25">
      <c r="A12" s="255"/>
      <c r="B12" s="40" t="s">
        <v>4749</v>
      </c>
      <c r="C12" s="40" t="s">
        <v>4744</v>
      </c>
      <c r="D12" s="41">
        <f>ROUND(D8*20,4)</f>
        <v>21.4</v>
      </c>
      <c r="E12" s="35">
        <v>2.5960374499999999</v>
      </c>
      <c r="F12" s="38">
        <f t="shared" si="0"/>
        <v>55.555201429999997</v>
      </c>
      <c r="G12" s="48"/>
      <c r="H12" s="49"/>
      <c r="I12" s="124">
        <v>3.72</v>
      </c>
    </row>
    <row r="13" spans="1:9" x14ac:dyDescent="0.25">
      <c r="A13" s="255"/>
      <c r="B13" s="52"/>
      <c r="C13" s="53"/>
      <c r="D13" s="41"/>
      <c r="E13" s="35" t="s">
        <v>23</v>
      </c>
      <c r="F13" s="38" t="str">
        <f t="shared" si="0"/>
        <v/>
      </c>
      <c r="G13" s="48"/>
      <c r="H13" s="49"/>
      <c r="I13" s="124">
        <v>3.72</v>
      </c>
    </row>
    <row r="14" spans="1:9" x14ac:dyDescent="0.25">
      <c r="A14" s="255"/>
      <c r="B14" s="50" t="s">
        <v>646</v>
      </c>
      <c r="C14" s="53"/>
      <c r="D14" s="41"/>
      <c r="E14" s="35" t="s">
        <v>23</v>
      </c>
      <c r="F14" s="38" t="str">
        <f t="shared" si="0"/>
        <v/>
      </c>
      <c r="G14" s="48"/>
      <c r="H14" s="49"/>
      <c r="I14" s="124">
        <v>3.72</v>
      </c>
    </row>
    <row r="15" spans="1:9" ht="15.75" thickBot="1" x14ac:dyDescent="0.3">
      <c r="A15" s="269"/>
      <c r="B15" s="40" t="s">
        <v>23</v>
      </c>
      <c r="C15" s="40"/>
      <c r="D15" s="126"/>
      <c r="E15" s="35" t="s">
        <v>23</v>
      </c>
      <c r="F15" s="38" t="str">
        <f t="shared" si="0"/>
        <v/>
      </c>
      <c r="G15" s="39"/>
      <c r="H15" s="35"/>
      <c r="I15" s="124">
        <v>3.72</v>
      </c>
    </row>
    <row r="16" spans="1:9" ht="15.75" hidden="1" customHeight="1" thickBot="1" x14ac:dyDescent="0.3">
      <c r="A16" s="268" t="s">
        <v>4714</v>
      </c>
      <c r="B16" s="28" t="s">
        <v>23</v>
      </c>
      <c r="C16" s="29" t="s">
        <v>291</v>
      </c>
      <c r="D16" s="127"/>
      <c r="E16" s="45" t="s">
        <v>23</v>
      </c>
      <c r="F16" s="45" t="str">
        <f t="shared" si="0"/>
        <v/>
      </c>
      <c r="G16" s="32"/>
      <c r="H16" s="33"/>
      <c r="I16" s="124">
        <v>0</v>
      </c>
    </row>
    <row r="17" spans="1:9" ht="15.75" hidden="1" thickBot="1" x14ac:dyDescent="0.3">
      <c r="A17" s="255"/>
      <c r="B17" s="36" t="s">
        <v>23</v>
      </c>
      <c r="C17" s="36"/>
      <c r="D17" s="125"/>
      <c r="E17" s="46" t="s">
        <v>23</v>
      </c>
      <c r="F17" s="35" t="str">
        <f t="shared" si="0"/>
        <v/>
      </c>
      <c r="G17" s="39"/>
      <c r="H17" s="35"/>
      <c r="I17" s="124">
        <v>0</v>
      </c>
    </row>
    <row r="18" spans="1:9" ht="26.25" hidden="1" thickBot="1" x14ac:dyDescent="0.3">
      <c r="A18" s="255"/>
      <c r="B18" s="40" t="s">
        <v>4119</v>
      </c>
      <c r="C18" s="40" t="s">
        <v>3752</v>
      </c>
      <c r="D18" s="41">
        <v>2.2700000000000001E-2</v>
      </c>
      <c r="E18" s="35">
        <v>21.555499999999999</v>
      </c>
      <c r="F18" s="38">
        <f t="shared" si="0"/>
        <v>0.48930984999999999</v>
      </c>
      <c r="G18" s="48">
        <f>SUM(F18:F19)</f>
        <v>4.9212859499999997</v>
      </c>
      <c r="H18" s="49"/>
      <c r="I18" s="124">
        <v>0</v>
      </c>
    </row>
    <row r="19" spans="1:9" ht="26.25" hidden="1" thickBot="1" x14ac:dyDescent="0.3">
      <c r="A19" s="255"/>
      <c r="B19" s="40" t="s">
        <v>4110</v>
      </c>
      <c r="C19" s="40" t="s">
        <v>3752</v>
      </c>
      <c r="D19" s="41">
        <v>0.16209999999999999</v>
      </c>
      <c r="E19" s="35">
        <v>27.341000000000001</v>
      </c>
      <c r="F19" s="38">
        <f t="shared" si="0"/>
        <v>4.4319761</v>
      </c>
      <c r="G19" s="48"/>
      <c r="H19" s="49"/>
      <c r="I19" s="124">
        <v>0</v>
      </c>
    </row>
    <row r="20" spans="1:9" ht="15.75" hidden="1" thickBot="1" x14ac:dyDescent="0.3">
      <c r="A20" s="269"/>
      <c r="B20" s="40" t="s">
        <v>23</v>
      </c>
      <c r="C20" s="40"/>
      <c r="D20" s="126"/>
      <c r="E20" s="35" t="s">
        <v>23</v>
      </c>
      <c r="F20" s="35" t="str">
        <f t="shared" si="0"/>
        <v/>
      </c>
      <c r="G20" s="39"/>
      <c r="H20" s="35"/>
      <c r="I20" s="124">
        <v>0</v>
      </c>
    </row>
    <row r="21" spans="1:9" ht="15.75" hidden="1" customHeight="1" thickBot="1" x14ac:dyDescent="0.3">
      <c r="A21" s="268" t="s">
        <v>4711</v>
      </c>
      <c r="B21" s="28" t="s">
        <v>23</v>
      </c>
      <c r="C21" s="29" t="s">
        <v>1286</v>
      </c>
      <c r="D21" s="127"/>
      <c r="E21" s="45" t="s">
        <v>23</v>
      </c>
      <c r="F21" s="45" t="str">
        <f t="shared" si="0"/>
        <v/>
      </c>
      <c r="G21" s="32"/>
      <c r="H21" s="33"/>
      <c r="I21" s="124">
        <v>0</v>
      </c>
    </row>
    <row r="22" spans="1:9" ht="15.75" hidden="1" thickBot="1" x14ac:dyDescent="0.3">
      <c r="A22" s="255"/>
      <c r="B22" s="36" t="s">
        <v>23</v>
      </c>
      <c r="C22" s="36"/>
      <c r="D22" s="125"/>
      <c r="E22" s="46" t="s">
        <v>23</v>
      </c>
      <c r="F22" s="35" t="str">
        <f t="shared" si="0"/>
        <v/>
      </c>
      <c r="G22" s="39"/>
      <c r="H22" s="35"/>
      <c r="I22" s="124">
        <v>0</v>
      </c>
    </row>
    <row r="23" spans="1:9" ht="26.25" hidden="1" thickBot="1" x14ac:dyDescent="0.3">
      <c r="A23" s="255"/>
      <c r="B23" s="40" t="s">
        <v>4662</v>
      </c>
      <c r="C23" s="40" t="s">
        <v>291</v>
      </c>
      <c r="D23" s="41">
        <v>0.65</v>
      </c>
      <c r="E23" s="38">
        <v>1.5864999999999998</v>
      </c>
      <c r="F23" s="38">
        <f t="shared" si="0"/>
        <v>1.0312249999999998</v>
      </c>
      <c r="G23" s="48">
        <f>SUM(F23:F25)</f>
        <v>3.1333089999999997</v>
      </c>
      <c r="H23" s="49"/>
      <c r="I23" s="124">
        <v>0</v>
      </c>
    </row>
    <row r="24" spans="1:9" ht="26.25" hidden="1" thickBot="1" x14ac:dyDescent="0.3">
      <c r="A24" s="255"/>
      <c r="B24" s="40" t="s">
        <v>4119</v>
      </c>
      <c r="C24" s="40" t="s">
        <v>3752</v>
      </c>
      <c r="D24" s="41">
        <v>0.01</v>
      </c>
      <c r="E24" s="35">
        <v>21.555499999999999</v>
      </c>
      <c r="F24" s="38">
        <f t="shared" si="0"/>
        <v>0.215555</v>
      </c>
      <c r="G24" s="48"/>
      <c r="H24" s="49"/>
      <c r="I24" s="124">
        <v>0</v>
      </c>
    </row>
    <row r="25" spans="1:9" ht="26.25" hidden="1" thickBot="1" x14ac:dyDescent="0.3">
      <c r="A25" s="255"/>
      <c r="B25" s="40" t="s">
        <v>4110</v>
      </c>
      <c r="C25" s="40" t="s">
        <v>3752</v>
      </c>
      <c r="D25" s="41">
        <v>6.9000000000000006E-2</v>
      </c>
      <c r="E25" s="35">
        <v>27.341000000000001</v>
      </c>
      <c r="F25" s="38">
        <f t="shared" si="0"/>
        <v>1.8865290000000001</v>
      </c>
      <c r="G25" s="48"/>
      <c r="H25" s="49"/>
      <c r="I25" s="124">
        <v>0</v>
      </c>
    </row>
    <row r="26" spans="1:9" ht="15.75" hidden="1" thickBot="1" x14ac:dyDescent="0.3">
      <c r="A26" s="269"/>
      <c r="B26" s="40" t="s">
        <v>23</v>
      </c>
      <c r="C26" s="40"/>
      <c r="D26" s="126"/>
      <c r="E26" s="35" t="s">
        <v>23</v>
      </c>
      <c r="F26" s="35" t="str">
        <f t="shared" si="0"/>
        <v/>
      </c>
      <c r="G26" s="39"/>
      <c r="H26" s="35"/>
      <c r="I26" s="124">
        <v>0</v>
      </c>
    </row>
    <row r="27" spans="1:9" ht="15.75" customHeight="1" thickBot="1" x14ac:dyDescent="0.3">
      <c r="A27" s="268" t="s">
        <v>4680</v>
      </c>
      <c r="B27" s="28" t="s">
        <v>23</v>
      </c>
      <c r="C27" s="29" t="s">
        <v>177</v>
      </c>
      <c r="D27" s="127"/>
      <c r="E27" s="45" t="s">
        <v>23</v>
      </c>
      <c r="F27" s="45" t="str">
        <f t="shared" si="0"/>
        <v/>
      </c>
      <c r="G27" s="32"/>
      <c r="H27" s="33"/>
      <c r="I27" s="124">
        <v>310.5</v>
      </c>
    </row>
    <row r="28" spans="1:9" x14ac:dyDescent="0.25">
      <c r="A28" s="255"/>
      <c r="B28" s="36" t="s">
        <v>23</v>
      </c>
      <c r="C28" s="36"/>
      <c r="D28" s="125"/>
      <c r="E28" s="46" t="s">
        <v>23</v>
      </c>
      <c r="F28" s="35" t="str">
        <f t="shared" si="0"/>
        <v/>
      </c>
      <c r="G28" s="39"/>
      <c r="H28" s="35"/>
      <c r="I28" s="124">
        <v>310.5</v>
      </c>
    </row>
    <row r="29" spans="1:9" ht="38.25" x14ac:dyDescent="0.25">
      <c r="A29" s="255"/>
      <c r="B29" s="40" t="s">
        <v>4104</v>
      </c>
      <c r="C29" s="40" t="s">
        <v>177</v>
      </c>
      <c r="D29" s="41">
        <v>1.1459999999999999</v>
      </c>
      <c r="E29" s="38">
        <v>49.846499999999999</v>
      </c>
      <c r="F29" s="38">
        <f t="shared" si="0"/>
        <v>57.124088999999991</v>
      </c>
      <c r="G29" s="48">
        <f>SUM(F29:F36)</f>
        <v>116.546019</v>
      </c>
      <c r="H29" s="49"/>
      <c r="I29" s="124">
        <v>310.5</v>
      </c>
    </row>
    <row r="30" spans="1:9" ht="25.5" x14ac:dyDescent="0.25">
      <c r="A30" s="255"/>
      <c r="B30" s="40" t="s">
        <v>3840</v>
      </c>
      <c r="C30" s="40" t="s">
        <v>1286</v>
      </c>
      <c r="D30" s="41">
        <v>0.16600000000000001</v>
      </c>
      <c r="E30" s="38">
        <v>7.7330000000000005</v>
      </c>
      <c r="F30" s="38">
        <f t="shared" si="0"/>
        <v>1.2836780000000001</v>
      </c>
      <c r="G30" s="48"/>
      <c r="H30" s="49"/>
      <c r="I30" s="124">
        <v>310.5</v>
      </c>
    </row>
    <row r="31" spans="1:9" ht="25.5" x14ac:dyDescent="0.25">
      <c r="A31" s="255"/>
      <c r="B31" s="40" t="s">
        <v>4135</v>
      </c>
      <c r="C31" s="40" t="s">
        <v>1286</v>
      </c>
      <c r="D31" s="41">
        <v>6.952</v>
      </c>
      <c r="E31" s="38">
        <v>2.7075</v>
      </c>
      <c r="F31" s="38">
        <f t="shared" si="0"/>
        <v>18.82254</v>
      </c>
      <c r="G31" s="48"/>
      <c r="H31" s="49"/>
      <c r="I31" s="124">
        <v>310.5</v>
      </c>
    </row>
    <row r="32" spans="1:9" x14ac:dyDescent="0.25">
      <c r="A32" s="255"/>
      <c r="B32" s="40" t="s">
        <v>4155</v>
      </c>
      <c r="C32" s="40" t="s">
        <v>1035</v>
      </c>
      <c r="D32" s="41">
        <v>0.159</v>
      </c>
      <c r="E32" s="38">
        <v>20.776499999999999</v>
      </c>
      <c r="F32" s="38">
        <f t="shared" si="0"/>
        <v>3.3034634999999999</v>
      </c>
      <c r="G32" s="48"/>
      <c r="H32" s="49"/>
      <c r="I32" s="124">
        <v>310.5</v>
      </c>
    </row>
    <row r="33" spans="1:9" x14ac:dyDescent="0.25">
      <c r="A33" s="255"/>
      <c r="B33" s="40" t="s">
        <v>4111</v>
      </c>
      <c r="C33" s="40" t="s">
        <v>3752</v>
      </c>
      <c r="D33" s="41">
        <v>0.20200000000000001</v>
      </c>
      <c r="E33" s="35">
        <v>21.983000000000001</v>
      </c>
      <c r="F33" s="38">
        <f t="shared" si="0"/>
        <v>4.4405660000000005</v>
      </c>
      <c r="G33" s="48"/>
      <c r="H33" s="49"/>
      <c r="I33" s="124">
        <v>310.5</v>
      </c>
    </row>
    <row r="34" spans="1:9" x14ac:dyDescent="0.25">
      <c r="A34" s="255"/>
      <c r="B34" s="40" t="s">
        <v>3823</v>
      </c>
      <c r="C34" s="40" t="s">
        <v>3752</v>
      </c>
      <c r="D34" s="41">
        <v>0.91100000000000003</v>
      </c>
      <c r="E34" s="35">
        <v>27.683</v>
      </c>
      <c r="F34" s="38">
        <f t="shared" si="0"/>
        <v>25.219213</v>
      </c>
      <c r="G34" s="48"/>
      <c r="H34" s="49"/>
      <c r="I34" s="124">
        <v>310.5</v>
      </c>
    </row>
    <row r="35" spans="1:9" ht="25.5" x14ac:dyDescent="0.25">
      <c r="A35" s="255"/>
      <c r="B35" s="40" t="s">
        <v>4168</v>
      </c>
      <c r="C35" s="40" t="s">
        <v>1041</v>
      </c>
      <c r="D35" s="41">
        <v>0.05</v>
      </c>
      <c r="E35" s="35">
        <v>22.895</v>
      </c>
      <c r="F35" s="35">
        <f t="shared" si="0"/>
        <v>1.1447499999999999</v>
      </c>
      <c r="G35" s="48"/>
      <c r="H35" s="49"/>
      <c r="I35" s="124">
        <v>310.5</v>
      </c>
    </row>
    <row r="36" spans="1:9" ht="25.5" x14ac:dyDescent="0.25">
      <c r="A36" s="255"/>
      <c r="B36" s="40" t="s">
        <v>4120</v>
      </c>
      <c r="C36" s="40" t="s">
        <v>1052</v>
      </c>
      <c r="D36" s="41">
        <v>0.23699999999999999</v>
      </c>
      <c r="E36" s="35">
        <v>21.973499999999998</v>
      </c>
      <c r="F36" s="35">
        <f t="shared" si="0"/>
        <v>5.2077194999999996</v>
      </c>
      <c r="G36" s="48"/>
      <c r="H36" s="49"/>
      <c r="I36" s="124">
        <v>310.5</v>
      </c>
    </row>
    <row r="37" spans="1:9" ht="15.75" thickBot="1" x14ac:dyDescent="0.3">
      <c r="A37" s="255"/>
      <c r="B37" s="40" t="s">
        <v>23</v>
      </c>
      <c r="C37" s="40"/>
      <c r="D37" s="126"/>
      <c r="E37" s="35" t="s">
        <v>23</v>
      </c>
      <c r="F37" s="35" t="str">
        <f t="shared" si="0"/>
        <v/>
      </c>
      <c r="G37" s="39"/>
      <c r="H37" s="35"/>
      <c r="I37" s="124">
        <v>310.5</v>
      </c>
    </row>
    <row r="38" spans="1:9" ht="15.75" thickBot="1" x14ac:dyDescent="0.3">
      <c r="A38" s="268" t="s">
        <v>4682</v>
      </c>
      <c r="B38" s="28" t="s">
        <v>23</v>
      </c>
      <c r="C38" s="29" t="s">
        <v>1286</v>
      </c>
      <c r="D38" s="127"/>
      <c r="E38" s="45" t="s">
        <v>23</v>
      </c>
      <c r="F38" s="45" t="str">
        <f t="shared" si="0"/>
        <v/>
      </c>
      <c r="G38" s="32"/>
      <c r="H38" s="33"/>
      <c r="I38" s="124">
        <v>908</v>
      </c>
    </row>
    <row r="39" spans="1:9" x14ac:dyDescent="0.25">
      <c r="A39" s="255"/>
      <c r="B39" s="36" t="s">
        <v>23</v>
      </c>
      <c r="C39" s="36"/>
      <c r="D39" s="125"/>
      <c r="E39" s="46" t="s">
        <v>23</v>
      </c>
      <c r="F39" s="35" t="str">
        <f t="shared" si="0"/>
        <v/>
      </c>
      <c r="G39" s="39"/>
      <c r="H39" s="35"/>
      <c r="I39" s="124">
        <v>908</v>
      </c>
    </row>
    <row r="40" spans="1:9" ht="38.25" x14ac:dyDescent="0.25">
      <c r="A40" s="255"/>
      <c r="B40" s="40" t="s">
        <v>4118</v>
      </c>
      <c r="C40" s="40" t="s">
        <v>177</v>
      </c>
      <c r="D40" s="41">
        <v>0.13600000000000001</v>
      </c>
      <c r="E40" s="35">
        <v>84.417000000000002</v>
      </c>
      <c r="F40" s="35">
        <f t="shared" si="0"/>
        <v>11.480712</v>
      </c>
      <c r="G40" s="48">
        <f>SUM(F40:F46)</f>
        <v>35.279218999999998</v>
      </c>
      <c r="H40" s="49"/>
      <c r="I40" s="124">
        <v>908</v>
      </c>
    </row>
    <row r="41" spans="1:9" ht="25.5" x14ac:dyDescent="0.25">
      <c r="A41" s="255"/>
      <c r="B41" s="40" t="s">
        <v>3840</v>
      </c>
      <c r="C41" s="40" t="s">
        <v>1286</v>
      </c>
      <c r="D41" s="41">
        <v>2.3420000000000001</v>
      </c>
      <c r="E41" s="35">
        <v>7.7330000000000005</v>
      </c>
      <c r="F41" s="35">
        <f t="shared" si="0"/>
        <v>18.110686000000001</v>
      </c>
      <c r="G41" s="48"/>
      <c r="H41" s="49"/>
      <c r="I41" s="124">
        <v>908</v>
      </c>
    </row>
    <row r="42" spans="1:9" x14ac:dyDescent="0.25">
      <c r="A42" s="255"/>
      <c r="B42" s="40" t="s">
        <v>4155</v>
      </c>
      <c r="C42" s="40" t="s">
        <v>1035</v>
      </c>
      <c r="D42" s="41">
        <v>1.2E-2</v>
      </c>
      <c r="E42" s="35">
        <v>20.776499999999999</v>
      </c>
      <c r="F42" s="35">
        <f t="shared" si="0"/>
        <v>0.24931799999999998</v>
      </c>
      <c r="G42" s="48"/>
      <c r="H42" s="49"/>
      <c r="I42" s="124">
        <v>908</v>
      </c>
    </row>
    <row r="43" spans="1:9" x14ac:dyDescent="0.25">
      <c r="A43" s="255"/>
      <c r="B43" s="40" t="s">
        <v>4111</v>
      </c>
      <c r="C43" s="40" t="s">
        <v>3752</v>
      </c>
      <c r="D43" s="41">
        <v>3.2000000000000001E-2</v>
      </c>
      <c r="E43" s="35">
        <v>21.983000000000001</v>
      </c>
      <c r="F43" s="35">
        <f t="shared" si="0"/>
        <v>0.70345600000000008</v>
      </c>
      <c r="G43" s="48"/>
      <c r="H43" s="49"/>
      <c r="I43" s="124">
        <v>908</v>
      </c>
    </row>
    <row r="44" spans="1:9" x14ac:dyDescent="0.25">
      <c r="A44" s="255"/>
      <c r="B44" s="40" t="s">
        <v>3823</v>
      </c>
      <c r="C44" s="40" t="s">
        <v>3752</v>
      </c>
      <c r="D44" s="41">
        <v>8.3000000000000004E-2</v>
      </c>
      <c r="E44" s="35">
        <v>27.683</v>
      </c>
      <c r="F44" s="35">
        <f t="shared" si="0"/>
        <v>2.2976890000000001</v>
      </c>
      <c r="G44" s="48"/>
      <c r="H44" s="49"/>
      <c r="I44" s="124">
        <v>908</v>
      </c>
    </row>
    <row r="45" spans="1:9" ht="25.5" x14ac:dyDescent="0.25">
      <c r="A45" s="255"/>
      <c r="B45" s="40" t="s">
        <v>4168</v>
      </c>
      <c r="C45" s="40" t="s">
        <v>1041</v>
      </c>
      <c r="D45" s="41">
        <v>2.1999999999999999E-2</v>
      </c>
      <c r="E45" s="35">
        <v>22.895</v>
      </c>
      <c r="F45" s="35">
        <f t="shared" si="0"/>
        <v>0.50368999999999997</v>
      </c>
      <c r="G45" s="48"/>
      <c r="H45" s="49"/>
      <c r="I45" s="124">
        <v>908</v>
      </c>
    </row>
    <row r="46" spans="1:9" ht="25.5" x14ac:dyDescent="0.25">
      <c r="A46" s="255"/>
      <c r="B46" s="40" t="s">
        <v>4120</v>
      </c>
      <c r="C46" s="40" t="s">
        <v>1052</v>
      </c>
      <c r="D46" s="41">
        <v>8.7999999999999995E-2</v>
      </c>
      <c r="E46" s="35">
        <v>21.973499999999998</v>
      </c>
      <c r="F46" s="38">
        <f t="shared" si="0"/>
        <v>1.9336679999999997</v>
      </c>
      <c r="G46" s="48"/>
      <c r="H46" s="49"/>
      <c r="I46" s="124">
        <v>908</v>
      </c>
    </row>
    <row r="47" spans="1:9" ht="15.75" thickBot="1" x14ac:dyDescent="0.3">
      <c r="A47" s="255"/>
      <c r="B47" s="40" t="s">
        <v>23</v>
      </c>
      <c r="C47" s="40"/>
      <c r="D47" s="126"/>
      <c r="E47" s="35" t="s">
        <v>23</v>
      </c>
      <c r="F47" s="35" t="str">
        <f t="shared" si="0"/>
        <v/>
      </c>
      <c r="G47" s="39"/>
      <c r="H47" s="35"/>
      <c r="I47" s="124">
        <v>908</v>
      </c>
    </row>
    <row r="48" spans="1:9" ht="15.75" thickBot="1" x14ac:dyDescent="0.3">
      <c r="A48" s="268" t="s">
        <v>4727</v>
      </c>
      <c r="B48" s="28" t="s">
        <v>23</v>
      </c>
      <c r="C48" s="29" t="s">
        <v>3764</v>
      </c>
      <c r="D48" s="127"/>
      <c r="E48" s="45" t="s">
        <v>23</v>
      </c>
      <c r="F48" s="45" t="str">
        <f t="shared" si="0"/>
        <v/>
      </c>
      <c r="G48" s="32"/>
      <c r="H48" s="33"/>
      <c r="I48" s="124">
        <v>2264.2399999999998</v>
      </c>
    </row>
    <row r="49" spans="1:9" x14ac:dyDescent="0.25">
      <c r="A49" s="255"/>
      <c r="B49" s="36" t="s">
        <v>23</v>
      </c>
      <c r="C49" s="36"/>
      <c r="D49" s="125"/>
      <c r="E49" s="46" t="s">
        <v>23</v>
      </c>
      <c r="F49" s="35" t="str">
        <f t="shared" si="0"/>
        <v/>
      </c>
      <c r="G49" s="39"/>
      <c r="H49" s="35"/>
      <c r="I49" s="124">
        <v>2264.2399999999998</v>
      </c>
    </row>
    <row r="50" spans="1:9" ht="25.5" x14ac:dyDescent="0.25">
      <c r="A50" s="255"/>
      <c r="B50" s="40" t="s">
        <v>3763</v>
      </c>
      <c r="C50" s="40" t="s">
        <v>3764</v>
      </c>
      <c r="D50" s="41">
        <v>1.1599999999999999</v>
      </c>
      <c r="E50" s="38">
        <v>204.23099999999999</v>
      </c>
      <c r="F50" s="38">
        <f t="shared" si="0"/>
        <v>236.90795999999997</v>
      </c>
      <c r="G50" s="48">
        <f>SUM(F50:F57)</f>
        <v>749.29872024999997</v>
      </c>
      <c r="H50" s="49"/>
      <c r="I50" s="124">
        <v>2264.2399999999998</v>
      </c>
    </row>
    <row r="51" spans="1:9" x14ac:dyDescent="0.25">
      <c r="A51" s="255"/>
      <c r="B51" s="40" t="s">
        <v>3811</v>
      </c>
      <c r="C51" s="40" t="s">
        <v>1035</v>
      </c>
      <c r="D51" s="41">
        <v>174.1</v>
      </c>
      <c r="E51" s="38">
        <v>1.2825</v>
      </c>
      <c r="F51" s="38">
        <f t="shared" si="0"/>
        <v>223.28324999999998</v>
      </c>
      <c r="G51" s="48"/>
      <c r="H51" s="49"/>
      <c r="I51" s="124">
        <v>2264.2399999999998</v>
      </c>
    </row>
    <row r="52" spans="1:9" x14ac:dyDescent="0.25">
      <c r="A52" s="255"/>
      <c r="B52" s="40" t="s">
        <v>3759</v>
      </c>
      <c r="C52" s="40" t="s">
        <v>1035</v>
      </c>
      <c r="D52" s="41">
        <v>195.86</v>
      </c>
      <c r="E52" s="38">
        <v>0.627</v>
      </c>
      <c r="F52" s="38">
        <f t="shared" si="0"/>
        <v>122.80422000000002</v>
      </c>
      <c r="G52" s="48"/>
      <c r="H52" s="49"/>
      <c r="I52" s="124">
        <v>2264.2399999999998</v>
      </c>
    </row>
    <row r="53" spans="1:9" ht="25.5" x14ac:dyDescent="0.25">
      <c r="A53" s="255"/>
      <c r="B53" s="40" t="s">
        <v>3805</v>
      </c>
      <c r="C53" s="40" t="s">
        <v>3752</v>
      </c>
      <c r="D53" s="41">
        <v>4.5</v>
      </c>
      <c r="E53" s="35">
        <v>20.918999999999997</v>
      </c>
      <c r="F53" s="38">
        <f t="shared" si="0"/>
        <v>94.135499999999979</v>
      </c>
      <c r="G53" s="48"/>
      <c r="H53" s="49"/>
      <c r="I53" s="124">
        <v>2264.2399999999998</v>
      </c>
    </row>
    <row r="54" spans="1:9" ht="38.25" x14ac:dyDescent="0.25">
      <c r="A54" s="255"/>
      <c r="B54" s="40" t="s">
        <v>4115</v>
      </c>
      <c r="C54" s="40" t="s">
        <v>1041</v>
      </c>
      <c r="D54" s="41">
        <v>1.05</v>
      </c>
      <c r="E54" s="35">
        <v>1.5579999999999998</v>
      </c>
      <c r="F54" s="38">
        <f t="shared" si="0"/>
        <v>1.6358999999999999</v>
      </c>
      <c r="G54" s="48"/>
      <c r="H54" s="49"/>
      <c r="I54" s="124">
        <v>2264.2399999999998</v>
      </c>
    </row>
    <row r="55" spans="1:9" ht="38.25" x14ac:dyDescent="0.25">
      <c r="A55" s="255"/>
      <c r="B55" s="40" t="s">
        <v>4121</v>
      </c>
      <c r="C55" s="40" t="s">
        <v>1052</v>
      </c>
      <c r="D55" s="41">
        <v>3.45</v>
      </c>
      <c r="E55" s="35">
        <v>0.38</v>
      </c>
      <c r="F55" s="38">
        <f t="shared" si="0"/>
        <v>1.3110000000000002</v>
      </c>
      <c r="G55" s="48"/>
      <c r="H55" s="49"/>
      <c r="I55" s="124">
        <v>2264.2399999999998</v>
      </c>
    </row>
    <row r="56" spans="1:9" ht="51" x14ac:dyDescent="0.25">
      <c r="A56" s="255"/>
      <c r="B56" s="40" t="s">
        <v>4752</v>
      </c>
      <c r="C56" s="40" t="s">
        <v>3764</v>
      </c>
      <c r="D56" s="41">
        <f>ROUND(1*D50,4)</f>
        <v>1.1599999999999999</v>
      </c>
      <c r="E56" s="35">
        <v>7.75243225</v>
      </c>
      <c r="F56" s="38">
        <f t="shared" si="0"/>
        <v>8.9928214099999995</v>
      </c>
      <c r="G56" s="48"/>
      <c r="H56" s="49"/>
      <c r="I56" s="124">
        <v>2264.2399999999998</v>
      </c>
    </row>
    <row r="57" spans="1:9" ht="38.25" x14ac:dyDescent="0.25">
      <c r="A57" s="255"/>
      <c r="B57" s="40" t="s">
        <v>4749</v>
      </c>
      <c r="C57" s="40" t="s">
        <v>4744</v>
      </c>
      <c r="D57" s="41">
        <f>ROUND(D50*20,4)</f>
        <v>23.2</v>
      </c>
      <c r="E57" s="35">
        <v>2.5960374499999999</v>
      </c>
      <c r="F57" s="38">
        <f t="shared" si="0"/>
        <v>60.228068839999992</v>
      </c>
      <c r="G57" s="48"/>
      <c r="H57" s="49"/>
      <c r="I57" s="124">
        <v>2264.2399999999998</v>
      </c>
    </row>
    <row r="58" spans="1:9" x14ac:dyDescent="0.25">
      <c r="A58" s="255"/>
      <c r="B58" s="52"/>
      <c r="C58" s="53"/>
      <c r="D58" s="41"/>
      <c r="E58" s="35" t="s">
        <v>23</v>
      </c>
      <c r="F58" s="38" t="str">
        <f t="shared" si="0"/>
        <v/>
      </c>
      <c r="G58" s="48"/>
      <c r="H58" s="49"/>
      <c r="I58" s="124">
        <v>2264.2399999999998</v>
      </c>
    </row>
    <row r="59" spans="1:9" x14ac:dyDescent="0.25">
      <c r="A59" s="255"/>
      <c r="B59" s="50" t="s">
        <v>646</v>
      </c>
      <c r="C59" s="53"/>
      <c r="D59" s="41"/>
      <c r="E59" s="35" t="s">
        <v>23</v>
      </c>
      <c r="F59" s="38" t="str">
        <f t="shared" si="0"/>
        <v/>
      </c>
      <c r="G59" s="48"/>
      <c r="H59" s="49"/>
      <c r="I59" s="124">
        <v>2264.2399999999998</v>
      </c>
    </row>
    <row r="60" spans="1:9" ht="15.75" thickBot="1" x14ac:dyDescent="0.3">
      <c r="A60" s="255"/>
      <c r="B60" s="40" t="s">
        <v>23</v>
      </c>
      <c r="C60" s="40"/>
      <c r="D60" s="126"/>
      <c r="E60" s="35" t="s">
        <v>23</v>
      </c>
      <c r="F60" s="35" t="str">
        <f t="shared" si="0"/>
        <v/>
      </c>
      <c r="G60" s="39"/>
      <c r="H60" s="35"/>
      <c r="I60" s="124">
        <v>2264.2399999999998</v>
      </c>
    </row>
    <row r="61" spans="1:9" ht="15.75" hidden="1" thickBot="1" x14ac:dyDescent="0.3">
      <c r="A61" s="268" t="s">
        <v>4723</v>
      </c>
      <c r="B61" s="28" t="s">
        <v>23</v>
      </c>
      <c r="C61" s="29" t="s">
        <v>177</v>
      </c>
      <c r="D61" s="127"/>
      <c r="E61" s="45" t="s">
        <v>23</v>
      </c>
      <c r="F61" s="45" t="str">
        <f t="shared" si="0"/>
        <v/>
      </c>
      <c r="G61" s="32"/>
      <c r="H61" s="33"/>
      <c r="I61" s="124">
        <v>0</v>
      </c>
    </row>
    <row r="62" spans="1:9" ht="15.75" hidden="1" thickBot="1" x14ac:dyDescent="0.3">
      <c r="A62" s="255"/>
      <c r="B62" s="36" t="s">
        <v>23</v>
      </c>
      <c r="C62" s="36"/>
      <c r="D62" s="125"/>
      <c r="E62" s="128" t="s">
        <v>23</v>
      </c>
      <c r="F62" s="129" t="str">
        <f t="shared" si="0"/>
        <v/>
      </c>
      <c r="G62" s="39"/>
      <c r="H62" s="35"/>
      <c r="I62" s="124">
        <v>0</v>
      </c>
    </row>
    <row r="63" spans="1:9" ht="15.75" hidden="1" thickBot="1" x14ac:dyDescent="0.3">
      <c r="A63" s="255"/>
      <c r="B63" s="40" t="s">
        <v>3759</v>
      </c>
      <c r="C63" s="40" t="s">
        <v>1035</v>
      </c>
      <c r="D63" s="41">
        <v>0.5</v>
      </c>
      <c r="E63" s="38">
        <v>0.627</v>
      </c>
      <c r="F63" s="38">
        <f t="shared" si="0"/>
        <v>0.3135</v>
      </c>
      <c r="G63" s="48">
        <f>SUM(F63:F67)</f>
        <v>45.483905532150011</v>
      </c>
      <c r="H63" s="49"/>
      <c r="I63" s="124">
        <v>0</v>
      </c>
    </row>
    <row r="64" spans="1:9" ht="26.25" hidden="1" thickBot="1" x14ac:dyDescent="0.3">
      <c r="A64" s="255"/>
      <c r="B64" s="40" t="s">
        <v>3809</v>
      </c>
      <c r="C64" s="40" t="s">
        <v>80</v>
      </c>
      <c r="D64" s="41">
        <v>0.21</v>
      </c>
      <c r="E64" s="38">
        <v>15.864999999999998</v>
      </c>
      <c r="F64" s="38">
        <f t="shared" si="0"/>
        <v>3.3316499999999993</v>
      </c>
      <c r="G64" s="48"/>
      <c r="H64" s="49"/>
      <c r="I64" s="124">
        <v>0</v>
      </c>
    </row>
    <row r="65" spans="1:9" ht="39" hidden="1" thickBot="1" x14ac:dyDescent="0.3">
      <c r="A65" s="255"/>
      <c r="B65" s="40" t="s">
        <v>4730</v>
      </c>
      <c r="C65" s="40" t="s">
        <v>3764</v>
      </c>
      <c r="D65" s="41">
        <v>4.3099999999999999E-2</v>
      </c>
      <c r="E65" s="35">
        <v>751.86692650000009</v>
      </c>
      <c r="F65" s="38">
        <f t="shared" si="0"/>
        <v>32.405464532150006</v>
      </c>
      <c r="G65" s="48"/>
      <c r="H65" s="49"/>
      <c r="I65" s="124">
        <v>0</v>
      </c>
    </row>
    <row r="66" spans="1:9" ht="15.75" hidden="1" thickBot="1" x14ac:dyDescent="0.3">
      <c r="A66" s="255"/>
      <c r="B66" s="40" t="s">
        <v>3757</v>
      </c>
      <c r="C66" s="40" t="s">
        <v>3752</v>
      </c>
      <c r="D66" s="41">
        <v>0.245</v>
      </c>
      <c r="E66" s="35">
        <v>28.0535</v>
      </c>
      <c r="F66" s="38">
        <f t="shared" si="0"/>
        <v>6.8731074999999997</v>
      </c>
      <c r="G66" s="48"/>
      <c r="H66" s="49"/>
      <c r="I66" s="124">
        <v>0</v>
      </c>
    </row>
    <row r="67" spans="1:9" ht="15.75" hidden="1" thickBot="1" x14ac:dyDescent="0.3">
      <c r="A67" s="255"/>
      <c r="B67" s="40" t="s">
        <v>3754</v>
      </c>
      <c r="C67" s="40" t="s">
        <v>3752</v>
      </c>
      <c r="D67" s="41">
        <v>0.123</v>
      </c>
      <c r="E67" s="35">
        <v>20.814499999999999</v>
      </c>
      <c r="F67" s="38">
        <f t="shared" si="0"/>
        <v>2.5601834999999999</v>
      </c>
      <c r="G67" s="48"/>
      <c r="H67" s="49"/>
      <c r="I67" s="124">
        <v>0</v>
      </c>
    </row>
    <row r="68" spans="1:9" ht="15.75" hidden="1" thickBot="1" x14ac:dyDescent="0.3">
      <c r="A68" s="255"/>
      <c r="B68" s="40" t="s">
        <v>23</v>
      </c>
      <c r="C68" s="40"/>
      <c r="D68" s="126"/>
      <c r="E68" s="35" t="s">
        <v>23</v>
      </c>
      <c r="F68" s="35" t="str">
        <f t="shared" si="0"/>
        <v/>
      </c>
      <c r="G68" s="39"/>
      <c r="H68" s="35"/>
      <c r="I68" s="124">
        <v>0</v>
      </c>
    </row>
    <row r="69" spans="1:9" ht="15.75" thickBot="1" x14ac:dyDescent="0.3">
      <c r="A69" s="268" t="s">
        <v>4736</v>
      </c>
      <c r="B69" s="28" t="s">
        <v>23</v>
      </c>
      <c r="C69" s="29" t="s">
        <v>3764</v>
      </c>
      <c r="D69" s="127"/>
      <c r="E69" s="45" t="s">
        <v>23</v>
      </c>
      <c r="F69" s="45" t="str">
        <f t="shared" si="0"/>
        <v/>
      </c>
      <c r="G69" s="32"/>
      <c r="H69" s="33"/>
      <c r="I69" s="124">
        <v>11.1</v>
      </c>
    </row>
    <row r="70" spans="1:9" x14ac:dyDescent="0.25">
      <c r="A70" s="255"/>
      <c r="B70" s="36" t="s">
        <v>23</v>
      </c>
      <c r="C70" s="36"/>
      <c r="D70" s="125"/>
      <c r="E70" s="46" t="s">
        <v>23</v>
      </c>
      <c r="F70" s="35" t="str">
        <f t="shared" ref="F70:F133" si="1">IF(ISNUMBER(E70),E70*$D70,"")</f>
        <v/>
      </c>
      <c r="G70" s="39"/>
      <c r="H70" s="35"/>
      <c r="I70" s="124">
        <v>11.1</v>
      </c>
    </row>
    <row r="71" spans="1:9" ht="25.5" x14ac:dyDescent="0.25">
      <c r="A71" s="255"/>
      <c r="B71" s="40" t="s">
        <v>3845</v>
      </c>
      <c r="C71" s="40" t="s">
        <v>3764</v>
      </c>
      <c r="D71" s="41">
        <v>0.94</v>
      </c>
      <c r="E71" s="38">
        <v>206.90049999999999</v>
      </c>
      <c r="F71" s="38">
        <f t="shared" si="1"/>
        <v>194.48647</v>
      </c>
      <c r="G71" s="48">
        <f>SUM(F71:F75)</f>
        <v>744.94406037499994</v>
      </c>
      <c r="H71" s="49"/>
      <c r="I71" s="124">
        <v>11.1</v>
      </c>
    </row>
    <row r="72" spans="1:9" x14ac:dyDescent="0.25">
      <c r="A72" s="255"/>
      <c r="B72" s="40" t="s">
        <v>3759</v>
      </c>
      <c r="C72" s="40" t="s">
        <v>1035</v>
      </c>
      <c r="D72" s="41">
        <v>422.63</v>
      </c>
      <c r="E72" s="38">
        <v>0.627</v>
      </c>
      <c r="F72" s="38">
        <f t="shared" si="1"/>
        <v>264.98901000000001</v>
      </c>
      <c r="G72" s="48"/>
      <c r="H72" s="49"/>
      <c r="I72" s="124">
        <v>11.1</v>
      </c>
    </row>
    <row r="73" spans="1:9" x14ac:dyDescent="0.25">
      <c r="A73" s="255"/>
      <c r="B73" s="40" t="s">
        <v>3754</v>
      </c>
      <c r="C73" s="40" t="s">
        <v>3752</v>
      </c>
      <c r="D73" s="41">
        <v>11.02</v>
      </c>
      <c r="E73" s="35">
        <v>20.814499999999999</v>
      </c>
      <c r="F73" s="38">
        <f t="shared" si="1"/>
        <v>229.37578999999997</v>
      </c>
      <c r="G73" s="48"/>
      <c r="H73" s="49"/>
      <c r="I73" s="124">
        <v>11.1</v>
      </c>
    </row>
    <row r="74" spans="1:9" ht="51" x14ac:dyDescent="0.25">
      <c r="A74" s="255"/>
      <c r="B74" s="40" t="s">
        <v>4752</v>
      </c>
      <c r="C74" s="40" t="s">
        <v>3764</v>
      </c>
      <c r="D74" s="41">
        <f>ROUND(1*D71,4)</f>
        <v>0.94</v>
      </c>
      <c r="E74" s="35">
        <v>7.75243225</v>
      </c>
      <c r="F74" s="38">
        <f t="shared" si="1"/>
        <v>7.2872863149999993</v>
      </c>
      <c r="G74" s="48"/>
      <c r="H74" s="49"/>
      <c r="I74" s="124">
        <v>11.1</v>
      </c>
    </row>
    <row r="75" spans="1:9" ht="38.25" x14ac:dyDescent="0.25">
      <c r="A75" s="255"/>
      <c r="B75" s="40" t="s">
        <v>4749</v>
      </c>
      <c r="C75" s="53" t="s">
        <v>4744</v>
      </c>
      <c r="D75" s="41">
        <f>ROUND(D71*20,4)</f>
        <v>18.8</v>
      </c>
      <c r="E75" s="35">
        <v>2.5960374499999999</v>
      </c>
      <c r="F75" s="38">
        <f t="shared" si="1"/>
        <v>48.805504059999997</v>
      </c>
      <c r="G75" s="48"/>
      <c r="H75" s="49"/>
      <c r="I75" s="124">
        <v>11.1</v>
      </c>
    </row>
    <row r="76" spans="1:9" x14ac:dyDescent="0.25">
      <c r="A76" s="255"/>
      <c r="B76" s="52"/>
      <c r="C76" s="53"/>
      <c r="D76" s="41"/>
      <c r="E76" s="35" t="s">
        <v>23</v>
      </c>
      <c r="F76" s="38" t="str">
        <f t="shared" si="1"/>
        <v/>
      </c>
      <c r="G76" s="48"/>
      <c r="H76" s="49"/>
      <c r="I76" s="124">
        <v>11.1</v>
      </c>
    </row>
    <row r="77" spans="1:9" x14ac:dyDescent="0.25">
      <c r="A77" s="255"/>
      <c r="B77" s="50" t="s">
        <v>646</v>
      </c>
      <c r="C77" s="53"/>
      <c r="D77" s="41"/>
      <c r="E77" s="35" t="s">
        <v>23</v>
      </c>
      <c r="F77" s="38" t="str">
        <f t="shared" si="1"/>
        <v/>
      </c>
      <c r="G77" s="48"/>
      <c r="H77" s="49"/>
      <c r="I77" s="124">
        <v>11.1</v>
      </c>
    </row>
    <row r="78" spans="1:9" ht="15.75" thickBot="1" x14ac:dyDescent="0.3">
      <c r="A78" s="255"/>
      <c r="B78" s="40" t="s">
        <v>23</v>
      </c>
      <c r="C78" s="40"/>
      <c r="D78" s="126"/>
      <c r="E78" s="35" t="s">
        <v>23</v>
      </c>
      <c r="F78" s="35" t="str">
        <f t="shared" si="1"/>
        <v/>
      </c>
      <c r="G78" s="39"/>
      <c r="H78" s="35"/>
      <c r="I78" s="124">
        <v>11.1</v>
      </c>
    </row>
    <row r="79" spans="1:9" ht="15.75" hidden="1" thickBot="1" x14ac:dyDescent="0.3">
      <c r="A79" s="268" t="s">
        <v>4737</v>
      </c>
      <c r="B79" s="28" t="s">
        <v>23</v>
      </c>
      <c r="C79" s="29" t="s">
        <v>3764</v>
      </c>
      <c r="D79" s="127"/>
      <c r="E79" s="45" t="s">
        <v>23</v>
      </c>
      <c r="F79" s="45" t="str">
        <f t="shared" si="1"/>
        <v/>
      </c>
      <c r="G79" s="32"/>
      <c r="H79" s="33"/>
      <c r="I79" s="124">
        <v>0</v>
      </c>
    </row>
    <row r="80" spans="1:9" ht="15.75" hidden="1" thickBot="1" x14ac:dyDescent="0.3">
      <c r="A80" s="255"/>
      <c r="B80" s="36" t="s">
        <v>23</v>
      </c>
      <c r="C80" s="36"/>
      <c r="D80" s="125"/>
      <c r="E80" s="46" t="s">
        <v>23</v>
      </c>
      <c r="F80" s="35" t="str">
        <f t="shared" si="1"/>
        <v/>
      </c>
      <c r="G80" s="39"/>
      <c r="H80" s="35"/>
      <c r="I80" s="124">
        <v>0</v>
      </c>
    </row>
    <row r="81" spans="1:9" ht="15.75" hidden="1" thickBot="1" x14ac:dyDescent="0.3">
      <c r="A81" s="255"/>
      <c r="B81" s="40" t="s">
        <v>4665</v>
      </c>
      <c r="C81" s="40" t="s">
        <v>1035</v>
      </c>
      <c r="D81" s="41">
        <v>1981.23</v>
      </c>
      <c r="E81" s="38">
        <v>1.254</v>
      </c>
      <c r="F81" s="38">
        <f t="shared" si="1"/>
        <v>2484.4624199999998</v>
      </c>
      <c r="G81" s="48">
        <f>SUM(F81:F84)</f>
        <v>2591.3659200000002</v>
      </c>
      <c r="H81" s="49"/>
      <c r="I81" s="124">
        <v>0</v>
      </c>
    </row>
    <row r="82" spans="1:9" ht="26.25" hidden="1" thickBot="1" x14ac:dyDescent="0.3">
      <c r="A82" s="255"/>
      <c r="B82" s="40" t="s">
        <v>3805</v>
      </c>
      <c r="C82" s="40" t="s">
        <v>3752</v>
      </c>
      <c r="D82" s="41">
        <v>4.72</v>
      </c>
      <c r="E82" s="35">
        <v>20.918999999999997</v>
      </c>
      <c r="F82" s="38">
        <f t="shared" si="1"/>
        <v>98.737679999999983</v>
      </c>
      <c r="G82" s="48"/>
      <c r="H82" s="49"/>
      <c r="I82" s="124">
        <v>0</v>
      </c>
    </row>
    <row r="83" spans="1:9" ht="39" hidden="1" thickBot="1" x14ac:dyDescent="0.3">
      <c r="A83" s="255"/>
      <c r="B83" s="40" t="s">
        <v>4666</v>
      </c>
      <c r="C83" s="40" t="s">
        <v>1041</v>
      </c>
      <c r="D83" s="41">
        <v>1.1000000000000001</v>
      </c>
      <c r="E83" s="35">
        <v>4.0469999999999997</v>
      </c>
      <c r="F83" s="2">
        <f t="shared" si="1"/>
        <v>4.4516999999999998</v>
      </c>
      <c r="G83" s="48"/>
      <c r="H83" s="49"/>
      <c r="I83" s="124">
        <v>0</v>
      </c>
    </row>
    <row r="84" spans="1:9" ht="39" hidden="1" thickBot="1" x14ac:dyDescent="0.3">
      <c r="A84" s="255"/>
      <c r="B84" s="40" t="s">
        <v>4667</v>
      </c>
      <c r="C84" s="40" t="s">
        <v>1052</v>
      </c>
      <c r="D84" s="41">
        <v>3.62</v>
      </c>
      <c r="E84" s="35">
        <v>1.026</v>
      </c>
      <c r="F84" s="2">
        <f t="shared" si="1"/>
        <v>3.7141200000000003</v>
      </c>
      <c r="G84" s="48"/>
      <c r="H84" s="49"/>
      <c r="I84" s="124">
        <v>0</v>
      </c>
    </row>
    <row r="85" spans="1:9" ht="15.75" hidden="1" thickBot="1" x14ac:dyDescent="0.3">
      <c r="A85" s="255"/>
      <c r="B85" s="40" t="s">
        <v>23</v>
      </c>
      <c r="C85" s="40"/>
      <c r="D85" s="126"/>
      <c r="E85" s="35" t="s">
        <v>23</v>
      </c>
      <c r="F85" s="35" t="str">
        <f t="shared" si="1"/>
        <v/>
      </c>
      <c r="G85" s="39"/>
      <c r="H85" s="35"/>
      <c r="I85" s="124">
        <v>0</v>
      </c>
    </row>
    <row r="86" spans="1:9" ht="15.75" thickBot="1" x14ac:dyDescent="0.3">
      <c r="A86" s="268" t="s">
        <v>4735</v>
      </c>
      <c r="B86" s="28" t="s">
        <v>23</v>
      </c>
      <c r="C86" s="29" t="s">
        <v>3764</v>
      </c>
      <c r="D86" s="127"/>
      <c r="E86" s="45" t="s">
        <v>23</v>
      </c>
      <c r="F86" s="45" t="str">
        <f t="shared" si="1"/>
        <v/>
      </c>
      <c r="G86" s="32"/>
      <c r="H86" s="33"/>
      <c r="I86" s="124">
        <v>103.54</v>
      </c>
    </row>
    <row r="87" spans="1:9" x14ac:dyDescent="0.25">
      <c r="A87" s="255"/>
      <c r="B87" s="36" t="s">
        <v>23</v>
      </c>
      <c r="C87" s="36"/>
      <c r="D87" s="125"/>
      <c r="E87" s="46" t="s">
        <v>23</v>
      </c>
      <c r="F87" s="35" t="str">
        <f t="shared" si="1"/>
        <v/>
      </c>
      <c r="G87" s="39"/>
      <c r="H87" s="35"/>
      <c r="I87" s="124">
        <v>103.54</v>
      </c>
    </row>
    <row r="88" spans="1:9" ht="25.5" x14ac:dyDescent="0.25">
      <c r="A88" s="255"/>
      <c r="B88" s="40" t="s">
        <v>3763</v>
      </c>
      <c r="C88" s="40" t="s">
        <v>3764</v>
      </c>
      <c r="D88" s="41">
        <v>1.35</v>
      </c>
      <c r="E88" s="38">
        <v>204.23099999999999</v>
      </c>
      <c r="F88" s="38">
        <f t="shared" si="1"/>
        <v>275.71185000000003</v>
      </c>
      <c r="G88" s="48">
        <f>SUM(F88:F92)</f>
        <v>870.66809468749989</v>
      </c>
      <c r="H88" s="49"/>
      <c r="I88" s="124">
        <v>103.54</v>
      </c>
    </row>
    <row r="89" spans="1:9" x14ac:dyDescent="0.25">
      <c r="A89" s="255"/>
      <c r="B89" s="40" t="s">
        <v>3759</v>
      </c>
      <c r="C89" s="40" t="s">
        <v>1035</v>
      </c>
      <c r="D89" s="41">
        <v>454.58</v>
      </c>
      <c r="E89" s="38">
        <v>0.627</v>
      </c>
      <c r="F89" s="38">
        <f t="shared" si="1"/>
        <v>285.02166</v>
      </c>
      <c r="G89" s="48"/>
      <c r="H89" s="49"/>
      <c r="I89" s="124">
        <v>103.54</v>
      </c>
    </row>
    <row r="90" spans="1:9" x14ac:dyDescent="0.25">
      <c r="A90" s="255"/>
      <c r="B90" s="40" t="s">
        <v>3754</v>
      </c>
      <c r="C90" s="40" t="s">
        <v>3752</v>
      </c>
      <c r="D90" s="41">
        <v>11.02</v>
      </c>
      <c r="E90" s="35">
        <v>20.814499999999999</v>
      </c>
      <c r="F90" s="38">
        <f t="shared" si="1"/>
        <v>229.37578999999997</v>
      </c>
      <c r="G90" s="48"/>
      <c r="H90" s="49"/>
      <c r="I90" s="124">
        <v>103.54</v>
      </c>
    </row>
    <row r="91" spans="1:9" ht="51" x14ac:dyDescent="0.25">
      <c r="A91" s="255"/>
      <c r="B91" s="40" t="s">
        <v>4752</v>
      </c>
      <c r="C91" s="40" t="s">
        <v>3764</v>
      </c>
      <c r="D91" s="41">
        <f>ROUND(1*D88,4)</f>
        <v>1.35</v>
      </c>
      <c r="E91" s="35">
        <v>7.75243225</v>
      </c>
      <c r="F91" s="38">
        <f t="shared" si="1"/>
        <v>10.4657835375</v>
      </c>
      <c r="G91" s="48"/>
      <c r="H91" s="49"/>
      <c r="I91" s="124">
        <v>103.54</v>
      </c>
    </row>
    <row r="92" spans="1:9" ht="38.25" x14ac:dyDescent="0.25">
      <c r="A92" s="255"/>
      <c r="B92" s="40" t="s">
        <v>4749</v>
      </c>
      <c r="C92" s="53" t="s">
        <v>4744</v>
      </c>
      <c r="D92" s="41">
        <f>ROUND(D88*20,4)</f>
        <v>27</v>
      </c>
      <c r="E92" s="35">
        <v>2.5960374499999999</v>
      </c>
      <c r="F92" s="38">
        <f t="shared" si="1"/>
        <v>70.093011149999995</v>
      </c>
      <c r="G92" s="48"/>
      <c r="H92" s="49"/>
      <c r="I92" s="124">
        <v>103.54</v>
      </c>
    </row>
    <row r="93" spans="1:9" x14ac:dyDescent="0.25">
      <c r="A93" s="255"/>
      <c r="B93" s="52"/>
      <c r="C93" s="53"/>
      <c r="D93" s="41"/>
      <c r="E93" s="35" t="s">
        <v>23</v>
      </c>
      <c r="F93" s="38" t="str">
        <f t="shared" si="1"/>
        <v/>
      </c>
      <c r="G93" s="48"/>
      <c r="H93" s="49"/>
      <c r="I93" s="124">
        <v>103.54</v>
      </c>
    </row>
    <row r="94" spans="1:9" x14ac:dyDescent="0.25">
      <c r="A94" s="255"/>
      <c r="B94" s="50" t="s">
        <v>646</v>
      </c>
      <c r="C94" s="53"/>
      <c r="D94" s="41"/>
      <c r="E94" s="35" t="s">
        <v>23</v>
      </c>
      <c r="F94" s="38" t="str">
        <f t="shared" si="1"/>
        <v/>
      </c>
      <c r="G94" s="48"/>
      <c r="H94" s="49"/>
      <c r="I94" s="124">
        <v>103.54</v>
      </c>
    </row>
    <row r="95" spans="1:9" ht="15.75" thickBot="1" x14ac:dyDescent="0.3">
      <c r="A95" s="255"/>
      <c r="B95" s="40" t="s">
        <v>23</v>
      </c>
      <c r="C95" s="40"/>
      <c r="D95" s="126"/>
      <c r="E95" s="35" t="s">
        <v>23</v>
      </c>
      <c r="F95" s="35" t="str">
        <f t="shared" si="1"/>
        <v/>
      </c>
      <c r="G95" s="39"/>
      <c r="H95" s="35"/>
      <c r="I95" s="124">
        <v>103.54</v>
      </c>
    </row>
    <row r="96" spans="1:9" ht="15.75" hidden="1" thickBot="1" x14ac:dyDescent="0.3">
      <c r="A96" s="268" t="s">
        <v>4741</v>
      </c>
      <c r="B96" s="28" t="s">
        <v>23</v>
      </c>
      <c r="C96" s="29" t="s">
        <v>3764</v>
      </c>
      <c r="D96" s="127"/>
      <c r="E96" s="45" t="s">
        <v>23</v>
      </c>
      <c r="F96" s="45" t="str">
        <f t="shared" si="1"/>
        <v/>
      </c>
      <c r="G96" s="32"/>
      <c r="H96" s="33"/>
      <c r="I96" s="124">
        <v>0</v>
      </c>
    </row>
    <row r="97" spans="1:9" ht="15.75" hidden="1" thickBot="1" x14ac:dyDescent="0.3">
      <c r="A97" s="255"/>
      <c r="B97" s="36" t="s">
        <v>23</v>
      </c>
      <c r="C97" s="36"/>
      <c r="D97" s="125"/>
      <c r="E97" s="46" t="s">
        <v>23</v>
      </c>
      <c r="F97" s="35" t="str">
        <f t="shared" si="1"/>
        <v/>
      </c>
      <c r="G97" s="39"/>
      <c r="H97" s="35"/>
      <c r="I97" s="124">
        <v>0</v>
      </c>
    </row>
    <row r="98" spans="1:9" ht="26.25" hidden="1" thickBot="1" x14ac:dyDescent="0.3">
      <c r="A98" s="255"/>
      <c r="B98" s="40" t="s">
        <v>3763</v>
      </c>
      <c r="C98" s="40" t="s">
        <v>3764</v>
      </c>
      <c r="D98" s="41">
        <v>1.1499999999999999</v>
      </c>
      <c r="E98" s="38">
        <v>204.23099999999999</v>
      </c>
      <c r="F98" s="38">
        <f t="shared" si="1"/>
        <v>234.86564999999999</v>
      </c>
      <c r="G98" s="48">
        <f>SUM(F98:F102)</f>
        <v>720.28359343750003</v>
      </c>
      <c r="H98" s="49"/>
      <c r="I98" s="124">
        <v>0</v>
      </c>
    </row>
    <row r="99" spans="1:9" ht="15.75" hidden="1" thickBot="1" x14ac:dyDescent="0.3">
      <c r="A99" s="255"/>
      <c r="B99" s="40" t="s">
        <v>3759</v>
      </c>
      <c r="C99" s="40" t="s">
        <v>1035</v>
      </c>
      <c r="D99" s="41">
        <v>389.54</v>
      </c>
      <c r="E99" s="38">
        <v>0.627</v>
      </c>
      <c r="F99" s="38">
        <f t="shared" si="1"/>
        <v>244.24158000000003</v>
      </c>
      <c r="G99" s="48"/>
      <c r="H99" s="49"/>
      <c r="I99" s="124">
        <v>0</v>
      </c>
    </row>
    <row r="100" spans="1:9" ht="15.75" hidden="1" thickBot="1" x14ac:dyDescent="0.3">
      <c r="A100" s="255"/>
      <c r="B100" s="40" t="s">
        <v>3754</v>
      </c>
      <c r="C100" s="40" t="s">
        <v>3752</v>
      </c>
      <c r="D100" s="41">
        <v>8.2899999999999991</v>
      </c>
      <c r="E100" s="35">
        <v>20.814499999999999</v>
      </c>
      <c r="F100" s="38">
        <f t="shared" si="1"/>
        <v>172.55220499999999</v>
      </c>
      <c r="G100" s="48"/>
      <c r="H100" s="49"/>
      <c r="I100" s="124">
        <v>0</v>
      </c>
    </row>
    <row r="101" spans="1:9" ht="51.75" hidden="1" thickBot="1" x14ac:dyDescent="0.3">
      <c r="A101" s="255"/>
      <c r="B101" s="40" t="s">
        <v>4752</v>
      </c>
      <c r="C101" s="40" t="s">
        <v>3764</v>
      </c>
      <c r="D101" s="41">
        <f>ROUND(1*D98,4)</f>
        <v>1.1499999999999999</v>
      </c>
      <c r="E101" s="35">
        <v>7.75243225</v>
      </c>
      <c r="F101" s="38">
        <f t="shared" si="1"/>
        <v>8.9152970874999991</v>
      </c>
      <c r="G101" s="48"/>
      <c r="H101" s="49"/>
      <c r="I101" s="124">
        <v>0</v>
      </c>
    </row>
    <row r="102" spans="1:9" ht="39" hidden="1" thickBot="1" x14ac:dyDescent="0.3">
      <c r="A102" s="255"/>
      <c r="B102" s="40" t="s">
        <v>4749</v>
      </c>
      <c r="C102" s="53" t="s">
        <v>4744</v>
      </c>
      <c r="D102" s="41">
        <f>ROUND(D98*20,4)</f>
        <v>23</v>
      </c>
      <c r="E102" s="35">
        <v>2.5960374499999999</v>
      </c>
      <c r="F102" s="38">
        <f t="shared" si="1"/>
        <v>59.708861349999999</v>
      </c>
      <c r="G102" s="48"/>
      <c r="H102" s="49"/>
      <c r="I102" s="124">
        <v>0</v>
      </c>
    </row>
    <row r="103" spans="1:9" ht="15.75" hidden="1" thickBot="1" x14ac:dyDescent="0.3">
      <c r="A103" s="255"/>
      <c r="B103" s="52"/>
      <c r="C103" s="53"/>
      <c r="D103" s="41"/>
      <c r="E103" s="35" t="s">
        <v>23</v>
      </c>
      <c r="F103" s="38" t="str">
        <f t="shared" si="1"/>
        <v/>
      </c>
      <c r="G103" s="48"/>
      <c r="H103" s="49"/>
      <c r="I103" s="124">
        <v>0</v>
      </c>
    </row>
    <row r="104" spans="1:9" ht="15.75" hidden="1" thickBot="1" x14ac:dyDescent="0.3">
      <c r="A104" s="255"/>
      <c r="B104" s="50" t="s">
        <v>646</v>
      </c>
      <c r="C104" s="53"/>
      <c r="D104" s="41"/>
      <c r="E104" s="35" t="s">
        <v>23</v>
      </c>
      <c r="F104" s="38" t="str">
        <f t="shared" si="1"/>
        <v/>
      </c>
      <c r="G104" s="48"/>
      <c r="H104" s="49"/>
      <c r="I104" s="124">
        <v>0</v>
      </c>
    </row>
    <row r="105" spans="1:9" ht="15.75" hidden="1" thickBot="1" x14ac:dyDescent="0.3">
      <c r="A105" s="255"/>
      <c r="B105" s="40" t="s">
        <v>23</v>
      </c>
      <c r="C105" s="40"/>
      <c r="D105" s="126"/>
      <c r="E105" s="35" t="s">
        <v>23</v>
      </c>
      <c r="F105" s="35" t="str">
        <f t="shared" si="1"/>
        <v/>
      </c>
      <c r="G105" s="39"/>
      <c r="H105" s="35"/>
      <c r="I105" s="124">
        <v>0</v>
      </c>
    </row>
    <row r="106" spans="1:9" ht="15.75" hidden="1" thickBot="1" x14ac:dyDescent="0.3">
      <c r="A106" s="268" t="s">
        <v>4712</v>
      </c>
      <c r="B106" s="28" t="s">
        <v>23</v>
      </c>
      <c r="C106" s="29" t="s">
        <v>1286</v>
      </c>
      <c r="D106" s="127"/>
      <c r="E106" s="45" t="s">
        <v>23</v>
      </c>
      <c r="F106" s="45" t="str">
        <f t="shared" si="1"/>
        <v/>
      </c>
      <c r="G106" s="32"/>
      <c r="H106" s="33"/>
      <c r="I106" s="124">
        <v>0</v>
      </c>
    </row>
    <row r="107" spans="1:9" ht="15.75" hidden="1" thickBot="1" x14ac:dyDescent="0.3">
      <c r="A107" s="255"/>
      <c r="B107" s="36" t="s">
        <v>23</v>
      </c>
      <c r="C107" s="36"/>
      <c r="D107" s="125"/>
      <c r="E107" s="46" t="s">
        <v>23</v>
      </c>
      <c r="F107" s="35" t="str">
        <f t="shared" si="1"/>
        <v/>
      </c>
      <c r="G107" s="39"/>
      <c r="H107" s="35"/>
      <c r="I107" s="124">
        <v>0</v>
      </c>
    </row>
    <row r="108" spans="1:9" ht="26.25" hidden="1" thickBot="1" x14ac:dyDescent="0.3">
      <c r="A108" s="255"/>
      <c r="B108" s="40" t="s">
        <v>4662</v>
      </c>
      <c r="C108" s="40" t="s">
        <v>291</v>
      </c>
      <c r="D108" s="41">
        <v>0.33300000000000002</v>
      </c>
      <c r="E108" s="38">
        <v>1.5864999999999998</v>
      </c>
      <c r="F108" s="38">
        <f t="shared" si="1"/>
        <v>0.52830449999999995</v>
      </c>
      <c r="G108" s="48">
        <f>SUM(F108:F110)</f>
        <v>1.5930170000000001</v>
      </c>
      <c r="H108" s="49"/>
      <c r="I108" s="124">
        <v>0</v>
      </c>
    </row>
    <row r="109" spans="1:9" ht="26.25" hidden="1" thickBot="1" x14ac:dyDescent="0.3">
      <c r="A109" s="255"/>
      <c r="B109" s="40" t="s">
        <v>4119</v>
      </c>
      <c r="C109" s="40" t="s">
        <v>3752</v>
      </c>
      <c r="D109" s="41">
        <v>5.0000000000000001E-3</v>
      </c>
      <c r="E109" s="35">
        <v>21.555499999999999</v>
      </c>
      <c r="F109" s="38">
        <f t="shared" si="1"/>
        <v>0.1077775</v>
      </c>
      <c r="G109" s="48"/>
      <c r="H109" s="49"/>
      <c r="I109" s="124">
        <v>0</v>
      </c>
    </row>
    <row r="110" spans="1:9" ht="26.25" hidden="1" thickBot="1" x14ac:dyDescent="0.3">
      <c r="A110" s="255"/>
      <c r="B110" s="40" t="s">
        <v>4110</v>
      </c>
      <c r="C110" s="40" t="s">
        <v>3752</v>
      </c>
      <c r="D110" s="41">
        <v>3.5000000000000003E-2</v>
      </c>
      <c r="E110" s="35">
        <v>27.341000000000001</v>
      </c>
      <c r="F110" s="38">
        <f t="shared" si="1"/>
        <v>0.95693500000000009</v>
      </c>
      <c r="G110" s="48"/>
      <c r="H110" s="49"/>
      <c r="I110" s="124">
        <v>0</v>
      </c>
    </row>
    <row r="111" spans="1:9" ht="15.75" hidden="1" thickBot="1" x14ac:dyDescent="0.3">
      <c r="A111" s="255"/>
      <c r="B111" s="40" t="s">
        <v>23</v>
      </c>
      <c r="C111" s="40"/>
      <c r="D111" s="126"/>
      <c r="E111" s="35" t="s">
        <v>23</v>
      </c>
      <c r="F111" s="35" t="str">
        <f t="shared" si="1"/>
        <v/>
      </c>
      <c r="G111" s="39"/>
      <c r="H111" s="35"/>
      <c r="I111" s="124">
        <v>0</v>
      </c>
    </row>
    <row r="112" spans="1:9" ht="15.75" hidden="1" thickBot="1" x14ac:dyDescent="0.3">
      <c r="A112" s="268" t="s">
        <v>2019</v>
      </c>
      <c r="B112" s="28" t="s">
        <v>23</v>
      </c>
      <c r="C112" s="29" t="s">
        <v>291</v>
      </c>
      <c r="D112" s="127"/>
      <c r="E112" s="45" t="s">
        <v>23</v>
      </c>
      <c r="F112" s="45" t="str">
        <f t="shared" si="1"/>
        <v/>
      </c>
      <c r="G112" s="32"/>
      <c r="H112" s="33"/>
      <c r="I112" s="124">
        <v>0</v>
      </c>
    </row>
    <row r="113" spans="1:9" ht="15.75" hidden="1" thickBot="1" x14ac:dyDescent="0.3">
      <c r="A113" s="255"/>
      <c r="B113" s="36" t="s">
        <v>23</v>
      </c>
      <c r="C113" s="36"/>
      <c r="D113" s="125"/>
      <c r="E113" s="46" t="s">
        <v>23</v>
      </c>
      <c r="F113" s="35" t="str">
        <f t="shared" si="1"/>
        <v/>
      </c>
      <c r="G113" s="39"/>
      <c r="H113" s="35"/>
      <c r="I113" s="124">
        <v>0</v>
      </c>
    </row>
    <row r="114" spans="1:9" ht="26.25" hidden="1" thickBot="1" x14ac:dyDescent="0.3">
      <c r="A114" s="255"/>
      <c r="B114" s="40" t="s">
        <v>4251</v>
      </c>
      <c r="C114" s="40" t="s">
        <v>291</v>
      </c>
      <c r="D114" s="41">
        <v>1</v>
      </c>
      <c r="E114" s="38">
        <v>2.4319999999999999</v>
      </c>
      <c r="F114" s="38">
        <f t="shared" si="1"/>
        <v>2.4319999999999999</v>
      </c>
      <c r="G114" s="48">
        <f>SUM(F114:F116)</f>
        <v>5.1052999999999997</v>
      </c>
      <c r="H114" s="49"/>
      <c r="I114" s="124">
        <v>0</v>
      </c>
    </row>
    <row r="115" spans="1:9" ht="15.75" hidden="1" thickBot="1" x14ac:dyDescent="0.3">
      <c r="A115" s="255"/>
      <c r="B115" s="40" t="s">
        <v>3770</v>
      </c>
      <c r="C115" s="40" t="s">
        <v>3752</v>
      </c>
      <c r="D115" s="41">
        <v>0.06</v>
      </c>
      <c r="E115" s="35">
        <v>19.4085</v>
      </c>
      <c r="F115" s="38">
        <f t="shared" si="1"/>
        <v>1.1645099999999999</v>
      </c>
      <c r="G115" s="48"/>
      <c r="H115" s="49"/>
      <c r="I115" s="124">
        <v>0</v>
      </c>
    </row>
    <row r="116" spans="1:9" ht="15.75" hidden="1" thickBot="1" x14ac:dyDescent="0.3">
      <c r="A116" s="255"/>
      <c r="B116" s="40" t="s">
        <v>3760</v>
      </c>
      <c r="C116" s="40" t="s">
        <v>3752</v>
      </c>
      <c r="D116" s="41">
        <v>0.06</v>
      </c>
      <c r="E116" s="35">
        <v>25.146499999999996</v>
      </c>
      <c r="F116" s="38">
        <f t="shared" si="1"/>
        <v>1.5087899999999996</v>
      </c>
      <c r="G116" s="48"/>
      <c r="H116" s="49"/>
      <c r="I116" s="124">
        <v>0</v>
      </c>
    </row>
    <row r="117" spans="1:9" ht="15.75" hidden="1" thickBot="1" x14ac:dyDescent="0.3">
      <c r="A117" s="255"/>
      <c r="B117" s="40" t="s">
        <v>23</v>
      </c>
      <c r="C117" s="40"/>
      <c r="D117" s="126"/>
      <c r="E117" s="35" t="s">
        <v>23</v>
      </c>
      <c r="F117" s="35" t="str">
        <f t="shared" si="1"/>
        <v/>
      </c>
      <c r="G117" s="39"/>
      <c r="H117" s="35"/>
      <c r="I117" s="124">
        <v>0</v>
      </c>
    </row>
    <row r="118" spans="1:9" ht="15.75" hidden="1" thickBot="1" x14ac:dyDescent="0.3">
      <c r="A118" s="268" t="s">
        <v>2020</v>
      </c>
      <c r="B118" s="28" t="s">
        <v>23</v>
      </c>
      <c r="C118" s="29" t="s">
        <v>291</v>
      </c>
      <c r="D118" s="127"/>
      <c r="E118" s="45" t="s">
        <v>23</v>
      </c>
      <c r="F118" s="45" t="str">
        <f t="shared" si="1"/>
        <v/>
      </c>
      <c r="G118" s="32"/>
      <c r="H118" s="33"/>
      <c r="I118" s="124">
        <v>0</v>
      </c>
    </row>
    <row r="119" spans="1:9" ht="15.75" hidden="1" thickBot="1" x14ac:dyDescent="0.3">
      <c r="A119" s="255"/>
      <c r="B119" s="36" t="s">
        <v>23</v>
      </c>
      <c r="C119" s="36"/>
      <c r="D119" s="125"/>
      <c r="E119" s="46" t="s">
        <v>23</v>
      </c>
      <c r="F119" s="35" t="str">
        <f t="shared" si="1"/>
        <v/>
      </c>
      <c r="G119" s="39"/>
      <c r="H119" s="35"/>
      <c r="I119" s="124">
        <v>0</v>
      </c>
    </row>
    <row r="120" spans="1:9" ht="26.25" hidden="1" thickBot="1" x14ac:dyDescent="0.3">
      <c r="A120" s="255"/>
      <c r="B120" s="40" t="s">
        <v>4255</v>
      </c>
      <c r="C120" s="40" t="s">
        <v>291</v>
      </c>
      <c r="D120" s="41">
        <v>1</v>
      </c>
      <c r="E120" s="38">
        <v>2.831</v>
      </c>
      <c r="F120" s="38">
        <f t="shared" si="1"/>
        <v>2.831</v>
      </c>
      <c r="G120" s="48">
        <f>SUM(F120:F122)</f>
        <v>5.5042999999999997</v>
      </c>
      <c r="H120" s="49"/>
      <c r="I120" s="124">
        <v>0</v>
      </c>
    </row>
    <row r="121" spans="1:9" ht="15.75" hidden="1" thickBot="1" x14ac:dyDescent="0.3">
      <c r="A121" s="255"/>
      <c r="B121" s="40" t="s">
        <v>3770</v>
      </c>
      <c r="C121" s="40" t="s">
        <v>3752</v>
      </c>
      <c r="D121" s="41">
        <v>0.06</v>
      </c>
      <c r="E121" s="35">
        <v>19.4085</v>
      </c>
      <c r="F121" s="38">
        <f t="shared" si="1"/>
        <v>1.1645099999999999</v>
      </c>
      <c r="G121" s="48"/>
      <c r="H121" s="49"/>
      <c r="I121" s="124">
        <v>0</v>
      </c>
    </row>
    <row r="122" spans="1:9" ht="15.75" hidden="1" thickBot="1" x14ac:dyDescent="0.3">
      <c r="A122" s="255"/>
      <c r="B122" s="40" t="s">
        <v>3760</v>
      </c>
      <c r="C122" s="40" t="s">
        <v>3752</v>
      </c>
      <c r="D122" s="41">
        <v>0.06</v>
      </c>
      <c r="E122" s="35">
        <v>25.146499999999996</v>
      </c>
      <c r="F122" s="38">
        <f t="shared" si="1"/>
        <v>1.5087899999999996</v>
      </c>
      <c r="G122" s="48"/>
      <c r="H122" s="49"/>
      <c r="I122" s="124">
        <v>0</v>
      </c>
    </row>
    <row r="123" spans="1:9" ht="15.75" hidden="1" thickBot="1" x14ac:dyDescent="0.3">
      <c r="A123" s="255"/>
      <c r="B123" s="40" t="s">
        <v>23</v>
      </c>
      <c r="C123" s="40"/>
      <c r="D123" s="126"/>
      <c r="E123" s="35" t="s">
        <v>23</v>
      </c>
      <c r="F123" s="35" t="str">
        <f t="shared" si="1"/>
        <v/>
      </c>
      <c r="G123" s="39"/>
      <c r="H123" s="35"/>
      <c r="I123" s="124">
        <v>0</v>
      </c>
    </row>
    <row r="124" spans="1:9" ht="15.75" hidden="1" thickBot="1" x14ac:dyDescent="0.3">
      <c r="A124" s="268" t="s">
        <v>2021</v>
      </c>
      <c r="B124" s="28" t="s">
        <v>23</v>
      </c>
      <c r="C124" s="29" t="s">
        <v>291</v>
      </c>
      <c r="D124" s="127"/>
      <c r="E124" s="45" t="s">
        <v>23</v>
      </c>
      <c r="F124" s="45" t="str">
        <f t="shared" si="1"/>
        <v/>
      </c>
      <c r="G124" s="32"/>
      <c r="H124" s="33"/>
      <c r="I124" s="124">
        <v>0</v>
      </c>
    </row>
    <row r="125" spans="1:9" ht="15.75" hidden="1" thickBot="1" x14ac:dyDescent="0.3">
      <c r="A125" s="255"/>
      <c r="B125" s="36" t="s">
        <v>23</v>
      </c>
      <c r="C125" s="36"/>
      <c r="D125" s="125"/>
      <c r="E125" s="46" t="s">
        <v>23</v>
      </c>
      <c r="F125" s="35" t="str">
        <f t="shared" si="1"/>
        <v/>
      </c>
      <c r="G125" s="39"/>
      <c r="H125" s="35"/>
      <c r="I125" s="124">
        <v>0</v>
      </c>
    </row>
    <row r="126" spans="1:9" ht="26.25" hidden="1" thickBot="1" x14ac:dyDescent="0.3">
      <c r="A126" s="255"/>
      <c r="B126" s="40" t="s">
        <v>4259</v>
      </c>
      <c r="C126" s="40" t="s">
        <v>291</v>
      </c>
      <c r="D126" s="41">
        <v>1</v>
      </c>
      <c r="E126" s="38">
        <v>5.016</v>
      </c>
      <c r="F126" s="38">
        <f t="shared" si="1"/>
        <v>5.016</v>
      </c>
      <c r="G126" s="48">
        <f>SUM(F126:F128)</f>
        <v>9.0259499999999999</v>
      </c>
      <c r="H126" s="49"/>
      <c r="I126" s="124">
        <v>0</v>
      </c>
    </row>
    <row r="127" spans="1:9" ht="15.75" hidden="1" thickBot="1" x14ac:dyDescent="0.3">
      <c r="A127" s="255"/>
      <c r="B127" s="40" t="s">
        <v>3770</v>
      </c>
      <c r="C127" s="40" t="s">
        <v>3752</v>
      </c>
      <c r="D127" s="41">
        <v>0.09</v>
      </c>
      <c r="E127" s="35">
        <v>19.4085</v>
      </c>
      <c r="F127" s="38">
        <f t="shared" si="1"/>
        <v>1.7467649999999999</v>
      </c>
      <c r="G127" s="48"/>
      <c r="H127" s="49"/>
      <c r="I127" s="124">
        <v>0</v>
      </c>
    </row>
    <row r="128" spans="1:9" ht="15.75" hidden="1" thickBot="1" x14ac:dyDescent="0.3">
      <c r="A128" s="255"/>
      <c r="B128" s="40" t="s">
        <v>3760</v>
      </c>
      <c r="C128" s="40" t="s">
        <v>3752</v>
      </c>
      <c r="D128" s="41">
        <v>0.09</v>
      </c>
      <c r="E128" s="35">
        <v>25.146499999999996</v>
      </c>
      <c r="F128" s="38">
        <f t="shared" si="1"/>
        <v>2.2631849999999996</v>
      </c>
      <c r="G128" s="48"/>
      <c r="H128" s="49"/>
      <c r="I128" s="124">
        <v>0</v>
      </c>
    </row>
    <row r="129" spans="1:9" ht="15.75" hidden="1" thickBot="1" x14ac:dyDescent="0.3">
      <c r="A129" s="255"/>
      <c r="B129" s="40" t="s">
        <v>23</v>
      </c>
      <c r="C129" s="40"/>
      <c r="D129" s="126"/>
      <c r="E129" s="35" t="s">
        <v>23</v>
      </c>
      <c r="F129" s="35" t="str">
        <f t="shared" si="1"/>
        <v/>
      </c>
      <c r="G129" s="39"/>
      <c r="H129" s="35"/>
      <c r="I129" s="124">
        <v>0</v>
      </c>
    </row>
    <row r="130" spans="1:9" ht="15.75" hidden="1" thickBot="1" x14ac:dyDescent="0.3">
      <c r="A130" s="268" t="s">
        <v>2022</v>
      </c>
      <c r="B130" s="28" t="s">
        <v>23</v>
      </c>
      <c r="C130" s="29" t="s">
        <v>291</v>
      </c>
      <c r="D130" s="127"/>
      <c r="E130" s="45" t="s">
        <v>23</v>
      </c>
      <c r="F130" s="45" t="str">
        <f t="shared" si="1"/>
        <v/>
      </c>
      <c r="G130" s="32"/>
      <c r="H130" s="33"/>
      <c r="I130" s="124">
        <v>0</v>
      </c>
    </row>
    <row r="131" spans="1:9" ht="15.75" hidden="1" thickBot="1" x14ac:dyDescent="0.3">
      <c r="A131" s="255"/>
      <c r="B131" s="36" t="s">
        <v>23</v>
      </c>
      <c r="C131" s="36"/>
      <c r="D131" s="125"/>
      <c r="E131" s="46" t="s">
        <v>23</v>
      </c>
      <c r="F131" s="35" t="str">
        <f t="shared" si="1"/>
        <v/>
      </c>
      <c r="G131" s="39"/>
      <c r="H131" s="35"/>
      <c r="I131" s="124">
        <v>0</v>
      </c>
    </row>
    <row r="132" spans="1:9" ht="26.25" hidden="1" thickBot="1" x14ac:dyDescent="0.3">
      <c r="A132" s="255"/>
      <c r="B132" s="40" t="s">
        <v>4263</v>
      </c>
      <c r="C132" s="40" t="s">
        <v>291</v>
      </c>
      <c r="D132" s="41">
        <v>1</v>
      </c>
      <c r="E132" s="38">
        <v>7.2579999999999991</v>
      </c>
      <c r="F132" s="38">
        <f t="shared" si="1"/>
        <v>7.2579999999999991</v>
      </c>
      <c r="G132" s="48">
        <f>SUM(F132:F134)</f>
        <v>11.267949999999999</v>
      </c>
      <c r="H132" s="49"/>
      <c r="I132" s="124">
        <v>0</v>
      </c>
    </row>
    <row r="133" spans="1:9" ht="15.75" hidden="1" thickBot="1" x14ac:dyDescent="0.3">
      <c r="A133" s="255"/>
      <c r="B133" s="40" t="s">
        <v>3770</v>
      </c>
      <c r="C133" s="40" t="s">
        <v>3752</v>
      </c>
      <c r="D133" s="41">
        <v>0.09</v>
      </c>
      <c r="E133" s="35">
        <v>19.4085</v>
      </c>
      <c r="F133" s="38">
        <f t="shared" si="1"/>
        <v>1.7467649999999999</v>
      </c>
      <c r="G133" s="48"/>
      <c r="H133" s="49"/>
      <c r="I133" s="124">
        <v>0</v>
      </c>
    </row>
    <row r="134" spans="1:9" ht="15.75" hidden="1" thickBot="1" x14ac:dyDescent="0.3">
      <c r="A134" s="255"/>
      <c r="B134" s="40" t="s">
        <v>3760</v>
      </c>
      <c r="C134" s="40" t="s">
        <v>3752</v>
      </c>
      <c r="D134" s="41">
        <v>0.09</v>
      </c>
      <c r="E134" s="35">
        <v>25.146499999999996</v>
      </c>
      <c r="F134" s="38">
        <f t="shared" ref="F134:F197" si="2">IF(ISNUMBER(E134),E134*$D134,"")</f>
        <v>2.2631849999999996</v>
      </c>
      <c r="G134" s="48"/>
      <c r="H134" s="49"/>
      <c r="I134" s="124">
        <v>0</v>
      </c>
    </row>
    <row r="135" spans="1:9" ht="15.75" hidden="1" thickBot="1" x14ac:dyDescent="0.3">
      <c r="A135" s="255"/>
      <c r="B135" s="40" t="s">
        <v>23</v>
      </c>
      <c r="C135" s="40"/>
      <c r="D135" s="126"/>
      <c r="E135" s="35" t="s">
        <v>23</v>
      </c>
      <c r="F135" s="35" t="str">
        <f t="shared" si="2"/>
        <v/>
      </c>
      <c r="G135" s="39"/>
      <c r="H135" s="35"/>
      <c r="I135" s="124">
        <v>0</v>
      </c>
    </row>
    <row r="136" spans="1:9" ht="15.75" hidden="1" thickBot="1" x14ac:dyDescent="0.3">
      <c r="A136" s="268" t="s">
        <v>4713</v>
      </c>
      <c r="B136" s="28" t="s">
        <v>23</v>
      </c>
      <c r="C136" s="29" t="s">
        <v>1286</v>
      </c>
      <c r="D136" s="127"/>
      <c r="E136" s="45" t="s">
        <v>23</v>
      </c>
      <c r="F136" s="45" t="str">
        <f t="shared" si="2"/>
        <v/>
      </c>
      <c r="G136" s="32"/>
      <c r="H136" s="33"/>
      <c r="I136" s="124">
        <v>0</v>
      </c>
    </row>
    <row r="137" spans="1:9" ht="15.75" hidden="1" thickBot="1" x14ac:dyDescent="0.3">
      <c r="A137" s="255"/>
      <c r="B137" s="36" t="s">
        <v>23</v>
      </c>
      <c r="C137" s="36"/>
      <c r="D137" s="125"/>
      <c r="E137" s="128" t="s">
        <v>23</v>
      </c>
      <c r="F137" s="129" t="str">
        <f t="shared" si="2"/>
        <v/>
      </c>
      <c r="G137" s="39"/>
      <c r="H137" s="35"/>
      <c r="I137" s="124">
        <v>0</v>
      </c>
    </row>
    <row r="138" spans="1:9" ht="26.25" hidden="1" thickBot="1" x14ac:dyDescent="0.3">
      <c r="A138" s="255"/>
      <c r="B138" s="40" t="s">
        <v>4668</v>
      </c>
      <c r="C138" s="40" t="s">
        <v>291</v>
      </c>
      <c r="D138" s="41">
        <v>0.33300000000000002</v>
      </c>
      <c r="E138" s="38">
        <v>3.2489999999999997</v>
      </c>
      <c r="F138" s="38">
        <f t="shared" si="2"/>
        <v>1.081917</v>
      </c>
      <c r="G138" s="48">
        <f>SUM(F138:F140)</f>
        <v>3.1077634999999999</v>
      </c>
      <c r="H138" s="49"/>
      <c r="I138" s="124">
        <v>0</v>
      </c>
    </row>
    <row r="139" spans="1:9" ht="26.25" hidden="1" thickBot="1" x14ac:dyDescent="0.3">
      <c r="A139" s="255"/>
      <c r="B139" s="40" t="s">
        <v>4119</v>
      </c>
      <c r="C139" s="40" t="s">
        <v>3752</v>
      </c>
      <c r="D139" s="41">
        <v>8.9999999999999993E-3</v>
      </c>
      <c r="E139" s="35">
        <v>21.555499999999999</v>
      </c>
      <c r="F139" s="38">
        <f t="shared" si="2"/>
        <v>0.19399949999999996</v>
      </c>
      <c r="G139" s="48"/>
      <c r="H139" s="49"/>
      <c r="I139" s="124">
        <v>0</v>
      </c>
    </row>
    <row r="140" spans="1:9" ht="26.25" hidden="1" thickBot="1" x14ac:dyDescent="0.3">
      <c r="A140" s="255"/>
      <c r="B140" s="40" t="s">
        <v>4110</v>
      </c>
      <c r="C140" s="40" t="s">
        <v>3752</v>
      </c>
      <c r="D140" s="41">
        <v>6.7000000000000004E-2</v>
      </c>
      <c r="E140" s="35">
        <v>27.341000000000001</v>
      </c>
      <c r="F140" s="38">
        <f t="shared" si="2"/>
        <v>1.8318470000000002</v>
      </c>
      <c r="G140" s="48"/>
      <c r="H140" s="49"/>
      <c r="I140" s="124">
        <v>0</v>
      </c>
    </row>
    <row r="141" spans="1:9" ht="15.75" hidden="1" thickBot="1" x14ac:dyDescent="0.3">
      <c r="A141" s="255"/>
      <c r="B141" s="40" t="s">
        <v>23</v>
      </c>
      <c r="C141" s="40"/>
      <c r="D141" s="126"/>
      <c r="E141" s="35" t="s">
        <v>23</v>
      </c>
      <c r="F141" s="35" t="str">
        <f t="shared" si="2"/>
        <v/>
      </c>
      <c r="G141" s="39"/>
      <c r="H141" s="35"/>
      <c r="I141" s="124">
        <v>0</v>
      </c>
    </row>
    <row r="142" spans="1:9" ht="15.75" hidden="1" thickBot="1" x14ac:dyDescent="0.3">
      <c r="A142" s="268" t="s">
        <v>4728</v>
      </c>
      <c r="B142" s="28" t="s">
        <v>23</v>
      </c>
      <c r="C142" s="29" t="s">
        <v>3764</v>
      </c>
      <c r="D142" s="127"/>
      <c r="E142" s="45" t="s">
        <v>23</v>
      </c>
      <c r="F142" s="45" t="str">
        <f t="shared" si="2"/>
        <v/>
      </c>
      <c r="G142" s="32"/>
      <c r="H142" s="33"/>
      <c r="I142" s="124">
        <v>0</v>
      </c>
    </row>
    <row r="143" spans="1:9" ht="15.75" hidden="1" thickBot="1" x14ac:dyDescent="0.3">
      <c r="A143" s="255"/>
      <c r="B143" s="36" t="s">
        <v>23</v>
      </c>
      <c r="C143" s="36"/>
      <c r="D143" s="125"/>
      <c r="E143" s="46" t="s">
        <v>23</v>
      </c>
      <c r="F143" s="35" t="str">
        <f t="shared" si="2"/>
        <v/>
      </c>
      <c r="G143" s="39"/>
      <c r="H143" s="35"/>
      <c r="I143" s="124">
        <v>0</v>
      </c>
    </row>
    <row r="144" spans="1:9" ht="26.25" hidden="1" thickBot="1" x14ac:dyDescent="0.3">
      <c r="A144" s="255"/>
      <c r="B144" s="40" t="s">
        <v>3763</v>
      </c>
      <c r="C144" s="40" t="s">
        <v>3764</v>
      </c>
      <c r="D144" s="41">
        <v>1.18</v>
      </c>
      <c r="E144" s="38">
        <v>204.23099999999999</v>
      </c>
      <c r="F144" s="38">
        <f t="shared" si="2"/>
        <v>240.99257999999998</v>
      </c>
      <c r="G144" s="48">
        <f>SUM(F144:F152)</f>
        <v>725.62887887499994</v>
      </c>
      <c r="H144" s="49"/>
      <c r="I144" s="124">
        <v>0</v>
      </c>
    </row>
    <row r="145" spans="1:9" ht="15.75" hidden="1" thickBot="1" x14ac:dyDescent="0.3">
      <c r="A145" s="255"/>
      <c r="B145" s="40" t="s">
        <v>3811</v>
      </c>
      <c r="C145" s="40" t="s">
        <v>1035</v>
      </c>
      <c r="D145" s="41">
        <v>157.44</v>
      </c>
      <c r="E145" s="38">
        <v>1.2825</v>
      </c>
      <c r="F145" s="38">
        <f t="shared" si="2"/>
        <v>201.91679999999999</v>
      </c>
      <c r="G145" s="48"/>
      <c r="H145" s="49"/>
      <c r="I145" s="124">
        <v>0</v>
      </c>
    </row>
    <row r="146" spans="1:9" ht="15.75" hidden="1" thickBot="1" x14ac:dyDescent="0.3">
      <c r="A146" s="255"/>
      <c r="B146" s="40" t="s">
        <v>3759</v>
      </c>
      <c r="C146" s="40" t="s">
        <v>1035</v>
      </c>
      <c r="D146" s="41">
        <v>177.12</v>
      </c>
      <c r="E146" s="38">
        <v>0.627</v>
      </c>
      <c r="F146" s="38">
        <f t="shared" si="2"/>
        <v>111.05424000000001</v>
      </c>
      <c r="G146" s="48"/>
      <c r="H146" s="49"/>
      <c r="I146" s="124">
        <v>0</v>
      </c>
    </row>
    <row r="147" spans="1:9" ht="15.75" hidden="1" thickBot="1" x14ac:dyDescent="0.3">
      <c r="A147" s="255"/>
      <c r="B147" s="40" t="s">
        <v>3754</v>
      </c>
      <c r="C147" s="40" t="s">
        <v>3752</v>
      </c>
      <c r="D147" s="41">
        <v>0.79</v>
      </c>
      <c r="E147" s="35">
        <v>20.814499999999999</v>
      </c>
      <c r="F147" s="38">
        <f t="shared" si="2"/>
        <v>16.443455</v>
      </c>
      <c r="G147" s="48"/>
      <c r="H147" s="49"/>
      <c r="I147" s="124">
        <v>0</v>
      </c>
    </row>
    <row r="148" spans="1:9" ht="26.25" hidden="1" thickBot="1" x14ac:dyDescent="0.3">
      <c r="A148" s="255"/>
      <c r="B148" s="40" t="s">
        <v>3805</v>
      </c>
      <c r="C148" s="40" t="s">
        <v>3752</v>
      </c>
      <c r="D148" s="41">
        <v>3.65</v>
      </c>
      <c r="E148" s="35">
        <v>20.918999999999997</v>
      </c>
      <c r="F148" s="38">
        <f t="shared" si="2"/>
        <v>76.354349999999982</v>
      </c>
      <c r="G148" s="48"/>
      <c r="H148" s="49"/>
      <c r="I148" s="124">
        <v>0</v>
      </c>
    </row>
    <row r="149" spans="1:9" ht="39" hidden="1" thickBot="1" x14ac:dyDescent="0.3">
      <c r="A149" s="255"/>
      <c r="B149" s="40" t="s">
        <v>4182</v>
      </c>
      <c r="C149" s="40" t="s">
        <v>1041</v>
      </c>
      <c r="D149" s="41">
        <v>0.85</v>
      </c>
      <c r="E149" s="35">
        <v>4.75</v>
      </c>
      <c r="F149" s="38">
        <f t="shared" si="2"/>
        <v>4.0374999999999996</v>
      </c>
      <c r="G149" s="48"/>
      <c r="H149" s="49"/>
      <c r="I149" s="124">
        <v>0</v>
      </c>
    </row>
    <row r="150" spans="1:9" ht="39" hidden="1" thickBot="1" x14ac:dyDescent="0.3">
      <c r="A150" s="255"/>
      <c r="B150" s="40" t="s">
        <v>4650</v>
      </c>
      <c r="C150" s="40" t="s">
        <v>1052</v>
      </c>
      <c r="D150" s="41">
        <v>2.8</v>
      </c>
      <c r="E150" s="35">
        <v>1.577</v>
      </c>
      <c r="F150" s="38">
        <f t="shared" si="2"/>
        <v>4.4155999999999995</v>
      </c>
      <c r="G150" s="48"/>
      <c r="H150" s="49"/>
      <c r="I150" s="124">
        <v>0</v>
      </c>
    </row>
    <row r="151" spans="1:9" ht="51.75" hidden="1" thickBot="1" x14ac:dyDescent="0.3">
      <c r="A151" s="255"/>
      <c r="B151" s="40" t="s">
        <v>4752</v>
      </c>
      <c r="C151" s="40" t="s">
        <v>3764</v>
      </c>
      <c r="D151" s="41">
        <f>ROUND(1*D144,4)</f>
        <v>1.18</v>
      </c>
      <c r="E151" s="35">
        <v>7.75243225</v>
      </c>
      <c r="F151" s="38">
        <f t="shared" si="2"/>
        <v>9.1478700550000003</v>
      </c>
      <c r="G151" s="48"/>
      <c r="H151" s="49"/>
      <c r="I151" s="124">
        <v>0</v>
      </c>
    </row>
    <row r="152" spans="1:9" ht="39" hidden="1" thickBot="1" x14ac:dyDescent="0.3">
      <c r="A152" s="255"/>
      <c r="B152" s="40" t="s">
        <v>4749</v>
      </c>
      <c r="C152" s="53" t="s">
        <v>4744</v>
      </c>
      <c r="D152" s="41">
        <f>ROUND(D144*20,4)</f>
        <v>23.6</v>
      </c>
      <c r="E152" s="35">
        <v>2.5960374499999999</v>
      </c>
      <c r="F152" s="38">
        <f t="shared" si="2"/>
        <v>61.266483819999998</v>
      </c>
      <c r="G152" s="48"/>
      <c r="H152" s="49"/>
      <c r="I152" s="124">
        <v>0</v>
      </c>
    </row>
    <row r="153" spans="1:9" ht="15.75" hidden="1" thickBot="1" x14ac:dyDescent="0.3">
      <c r="A153" s="255"/>
      <c r="B153" s="52"/>
      <c r="C153" s="53"/>
      <c r="D153" s="41"/>
      <c r="E153" s="35" t="s">
        <v>23</v>
      </c>
      <c r="F153" s="38" t="str">
        <f t="shared" si="2"/>
        <v/>
      </c>
      <c r="G153" s="48"/>
      <c r="H153" s="49"/>
      <c r="I153" s="124">
        <v>0</v>
      </c>
    </row>
    <row r="154" spans="1:9" ht="15.75" hidden="1" thickBot="1" x14ac:dyDescent="0.3">
      <c r="A154" s="255"/>
      <c r="B154" s="50" t="s">
        <v>646</v>
      </c>
      <c r="C154" s="53"/>
      <c r="D154" s="41"/>
      <c r="E154" s="35" t="s">
        <v>23</v>
      </c>
      <c r="F154" s="38" t="str">
        <f t="shared" si="2"/>
        <v/>
      </c>
      <c r="G154" s="48"/>
      <c r="H154" s="49"/>
      <c r="I154" s="124">
        <v>0</v>
      </c>
    </row>
    <row r="155" spans="1:9" ht="15.75" hidden="1" thickBot="1" x14ac:dyDescent="0.3">
      <c r="A155" s="255"/>
      <c r="B155" s="40"/>
      <c r="C155" s="40"/>
      <c r="D155" s="126"/>
      <c r="E155" s="35" t="s">
        <v>23</v>
      </c>
      <c r="F155" s="35" t="str">
        <f t="shared" si="2"/>
        <v/>
      </c>
      <c r="G155" s="39"/>
      <c r="H155" s="35"/>
      <c r="I155" s="124">
        <v>0</v>
      </c>
    </row>
    <row r="156" spans="1:9" ht="15.75" thickBot="1" x14ac:dyDescent="0.3">
      <c r="A156" s="268" t="s">
        <v>4730</v>
      </c>
      <c r="B156" s="28" t="s">
        <v>23</v>
      </c>
      <c r="C156" s="29" t="s">
        <v>3764</v>
      </c>
      <c r="D156" s="127"/>
      <c r="E156" s="45" t="s">
        <v>23</v>
      </c>
      <c r="F156" s="45" t="str">
        <f t="shared" si="2"/>
        <v/>
      </c>
      <c r="G156" s="32"/>
      <c r="H156" s="33"/>
      <c r="I156" s="124">
        <v>4118.9549999999999</v>
      </c>
    </row>
    <row r="157" spans="1:9" x14ac:dyDescent="0.25">
      <c r="A157" s="255"/>
      <c r="B157" s="36" t="s">
        <v>23</v>
      </c>
      <c r="C157" s="36"/>
      <c r="D157" s="125"/>
      <c r="E157" s="46" t="s">
        <v>23</v>
      </c>
      <c r="F157" s="35" t="str">
        <f t="shared" si="2"/>
        <v/>
      </c>
      <c r="G157" s="39"/>
      <c r="H157" s="35"/>
      <c r="I157" s="124">
        <v>4118.9549999999999</v>
      </c>
    </row>
    <row r="158" spans="1:9" ht="25.5" x14ac:dyDescent="0.25">
      <c r="A158" s="255"/>
      <c r="B158" s="40" t="s">
        <v>3763</v>
      </c>
      <c r="C158" s="40" t="s">
        <v>3764</v>
      </c>
      <c r="D158" s="41">
        <v>1.36</v>
      </c>
      <c r="E158" s="38">
        <v>204.23099999999999</v>
      </c>
      <c r="F158" s="38">
        <f t="shared" si="2"/>
        <v>277.75416000000001</v>
      </c>
      <c r="G158" s="48">
        <f>SUM(F158:F164)</f>
        <v>751.86692650000009</v>
      </c>
      <c r="H158" s="49"/>
      <c r="I158" s="124">
        <v>4118.9549999999999</v>
      </c>
    </row>
    <row r="159" spans="1:9" x14ac:dyDescent="0.25">
      <c r="A159" s="255"/>
      <c r="B159" s="40" t="s">
        <v>3759</v>
      </c>
      <c r="C159" s="40" t="s">
        <v>1035</v>
      </c>
      <c r="D159" s="41">
        <v>459.85</v>
      </c>
      <c r="E159" s="38">
        <v>0.627</v>
      </c>
      <c r="F159" s="38">
        <f t="shared" si="2"/>
        <v>288.32595000000003</v>
      </c>
      <c r="G159" s="48"/>
      <c r="H159" s="49"/>
      <c r="I159" s="124">
        <v>4118.9549999999999</v>
      </c>
    </row>
    <row r="160" spans="1:9" ht="25.5" x14ac:dyDescent="0.25">
      <c r="A160" s="255"/>
      <c r="B160" s="40" t="s">
        <v>3805</v>
      </c>
      <c r="C160" s="40" t="s">
        <v>3752</v>
      </c>
      <c r="D160" s="41">
        <v>4.8499999999999996</v>
      </c>
      <c r="E160" s="35">
        <v>20.918999999999997</v>
      </c>
      <c r="F160" s="38">
        <f t="shared" si="2"/>
        <v>101.45714999999998</v>
      </c>
      <c r="G160" s="48"/>
      <c r="H160" s="49"/>
      <c r="I160" s="124">
        <v>4118.9549999999999</v>
      </c>
    </row>
    <row r="161" spans="1:9" ht="38.25" x14ac:dyDescent="0.25">
      <c r="A161" s="255"/>
      <c r="B161" s="40" t="s">
        <v>4115</v>
      </c>
      <c r="C161" s="40" t="s">
        <v>1041</v>
      </c>
      <c r="D161" s="41">
        <v>1.1299999999999999</v>
      </c>
      <c r="E161" s="35">
        <v>1.5579999999999998</v>
      </c>
      <c r="F161" s="38">
        <f t="shared" si="2"/>
        <v>1.7605399999999995</v>
      </c>
      <c r="G161" s="48"/>
      <c r="H161" s="49"/>
      <c r="I161" s="124">
        <v>4118.9549999999999</v>
      </c>
    </row>
    <row r="162" spans="1:9" ht="38.25" x14ac:dyDescent="0.25">
      <c r="A162" s="255"/>
      <c r="B162" s="40" t="s">
        <v>4121</v>
      </c>
      <c r="C162" s="40" t="s">
        <v>1052</v>
      </c>
      <c r="D162" s="41">
        <v>3.72</v>
      </c>
      <c r="E162" s="35">
        <v>0.38</v>
      </c>
      <c r="F162" s="38">
        <f t="shared" si="2"/>
        <v>1.4136000000000002</v>
      </c>
      <c r="G162" s="48"/>
      <c r="H162" s="49"/>
      <c r="I162" s="124">
        <v>4118.9549999999999</v>
      </c>
    </row>
    <row r="163" spans="1:9" ht="51" x14ac:dyDescent="0.25">
      <c r="A163" s="255"/>
      <c r="B163" s="40" t="s">
        <v>4752</v>
      </c>
      <c r="C163" s="40" t="s">
        <v>3764</v>
      </c>
      <c r="D163" s="41">
        <f>ROUND(1*D158,4)</f>
        <v>1.36</v>
      </c>
      <c r="E163" s="35">
        <v>7.75243225</v>
      </c>
      <c r="F163" s="38">
        <f t="shared" si="2"/>
        <v>10.543307860000001</v>
      </c>
      <c r="G163" s="48"/>
      <c r="H163" s="49"/>
      <c r="I163" s="124">
        <v>4118.9549999999999</v>
      </c>
    </row>
    <row r="164" spans="1:9" ht="38.25" x14ac:dyDescent="0.25">
      <c r="A164" s="255"/>
      <c r="B164" s="40" t="s">
        <v>4749</v>
      </c>
      <c r="C164" s="53" t="s">
        <v>4744</v>
      </c>
      <c r="D164" s="41">
        <f>ROUND(D158*20,4)</f>
        <v>27.2</v>
      </c>
      <c r="E164" s="35">
        <v>2.5960374499999999</v>
      </c>
      <c r="F164" s="38">
        <f t="shared" si="2"/>
        <v>70.612218639999995</v>
      </c>
      <c r="G164" s="48"/>
      <c r="H164" s="49"/>
      <c r="I164" s="124">
        <v>4118.9549999999999</v>
      </c>
    </row>
    <row r="165" spans="1:9" x14ac:dyDescent="0.25">
      <c r="A165" s="255"/>
      <c r="B165" s="52"/>
      <c r="C165" s="53"/>
      <c r="D165" s="41"/>
      <c r="E165" s="35" t="s">
        <v>23</v>
      </c>
      <c r="F165" s="38" t="str">
        <f t="shared" si="2"/>
        <v/>
      </c>
      <c r="G165" s="48"/>
      <c r="H165" s="49"/>
      <c r="I165" s="124">
        <v>4118.9549999999999</v>
      </c>
    </row>
    <row r="166" spans="1:9" x14ac:dyDescent="0.25">
      <c r="A166" s="255"/>
      <c r="B166" s="50" t="s">
        <v>646</v>
      </c>
      <c r="C166" s="53"/>
      <c r="D166" s="41"/>
      <c r="E166" s="35" t="s">
        <v>23</v>
      </c>
      <c r="F166" s="38" t="str">
        <f t="shared" si="2"/>
        <v/>
      </c>
      <c r="G166" s="48"/>
      <c r="H166" s="49"/>
      <c r="I166" s="124">
        <v>4118.9549999999999</v>
      </c>
    </row>
    <row r="167" spans="1:9" ht="15.75" thickBot="1" x14ac:dyDescent="0.3">
      <c r="A167" s="255"/>
      <c r="B167" s="40"/>
      <c r="C167" s="40"/>
      <c r="D167" s="126"/>
      <c r="E167" s="35" t="s">
        <v>23</v>
      </c>
      <c r="F167" s="35" t="str">
        <f t="shared" si="2"/>
        <v/>
      </c>
      <c r="G167" s="39"/>
      <c r="H167" s="35"/>
      <c r="I167" s="124">
        <v>4118.9549999999999</v>
      </c>
    </row>
    <row r="168" spans="1:9" ht="15.75" hidden="1" thickBot="1" x14ac:dyDescent="0.3">
      <c r="A168" s="268" t="s">
        <v>4721</v>
      </c>
      <c r="B168" s="28" t="s">
        <v>23</v>
      </c>
      <c r="C168" s="29" t="s">
        <v>3764</v>
      </c>
      <c r="D168" s="127"/>
      <c r="E168" s="45" t="s">
        <v>23</v>
      </c>
      <c r="F168" s="45" t="str">
        <f t="shared" si="2"/>
        <v/>
      </c>
      <c r="G168" s="32"/>
      <c r="H168" s="33"/>
      <c r="I168" s="124">
        <v>0</v>
      </c>
    </row>
    <row r="169" spans="1:9" ht="15.75" hidden="1" thickBot="1" x14ac:dyDescent="0.3">
      <c r="A169" s="255"/>
      <c r="B169" s="36" t="s">
        <v>23</v>
      </c>
      <c r="C169" s="36"/>
      <c r="D169" s="125"/>
      <c r="E169" s="46" t="s">
        <v>23</v>
      </c>
      <c r="F169" s="35" t="str">
        <f t="shared" si="2"/>
        <v/>
      </c>
      <c r="G169" s="39"/>
      <c r="H169" s="35"/>
      <c r="I169" s="124">
        <v>0</v>
      </c>
    </row>
    <row r="170" spans="1:9" ht="51.75" hidden="1" thickBot="1" x14ac:dyDescent="0.3">
      <c r="A170" s="255"/>
      <c r="B170" s="40" t="s">
        <v>4020</v>
      </c>
      <c r="C170" s="40" t="s">
        <v>1041</v>
      </c>
      <c r="D170" s="41">
        <v>6.0000000000000001E-3</v>
      </c>
      <c r="E170" s="38">
        <v>276.74450000000002</v>
      </c>
      <c r="F170" s="38">
        <f t="shared" si="2"/>
        <v>1.6604670000000001</v>
      </c>
      <c r="G170" s="48">
        <f>SUM(F170:F172)</f>
        <v>2.0345295000000001</v>
      </c>
      <c r="H170" s="49"/>
      <c r="I170" s="124">
        <v>0</v>
      </c>
    </row>
    <row r="171" spans="1:9" ht="51.75" hidden="1" thickBot="1" x14ac:dyDescent="0.3">
      <c r="A171" s="255"/>
      <c r="B171" s="40" t="s">
        <v>4021</v>
      </c>
      <c r="C171" s="40" t="s">
        <v>1052</v>
      </c>
      <c r="D171" s="41">
        <v>3.0000000000000001E-3</v>
      </c>
      <c r="E171" s="38">
        <v>62.243999999999993</v>
      </c>
      <c r="F171" s="38">
        <f t="shared" si="2"/>
        <v>0.18673199999999998</v>
      </c>
      <c r="G171" s="48"/>
      <c r="H171" s="49"/>
      <c r="I171" s="124">
        <v>0</v>
      </c>
    </row>
    <row r="172" spans="1:9" ht="15.75" hidden="1" thickBot="1" x14ac:dyDescent="0.3">
      <c r="A172" s="255"/>
      <c r="B172" s="40" t="s">
        <v>3754</v>
      </c>
      <c r="C172" s="40" t="s">
        <v>3752</v>
      </c>
      <c r="D172" s="41">
        <v>8.9999999999999993E-3</v>
      </c>
      <c r="E172" s="38">
        <v>20.814499999999999</v>
      </c>
      <c r="F172" s="38">
        <f t="shared" si="2"/>
        <v>0.18733049999999998</v>
      </c>
      <c r="G172" s="48"/>
      <c r="H172" s="49"/>
      <c r="I172" s="124">
        <v>0</v>
      </c>
    </row>
    <row r="173" spans="1:9" ht="15.75" hidden="1" thickBot="1" x14ac:dyDescent="0.3">
      <c r="A173" s="255"/>
      <c r="B173" s="40"/>
      <c r="C173" s="40"/>
      <c r="D173" s="126"/>
      <c r="E173" s="35" t="s">
        <v>23</v>
      </c>
      <c r="F173" s="35" t="str">
        <f t="shared" si="2"/>
        <v/>
      </c>
      <c r="G173" s="39"/>
      <c r="H173" s="35"/>
      <c r="I173" s="124">
        <v>0</v>
      </c>
    </row>
    <row r="174" spans="1:9" ht="15.75" hidden="1" thickBot="1" x14ac:dyDescent="0.3">
      <c r="A174" s="268" t="s">
        <v>4691</v>
      </c>
      <c r="B174" s="28" t="s">
        <v>23</v>
      </c>
      <c r="C174" s="29" t="s">
        <v>1035</v>
      </c>
      <c r="D174" s="127"/>
      <c r="E174" s="45" t="s">
        <v>23</v>
      </c>
      <c r="F174" s="45" t="str">
        <f t="shared" si="2"/>
        <v/>
      </c>
      <c r="G174" s="32"/>
      <c r="H174" s="33"/>
      <c r="I174" s="124">
        <v>0</v>
      </c>
    </row>
    <row r="175" spans="1:9" ht="15.75" hidden="1" thickBot="1" x14ac:dyDescent="0.3">
      <c r="A175" s="255"/>
      <c r="B175" s="36" t="s">
        <v>23</v>
      </c>
      <c r="C175" s="36"/>
      <c r="D175" s="125"/>
      <c r="E175" s="46" t="s">
        <v>23</v>
      </c>
      <c r="F175" s="35" t="str">
        <f t="shared" si="2"/>
        <v/>
      </c>
      <c r="G175" s="39"/>
      <c r="H175" s="35"/>
      <c r="I175" s="124">
        <v>0</v>
      </c>
    </row>
    <row r="176" spans="1:9" ht="15.75" hidden="1" thickBot="1" x14ac:dyDescent="0.3">
      <c r="A176" s="255"/>
      <c r="B176" s="40" t="s">
        <v>4145</v>
      </c>
      <c r="C176" s="40" t="s">
        <v>1035</v>
      </c>
      <c r="D176" s="41">
        <v>1.1100000000000001</v>
      </c>
      <c r="E176" s="38">
        <v>10.734999999999999</v>
      </c>
      <c r="F176" s="38">
        <f t="shared" si="2"/>
        <v>11.915850000000001</v>
      </c>
      <c r="G176" s="48">
        <f>SUM(F176:F178)</f>
        <v>12.421128400000001</v>
      </c>
      <c r="H176" s="49"/>
      <c r="I176" s="124">
        <v>0</v>
      </c>
    </row>
    <row r="177" spans="1:9" ht="15.75" hidden="1" thickBot="1" x14ac:dyDescent="0.3">
      <c r="A177" s="255"/>
      <c r="B177" s="40" t="s">
        <v>4167</v>
      </c>
      <c r="C177" s="40" t="s">
        <v>3752</v>
      </c>
      <c r="D177" s="41">
        <v>2.5999999999999999E-3</v>
      </c>
      <c r="E177" s="38">
        <v>20.785999999999998</v>
      </c>
      <c r="F177" s="38">
        <f t="shared" si="2"/>
        <v>5.404359999999999E-2</v>
      </c>
      <c r="G177" s="48"/>
      <c r="H177" s="49"/>
      <c r="I177" s="124">
        <v>0</v>
      </c>
    </row>
    <row r="178" spans="1:9" ht="15.75" hidden="1" thickBot="1" x14ac:dyDescent="0.3">
      <c r="A178" s="255"/>
      <c r="B178" s="40" t="s">
        <v>3977</v>
      </c>
      <c r="C178" s="40" t="s">
        <v>3752</v>
      </c>
      <c r="D178" s="41">
        <v>1.6199999999999999E-2</v>
      </c>
      <c r="E178" s="38">
        <v>27.853999999999999</v>
      </c>
      <c r="F178" s="38">
        <f t="shared" si="2"/>
        <v>0.45123479999999994</v>
      </c>
      <c r="G178" s="48"/>
      <c r="H178" s="49"/>
      <c r="I178" s="124">
        <v>0</v>
      </c>
    </row>
    <row r="179" spans="1:9" ht="15.75" hidden="1" thickBot="1" x14ac:dyDescent="0.3">
      <c r="A179" s="255"/>
      <c r="B179" s="40" t="s">
        <v>23</v>
      </c>
      <c r="C179" s="40"/>
      <c r="D179" s="126"/>
      <c r="E179" s="35" t="s">
        <v>23</v>
      </c>
      <c r="F179" s="35" t="str">
        <f t="shared" si="2"/>
        <v/>
      </c>
      <c r="G179" s="39"/>
      <c r="H179" s="35"/>
      <c r="I179" s="124">
        <v>0</v>
      </c>
    </row>
    <row r="180" spans="1:9" ht="15.75" hidden="1" thickBot="1" x14ac:dyDescent="0.3">
      <c r="A180" s="268" t="s">
        <v>4692</v>
      </c>
      <c r="B180" s="28" t="s">
        <v>23</v>
      </c>
      <c r="C180" s="29" t="s">
        <v>1035</v>
      </c>
      <c r="D180" s="127"/>
      <c r="E180" s="45" t="s">
        <v>23</v>
      </c>
      <c r="F180" s="45" t="str">
        <f t="shared" si="2"/>
        <v/>
      </c>
      <c r="G180" s="32"/>
      <c r="H180" s="33"/>
      <c r="I180" s="124">
        <v>0</v>
      </c>
    </row>
    <row r="181" spans="1:9" ht="15.75" hidden="1" thickBot="1" x14ac:dyDescent="0.3">
      <c r="A181" s="255"/>
      <c r="B181" s="36" t="s">
        <v>23</v>
      </c>
      <c r="C181" s="36"/>
      <c r="D181" s="125"/>
      <c r="E181" s="46" t="s">
        <v>23</v>
      </c>
      <c r="F181" s="35" t="str">
        <f t="shared" si="2"/>
        <v/>
      </c>
      <c r="G181" s="39"/>
      <c r="H181" s="35"/>
      <c r="I181" s="124">
        <v>0</v>
      </c>
    </row>
    <row r="182" spans="1:9" ht="15.75" hidden="1" thickBot="1" x14ac:dyDescent="0.3">
      <c r="A182" s="255"/>
      <c r="B182" s="40" t="s">
        <v>3984</v>
      </c>
      <c r="C182" s="40" t="s">
        <v>1035</v>
      </c>
      <c r="D182" s="41">
        <v>1.1100000000000001</v>
      </c>
      <c r="E182" s="38">
        <v>8.7684999999999995</v>
      </c>
      <c r="F182" s="38">
        <f t="shared" si="2"/>
        <v>9.733035000000001</v>
      </c>
      <c r="G182" s="48">
        <f>SUM(F182:F184)</f>
        <v>9.883363000000001</v>
      </c>
      <c r="H182" s="49"/>
      <c r="I182" s="124">
        <v>0</v>
      </c>
    </row>
    <row r="183" spans="1:9" ht="15.75" hidden="1" thickBot="1" x14ac:dyDescent="0.3">
      <c r="A183" s="255"/>
      <c r="B183" s="40" t="s">
        <v>4167</v>
      </c>
      <c r="C183" s="40" t="s">
        <v>3752</v>
      </c>
      <c r="D183" s="41">
        <v>8.0000000000000004E-4</v>
      </c>
      <c r="E183" s="38">
        <v>20.785999999999998</v>
      </c>
      <c r="F183" s="38">
        <f t="shared" si="2"/>
        <v>1.6628799999999999E-2</v>
      </c>
      <c r="G183" s="48"/>
      <c r="H183" s="49"/>
      <c r="I183" s="124">
        <v>0</v>
      </c>
    </row>
    <row r="184" spans="1:9" ht="15.75" hidden="1" thickBot="1" x14ac:dyDescent="0.3">
      <c r="A184" s="255"/>
      <c r="B184" s="40" t="s">
        <v>3977</v>
      </c>
      <c r="C184" s="40" t="s">
        <v>3752</v>
      </c>
      <c r="D184" s="41">
        <v>4.7999999999999996E-3</v>
      </c>
      <c r="E184" s="38">
        <v>27.853999999999999</v>
      </c>
      <c r="F184" s="38">
        <f t="shared" si="2"/>
        <v>0.13369919999999999</v>
      </c>
      <c r="G184" s="48"/>
      <c r="H184" s="49"/>
      <c r="I184" s="124">
        <v>0</v>
      </c>
    </row>
    <row r="185" spans="1:9" ht="15.75" hidden="1" thickBot="1" x14ac:dyDescent="0.3">
      <c r="A185" s="255"/>
      <c r="B185" s="40" t="s">
        <v>23</v>
      </c>
      <c r="C185" s="40"/>
      <c r="D185" s="126"/>
      <c r="E185" s="35" t="s">
        <v>23</v>
      </c>
      <c r="F185" s="35" t="str">
        <f t="shared" si="2"/>
        <v/>
      </c>
      <c r="G185" s="39"/>
      <c r="H185" s="35"/>
      <c r="I185" s="124">
        <v>0</v>
      </c>
    </row>
    <row r="186" spans="1:9" ht="15.75" hidden="1" thickBot="1" x14ac:dyDescent="0.3">
      <c r="A186" s="268" t="s">
        <v>4693</v>
      </c>
      <c r="B186" s="28" t="s">
        <v>23</v>
      </c>
      <c r="C186" s="29" t="s">
        <v>1035</v>
      </c>
      <c r="D186" s="127"/>
      <c r="E186" s="45" t="s">
        <v>23</v>
      </c>
      <c r="F186" s="45" t="str">
        <f t="shared" si="2"/>
        <v/>
      </c>
      <c r="G186" s="32"/>
      <c r="H186" s="33"/>
      <c r="I186" s="124">
        <v>0</v>
      </c>
    </row>
    <row r="187" spans="1:9" ht="15.75" hidden="1" thickBot="1" x14ac:dyDescent="0.3">
      <c r="A187" s="255"/>
      <c r="B187" s="36" t="s">
        <v>23</v>
      </c>
      <c r="C187" s="36"/>
      <c r="D187" s="125"/>
      <c r="E187" s="46" t="s">
        <v>23</v>
      </c>
      <c r="F187" s="35" t="str">
        <f t="shared" si="2"/>
        <v/>
      </c>
      <c r="G187" s="39"/>
      <c r="H187" s="35"/>
      <c r="I187" s="124">
        <v>0</v>
      </c>
    </row>
    <row r="188" spans="1:9" ht="15.75" hidden="1" thickBot="1" x14ac:dyDescent="0.3">
      <c r="A188" s="255"/>
      <c r="B188" s="40" t="s">
        <v>3984</v>
      </c>
      <c r="C188" s="40" t="s">
        <v>1035</v>
      </c>
      <c r="D188" s="41">
        <v>1.1100000000000001</v>
      </c>
      <c r="E188" s="38">
        <v>8.7684999999999995</v>
      </c>
      <c r="F188" s="38">
        <f t="shared" si="2"/>
        <v>9.733035000000001</v>
      </c>
      <c r="G188" s="48">
        <f>SUM(F188:F189)</f>
        <v>9.8026700000000009</v>
      </c>
      <c r="H188" s="49"/>
      <c r="I188" s="124">
        <v>0</v>
      </c>
    </row>
    <row r="189" spans="1:9" ht="15.75" hidden="1" thickBot="1" x14ac:dyDescent="0.3">
      <c r="A189" s="255"/>
      <c r="B189" s="40" t="s">
        <v>3977</v>
      </c>
      <c r="C189" s="40" t="s">
        <v>3752</v>
      </c>
      <c r="D189" s="41">
        <v>2.5000000000000001E-3</v>
      </c>
      <c r="E189" s="38">
        <v>27.853999999999999</v>
      </c>
      <c r="F189" s="38">
        <f t="shared" si="2"/>
        <v>6.9635000000000002E-2</v>
      </c>
      <c r="G189" s="48"/>
      <c r="H189" s="49"/>
      <c r="I189" s="124">
        <v>0</v>
      </c>
    </row>
    <row r="190" spans="1:9" ht="15.75" hidden="1" thickBot="1" x14ac:dyDescent="0.3">
      <c r="A190" s="255"/>
      <c r="B190" s="40" t="s">
        <v>23</v>
      </c>
      <c r="C190" s="40"/>
      <c r="D190" s="126"/>
      <c r="E190" s="35" t="s">
        <v>23</v>
      </c>
      <c r="F190" s="35" t="str">
        <f t="shared" si="2"/>
        <v/>
      </c>
      <c r="G190" s="39"/>
      <c r="H190" s="35"/>
      <c r="I190" s="124">
        <v>0</v>
      </c>
    </row>
    <row r="191" spans="1:9" ht="15.75" thickBot="1" x14ac:dyDescent="0.3">
      <c r="A191" s="268" t="s">
        <v>4746</v>
      </c>
      <c r="B191" s="28" t="s">
        <v>23</v>
      </c>
      <c r="C191" s="29" t="s">
        <v>4745</v>
      </c>
      <c r="D191" s="127"/>
      <c r="E191" s="45" t="s">
        <v>23</v>
      </c>
      <c r="F191" s="45" t="str">
        <f t="shared" si="2"/>
        <v/>
      </c>
      <c r="G191" s="32"/>
      <c r="H191" s="33"/>
      <c r="I191" s="124">
        <v>1640.5350000000001</v>
      </c>
    </row>
    <row r="192" spans="1:9" x14ac:dyDescent="0.25">
      <c r="A192" s="255"/>
      <c r="B192" s="36" t="s">
        <v>23</v>
      </c>
      <c r="C192" s="36"/>
      <c r="D192" s="125"/>
      <c r="E192" s="46" t="s">
        <v>23</v>
      </c>
      <c r="F192" s="35" t="str">
        <f t="shared" si="2"/>
        <v/>
      </c>
      <c r="G192" s="39"/>
      <c r="H192" s="35"/>
      <c r="I192" s="124">
        <v>1640.5350000000001</v>
      </c>
    </row>
    <row r="193" spans="1:9" x14ac:dyDescent="0.25">
      <c r="A193" s="255"/>
      <c r="B193" s="40" t="s">
        <v>3754</v>
      </c>
      <c r="C193" s="40" t="s">
        <v>3752</v>
      </c>
      <c r="D193" s="41">
        <v>0.61180000000000001</v>
      </c>
      <c r="E193" s="38">
        <v>20.814499999999999</v>
      </c>
      <c r="F193" s="38">
        <f t="shared" si="2"/>
        <v>12.734311099999999</v>
      </c>
      <c r="G193" s="48">
        <f>SUM(F193:F193)</f>
        <v>12.734311099999999</v>
      </c>
      <c r="H193" s="49"/>
      <c r="I193" s="124">
        <v>1640.5350000000001</v>
      </c>
    </row>
    <row r="194" spans="1:9" ht="15.75" thickBot="1" x14ac:dyDescent="0.3">
      <c r="A194" s="269"/>
      <c r="B194" s="60" t="s">
        <v>23</v>
      </c>
      <c r="C194" s="60"/>
      <c r="D194" s="130"/>
      <c r="E194" s="87" t="s">
        <v>23</v>
      </c>
      <c r="F194" s="87" t="str">
        <f t="shared" si="2"/>
        <v/>
      </c>
      <c r="G194" s="89"/>
      <c r="H194" s="35"/>
      <c r="I194" s="124">
        <v>1640.5350000000001</v>
      </c>
    </row>
    <row r="195" spans="1:9" ht="15.75" hidden="1" thickBot="1" x14ac:dyDescent="0.3">
      <c r="A195" s="268" t="s">
        <v>4708</v>
      </c>
      <c r="B195" s="28" t="s">
        <v>23</v>
      </c>
      <c r="C195" s="29" t="s">
        <v>3764</v>
      </c>
      <c r="D195" s="127"/>
      <c r="E195" s="45" t="s">
        <v>23</v>
      </c>
      <c r="F195" s="45" t="str">
        <f t="shared" si="2"/>
        <v/>
      </c>
      <c r="G195" s="32"/>
      <c r="H195" s="33"/>
      <c r="I195" s="124">
        <v>0</v>
      </c>
    </row>
    <row r="196" spans="1:9" ht="15.75" hidden="1" thickBot="1" x14ac:dyDescent="0.3">
      <c r="A196" s="255"/>
      <c r="B196" s="36" t="s">
        <v>23</v>
      </c>
      <c r="C196" s="36"/>
      <c r="D196" s="125"/>
      <c r="E196" s="46" t="s">
        <v>23</v>
      </c>
      <c r="F196" s="35" t="str">
        <f t="shared" si="2"/>
        <v/>
      </c>
      <c r="G196" s="39"/>
      <c r="H196" s="35"/>
      <c r="I196" s="124">
        <v>0</v>
      </c>
    </row>
    <row r="197" spans="1:9" ht="15.75" hidden="1" thickBot="1" x14ac:dyDescent="0.3">
      <c r="A197" s="255"/>
      <c r="B197" s="40" t="s">
        <v>3823</v>
      </c>
      <c r="C197" s="40" t="s">
        <v>3752</v>
      </c>
      <c r="D197" s="41">
        <v>2.4590000000000001</v>
      </c>
      <c r="E197" s="38">
        <v>27.683</v>
      </c>
      <c r="F197" s="38">
        <f t="shared" si="2"/>
        <v>68.072496999999998</v>
      </c>
      <c r="G197" s="48">
        <f>SUM(F197:F201)</f>
        <v>292.45567599999998</v>
      </c>
      <c r="H197" s="49"/>
      <c r="I197" s="124">
        <v>0</v>
      </c>
    </row>
    <row r="198" spans="1:9" ht="15.75" hidden="1" thickBot="1" x14ac:dyDescent="0.3">
      <c r="A198" s="255"/>
      <c r="B198" s="40" t="s">
        <v>3757</v>
      </c>
      <c r="C198" s="40" t="s">
        <v>3752</v>
      </c>
      <c r="D198" s="41">
        <v>2.4590000000000001</v>
      </c>
      <c r="E198" s="38">
        <v>28.0535</v>
      </c>
      <c r="F198" s="38">
        <f t="shared" ref="F198:F261" si="3">IF(ISNUMBER(E198),E198*$D198,"")</f>
        <v>68.983556500000006</v>
      </c>
      <c r="G198" s="48"/>
      <c r="H198" s="49"/>
      <c r="I198" s="124">
        <v>0</v>
      </c>
    </row>
    <row r="199" spans="1:9" ht="15.75" hidden="1" thickBot="1" x14ac:dyDescent="0.3">
      <c r="A199" s="255"/>
      <c r="B199" s="40" t="s">
        <v>3754</v>
      </c>
      <c r="C199" s="40" t="s">
        <v>3752</v>
      </c>
      <c r="D199" s="41">
        <v>7.3769999999999998</v>
      </c>
      <c r="E199" s="35">
        <v>20.814499999999999</v>
      </c>
      <c r="F199" s="38">
        <f t="shared" si="3"/>
        <v>153.54856649999999</v>
      </c>
      <c r="G199" s="48"/>
      <c r="H199" s="49"/>
      <c r="I199" s="124">
        <v>0</v>
      </c>
    </row>
    <row r="200" spans="1:9" ht="26.25" hidden="1" thickBot="1" x14ac:dyDescent="0.3">
      <c r="A200" s="255"/>
      <c r="B200" s="40" t="s">
        <v>4077</v>
      </c>
      <c r="C200" s="40" t="s">
        <v>1041</v>
      </c>
      <c r="D200" s="41">
        <v>1.042</v>
      </c>
      <c r="E200" s="35">
        <v>1.1304999999999998</v>
      </c>
      <c r="F200" s="2">
        <f t="shared" si="3"/>
        <v>1.1779809999999999</v>
      </c>
      <c r="G200" s="48"/>
      <c r="H200" s="49"/>
      <c r="I200" s="124">
        <v>0</v>
      </c>
    </row>
    <row r="201" spans="1:9" ht="26.25" hidden="1" thickBot="1" x14ac:dyDescent="0.3">
      <c r="A201" s="255"/>
      <c r="B201" s="40" t="s">
        <v>4078</v>
      </c>
      <c r="C201" s="40" t="s">
        <v>1052</v>
      </c>
      <c r="D201" s="41">
        <v>1.417</v>
      </c>
      <c r="E201" s="35">
        <v>0.47499999999999998</v>
      </c>
      <c r="F201" s="2">
        <f t="shared" si="3"/>
        <v>0.67307499999999998</v>
      </c>
      <c r="G201" s="48"/>
      <c r="H201" s="49"/>
      <c r="I201" s="124">
        <v>0</v>
      </c>
    </row>
    <row r="202" spans="1:9" ht="15.75" hidden="1" thickBot="1" x14ac:dyDescent="0.3">
      <c r="A202" s="255"/>
      <c r="B202" s="40"/>
      <c r="C202" s="40"/>
      <c r="D202" s="126"/>
      <c r="E202" s="35" t="s">
        <v>23</v>
      </c>
      <c r="F202" s="35" t="str">
        <f t="shared" si="3"/>
        <v/>
      </c>
      <c r="G202" s="39"/>
      <c r="H202" s="35"/>
      <c r="I202" s="124">
        <v>0</v>
      </c>
    </row>
    <row r="203" spans="1:9" ht="15.75" thickBot="1" x14ac:dyDescent="0.3">
      <c r="A203" s="268" t="s">
        <v>4749</v>
      </c>
      <c r="B203" s="28" t="s">
        <v>23</v>
      </c>
      <c r="C203" s="29" t="s">
        <v>4744</v>
      </c>
      <c r="D203" s="127"/>
      <c r="E203" s="45" t="s">
        <v>23</v>
      </c>
      <c r="F203" s="45" t="str">
        <f t="shared" si="3"/>
        <v/>
      </c>
      <c r="G203" s="32"/>
      <c r="H203" s="33"/>
      <c r="I203" s="124">
        <v>25008.92</v>
      </c>
    </row>
    <row r="204" spans="1:9" x14ac:dyDescent="0.25">
      <c r="A204" s="255"/>
      <c r="B204" s="36" t="s">
        <v>23</v>
      </c>
      <c r="C204" s="36"/>
      <c r="D204" s="125"/>
      <c r="E204" s="46" t="s">
        <v>23</v>
      </c>
      <c r="F204" s="35" t="str">
        <f t="shared" si="3"/>
        <v/>
      </c>
      <c r="G204" s="39"/>
      <c r="H204" s="35"/>
      <c r="I204" s="124">
        <v>25008.92</v>
      </c>
    </row>
    <row r="205" spans="1:9" ht="51" x14ac:dyDescent="0.25">
      <c r="A205" s="255"/>
      <c r="B205" s="40" t="s">
        <v>3792</v>
      </c>
      <c r="C205" s="40" t="s">
        <v>1041</v>
      </c>
      <c r="D205" s="41">
        <v>1.3899999999999999E-2</v>
      </c>
      <c r="E205" s="38">
        <v>163.4855</v>
      </c>
      <c r="F205" s="38">
        <f t="shared" si="3"/>
        <v>2.2724484499999997</v>
      </c>
      <c r="G205" s="48">
        <f>SUM(F205:F206)</f>
        <v>2.5960374499999999</v>
      </c>
      <c r="H205" s="49"/>
      <c r="I205" s="124">
        <v>25008.92</v>
      </c>
    </row>
    <row r="206" spans="1:9" ht="51" x14ac:dyDescent="0.25">
      <c r="A206" s="255"/>
      <c r="B206" s="40" t="s">
        <v>3962</v>
      </c>
      <c r="C206" s="40" t="s">
        <v>1052</v>
      </c>
      <c r="D206" s="41">
        <v>6.0000000000000001E-3</v>
      </c>
      <c r="E206" s="38">
        <v>53.9315</v>
      </c>
      <c r="F206" s="38">
        <f t="shared" si="3"/>
        <v>0.32358900000000002</v>
      </c>
      <c r="G206" s="48"/>
      <c r="H206" s="49"/>
      <c r="I206" s="124">
        <v>25008.92</v>
      </c>
    </row>
    <row r="207" spans="1:9" ht="15.75" thickBot="1" x14ac:dyDescent="0.3">
      <c r="A207" s="269"/>
      <c r="B207" s="60" t="s">
        <v>23</v>
      </c>
      <c r="C207" s="60"/>
      <c r="D207" s="130"/>
      <c r="E207" s="87" t="s">
        <v>23</v>
      </c>
      <c r="F207" s="87" t="str">
        <f t="shared" si="3"/>
        <v/>
      </c>
      <c r="G207" s="89"/>
      <c r="H207" s="35"/>
      <c r="I207" s="124">
        <v>25008.92</v>
      </c>
    </row>
    <row r="208" spans="1:9" ht="15.75" thickBot="1" x14ac:dyDescent="0.3">
      <c r="A208" s="268" t="s">
        <v>4716</v>
      </c>
      <c r="B208" s="28" t="s">
        <v>23</v>
      </c>
      <c r="C208" s="29" t="s">
        <v>4715</v>
      </c>
      <c r="D208" s="127"/>
      <c r="E208" s="45" t="s">
        <v>23</v>
      </c>
      <c r="F208" s="45" t="str">
        <f t="shared" si="3"/>
        <v/>
      </c>
      <c r="G208" s="32"/>
      <c r="H208" s="33"/>
      <c r="I208" s="124">
        <v>66800</v>
      </c>
    </row>
    <row r="209" spans="1:9" x14ac:dyDescent="0.25">
      <c r="A209" s="255"/>
      <c r="B209" s="36" t="s">
        <v>23</v>
      </c>
      <c r="C209" s="36"/>
      <c r="D209" s="125"/>
      <c r="E209" s="46" t="s">
        <v>23</v>
      </c>
      <c r="F209" s="35" t="str">
        <f t="shared" si="3"/>
        <v/>
      </c>
      <c r="G209" s="39"/>
      <c r="H209" s="35"/>
      <c r="I209" s="124">
        <v>66800</v>
      </c>
    </row>
    <row r="210" spans="1:9" ht="51" x14ac:dyDescent="0.25">
      <c r="A210" s="255"/>
      <c r="B210" s="40" t="s">
        <v>3792</v>
      </c>
      <c r="C210" s="40" t="s">
        <v>1041</v>
      </c>
      <c r="D210" s="41">
        <v>9.2999999999999992E-3</v>
      </c>
      <c r="E210" s="38">
        <v>163.4855</v>
      </c>
      <c r="F210" s="38">
        <f t="shared" si="3"/>
        <v>1.5204151499999998</v>
      </c>
      <c r="G210" s="48">
        <f>SUM(F210:F211)</f>
        <v>1.7361411499999999</v>
      </c>
      <c r="H210" s="49"/>
      <c r="I210" s="124">
        <v>66800</v>
      </c>
    </row>
    <row r="211" spans="1:9" ht="51" x14ac:dyDescent="0.25">
      <c r="A211" s="255"/>
      <c r="B211" s="40" t="s">
        <v>3962</v>
      </c>
      <c r="C211" s="40" t="s">
        <v>1052</v>
      </c>
      <c r="D211" s="41">
        <v>4.0000000000000001E-3</v>
      </c>
      <c r="E211" s="38">
        <v>53.9315</v>
      </c>
      <c r="F211" s="38">
        <f t="shared" si="3"/>
        <v>0.215726</v>
      </c>
      <c r="G211" s="48"/>
      <c r="H211" s="49"/>
      <c r="I211" s="124">
        <v>66800</v>
      </c>
    </row>
    <row r="212" spans="1:9" ht="15.75" thickBot="1" x14ac:dyDescent="0.3">
      <c r="A212" s="269"/>
      <c r="B212" s="60" t="s">
        <v>23</v>
      </c>
      <c r="C212" s="60"/>
      <c r="D212" s="130"/>
      <c r="E212" s="87" t="s">
        <v>23</v>
      </c>
      <c r="F212" s="87" t="str">
        <f t="shared" si="3"/>
        <v/>
      </c>
      <c r="G212" s="89"/>
      <c r="H212" s="35"/>
      <c r="I212" s="124">
        <v>66800</v>
      </c>
    </row>
    <row r="213" spans="1:9" ht="15.75" hidden="1" thickBot="1" x14ac:dyDescent="0.3">
      <c r="A213" s="268" t="s">
        <v>4704</v>
      </c>
      <c r="B213" s="28" t="s">
        <v>23</v>
      </c>
      <c r="C213" s="29" t="s">
        <v>3764</v>
      </c>
      <c r="D213" s="127"/>
      <c r="E213" s="45" t="s">
        <v>23</v>
      </c>
      <c r="F213" s="45" t="str">
        <f t="shared" si="3"/>
        <v/>
      </c>
      <c r="G213" s="32"/>
      <c r="H213" s="33"/>
      <c r="I213" s="124">
        <v>0</v>
      </c>
    </row>
    <row r="214" spans="1:9" ht="15.75" hidden="1" thickBot="1" x14ac:dyDescent="0.3">
      <c r="A214" s="255"/>
      <c r="B214" s="36" t="s">
        <v>23</v>
      </c>
      <c r="C214" s="36"/>
      <c r="D214" s="125"/>
      <c r="E214" s="46" t="s">
        <v>23</v>
      </c>
      <c r="F214" s="35" t="str">
        <f t="shared" si="3"/>
        <v/>
      </c>
      <c r="G214" s="39"/>
      <c r="H214" s="35"/>
      <c r="I214" s="124">
        <v>0</v>
      </c>
    </row>
    <row r="215" spans="1:9" ht="26.25" hidden="1" thickBot="1" x14ac:dyDescent="0.3">
      <c r="A215" s="255"/>
      <c r="B215" s="40" t="s">
        <v>3763</v>
      </c>
      <c r="C215" s="40" t="s">
        <v>3764</v>
      </c>
      <c r="D215" s="41">
        <v>0.76090000000000002</v>
      </c>
      <c r="E215" s="38">
        <v>204.23099999999999</v>
      </c>
      <c r="F215" s="38">
        <f t="shared" si="3"/>
        <v>155.39936789999999</v>
      </c>
      <c r="G215" s="48">
        <f>SUM(F215:F223)</f>
        <v>613.51845821812503</v>
      </c>
      <c r="H215" s="49"/>
      <c r="I215" s="124">
        <v>0</v>
      </c>
    </row>
    <row r="216" spans="1:9" ht="15.75" hidden="1" thickBot="1" x14ac:dyDescent="0.3">
      <c r="A216" s="255"/>
      <c r="B216" s="40" t="s">
        <v>3759</v>
      </c>
      <c r="C216" s="40" t="s">
        <v>1035</v>
      </c>
      <c r="D216" s="41">
        <v>325.15890000000002</v>
      </c>
      <c r="E216" s="38">
        <v>0.627</v>
      </c>
      <c r="F216" s="38">
        <f t="shared" si="3"/>
        <v>203.87463030000001</v>
      </c>
      <c r="G216" s="48"/>
      <c r="H216" s="49"/>
      <c r="I216" s="124">
        <v>0</v>
      </c>
    </row>
    <row r="217" spans="1:9" ht="26.25" hidden="1" thickBot="1" x14ac:dyDescent="0.3">
      <c r="A217" s="255"/>
      <c r="B217" s="40" t="s">
        <v>4016</v>
      </c>
      <c r="C217" s="40" t="s">
        <v>3764</v>
      </c>
      <c r="D217" s="41">
        <v>0.59119999999999995</v>
      </c>
      <c r="E217" s="38">
        <v>170.107</v>
      </c>
      <c r="F217" s="38">
        <f t="shared" si="3"/>
        <v>100.56725839999999</v>
      </c>
      <c r="G217" s="48"/>
      <c r="H217" s="49"/>
      <c r="I217" s="124">
        <v>0</v>
      </c>
    </row>
    <row r="218" spans="1:9" ht="15.75" hidden="1" thickBot="1" x14ac:dyDescent="0.3">
      <c r="A218" s="255"/>
      <c r="B218" s="40" t="s">
        <v>3754</v>
      </c>
      <c r="C218" s="40" t="s">
        <v>3752</v>
      </c>
      <c r="D218" s="41">
        <v>2.0266999999999999</v>
      </c>
      <c r="E218" s="35">
        <v>20.814499999999999</v>
      </c>
      <c r="F218" s="38">
        <f t="shared" si="3"/>
        <v>42.18474715</v>
      </c>
      <c r="G218" s="48"/>
      <c r="H218" s="49"/>
      <c r="I218" s="124">
        <v>0</v>
      </c>
    </row>
    <row r="219" spans="1:9" ht="26.25" hidden="1" thickBot="1" x14ac:dyDescent="0.3">
      <c r="A219" s="255"/>
      <c r="B219" s="40" t="s">
        <v>3805</v>
      </c>
      <c r="C219" s="40" t="s">
        <v>3752</v>
      </c>
      <c r="D219" s="41">
        <v>1.2767999999999999</v>
      </c>
      <c r="E219" s="35">
        <v>20.918999999999997</v>
      </c>
      <c r="F219" s="2">
        <f t="shared" si="3"/>
        <v>26.709379199999994</v>
      </c>
      <c r="G219" s="48"/>
      <c r="H219" s="49"/>
      <c r="I219" s="124">
        <v>0</v>
      </c>
    </row>
    <row r="220" spans="1:9" ht="39" hidden="1" thickBot="1" x14ac:dyDescent="0.3">
      <c r="A220" s="255"/>
      <c r="B220" s="40" t="s">
        <v>4182</v>
      </c>
      <c r="C220" s="40" t="s">
        <v>1041</v>
      </c>
      <c r="D220" s="41">
        <v>0.65720000000000001</v>
      </c>
      <c r="E220" s="35">
        <v>4.75</v>
      </c>
      <c r="F220" s="2">
        <f t="shared" si="3"/>
        <v>3.1217000000000001</v>
      </c>
      <c r="G220" s="48"/>
      <c r="H220" s="49"/>
      <c r="I220" s="124">
        <v>0</v>
      </c>
    </row>
    <row r="221" spans="1:9" ht="39" hidden="1" thickBot="1" x14ac:dyDescent="0.3">
      <c r="A221" s="255"/>
      <c r="B221" s="40" t="s">
        <v>4650</v>
      </c>
      <c r="C221" s="40" t="s">
        <v>1052</v>
      </c>
      <c r="D221" s="41">
        <v>0.61970000000000003</v>
      </c>
      <c r="E221" s="35">
        <v>1.577</v>
      </c>
      <c r="F221" s="38">
        <f t="shared" si="3"/>
        <v>0.97726690000000005</v>
      </c>
      <c r="G221" s="48"/>
      <c r="H221" s="49"/>
      <c r="I221" s="124">
        <v>0</v>
      </c>
    </row>
    <row r="222" spans="1:9" ht="51.75" hidden="1" thickBot="1" x14ac:dyDescent="0.3">
      <c r="A222" s="255"/>
      <c r="B222" s="40" t="s">
        <v>4752</v>
      </c>
      <c r="C222" s="40" t="s">
        <v>3764</v>
      </c>
      <c r="D222" s="41">
        <f>ROUND(1*(D215+D217),4)</f>
        <v>1.3521000000000001</v>
      </c>
      <c r="E222" s="35">
        <v>7.75243225</v>
      </c>
      <c r="F222" s="38">
        <f t="shared" si="3"/>
        <v>10.482063645225001</v>
      </c>
      <c r="G222" s="48"/>
      <c r="H222" s="49"/>
      <c r="I222" s="124">
        <v>0</v>
      </c>
    </row>
    <row r="223" spans="1:9" ht="39" hidden="1" thickBot="1" x14ac:dyDescent="0.3">
      <c r="A223" s="255"/>
      <c r="B223" s="40" t="s">
        <v>4749</v>
      </c>
      <c r="C223" s="53" t="s">
        <v>4744</v>
      </c>
      <c r="D223" s="41">
        <f>ROUND((D215+D217)*20,4)</f>
        <v>27.042000000000002</v>
      </c>
      <c r="E223" s="35">
        <v>2.5960374499999999</v>
      </c>
      <c r="F223" s="38">
        <f t="shared" si="3"/>
        <v>70.202044722899998</v>
      </c>
      <c r="G223" s="48"/>
      <c r="H223" s="49"/>
      <c r="I223" s="124">
        <v>0</v>
      </c>
    </row>
    <row r="224" spans="1:9" ht="15.75" hidden="1" thickBot="1" x14ac:dyDescent="0.3">
      <c r="A224" s="255"/>
      <c r="B224" s="52"/>
      <c r="C224" s="53"/>
      <c r="D224" s="41"/>
      <c r="E224" s="35" t="s">
        <v>23</v>
      </c>
      <c r="F224" s="38" t="str">
        <f t="shared" si="3"/>
        <v/>
      </c>
      <c r="G224" s="48"/>
      <c r="H224" s="49"/>
      <c r="I224" s="124">
        <v>0</v>
      </c>
    </row>
    <row r="225" spans="1:9" ht="26.25" hidden="1" thickBot="1" x14ac:dyDescent="0.3">
      <c r="A225" s="255"/>
      <c r="B225" s="50" t="s">
        <v>88</v>
      </c>
      <c r="C225" s="53"/>
      <c r="D225" s="41"/>
      <c r="E225" s="35" t="s">
        <v>23</v>
      </c>
      <c r="F225" s="38" t="str">
        <f t="shared" si="3"/>
        <v/>
      </c>
      <c r="G225" s="48"/>
      <c r="H225" s="49"/>
      <c r="I225" s="124">
        <v>0</v>
      </c>
    </row>
    <row r="226" spans="1:9" ht="15.75" hidden="1" thickBot="1" x14ac:dyDescent="0.3">
      <c r="A226" s="255"/>
      <c r="B226" s="40" t="s">
        <v>23</v>
      </c>
      <c r="C226" s="40"/>
      <c r="D226" s="126"/>
      <c r="E226" s="35" t="s">
        <v>23</v>
      </c>
      <c r="F226" s="35" t="str">
        <f t="shared" si="3"/>
        <v/>
      </c>
      <c r="G226" s="39"/>
      <c r="H226" s="35"/>
      <c r="I226" s="124">
        <v>0</v>
      </c>
    </row>
    <row r="227" spans="1:9" ht="15.75" hidden="1" thickBot="1" x14ac:dyDescent="0.3">
      <c r="A227" s="268" t="s">
        <v>4700</v>
      </c>
      <c r="B227" s="28" t="s">
        <v>23</v>
      </c>
      <c r="C227" s="29" t="s">
        <v>3764</v>
      </c>
      <c r="D227" s="127"/>
      <c r="E227" s="45" t="s">
        <v>23</v>
      </c>
      <c r="F227" s="45" t="str">
        <f t="shared" si="3"/>
        <v/>
      </c>
      <c r="G227" s="32"/>
      <c r="H227" s="33"/>
      <c r="I227" s="124">
        <v>0</v>
      </c>
    </row>
    <row r="228" spans="1:9" ht="15.75" hidden="1" thickBot="1" x14ac:dyDescent="0.3">
      <c r="A228" s="255"/>
      <c r="B228" s="36" t="s">
        <v>23</v>
      </c>
      <c r="C228" s="36"/>
      <c r="D228" s="125"/>
      <c r="E228" s="128" t="s">
        <v>23</v>
      </c>
      <c r="F228" s="129" t="str">
        <f t="shared" si="3"/>
        <v/>
      </c>
      <c r="G228" s="39"/>
      <c r="H228" s="35"/>
      <c r="I228" s="124">
        <v>0</v>
      </c>
    </row>
    <row r="229" spans="1:9" ht="26.25" hidden="1" thickBot="1" x14ac:dyDescent="0.3">
      <c r="A229" s="255"/>
      <c r="B229" s="40" t="s">
        <v>3763</v>
      </c>
      <c r="C229" s="40" t="s">
        <v>3764</v>
      </c>
      <c r="D229" s="41">
        <v>0.82689999999999997</v>
      </c>
      <c r="E229" s="38">
        <v>204.23099999999999</v>
      </c>
      <c r="F229" s="38">
        <f t="shared" si="3"/>
        <v>168.87861389999998</v>
      </c>
      <c r="G229" s="48">
        <f>SUM(F229:F237)</f>
        <v>565.23598822437498</v>
      </c>
      <c r="H229" s="49"/>
      <c r="I229" s="124">
        <v>0</v>
      </c>
    </row>
    <row r="230" spans="1:9" ht="15.75" hidden="1" thickBot="1" x14ac:dyDescent="0.3">
      <c r="A230" s="255"/>
      <c r="B230" s="40" t="s">
        <v>3759</v>
      </c>
      <c r="C230" s="40" t="s">
        <v>1035</v>
      </c>
      <c r="D230" s="41">
        <v>212.01939999999999</v>
      </c>
      <c r="E230" s="38">
        <v>0.627</v>
      </c>
      <c r="F230" s="38">
        <f t="shared" si="3"/>
        <v>132.9361638</v>
      </c>
      <c r="G230" s="48"/>
      <c r="H230" s="49"/>
      <c r="I230" s="124">
        <v>0</v>
      </c>
    </row>
    <row r="231" spans="1:9" ht="26.25" hidden="1" thickBot="1" x14ac:dyDescent="0.3">
      <c r="A231" s="255"/>
      <c r="B231" s="40" t="s">
        <v>4016</v>
      </c>
      <c r="C231" s="40" t="s">
        <v>3764</v>
      </c>
      <c r="D231" s="41">
        <v>0.57820000000000005</v>
      </c>
      <c r="E231" s="38">
        <v>170.107</v>
      </c>
      <c r="F231" s="38">
        <f t="shared" si="3"/>
        <v>98.355867400000008</v>
      </c>
      <c r="G231" s="48"/>
      <c r="H231" s="49"/>
      <c r="I231" s="124">
        <v>0</v>
      </c>
    </row>
    <row r="232" spans="1:9" ht="15.75" hidden="1" thickBot="1" x14ac:dyDescent="0.3">
      <c r="A232" s="255"/>
      <c r="B232" s="40" t="s">
        <v>3754</v>
      </c>
      <c r="C232" s="40" t="s">
        <v>3752</v>
      </c>
      <c r="D232" s="41">
        <v>2.3433000000000002</v>
      </c>
      <c r="E232" s="35">
        <v>20.814499999999999</v>
      </c>
      <c r="F232" s="38">
        <f t="shared" si="3"/>
        <v>48.774617849999998</v>
      </c>
      <c r="G232" s="48"/>
      <c r="H232" s="49"/>
      <c r="I232" s="124">
        <v>0</v>
      </c>
    </row>
    <row r="233" spans="1:9" ht="26.25" hidden="1" thickBot="1" x14ac:dyDescent="0.3">
      <c r="A233" s="255"/>
      <c r="B233" s="40" t="s">
        <v>3805</v>
      </c>
      <c r="C233" s="40" t="s">
        <v>3752</v>
      </c>
      <c r="D233" s="41">
        <v>1.4811000000000001</v>
      </c>
      <c r="E233" s="35">
        <v>20.918999999999997</v>
      </c>
      <c r="F233" s="131">
        <f t="shared" si="3"/>
        <v>30.983130899999995</v>
      </c>
      <c r="G233" s="48"/>
      <c r="H233" s="49"/>
      <c r="I233" s="124">
        <v>0</v>
      </c>
    </row>
    <row r="234" spans="1:9" ht="39" hidden="1" thickBot="1" x14ac:dyDescent="0.3">
      <c r="A234" s="255"/>
      <c r="B234" s="40" t="s">
        <v>4115</v>
      </c>
      <c r="C234" s="40" t="s">
        <v>1041</v>
      </c>
      <c r="D234" s="41">
        <v>0.76229999999999998</v>
      </c>
      <c r="E234" s="35">
        <v>1.5579999999999998</v>
      </c>
      <c r="F234" s="131">
        <f t="shared" si="3"/>
        <v>1.1876633999999999</v>
      </c>
      <c r="G234" s="48"/>
      <c r="H234" s="49"/>
      <c r="I234" s="124">
        <v>0</v>
      </c>
    </row>
    <row r="235" spans="1:9" ht="39" hidden="1" thickBot="1" x14ac:dyDescent="0.3">
      <c r="A235" s="255"/>
      <c r="B235" s="40" t="s">
        <v>4121</v>
      </c>
      <c r="C235" s="40" t="s">
        <v>1052</v>
      </c>
      <c r="D235" s="41">
        <v>0.71879999999999999</v>
      </c>
      <c r="E235" s="35">
        <v>0.38</v>
      </c>
      <c r="F235" s="38">
        <f t="shared" si="3"/>
        <v>0.273144</v>
      </c>
      <c r="G235" s="48"/>
      <c r="H235" s="49"/>
      <c r="I235" s="124">
        <v>0</v>
      </c>
    </row>
    <row r="236" spans="1:9" ht="51.75" hidden="1" thickBot="1" x14ac:dyDescent="0.3">
      <c r="A236" s="255"/>
      <c r="B236" s="40" t="s">
        <v>4752</v>
      </c>
      <c r="C236" s="40" t="s">
        <v>3764</v>
      </c>
      <c r="D236" s="41">
        <f>ROUND(1*(D229+D231),4)</f>
        <v>1.4051</v>
      </c>
      <c r="E236" s="35">
        <v>7.75243225</v>
      </c>
      <c r="F236" s="38">
        <f t="shared" si="3"/>
        <v>10.892942554475001</v>
      </c>
      <c r="G236" s="48"/>
      <c r="H236" s="49"/>
      <c r="I236" s="124">
        <v>0</v>
      </c>
    </row>
    <row r="237" spans="1:9" ht="39" hidden="1" thickBot="1" x14ac:dyDescent="0.3">
      <c r="A237" s="255"/>
      <c r="B237" s="40" t="s">
        <v>4749</v>
      </c>
      <c r="C237" s="53" t="s">
        <v>4744</v>
      </c>
      <c r="D237" s="41">
        <f>ROUND((D229+D231)*20,4)</f>
        <v>28.102</v>
      </c>
      <c r="E237" s="35">
        <v>2.5960374499999999</v>
      </c>
      <c r="F237" s="38">
        <f t="shared" si="3"/>
        <v>72.953844419899994</v>
      </c>
      <c r="G237" s="48"/>
      <c r="H237" s="49"/>
      <c r="I237" s="124">
        <v>0</v>
      </c>
    </row>
    <row r="238" spans="1:9" ht="15.75" hidden="1" thickBot="1" x14ac:dyDescent="0.3">
      <c r="A238" s="255"/>
      <c r="B238" s="52"/>
      <c r="C238" s="53"/>
      <c r="D238" s="41"/>
      <c r="E238" s="35" t="s">
        <v>23</v>
      </c>
      <c r="F238" s="38" t="str">
        <f t="shared" si="3"/>
        <v/>
      </c>
      <c r="G238" s="48"/>
      <c r="H238" s="49"/>
      <c r="I238" s="124">
        <v>0</v>
      </c>
    </row>
    <row r="239" spans="1:9" ht="26.25" hidden="1" thickBot="1" x14ac:dyDescent="0.3">
      <c r="A239" s="255"/>
      <c r="B239" s="50" t="s">
        <v>88</v>
      </c>
      <c r="C239" s="53"/>
      <c r="D239" s="41"/>
      <c r="E239" s="35" t="s">
        <v>23</v>
      </c>
      <c r="F239" s="38" t="str">
        <f t="shared" si="3"/>
        <v/>
      </c>
      <c r="G239" s="48"/>
      <c r="H239" s="49"/>
      <c r="I239" s="124">
        <v>0</v>
      </c>
    </row>
    <row r="240" spans="1:9" ht="15.75" hidden="1" thickBot="1" x14ac:dyDescent="0.3">
      <c r="A240" s="255"/>
      <c r="B240" s="40" t="s">
        <v>23</v>
      </c>
      <c r="C240" s="40"/>
      <c r="D240" s="126"/>
      <c r="E240" s="35" t="s">
        <v>23</v>
      </c>
      <c r="F240" s="35" t="str">
        <f t="shared" si="3"/>
        <v/>
      </c>
      <c r="G240" s="39"/>
      <c r="H240" s="35"/>
      <c r="I240" s="124">
        <v>0</v>
      </c>
    </row>
    <row r="241" spans="1:9" ht="15.75" hidden="1" thickBot="1" x14ac:dyDescent="0.3">
      <c r="A241" s="268" t="s">
        <v>4699</v>
      </c>
      <c r="B241" s="28" t="s">
        <v>23</v>
      </c>
      <c r="C241" s="29" t="s">
        <v>3764</v>
      </c>
      <c r="D241" s="127"/>
      <c r="E241" s="45" t="s">
        <v>23</v>
      </c>
      <c r="F241" s="51" t="str">
        <f t="shared" si="3"/>
        <v/>
      </c>
      <c r="G241" s="32"/>
      <c r="H241" s="33"/>
      <c r="I241" s="124">
        <v>0</v>
      </c>
    </row>
    <row r="242" spans="1:9" ht="15.75" hidden="1" thickBot="1" x14ac:dyDescent="0.3">
      <c r="A242" s="255"/>
      <c r="B242" s="36" t="s">
        <v>23</v>
      </c>
      <c r="C242" s="36"/>
      <c r="D242" s="125"/>
      <c r="E242" s="46" t="s">
        <v>23</v>
      </c>
      <c r="F242" s="35" t="str">
        <f t="shared" si="3"/>
        <v/>
      </c>
      <c r="G242" s="39"/>
      <c r="H242" s="35"/>
      <c r="I242" s="124">
        <v>0</v>
      </c>
    </row>
    <row r="243" spans="1:9" ht="26.25" hidden="1" thickBot="1" x14ac:dyDescent="0.3">
      <c r="A243" s="255"/>
      <c r="B243" s="40" t="s">
        <v>3845</v>
      </c>
      <c r="C243" s="40" t="s">
        <v>3764</v>
      </c>
      <c r="D243" s="41">
        <v>0.57979999999999998</v>
      </c>
      <c r="E243" s="38">
        <v>206.90049999999999</v>
      </c>
      <c r="F243" s="38">
        <f t="shared" si="3"/>
        <v>119.96090989999999</v>
      </c>
      <c r="G243" s="48">
        <f>SUM(F243:F252)</f>
        <v>727.38310835749985</v>
      </c>
      <c r="H243" s="49"/>
      <c r="I243" s="124">
        <v>0</v>
      </c>
    </row>
    <row r="244" spans="1:9" ht="15.75" hidden="1" thickBot="1" x14ac:dyDescent="0.3">
      <c r="A244" s="255"/>
      <c r="B244" s="40" t="s">
        <v>3811</v>
      </c>
      <c r="C244" s="40" t="s">
        <v>1035</v>
      </c>
      <c r="D244" s="41">
        <v>12.3698</v>
      </c>
      <c r="E244" s="38">
        <v>1.2825</v>
      </c>
      <c r="F244" s="38">
        <f t="shared" si="3"/>
        <v>15.8642685</v>
      </c>
      <c r="G244" s="48"/>
      <c r="H244" s="49"/>
      <c r="I244" s="124">
        <v>0</v>
      </c>
    </row>
    <row r="245" spans="1:9" ht="15.75" hidden="1" thickBot="1" x14ac:dyDescent="0.3">
      <c r="A245" s="255"/>
      <c r="B245" s="40" t="s">
        <v>3759</v>
      </c>
      <c r="C245" s="40" t="s">
        <v>1035</v>
      </c>
      <c r="D245" s="41">
        <v>515.40949999999998</v>
      </c>
      <c r="E245" s="38">
        <v>0.627</v>
      </c>
      <c r="F245" s="38">
        <f t="shared" si="3"/>
        <v>323.16175649999997</v>
      </c>
      <c r="G245" s="48"/>
      <c r="H245" s="49"/>
      <c r="I245" s="124">
        <v>0</v>
      </c>
    </row>
    <row r="246" spans="1:9" ht="26.25" hidden="1" thickBot="1" x14ac:dyDescent="0.3">
      <c r="A246" s="255"/>
      <c r="B246" s="40" t="s">
        <v>3841</v>
      </c>
      <c r="C246" s="40" t="s">
        <v>3764</v>
      </c>
      <c r="D246" s="41">
        <v>0.56699999999999995</v>
      </c>
      <c r="E246" s="35">
        <v>196.38399999999999</v>
      </c>
      <c r="F246" s="38">
        <f t="shared" si="3"/>
        <v>111.34972799999998</v>
      </c>
      <c r="G246" s="48"/>
      <c r="H246" s="49"/>
      <c r="I246" s="124">
        <v>0</v>
      </c>
    </row>
    <row r="247" spans="1:9" ht="15.75" hidden="1" thickBot="1" x14ac:dyDescent="0.3">
      <c r="A247" s="255"/>
      <c r="B247" s="40" t="s">
        <v>3754</v>
      </c>
      <c r="C247" s="40" t="s">
        <v>3752</v>
      </c>
      <c r="D247" s="41">
        <v>2.5491999999999999</v>
      </c>
      <c r="E247" s="35">
        <v>20.814499999999999</v>
      </c>
      <c r="F247" s="38">
        <f t="shared" si="3"/>
        <v>53.060323399999994</v>
      </c>
      <c r="G247" s="48"/>
      <c r="H247" s="49"/>
      <c r="I247" s="124">
        <v>0</v>
      </c>
    </row>
    <row r="248" spans="1:9" ht="26.25" hidden="1" thickBot="1" x14ac:dyDescent="0.3">
      <c r="A248" s="255"/>
      <c r="B248" s="40" t="s">
        <v>3805</v>
      </c>
      <c r="C248" s="40" t="s">
        <v>3752</v>
      </c>
      <c r="D248" s="41">
        <v>1.6075999999999999</v>
      </c>
      <c r="E248" s="35">
        <v>20.918999999999997</v>
      </c>
      <c r="F248" s="38">
        <f t="shared" si="3"/>
        <v>33.629384399999992</v>
      </c>
      <c r="G248" s="48"/>
      <c r="H248" s="49"/>
      <c r="I248" s="124">
        <v>0</v>
      </c>
    </row>
    <row r="249" spans="1:9" ht="39" hidden="1" thickBot="1" x14ac:dyDescent="0.3">
      <c r="A249" s="255"/>
      <c r="B249" s="40" t="s">
        <v>4115</v>
      </c>
      <c r="C249" s="40" t="s">
        <v>1041</v>
      </c>
      <c r="D249" s="41">
        <v>1.1143000000000001</v>
      </c>
      <c r="E249" s="35">
        <v>1.5579999999999998</v>
      </c>
      <c r="F249" s="132">
        <f t="shared" si="3"/>
        <v>1.7360793999999999</v>
      </c>
      <c r="G249" s="48"/>
      <c r="H249" s="49"/>
      <c r="I249" s="124">
        <v>0</v>
      </c>
    </row>
    <row r="250" spans="1:9" ht="39" hidden="1" thickBot="1" x14ac:dyDescent="0.3">
      <c r="A250" s="255"/>
      <c r="B250" s="40" t="s">
        <v>4121</v>
      </c>
      <c r="C250" s="40" t="s">
        <v>1052</v>
      </c>
      <c r="D250" s="41">
        <v>0.49330000000000002</v>
      </c>
      <c r="E250" s="35">
        <v>0.38</v>
      </c>
      <c r="F250" s="132">
        <f t="shared" si="3"/>
        <v>0.18745400000000001</v>
      </c>
      <c r="G250" s="48"/>
      <c r="H250" s="49"/>
      <c r="I250" s="124">
        <v>0</v>
      </c>
    </row>
    <row r="251" spans="1:9" ht="51.75" hidden="1" thickBot="1" x14ac:dyDescent="0.3">
      <c r="A251" s="255"/>
      <c r="B251" s="40" t="s">
        <v>4752</v>
      </c>
      <c r="C251" s="40" t="s">
        <v>3764</v>
      </c>
      <c r="D251" s="41">
        <f>ROUND(1*(D243+D246),4)</f>
        <v>1.1468</v>
      </c>
      <c r="E251" s="35">
        <v>7.75243225</v>
      </c>
      <c r="F251" s="38">
        <f t="shared" si="3"/>
        <v>8.8904893043000008</v>
      </c>
      <c r="G251" s="48"/>
      <c r="H251" s="49"/>
      <c r="I251" s="124">
        <v>0</v>
      </c>
    </row>
    <row r="252" spans="1:9" ht="39" hidden="1" thickBot="1" x14ac:dyDescent="0.3">
      <c r="A252" s="255"/>
      <c r="B252" s="40" t="s">
        <v>4749</v>
      </c>
      <c r="C252" s="53" t="s">
        <v>4744</v>
      </c>
      <c r="D252" s="41">
        <f>ROUND((D243+D246)*20,4)</f>
        <v>22.936</v>
      </c>
      <c r="E252" s="35">
        <v>2.5960374499999999</v>
      </c>
      <c r="F252" s="38">
        <f t="shared" si="3"/>
        <v>59.542714953199997</v>
      </c>
      <c r="G252" s="48"/>
      <c r="H252" s="49"/>
      <c r="I252" s="124">
        <v>0</v>
      </c>
    </row>
    <row r="253" spans="1:9" ht="15.75" hidden="1" thickBot="1" x14ac:dyDescent="0.3">
      <c r="A253" s="255"/>
      <c r="B253" s="52"/>
      <c r="C253" s="53"/>
      <c r="D253" s="41"/>
      <c r="E253" s="35" t="s">
        <v>23</v>
      </c>
      <c r="F253" s="38" t="str">
        <f t="shared" si="3"/>
        <v/>
      </c>
      <c r="G253" s="48"/>
      <c r="H253" s="49"/>
      <c r="I253" s="124">
        <v>0</v>
      </c>
    </row>
    <row r="254" spans="1:9" ht="26.25" hidden="1" thickBot="1" x14ac:dyDescent="0.3">
      <c r="A254" s="255"/>
      <c r="B254" s="50" t="s">
        <v>88</v>
      </c>
      <c r="C254" s="53"/>
      <c r="D254" s="41"/>
      <c r="E254" s="35" t="s">
        <v>23</v>
      </c>
      <c r="F254" s="38" t="str">
        <f t="shared" si="3"/>
        <v/>
      </c>
      <c r="G254" s="48"/>
      <c r="H254" s="49"/>
      <c r="I254" s="124">
        <v>0</v>
      </c>
    </row>
    <row r="255" spans="1:9" ht="15.75" hidden="1" thickBot="1" x14ac:dyDescent="0.3">
      <c r="A255" s="255"/>
      <c r="B255" s="40"/>
      <c r="C255" s="40"/>
      <c r="D255" s="126"/>
      <c r="E255" s="35" t="s">
        <v>23</v>
      </c>
      <c r="F255" s="35" t="str">
        <f t="shared" si="3"/>
        <v/>
      </c>
      <c r="G255" s="39"/>
      <c r="H255" s="35"/>
      <c r="I255" s="124">
        <v>0</v>
      </c>
    </row>
    <row r="256" spans="1:9" ht="15.75" thickBot="1" x14ac:dyDescent="0.3">
      <c r="A256" s="255" t="s">
        <v>4734</v>
      </c>
      <c r="B256" s="28" t="s">
        <v>23</v>
      </c>
      <c r="C256" s="29" t="s">
        <v>3764</v>
      </c>
      <c r="D256" s="127"/>
      <c r="E256" s="31" t="s">
        <v>23</v>
      </c>
      <c r="F256" s="29" t="str">
        <f t="shared" si="3"/>
        <v/>
      </c>
      <c r="G256" s="32"/>
      <c r="H256" s="33"/>
      <c r="I256" s="124">
        <v>4454.88</v>
      </c>
    </row>
    <row r="257" spans="1:9" x14ac:dyDescent="0.25">
      <c r="A257" s="255"/>
      <c r="B257" s="36" t="s">
        <v>23</v>
      </c>
      <c r="C257" s="36"/>
      <c r="D257" s="125"/>
      <c r="E257" s="35" t="s">
        <v>23</v>
      </c>
      <c r="F257" s="35" t="str">
        <f t="shared" si="3"/>
        <v/>
      </c>
      <c r="G257" s="39"/>
      <c r="H257" s="35"/>
      <c r="I257" s="124">
        <v>4454.88</v>
      </c>
    </row>
    <row r="258" spans="1:9" ht="25.5" x14ac:dyDescent="0.25">
      <c r="A258" s="255"/>
      <c r="B258" s="40" t="s">
        <v>3763</v>
      </c>
      <c r="C258" s="40" t="s">
        <v>3764</v>
      </c>
      <c r="D258" s="41">
        <v>1.25</v>
      </c>
      <c r="E258" s="35">
        <v>204.23099999999999</v>
      </c>
      <c r="F258" s="38">
        <f t="shared" si="3"/>
        <v>255.28874999999999</v>
      </c>
      <c r="G258" s="48">
        <f>SUM(F258:F262)</f>
        <v>925.7400815625</v>
      </c>
      <c r="H258" s="49"/>
      <c r="I258" s="124">
        <v>4454.88</v>
      </c>
    </row>
    <row r="259" spans="1:9" x14ac:dyDescent="0.25">
      <c r="A259" s="255"/>
      <c r="B259" s="40" t="s">
        <v>3759</v>
      </c>
      <c r="C259" s="40" t="s">
        <v>1035</v>
      </c>
      <c r="D259" s="41">
        <v>563.59</v>
      </c>
      <c r="E259" s="38">
        <v>0.627</v>
      </c>
      <c r="F259" s="38">
        <f t="shared" si="3"/>
        <v>353.37093000000004</v>
      </c>
      <c r="G259" s="48"/>
      <c r="H259" s="49"/>
      <c r="I259" s="124">
        <v>4454.88</v>
      </c>
    </row>
    <row r="260" spans="1:9" x14ac:dyDescent="0.25">
      <c r="A260" s="255"/>
      <c r="B260" s="40" t="s">
        <v>3754</v>
      </c>
      <c r="C260" s="40" t="s">
        <v>3752</v>
      </c>
      <c r="D260" s="41">
        <v>11.65</v>
      </c>
      <c r="E260" s="35">
        <v>20.814499999999999</v>
      </c>
      <c r="F260" s="38">
        <f t="shared" si="3"/>
        <v>242.48892499999999</v>
      </c>
      <c r="G260" s="48"/>
      <c r="H260" s="49"/>
      <c r="I260" s="124">
        <v>4454.88</v>
      </c>
    </row>
    <row r="261" spans="1:9" ht="51" x14ac:dyDescent="0.25">
      <c r="A261" s="255"/>
      <c r="B261" s="40" t="s">
        <v>4752</v>
      </c>
      <c r="C261" s="40" t="s">
        <v>3764</v>
      </c>
      <c r="D261" s="41">
        <f>ROUND(1*(D258),4)</f>
        <v>1.25</v>
      </c>
      <c r="E261" s="35">
        <v>7.75243225</v>
      </c>
      <c r="F261" s="38">
        <f t="shared" si="3"/>
        <v>9.6905403124999996</v>
      </c>
      <c r="G261" s="48"/>
      <c r="H261" s="49"/>
      <c r="I261" s="124">
        <v>4454.88</v>
      </c>
    </row>
    <row r="262" spans="1:9" ht="38.25" x14ac:dyDescent="0.25">
      <c r="A262" s="255"/>
      <c r="B262" s="40" t="s">
        <v>4749</v>
      </c>
      <c r="C262" s="53" t="s">
        <v>4744</v>
      </c>
      <c r="D262" s="41">
        <f>ROUND(D258*20,4)</f>
        <v>25</v>
      </c>
      <c r="E262" s="35">
        <v>2.5960374499999999</v>
      </c>
      <c r="F262" s="38">
        <f t="shared" ref="F262:F325" si="4">IF(ISNUMBER(E262),E262*$D262,"")</f>
        <v>64.900936250000001</v>
      </c>
      <c r="G262" s="48"/>
      <c r="H262" s="49"/>
      <c r="I262" s="124">
        <v>4454.88</v>
      </c>
    </row>
    <row r="263" spans="1:9" x14ac:dyDescent="0.25">
      <c r="A263" s="255"/>
      <c r="B263" s="52"/>
      <c r="C263" s="53"/>
      <c r="D263" s="41"/>
      <c r="E263" s="35" t="s">
        <v>23</v>
      </c>
      <c r="F263" s="38" t="str">
        <f t="shared" si="4"/>
        <v/>
      </c>
      <c r="G263" s="48"/>
      <c r="H263" s="49"/>
      <c r="I263" s="124">
        <v>4454.88</v>
      </c>
    </row>
    <row r="264" spans="1:9" x14ac:dyDescent="0.25">
      <c r="A264" s="255"/>
      <c r="B264" s="50" t="s">
        <v>646</v>
      </c>
      <c r="C264" s="53"/>
      <c r="D264" s="41"/>
      <c r="E264" s="35" t="s">
        <v>23</v>
      </c>
      <c r="F264" s="38" t="str">
        <f t="shared" si="4"/>
        <v/>
      </c>
      <c r="G264" s="48"/>
      <c r="H264" s="49"/>
      <c r="I264" s="124">
        <v>4454.88</v>
      </c>
    </row>
    <row r="265" spans="1:9" ht="15.75" thickBot="1" x14ac:dyDescent="0.3">
      <c r="A265" s="269"/>
      <c r="B265" s="40" t="s">
        <v>23</v>
      </c>
      <c r="C265" s="40"/>
      <c r="D265" s="126"/>
      <c r="E265" s="35" t="s">
        <v>23</v>
      </c>
      <c r="F265" s="38" t="str">
        <f t="shared" si="4"/>
        <v/>
      </c>
      <c r="G265" s="39"/>
      <c r="H265" s="35"/>
      <c r="I265" s="124">
        <v>4454.88</v>
      </c>
    </row>
    <row r="266" spans="1:9" ht="15.75" hidden="1" thickBot="1" x14ac:dyDescent="0.3">
      <c r="A266" s="255" t="s">
        <v>4677</v>
      </c>
      <c r="B266" s="28" t="s">
        <v>23</v>
      </c>
      <c r="C266" s="29" t="s">
        <v>291</v>
      </c>
      <c r="D266" s="127"/>
      <c r="E266" s="31" t="s">
        <v>23</v>
      </c>
      <c r="F266" s="29" t="str">
        <f t="shared" si="4"/>
        <v/>
      </c>
      <c r="G266" s="32"/>
      <c r="H266" s="33"/>
      <c r="I266" s="124">
        <v>0</v>
      </c>
    </row>
    <row r="267" spans="1:9" ht="15.75" hidden="1" thickBot="1" x14ac:dyDescent="0.3">
      <c r="A267" s="255"/>
      <c r="B267" s="36" t="s">
        <v>23</v>
      </c>
      <c r="C267" s="36"/>
      <c r="D267" s="125"/>
      <c r="E267" s="35" t="s">
        <v>23</v>
      </c>
      <c r="F267" s="35" t="str">
        <f t="shared" si="4"/>
        <v/>
      </c>
      <c r="G267" s="39"/>
      <c r="H267" s="35"/>
      <c r="I267" s="124">
        <v>0</v>
      </c>
    </row>
    <row r="268" spans="1:9" ht="64.5" hidden="1" thickBot="1" x14ac:dyDescent="0.3">
      <c r="A268" s="255"/>
      <c r="B268" s="40" t="s">
        <v>4670</v>
      </c>
      <c r="C268" s="40" t="s">
        <v>3927</v>
      </c>
      <c r="D268" s="41">
        <v>1</v>
      </c>
      <c r="E268" s="35">
        <v>266</v>
      </c>
      <c r="F268" s="38">
        <f t="shared" si="4"/>
        <v>266</v>
      </c>
      <c r="G268" s="48">
        <f>SUM(F268:F272)</f>
        <v>367.82548399999996</v>
      </c>
      <c r="H268" s="49"/>
      <c r="I268" s="124">
        <v>0</v>
      </c>
    </row>
    <row r="269" spans="1:9" ht="15.75" hidden="1" thickBot="1" x14ac:dyDescent="0.3">
      <c r="A269" s="255"/>
      <c r="B269" s="40" t="s">
        <v>3928</v>
      </c>
      <c r="C269" s="40" t="s">
        <v>1035</v>
      </c>
      <c r="D269" s="41">
        <v>1.0999999999999999E-2</v>
      </c>
      <c r="E269" s="38">
        <v>27.378999999999998</v>
      </c>
      <c r="F269" s="38">
        <f t="shared" si="4"/>
        <v>0.30116899999999996</v>
      </c>
      <c r="G269" s="48"/>
      <c r="H269" s="49"/>
      <c r="I269" s="124">
        <v>0</v>
      </c>
    </row>
    <row r="270" spans="1:9" ht="15.75" hidden="1" thickBot="1" x14ac:dyDescent="0.3">
      <c r="A270" s="255"/>
      <c r="B270" s="40" t="s">
        <v>4101</v>
      </c>
      <c r="C270" s="40" t="s">
        <v>1035</v>
      </c>
      <c r="D270" s="41">
        <v>2.4E-2</v>
      </c>
      <c r="E270" s="35">
        <v>20.776499999999999</v>
      </c>
      <c r="F270" s="38">
        <f t="shared" si="4"/>
        <v>0.49863599999999997</v>
      </c>
      <c r="G270" s="48"/>
      <c r="H270" s="49"/>
      <c r="I270" s="124">
        <v>0</v>
      </c>
    </row>
    <row r="271" spans="1:9" ht="15.75" hidden="1" thickBot="1" x14ac:dyDescent="0.3">
      <c r="A271" s="255"/>
      <c r="B271" s="40" t="s">
        <v>3766</v>
      </c>
      <c r="C271" s="40" t="s">
        <v>3752</v>
      </c>
      <c r="D271" s="41">
        <v>2.7410000000000001</v>
      </c>
      <c r="E271" s="35">
        <v>26.552499999999998</v>
      </c>
      <c r="F271" s="38">
        <f t="shared" si="4"/>
        <v>72.780402499999994</v>
      </c>
      <c r="G271" s="48"/>
      <c r="H271" s="49"/>
      <c r="I271" s="124">
        <v>0</v>
      </c>
    </row>
    <row r="272" spans="1:9" ht="15.75" hidden="1" thickBot="1" x14ac:dyDescent="0.3">
      <c r="A272" s="255"/>
      <c r="B272" s="40" t="s">
        <v>3754</v>
      </c>
      <c r="C272" s="40" t="s">
        <v>3752</v>
      </c>
      <c r="D272" s="41">
        <v>1.357</v>
      </c>
      <c r="E272" s="35">
        <v>20.814499999999999</v>
      </c>
      <c r="F272" s="38">
        <f t="shared" si="4"/>
        <v>28.245276499999999</v>
      </c>
      <c r="G272" s="48"/>
      <c r="H272" s="49"/>
      <c r="I272" s="124">
        <v>0</v>
      </c>
    </row>
    <row r="273" spans="1:9" ht="15.75" hidden="1" thickBot="1" x14ac:dyDescent="0.3">
      <c r="A273" s="255"/>
      <c r="B273" s="52"/>
      <c r="C273" s="53"/>
      <c r="D273" s="41"/>
      <c r="E273" s="35" t="s">
        <v>23</v>
      </c>
      <c r="F273" s="38" t="str">
        <f t="shared" si="4"/>
        <v/>
      </c>
      <c r="G273" s="48"/>
      <c r="H273" s="49"/>
      <c r="I273" s="124">
        <v>0</v>
      </c>
    </row>
    <row r="274" spans="1:9" ht="15.75" hidden="1" thickBot="1" x14ac:dyDescent="0.3">
      <c r="A274" s="268" t="s">
        <v>4738</v>
      </c>
      <c r="B274" s="28" t="s">
        <v>23</v>
      </c>
      <c r="C274" s="29" t="s">
        <v>3764</v>
      </c>
      <c r="D274" s="127"/>
      <c r="E274" s="31" t="s">
        <v>23</v>
      </c>
      <c r="F274" s="31" t="str">
        <f t="shared" si="4"/>
        <v/>
      </c>
      <c r="G274" s="32"/>
      <c r="H274" s="33"/>
      <c r="I274" s="124">
        <v>0</v>
      </c>
    </row>
    <row r="275" spans="1:9" ht="15.75" hidden="1" thickBot="1" x14ac:dyDescent="0.3">
      <c r="A275" s="255"/>
      <c r="B275" s="36" t="s">
        <v>23</v>
      </c>
      <c r="C275" s="36"/>
      <c r="D275" s="125"/>
      <c r="E275" s="35" t="s">
        <v>23</v>
      </c>
      <c r="F275" s="129" t="str">
        <f t="shared" si="4"/>
        <v/>
      </c>
      <c r="G275" s="133"/>
      <c r="H275" s="129"/>
      <c r="I275" s="124">
        <v>0</v>
      </c>
    </row>
    <row r="276" spans="1:9" ht="26.25" hidden="1" thickBot="1" x14ac:dyDescent="0.3">
      <c r="A276" s="255"/>
      <c r="B276" s="40" t="s">
        <v>3763</v>
      </c>
      <c r="C276" s="40" t="s">
        <v>3764</v>
      </c>
      <c r="D276" s="41">
        <v>1.1299999999999999</v>
      </c>
      <c r="E276" s="35">
        <v>204.23099999999999</v>
      </c>
      <c r="F276" s="38">
        <f t="shared" si="4"/>
        <v>230.78102999999996</v>
      </c>
      <c r="G276" s="48">
        <f>SUM(F276:F281)</f>
        <v>790.69504981249997</v>
      </c>
      <c r="H276" s="49"/>
      <c r="I276" s="124">
        <v>0</v>
      </c>
    </row>
    <row r="277" spans="1:9" ht="15.75" hidden="1" thickBot="1" x14ac:dyDescent="0.3">
      <c r="A277" s="255"/>
      <c r="B277" s="40" t="s">
        <v>3811</v>
      </c>
      <c r="C277" s="40" t="s">
        <v>1035</v>
      </c>
      <c r="D277" s="41">
        <v>75.47</v>
      </c>
      <c r="E277" s="35">
        <v>1.2825</v>
      </c>
      <c r="F277" s="38">
        <f t="shared" si="4"/>
        <v>96.790274999999994</v>
      </c>
      <c r="G277" s="48"/>
      <c r="H277" s="49"/>
      <c r="I277" s="124">
        <v>0</v>
      </c>
    </row>
    <row r="278" spans="1:9" ht="15.75" hidden="1" thickBot="1" x14ac:dyDescent="0.3">
      <c r="A278" s="255"/>
      <c r="B278" s="40" t="s">
        <v>3759</v>
      </c>
      <c r="C278" s="40" t="s">
        <v>1035</v>
      </c>
      <c r="D278" s="41">
        <v>339.62</v>
      </c>
      <c r="E278" s="38">
        <v>0.627</v>
      </c>
      <c r="F278" s="38">
        <f t="shared" si="4"/>
        <v>212.94174000000001</v>
      </c>
      <c r="G278" s="48"/>
      <c r="H278" s="49"/>
      <c r="I278" s="124">
        <v>0</v>
      </c>
    </row>
    <row r="279" spans="1:9" ht="15.75" hidden="1" thickBot="1" x14ac:dyDescent="0.3">
      <c r="A279" s="255"/>
      <c r="B279" s="40" t="s">
        <v>3754</v>
      </c>
      <c r="C279" s="40" t="s">
        <v>3752</v>
      </c>
      <c r="D279" s="41">
        <v>8.7799999999999994</v>
      </c>
      <c r="E279" s="35">
        <v>20.814499999999999</v>
      </c>
      <c r="F279" s="38">
        <f t="shared" si="4"/>
        <v>182.75130999999999</v>
      </c>
      <c r="G279" s="48"/>
      <c r="H279" s="49"/>
      <c r="I279" s="124">
        <v>0</v>
      </c>
    </row>
    <row r="280" spans="1:9" ht="51.75" hidden="1" thickBot="1" x14ac:dyDescent="0.3">
      <c r="A280" s="255"/>
      <c r="B280" s="40" t="s">
        <v>4752</v>
      </c>
      <c r="C280" s="40" t="s">
        <v>3764</v>
      </c>
      <c r="D280" s="41">
        <f>ROUND(1*D276,4)</f>
        <v>1.1299999999999999</v>
      </c>
      <c r="E280" s="35">
        <v>7.75243225</v>
      </c>
      <c r="F280" s="38">
        <f t="shared" si="4"/>
        <v>8.7602484425</v>
      </c>
      <c r="G280" s="48"/>
      <c r="H280" s="49"/>
      <c r="I280" s="124">
        <v>0</v>
      </c>
    </row>
    <row r="281" spans="1:9" ht="39" hidden="1" thickBot="1" x14ac:dyDescent="0.3">
      <c r="A281" s="255"/>
      <c r="B281" s="40" t="s">
        <v>4749</v>
      </c>
      <c r="C281" s="53" t="s">
        <v>4744</v>
      </c>
      <c r="D281" s="41">
        <f>ROUND(D276*20,4)</f>
        <v>22.6</v>
      </c>
      <c r="E281" s="35">
        <v>2.5960374499999999</v>
      </c>
      <c r="F281" s="38">
        <f t="shared" si="4"/>
        <v>58.670446370000001</v>
      </c>
      <c r="G281" s="48"/>
      <c r="H281" s="49"/>
      <c r="I281" s="124">
        <v>0</v>
      </c>
    </row>
    <row r="282" spans="1:9" ht="15.75" hidden="1" thickBot="1" x14ac:dyDescent="0.3">
      <c r="A282" s="255"/>
      <c r="B282" s="52"/>
      <c r="C282" s="53"/>
      <c r="D282" s="41"/>
      <c r="E282" s="35" t="s">
        <v>23</v>
      </c>
      <c r="F282" s="38" t="str">
        <f t="shared" si="4"/>
        <v/>
      </c>
      <c r="G282" s="48"/>
      <c r="H282" s="49"/>
      <c r="I282" s="124">
        <v>0</v>
      </c>
    </row>
    <row r="283" spans="1:9" ht="15.75" hidden="1" thickBot="1" x14ac:dyDescent="0.3">
      <c r="A283" s="255"/>
      <c r="B283" s="50" t="s">
        <v>646</v>
      </c>
      <c r="C283" s="53"/>
      <c r="D283" s="41"/>
      <c r="E283" s="35" t="s">
        <v>23</v>
      </c>
      <c r="F283" s="38" t="str">
        <f t="shared" si="4"/>
        <v/>
      </c>
      <c r="G283" s="48"/>
      <c r="H283" s="49"/>
      <c r="I283" s="124">
        <v>0</v>
      </c>
    </row>
    <row r="284" spans="1:9" ht="15.75" hidden="1" thickBot="1" x14ac:dyDescent="0.3">
      <c r="A284" s="269"/>
      <c r="B284" s="60" t="s">
        <v>23</v>
      </c>
      <c r="C284" s="60"/>
      <c r="D284" s="130"/>
      <c r="E284" s="87" t="s">
        <v>23</v>
      </c>
      <c r="F284" s="87" t="str">
        <f t="shared" si="4"/>
        <v/>
      </c>
      <c r="G284" s="89"/>
      <c r="H284" s="35"/>
      <c r="I284" s="124">
        <v>0</v>
      </c>
    </row>
    <row r="285" spans="1:9" ht="15.75" hidden="1" thickBot="1" x14ac:dyDescent="0.3">
      <c r="A285" s="255" t="s">
        <v>4687</v>
      </c>
      <c r="B285" s="61" t="s">
        <v>23</v>
      </c>
      <c r="C285" s="29" t="s">
        <v>1035</v>
      </c>
      <c r="D285" s="121"/>
      <c r="E285" s="122" t="s">
        <v>23</v>
      </c>
      <c r="F285" s="122" t="str">
        <f t="shared" si="4"/>
        <v/>
      </c>
      <c r="G285" s="123"/>
      <c r="H285" s="33"/>
      <c r="I285" s="124">
        <v>0</v>
      </c>
    </row>
    <row r="286" spans="1:9" ht="15.75" hidden="1" thickBot="1" x14ac:dyDescent="0.3">
      <c r="A286" s="255"/>
      <c r="B286" s="36" t="s">
        <v>23</v>
      </c>
      <c r="C286" s="36"/>
      <c r="D286" s="125"/>
      <c r="E286" s="35" t="s">
        <v>23</v>
      </c>
      <c r="F286" s="35" t="str">
        <f t="shared" si="4"/>
        <v/>
      </c>
      <c r="G286" s="39"/>
      <c r="H286" s="35"/>
      <c r="I286" s="124">
        <v>0</v>
      </c>
    </row>
    <row r="287" spans="1:9" ht="39" hidden="1" thickBot="1" x14ac:dyDescent="0.3">
      <c r="A287" s="255"/>
      <c r="B287" s="40" t="s">
        <v>4149</v>
      </c>
      <c r="C287" s="40" t="s">
        <v>291</v>
      </c>
      <c r="D287" s="41">
        <v>2.8159999999999998</v>
      </c>
      <c r="E287" s="35">
        <v>0.20899999999999999</v>
      </c>
      <c r="F287" s="38">
        <f t="shared" si="4"/>
        <v>0.58854399999999996</v>
      </c>
      <c r="G287" s="48">
        <f>SUM(F287:F291)</f>
        <v>17.458292499999999</v>
      </c>
      <c r="H287" s="49"/>
      <c r="I287" s="124">
        <v>0</v>
      </c>
    </row>
    <row r="288" spans="1:9" ht="26.25" hidden="1" thickBot="1" x14ac:dyDescent="0.3">
      <c r="A288" s="255"/>
      <c r="B288" s="40" t="s">
        <v>4033</v>
      </c>
      <c r="C288" s="40" t="s">
        <v>1035</v>
      </c>
      <c r="D288" s="41">
        <v>2.5000000000000001E-2</v>
      </c>
      <c r="E288" s="35">
        <v>18.249500000000001</v>
      </c>
      <c r="F288" s="38">
        <f t="shared" si="4"/>
        <v>0.45623750000000007</v>
      </c>
      <c r="G288" s="48"/>
      <c r="H288" s="49"/>
      <c r="I288" s="124">
        <v>0</v>
      </c>
    </row>
    <row r="289" spans="1:9" ht="15.75" hidden="1" thickBot="1" x14ac:dyDescent="0.3">
      <c r="A289" s="255"/>
      <c r="B289" s="40" t="s">
        <v>4167</v>
      </c>
      <c r="C289" s="40" t="s">
        <v>3752</v>
      </c>
      <c r="D289" s="41">
        <v>1.72E-2</v>
      </c>
      <c r="E289" s="38">
        <v>20.785999999999998</v>
      </c>
      <c r="F289" s="38">
        <f t="shared" si="4"/>
        <v>0.35751919999999998</v>
      </c>
      <c r="G289" s="48"/>
      <c r="H289" s="49"/>
      <c r="I289" s="124">
        <v>0</v>
      </c>
    </row>
    <row r="290" spans="1:9" ht="15.75" hidden="1" thickBot="1" x14ac:dyDescent="0.3">
      <c r="A290" s="255"/>
      <c r="B290" s="40" t="s">
        <v>3977</v>
      </c>
      <c r="C290" s="40" t="s">
        <v>3752</v>
      </c>
      <c r="D290" s="41">
        <v>0.1055</v>
      </c>
      <c r="E290" s="35">
        <v>27.853999999999999</v>
      </c>
      <c r="F290" s="38">
        <f t="shared" si="4"/>
        <v>2.9385969999999997</v>
      </c>
      <c r="G290" s="48"/>
      <c r="H290" s="49"/>
      <c r="I290" s="124">
        <v>0</v>
      </c>
    </row>
    <row r="291" spans="1:9" ht="15.75" hidden="1" thickBot="1" x14ac:dyDescent="0.3">
      <c r="A291" s="255"/>
      <c r="B291" s="40" t="s">
        <v>4689</v>
      </c>
      <c r="C291" s="53" t="s">
        <v>1035</v>
      </c>
      <c r="D291" s="41">
        <v>1</v>
      </c>
      <c r="E291" s="35">
        <v>13.117394800000001</v>
      </c>
      <c r="F291" s="38">
        <f t="shared" si="4"/>
        <v>13.117394800000001</v>
      </c>
      <c r="G291" s="48"/>
      <c r="H291" s="49"/>
      <c r="I291" s="124">
        <v>0</v>
      </c>
    </row>
    <row r="292" spans="1:9" ht="15.75" hidden="1" thickBot="1" x14ac:dyDescent="0.3">
      <c r="A292" s="255"/>
      <c r="B292" s="52"/>
      <c r="C292" s="53"/>
      <c r="D292" s="41"/>
      <c r="E292" s="35" t="s">
        <v>23</v>
      </c>
      <c r="F292" s="38" t="str">
        <f t="shared" si="4"/>
        <v/>
      </c>
      <c r="G292" s="48"/>
      <c r="H292" s="49"/>
      <c r="I292" s="124">
        <v>0</v>
      </c>
    </row>
    <row r="293" spans="1:9" ht="15.75" hidden="1" thickBot="1" x14ac:dyDescent="0.3">
      <c r="A293" s="268" t="s">
        <v>4689</v>
      </c>
      <c r="B293" s="28" t="s">
        <v>23</v>
      </c>
      <c r="C293" s="29" t="s">
        <v>1035</v>
      </c>
      <c r="D293" s="127"/>
      <c r="E293" s="31" t="s">
        <v>23</v>
      </c>
      <c r="F293" s="29" t="str">
        <f t="shared" si="4"/>
        <v/>
      </c>
      <c r="G293" s="32"/>
      <c r="H293" s="33"/>
      <c r="I293" s="124">
        <v>0</v>
      </c>
    </row>
    <row r="294" spans="1:9" ht="15.75" hidden="1" thickBot="1" x14ac:dyDescent="0.3">
      <c r="A294" s="255"/>
      <c r="B294" s="36" t="s">
        <v>23</v>
      </c>
      <c r="C294" s="36"/>
      <c r="D294" s="125"/>
      <c r="E294" s="35" t="s">
        <v>23</v>
      </c>
      <c r="F294" s="129" t="str">
        <f t="shared" si="4"/>
        <v/>
      </c>
      <c r="G294" s="133"/>
      <c r="H294" s="129"/>
      <c r="I294" s="124">
        <v>0</v>
      </c>
    </row>
    <row r="295" spans="1:9" ht="15.75" hidden="1" thickBot="1" x14ac:dyDescent="0.3">
      <c r="A295" s="255"/>
      <c r="B295" s="40" t="s">
        <v>4138</v>
      </c>
      <c r="C295" s="40" t="s">
        <v>1035</v>
      </c>
      <c r="D295" s="41">
        <v>1.07</v>
      </c>
      <c r="E295" s="38">
        <v>9.5759999999999987</v>
      </c>
      <c r="F295" s="38">
        <f t="shared" si="4"/>
        <v>10.246319999999999</v>
      </c>
      <c r="G295" s="48">
        <f>SUM(F295:F297)</f>
        <v>13.161045399999999</v>
      </c>
      <c r="H295" s="49"/>
      <c r="I295" s="124">
        <v>0</v>
      </c>
    </row>
    <row r="296" spans="1:9" ht="15.75" hidden="1" thickBot="1" x14ac:dyDescent="0.3">
      <c r="A296" s="255"/>
      <c r="B296" s="40" t="s">
        <v>4167</v>
      </c>
      <c r="C296" s="40" t="s">
        <v>3752</v>
      </c>
      <c r="D296" s="41">
        <v>1.52E-2</v>
      </c>
      <c r="E296" s="38">
        <v>20.785999999999998</v>
      </c>
      <c r="F296" s="38">
        <f t="shared" si="4"/>
        <v>0.31594719999999998</v>
      </c>
      <c r="G296" s="48"/>
      <c r="H296" s="49"/>
      <c r="I296" s="124">
        <v>0</v>
      </c>
    </row>
    <row r="297" spans="1:9" ht="15.75" hidden="1" thickBot="1" x14ac:dyDescent="0.3">
      <c r="A297" s="255"/>
      <c r="B297" s="40" t="s">
        <v>3977</v>
      </c>
      <c r="C297" s="40" t="s">
        <v>3752</v>
      </c>
      <c r="D297" s="41">
        <v>9.3299999999999994E-2</v>
      </c>
      <c r="E297" s="35">
        <v>27.853999999999999</v>
      </c>
      <c r="F297" s="38">
        <f t="shared" si="4"/>
        <v>2.5987781999999999</v>
      </c>
      <c r="G297" s="48"/>
      <c r="H297" s="49"/>
      <c r="I297" s="124">
        <v>0</v>
      </c>
    </row>
    <row r="298" spans="1:9" ht="15.75" hidden="1" thickBot="1" x14ac:dyDescent="0.3">
      <c r="A298" s="269"/>
      <c r="B298" s="60" t="s">
        <v>23</v>
      </c>
      <c r="C298" s="60"/>
      <c r="D298" s="130"/>
      <c r="E298" s="87" t="s">
        <v>23</v>
      </c>
      <c r="F298" s="88" t="str">
        <f t="shared" si="4"/>
        <v/>
      </c>
      <c r="G298" s="89"/>
      <c r="H298" s="35"/>
      <c r="I298" s="124">
        <v>0</v>
      </c>
    </row>
    <row r="299" spans="1:9" ht="15.75" hidden="1" thickBot="1" x14ac:dyDescent="0.3">
      <c r="A299" s="268" t="s">
        <v>4703</v>
      </c>
      <c r="B299" s="28" t="s">
        <v>23</v>
      </c>
      <c r="C299" s="29" t="s">
        <v>3764</v>
      </c>
      <c r="D299" s="127"/>
      <c r="E299" s="45" t="s">
        <v>23</v>
      </c>
      <c r="F299" s="45" t="str">
        <f t="shared" si="4"/>
        <v/>
      </c>
      <c r="G299" s="32"/>
      <c r="H299" s="33"/>
      <c r="I299" s="124">
        <v>0</v>
      </c>
    </row>
    <row r="300" spans="1:9" ht="15.75" hidden="1" thickBot="1" x14ac:dyDescent="0.3">
      <c r="A300" s="255"/>
      <c r="B300" s="36" t="s">
        <v>23</v>
      </c>
      <c r="C300" s="36"/>
      <c r="D300" s="125"/>
      <c r="E300" s="46" t="s">
        <v>23</v>
      </c>
      <c r="F300" s="35" t="str">
        <f t="shared" si="4"/>
        <v/>
      </c>
      <c r="G300" s="39"/>
      <c r="H300" s="35"/>
      <c r="I300" s="124">
        <v>0</v>
      </c>
    </row>
    <row r="301" spans="1:9" ht="26.25" hidden="1" thickBot="1" x14ac:dyDescent="0.3">
      <c r="A301" s="255"/>
      <c r="B301" s="40" t="s">
        <v>3763</v>
      </c>
      <c r="C301" s="40" t="s">
        <v>3764</v>
      </c>
      <c r="D301" s="41">
        <v>0.80759999999999998</v>
      </c>
      <c r="E301" s="38">
        <v>204.23099999999999</v>
      </c>
      <c r="F301" s="38">
        <f t="shared" si="4"/>
        <v>164.9369556</v>
      </c>
      <c r="G301" s="48">
        <f>SUM(F301:F309)</f>
        <v>591.66103168812504</v>
      </c>
      <c r="H301" s="49"/>
      <c r="I301" s="124">
        <v>0</v>
      </c>
    </row>
    <row r="302" spans="1:9" ht="15.75" hidden="1" thickBot="1" x14ac:dyDescent="0.3">
      <c r="A302" s="255"/>
      <c r="B302" s="40" t="s">
        <v>3759</v>
      </c>
      <c r="C302" s="40" t="s">
        <v>1035</v>
      </c>
      <c r="D302" s="41">
        <v>274.06349999999998</v>
      </c>
      <c r="E302" s="38">
        <v>0.627</v>
      </c>
      <c r="F302" s="38">
        <f t="shared" si="4"/>
        <v>171.83781449999998</v>
      </c>
      <c r="G302" s="48"/>
      <c r="H302" s="49"/>
      <c r="I302" s="124">
        <v>0</v>
      </c>
    </row>
    <row r="303" spans="1:9" ht="26.25" hidden="1" thickBot="1" x14ac:dyDescent="0.3">
      <c r="A303" s="255"/>
      <c r="B303" s="40" t="s">
        <v>4016</v>
      </c>
      <c r="C303" s="40" t="s">
        <v>3764</v>
      </c>
      <c r="D303" s="41">
        <v>0.58130000000000004</v>
      </c>
      <c r="E303" s="38">
        <v>170.107</v>
      </c>
      <c r="F303" s="38">
        <f t="shared" si="4"/>
        <v>98.883199100000013</v>
      </c>
      <c r="G303" s="48"/>
      <c r="H303" s="49"/>
      <c r="I303" s="124">
        <v>0</v>
      </c>
    </row>
    <row r="304" spans="1:9" ht="15.75" hidden="1" thickBot="1" x14ac:dyDescent="0.3">
      <c r="A304" s="255"/>
      <c r="B304" s="40" t="s">
        <v>3754</v>
      </c>
      <c r="C304" s="40" t="s">
        <v>3752</v>
      </c>
      <c r="D304" s="41">
        <v>2.0266999999999999</v>
      </c>
      <c r="E304" s="35">
        <v>20.814499999999999</v>
      </c>
      <c r="F304" s="38">
        <f t="shared" si="4"/>
        <v>42.18474715</v>
      </c>
      <c r="G304" s="48"/>
      <c r="H304" s="49"/>
      <c r="I304" s="124">
        <v>0</v>
      </c>
    </row>
    <row r="305" spans="1:9" ht="26.25" hidden="1" thickBot="1" x14ac:dyDescent="0.3">
      <c r="A305" s="255"/>
      <c r="B305" s="40" t="s">
        <v>3805</v>
      </c>
      <c r="C305" s="40" t="s">
        <v>3752</v>
      </c>
      <c r="D305" s="41">
        <v>1.2822</v>
      </c>
      <c r="E305" s="35">
        <v>20.918999999999997</v>
      </c>
      <c r="F305" s="2">
        <f t="shared" si="4"/>
        <v>26.822341799999997</v>
      </c>
      <c r="G305" s="48"/>
      <c r="H305" s="49"/>
      <c r="I305" s="124">
        <v>0</v>
      </c>
    </row>
    <row r="306" spans="1:9" ht="39" hidden="1" thickBot="1" x14ac:dyDescent="0.3">
      <c r="A306" s="255"/>
      <c r="B306" s="40" t="s">
        <v>4182</v>
      </c>
      <c r="C306" s="40" t="s">
        <v>1041</v>
      </c>
      <c r="D306" s="41">
        <v>0.65990000000000004</v>
      </c>
      <c r="E306" s="35">
        <v>4.75</v>
      </c>
      <c r="F306" s="2">
        <f t="shared" si="4"/>
        <v>3.134525</v>
      </c>
      <c r="G306" s="48"/>
      <c r="H306" s="49"/>
      <c r="I306" s="124">
        <v>0</v>
      </c>
    </row>
    <row r="307" spans="1:9" ht="39" hidden="1" thickBot="1" x14ac:dyDescent="0.3">
      <c r="A307" s="255"/>
      <c r="B307" s="40" t="s">
        <v>4650</v>
      </c>
      <c r="C307" s="40" t="s">
        <v>1052</v>
      </c>
      <c r="D307" s="41">
        <v>0.62229999999999996</v>
      </c>
      <c r="E307" s="35">
        <v>1.577</v>
      </c>
      <c r="F307" s="38">
        <f t="shared" si="4"/>
        <v>0.98136709999999994</v>
      </c>
      <c r="G307" s="48"/>
      <c r="H307" s="49"/>
      <c r="I307" s="124">
        <v>0</v>
      </c>
    </row>
    <row r="308" spans="1:9" ht="51.75" hidden="1" thickBot="1" x14ac:dyDescent="0.3">
      <c r="A308" s="255"/>
      <c r="B308" s="40" t="s">
        <v>4752</v>
      </c>
      <c r="C308" s="40" t="s">
        <v>3764</v>
      </c>
      <c r="D308" s="41">
        <f>ROUND(1*(D301+D303),4)</f>
        <v>1.3889</v>
      </c>
      <c r="E308" s="35">
        <v>7.75243225</v>
      </c>
      <c r="F308" s="38">
        <f t="shared" si="4"/>
        <v>10.767353152025001</v>
      </c>
      <c r="G308" s="48"/>
      <c r="H308" s="49"/>
      <c r="I308" s="124">
        <v>0</v>
      </c>
    </row>
    <row r="309" spans="1:9" ht="39" hidden="1" thickBot="1" x14ac:dyDescent="0.3">
      <c r="A309" s="255"/>
      <c r="B309" s="40" t="s">
        <v>4749</v>
      </c>
      <c r="C309" s="53" t="s">
        <v>4744</v>
      </c>
      <c r="D309" s="41">
        <f>ROUND((D301+D303)*20,4)</f>
        <v>27.777999999999999</v>
      </c>
      <c r="E309" s="35">
        <v>2.5960374499999999</v>
      </c>
      <c r="F309" s="38">
        <f t="shared" si="4"/>
        <v>72.112728286099994</v>
      </c>
      <c r="G309" s="48"/>
      <c r="H309" s="49"/>
      <c r="I309" s="124">
        <v>0</v>
      </c>
    </row>
    <row r="310" spans="1:9" ht="15.75" hidden="1" thickBot="1" x14ac:dyDescent="0.3">
      <c r="A310" s="255"/>
      <c r="B310" s="52"/>
      <c r="C310" s="53"/>
      <c r="D310" s="41"/>
      <c r="E310" s="35" t="s">
        <v>23</v>
      </c>
      <c r="F310" s="38" t="str">
        <f t="shared" si="4"/>
        <v/>
      </c>
      <c r="G310" s="48"/>
      <c r="H310" s="49"/>
      <c r="I310" s="124">
        <v>0</v>
      </c>
    </row>
    <row r="311" spans="1:9" ht="26.25" hidden="1" thickBot="1" x14ac:dyDescent="0.3">
      <c r="A311" s="255"/>
      <c r="B311" s="50" t="s">
        <v>88</v>
      </c>
      <c r="C311" s="53"/>
      <c r="D311" s="41"/>
      <c r="E311" s="35" t="s">
        <v>23</v>
      </c>
      <c r="F311" s="38" t="str">
        <f t="shared" si="4"/>
        <v/>
      </c>
      <c r="G311" s="48"/>
      <c r="H311" s="49"/>
      <c r="I311" s="124">
        <v>0</v>
      </c>
    </row>
    <row r="312" spans="1:9" ht="15.75" hidden="1" thickBot="1" x14ac:dyDescent="0.3">
      <c r="A312" s="255"/>
      <c r="B312" s="40" t="s">
        <v>23</v>
      </c>
      <c r="C312" s="40"/>
      <c r="D312" s="126"/>
      <c r="E312" s="35" t="s">
        <v>23</v>
      </c>
      <c r="F312" s="35" t="str">
        <f t="shared" si="4"/>
        <v/>
      </c>
      <c r="G312" s="39"/>
      <c r="H312" s="35"/>
      <c r="I312" s="124">
        <v>0</v>
      </c>
    </row>
    <row r="313" spans="1:9" ht="15.75" thickBot="1" x14ac:dyDescent="0.3">
      <c r="A313" s="268" t="s">
        <v>4702</v>
      </c>
      <c r="B313" s="28" t="s">
        <v>23</v>
      </c>
      <c r="C313" s="29" t="s">
        <v>3764</v>
      </c>
      <c r="D313" s="127"/>
      <c r="E313" s="45" t="s">
        <v>23</v>
      </c>
      <c r="F313" s="45" t="str">
        <f t="shared" si="4"/>
        <v/>
      </c>
      <c r="G313" s="32"/>
      <c r="H313" s="33"/>
      <c r="I313" s="124">
        <v>124.29999999999998</v>
      </c>
    </row>
    <row r="314" spans="1:9" x14ac:dyDescent="0.25">
      <c r="A314" s="255"/>
      <c r="B314" s="36" t="s">
        <v>23</v>
      </c>
      <c r="C314" s="36"/>
      <c r="D314" s="125"/>
      <c r="E314" s="46" t="s">
        <v>23</v>
      </c>
      <c r="F314" s="35" t="str">
        <f t="shared" si="4"/>
        <v/>
      </c>
      <c r="G314" s="39"/>
      <c r="H314" s="35"/>
      <c r="I314" s="124">
        <v>124.29999999999998</v>
      </c>
    </row>
    <row r="315" spans="1:9" ht="25.5" x14ac:dyDescent="0.25">
      <c r="A315" s="255"/>
      <c r="B315" s="40" t="s">
        <v>3763</v>
      </c>
      <c r="C315" s="40" t="s">
        <v>3764</v>
      </c>
      <c r="D315" s="41">
        <v>0.83250000000000002</v>
      </c>
      <c r="E315" s="38">
        <v>204.23099999999999</v>
      </c>
      <c r="F315" s="38">
        <f t="shared" si="4"/>
        <v>170.02230750000001</v>
      </c>
      <c r="G315" s="48">
        <f>SUM(F315:F323)</f>
        <v>563.24942309624998</v>
      </c>
      <c r="H315" s="49"/>
      <c r="I315" s="124">
        <v>124.29999999999998</v>
      </c>
    </row>
    <row r="316" spans="1:9" x14ac:dyDescent="0.25">
      <c r="A316" s="255"/>
      <c r="B316" s="40" t="s">
        <v>3759</v>
      </c>
      <c r="C316" s="40" t="s">
        <v>1035</v>
      </c>
      <c r="D316" s="41">
        <v>213.45310000000001</v>
      </c>
      <c r="E316" s="38">
        <v>0.627</v>
      </c>
      <c r="F316" s="38">
        <f t="shared" si="4"/>
        <v>133.83509370000002</v>
      </c>
      <c r="G316" s="48"/>
      <c r="H316" s="49"/>
      <c r="I316" s="124">
        <v>124.29999999999998</v>
      </c>
    </row>
    <row r="317" spans="1:9" ht="25.5" x14ac:dyDescent="0.25">
      <c r="A317" s="255"/>
      <c r="B317" s="40" t="s">
        <v>4016</v>
      </c>
      <c r="C317" s="40" t="s">
        <v>3764</v>
      </c>
      <c r="D317" s="41">
        <v>0.58209999999999995</v>
      </c>
      <c r="E317" s="38">
        <v>170.107</v>
      </c>
      <c r="F317" s="38">
        <f t="shared" si="4"/>
        <v>99.019284699999986</v>
      </c>
      <c r="G317" s="48"/>
      <c r="H317" s="49"/>
      <c r="I317" s="124">
        <v>124.29999999999998</v>
      </c>
    </row>
    <row r="318" spans="1:9" x14ac:dyDescent="0.25">
      <c r="A318" s="255"/>
      <c r="B318" s="40" t="s">
        <v>3754</v>
      </c>
      <c r="C318" s="40" t="s">
        <v>3752</v>
      </c>
      <c r="D318" s="41">
        <v>2.1057999999999999</v>
      </c>
      <c r="E318" s="35">
        <v>20.814499999999999</v>
      </c>
      <c r="F318" s="38">
        <f t="shared" si="4"/>
        <v>43.831174099999998</v>
      </c>
      <c r="G318" s="48"/>
      <c r="H318" s="49"/>
      <c r="I318" s="124">
        <v>124.29999999999998</v>
      </c>
    </row>
    <row r="319" spans="1:9" ht="25.5" x14ac:dyDescent="0.25">
      <c r="A319" s="255"/>
      <c r="B319" s="40" t="s">
        <v>3805</v>
      </c>
      <c r="C319" s="40" t="s">
        <v>3752</v>
      </c>
      <c r="D319" s="41">
        <v>1.3314999999999999</v>
      </c>
      <c r="E319" s="35">
        <v>20.918999999999997</v>
      </c>
      <c r="F319" s="2">
        <f t="shared" si="4"/>
        <v>27.853648499999995</v>
      </c>
      <c r="G319" s="48"/>
      <c r="H319" s="49"/>
      <c r="I319" s="124">
        <v>124.29999999999998</v>
      </c>
    </row>
    <row r="320" spans="1:9" ht="38.25" x14ac:dyDescent="0.25">
      <c r="A320" s="255"/>
      <c r="B320" s="40" t="s">
        <v>4182</v>
      </c>
      <c r="C320" s="40" t="s">
        <v>1041</v>
      </c>
      <c r="D320" s="41">
        <v>0.68530000000000002</v>
      </c>
      <c r="E320" s="35">
        <v>4.75</v>
      </c>
      <c r="F320" s="2">
        <f t="shared" si="4"/>
        <v>3.2551749999999999</v>
      </c>
      <c r="G320" s="48"/>
      <c r="H320" s="49"/>
      <c r="I320" s="124">
        <v>124.29999999999998</v>
      </c>
    </row>
    <row r="321" spans="1:9" ht="38.25" x14ac:dyDescent="0.25">
      <c r="A321" s="255"/>
      <c r="B321" s="40" t="s">
        <v>4650</v>
      </c>
      <c r="C321" s="40" t="s">
        <v>1052</v>
      </c>
      <c r="D321" s="41">
        <v>0.6462</v>
      </c>
      <c r="E321" s="35">
        <v>1.577</v>
      </c>
      <c r="F321" s="38">
        <f t="shared" si="4"/>
        <v>1.0190573999999999</v>
      </c>
      <c r="G321" s="48"/>
      <c r="H321" s="49"/>
      <c r="I321" s="124">
        <v>124.29999999999998</v>
      </c>
    </row>
    <row r="322" spans="1:9" ht="51" x14ac:dyDescent="0.25">
      <c r="A322" s="255"/>
      <c r="B322" s="40" t="s">
        <v>4752</v>
      </c>
      <c r="C322" s="40" t="s">
        <v>3764</v>
      </c>
      <c r="D322" s="41">
        <f>ROUND(1*(D315+D317),4)</f>
        <v>1.4146000000000001</v>
      </c>
      <c r="E322" s="35">
        <v>7.75243225</v>
      </c>
      <c r="F322" s="38">
        <f t="shared" si="4"/>
        <v>10.966590660850001</v>
      </c>
      <c r="G322" s="48"/>
      <c r="H322" s="49"/>
      <c r="I322" s="124">
        <v>124.29999999999998</v>
      </c>
    </row>
    <row r="323" spans="1:9" ht="38.25" x14ac:dyDescent="0.25">
      <c r="A323" s="255"/>
      <c r="B323" s="40" t="s">
        <v>4749</v>
      </c>
      <c r="C323" s="53" t="s">
        <v>4744</v>
      </c>
      <c r="D323" s="41">
        <f>ROUND((D315+D317)*20,4)</f>
        <v>28.292000000000002</v>
      </c>
      <c r="E323" s="35">
        <v>2.5960374499999999</v>
      </c>
      <c r="F323" s="38">
        <f t="shared" si="4"/>
        <v>73.447091535400006</v>
      </c>
      <c r="G323" s="48"/>
      <c r="H323" s="49"/>
      <c r="I323" s="124">
        <v>124.29999999999998</v>
      </c>
    </row>
    <row r="324" spans="1:9" x14ac:dyDescent="0.25">
      <c r="A324" s="255"/>
      <c r="B324" s="52"/>
      <c r="C324" s="53"/>
      <c r="D324" s="41"/>
      <c r="E324" s="35" t="s">
        <v>23</v>
      </c>
      <c r="F324" s="38" t="str">
        <f t="shared" si="4"/>
        <v/>
      </c>
      <c r="G324" s="48"/>
      <c r="H324" s="49"/>
      <c r="I324" s="124">
        <v>124.29999999999998</v>
      </c>
    </row>
    <row r="325" spans="1:9" ht="25.5" x14ac:dyDescent="0.25">
      <c r="A325" s="255"/>
      <c r="B325" s="50" t="s">
        <v>88</v>
      </c>
      <c r="C325" s="53"/>
      <c r="D325" s="41"/>
      <c r="E325" s="35" t="s">
        <v>23</v>
      </c>
      <c r="F325" s="38" t="str">
        <f t="shared" si="4"/>
        <v/>
      </c>
      <c r="G325" s="48"/>
      <c r="H325" s="49"/>
      <c r="I325" s="124">
        <v>124.29999999999998</v>
      </c>
    </row>
    <row r="326" spans="1:9" ht="15.75" thickBot="1" x14ac:dyDescent="0.3">
      <c r="A326" s="255"/>
      <c r="B326" s="40" t="s">
        <v>23</v>
      </c>
      <c r="C326" s="40"/>
      <c r="D326" s="126"/>
      <c r="E326" s="35" t="s">
        <v>23</v>
      </c>
      <c r="F326" s="35" t="str">
        <f t="shared" ref="F326:F365" si="5">IF(ISNUMBER(E326),E326*$D326,"")</f>
        <v/>
      </c>
      <c r="G326" s="39"/>
      <c r="H326" s="35"/>
      <c r="I326" s="124">
        <v>124.29999999999998</v>
      </c>
    </row>
    <row r="327" spans="1:9" ht="15.75" hidden="1" thickBot="1" x14ac:dyDescent="0.3">
      <c r="A327" s="268" t="s">
        <v>4732</v>
      </c>
      <c r="B327" s="28" t="s">
        <v>23</v>
      </c>
      <c r="C327" s="29" t="s">
        <v>3764</v>
      </c>
      <c r="D327" s="127"/>
      <c r="E327" s="31" t="s">
        <v>23</v>
      </c>
      <c r="F327" s="31" t="str">
        <f t="shared" si="5"/>
        <v/>
      </c>
      <c r="G327" s="32"/>
      <c r="H327" s="33"/>
      <c r="I327" s="124">
        <v>0</v>
      </c>
    </row>
    <row r="328" spans="1:9" ht="15.75" hidden="1" thickBot="1" x14ac:dyDescent="0.3">
      <c r="A328" s="255"/>
      <c r="B328" s="36" t="s">
        <v>23</v>
      </c>
      <c r="C328" s="36"/>
      <c r="D328" s="125"/>
      <c r="E328" s="35" t="s">
        <v>23</v>
      </c>
      <c r="F328" s="35" t="str">
        <f t="shared" si="5"/>
        <v/>
      </c>
      <c r="G328" s="39"/>
      <c r="H328" s="35"/>
      <c r="I328" s="124">
        <v>0</v>
      </c>
    </row>
    <row r="329" spans="1:9" ht="26.25" hidden="1" thickBot="1" x14ac:dyDescent="0.3">
      <c r="A329" s="255"/>
      <c r="B329" s="40" t="s">
        <v>3845</v>
      </c>
      <c r="C329" s="40" t="s">
        <v>3764</v>
      </c>
      <c r="D329" s="41">
        <v>1.02</v>
      </c>
      <c r="E329" s="35">
        <v>206.90049999999999</v>
      </c>
      <c r="F329" s="38">
        <f t="shared" si="5"/>
        <v>211.03851</v>
      </c>
      <c r="G329" s="48">
        <f>SUM(F329:F335)</f>
        <v>587.39179487499996</v>
      </c>
      <c r="H329" s="49"/>
      <c r="I329" s="124">
        <v>0</v>
      </c>
    </row>
    <row r="330" spans="1:9" ht="15.75" hidden="1" thickBot="1" x14ac:dyDescent="0.3">
      <c r="A330" s="255"/>
      <c r="B330" s="40" t="s">
        <v>3759</v>
      </c>
      <c r="C330" s="40" t="s">
        <v>1035</v>
      </c>
      <c r="D330" s="41">
        <v>343.52</v>
      </c>
      <c r="E330" s="38">
        <v>0.627</v>
      </c>
      <c r="F330" s="38">
        <f t="shared" si="5"/>
        <v>215.38703999999998</v>
      </c>
      <c r="G330" s="48"/>
      <c r="H330" s="49"/>
      <c r="I330" s="124">
        <v>0</v>
      </c>
    </row>
    <row r="331" spans="1:9" ht="26.25" hidden="1" thickBot="1" x14ac:dyDescent="0.3">
      <c r="A331" s="255"/>
      <c r="B331" s="40" t="s">
        <v>3805</v>
      </c>
      <c r="C331" s="40" t="s">
        <v>3752</v>
      </c>
      <c r="D331" s="41">
        <v>4.6399999999999997</v>
      </c>
      <c r="E331" s="35">
        <v>20.918999999999997</v>
      </c>
      <c r="F331" s="38">
        <f t="shared" si="5"/>
        <v>97.064159999999973</v>
      </c>
      <c r="G331" s="48"/>
      <c r="H331" s="49"/>
      <c r="I331" s="124">
        <v>0</v>
      </c>
    </row>
    <row r="332" spans="1:9" ht="39" hidden="1" thickBot="1" x14ac:dyDescent="0.3">
      <c r="A332" s="255"/>
      <c r="B332" s="40" t="s">
        <v>4115</v>
      </c>
      <c r="C332" s="40" t="s">
        <v>1041</v>
      </c>
      <c r="D332" s="41">
        <v>1.08</v>
      </c>
      <c r="E332" s="35">
        <v>1.5579999999999998</v>
      </c>
      <c r="F332" s="38">
        <f t="shared" si="5"/>
        <v>1.6826399999999999</v>
      </c>
      <c r="G332" s="48"/>
      <c r="H332" s="49"/>
      <c r="I332" s="124">
        <v>0</v>
      </c>
    </row>
    <row r="333" spans="1:9" ht="39" hidden="1" thickBot="1" x14ac:dyDescent="0.3">
      <c r="A333" s="255"/>
      <c r="B333" s="40" t="s">
        <v>4121</v>
      </c>
      <c r="C333" s="40" t="s">
        <v>1052</v>
      </c>
      <c r="D333" s="41">
        <v>3.56</v>
      </c>
      <c r="E333" s="35">
        <v>0.38</v>
      </c>
      <c r="F333" s="38">
        <f t="shared" si="5"/>
        <v>1.3528</v>
      </c>
      <c r="G333" s="48"/>
      <c r="H333" s="49"/>
      <c r="I333" s="124">
        <v>0</v>
      </c>
    </row>
    <row r="334" spans="1:9" ht="51.75" hidden="1" thickBot="1" x14ac:dyDescent="0.3">
      <c r="A334" s="255"/>
      <c r="B334" s="40" t="s">
        <v>4752</v>
      </c>
      <c r="C334" s="40" t="s">
        <v>3764</v>
      </c>
      <c r="D334" s="41">
        <f>ROUND(1*(D329),4)</f>
        <v>1.02</v>
      </c>
      <c r="E334" s="35">
        <v>7.75243225</v>
      </c>
      <c r="F334" s="38">
        <f t="shared" si="5"/>
        <v>7.907480895</v>
      </c>
      <c r="G334" s="48"/>
      <c r="H334" s="49"/>
      <c r="I334" s="124">
        <v>0</v>
      </c>
    </row>
    <row r="335" spans="1:9" ht="39" hidden="1" thickBot="1" x14ac:dyDescent="0.3">
      <c r="A335" s="255"/>
      <c r="B335" s="40" t="s">
        <v>4749</v>
      </c>
      <c r="C335" s="53" t="s">
        <v>4744</v>
      </c>
      <c r="D335" s="41">
        <f>ROUND(D329*20,4)</f>
        <v>20.399999999999999</v>
      </c>
      <c r="E335" s="35">
        <v>2.5960374499999999</v>
      </c>
      <c r="F335" s="38">
        <f t="shared" si="5"/>
        <v>52.959163979999992</v>
      </c>
      <c r="G335" s="48"/>
      <c r="H335" s="49"/>
      <c r="I335" s="124">
        <v>0</v>
      </c>
    </row>
    <row r="336" spans="1:9" ht="15.75" hidden="1" thickBot="1" x14ac:dyDescent="0.3">
      <c r="A336" s="255"/>
      <c r="B336" s="40"/>
      <c r="C336" s="40"/>
      <c r="D336" s="41"/>
      <c r="E336" s="35" t="s">
        <v>23</v>
      </c>
      <c r="F336" s="38" t="str">
        <f t="shared" si="5"/>
        <v/>
      </c>
      <c r="G336" s="48"/>
      <c r="H336" s="49"/>
      <c r="I336" s="124">
        <v>0</v>
      </c>
    </row>
    <row r="337" spans="1:9" ht="15.75" hidden="1" thickBot="1" x14ac:dyDescent="0.3">
      <c r="A337" s="255"/>
      <c r="B337" s="50" t="s">
        <v>646</v>
      </c>
      <c r="C337" s="53"/>
      <c r="D337" s="41"/>
      <c r="E337" s="35" t="s">
        <v>23</v>
      </c>
      <c r="F337" s="38" t="str">
        <f t="shared" si="5"/>
        <v/>
      </c>
      <c r="G337" s="48"/>
      <c r="H337" s="49"/>
      <c r="I337" s="124">
        <v>0</v>
      </c>
    </row>
    <row r="338" spans="1:9" ht="15.75" hidden="1" thickBot="1" x14ac:dyDescent="0.3">
      <c r="A338" s="269"/>
      <c r="B338" s="60" t="s">
        <v>23</v>
      </c>
      <c r="C338" s="60"/>
      <c r="D338" s="130"/>
      <c r="E338" s="87" t="s">
        <v>23</v>
      </c>
      <c r="F338" s="88" t="str">
        <f t="shared" si="5"/>
        <v/>
      </c>
      <c r="G338" s="89"/>
      <c r="H338" s="35"/>
      <c r="I338" s="124">
        <v>0</v>
      </c>
    </row>
    <row r="339" spans="1:9" ht="15.75" thickBot="1" x14ac:dyDescent="0.3">
      <c r="A339" s="268" t="s">
        <v>4752</v>
      </c>
      <c r="B339" s="28" t="s">
        <v>23</v>
      </c>
      <c r="C339" s="29" t="s">
        <v>3764</v>
      </c>
      <c r="D339" s="127"/>
      <c r="E339" s="31" t="s">
        <v>23</v>
      </c>
      <c r="F339" s="29" t="str">
        <f t="shared" si="5"/>
        <v/>
      </c>
      <c r="G339" s="32"/>
      <c r="H339" s="33"/>
      <c r="I339" s="124">
        <v>4590.4459999999999</v>
      </c>
    </row>
    <row r="340" spans="1:9" x14ac:dyDescent="0.25">
      <c r="A340" s="255"/>
      <c r="B340" s="36" t="s">
        <v>23</v>
      </c>
      <c r="C340" s="36"/>
      <c r="D340" s="125"/>
      <c r="E340" s="35" t="s">
        <v>23</v>
      </c>
      <c r="F340" s="35" t="str">
        <f t="shared" si="5"/>
        <v/>
      </c>
      <c r="G340" s="39"/>
      <c r="H340" s="35"/>
      <c r="I340" s="124">
        <v>4590.4459999999999</v>
      </c>
    </row>
    <row r="341" spans="1:9" ht="38.25" x14ac:dyDescent="0.25">
      <c r="A341" s="255"/>
      <c r="B341" s="40" t="s">
        <v>4038</v>
      </c>
      <c r="C341" s="40" t="s">
        <v>1041</v>
      </c>
      <c r="D341" s="41">
        <v>8.3000000000000001E-3</v>
      </c>
      <c r="E341" s="35">
        <v>162.21250000000001</v>
      </c>
      <c r="F341" s="38">
        <f t="shared" si="5"/>
        <v>1.3463637500000001</v>
      </c>
      <c r="G341" s="48">
        <f>SUM(F341:F344)</f>
        <v>7.75243225</v>
      </c>
      <c r="H341" s="49"/>
      <c r="I341" s="124">
        <v>4590.4459999999999</v>
      </c>
    </row>
    <row r="342" spans="1:9" ht="38.25" x14ac:dyDescent="0.25">
      <c r="A342" s="255"/>
      <c r="B342" s="40" t="s">
        <v>4105</v>
      </c>
      <c r="C342" s="40" t="s">
        <v>1052</v>
      </c>
      <c r="D342" s="41">
        <v>1.5100000000000001E-2</v>
      </c>
      <c r="E342" s="35">
        <v>62.661999999999992</v>
      </c>
      <c r="F342" s="38">
        <f t="shared" si="5"/>
        <v>0.94619619999999993</v>
      </c>
      <c r="G342" s="48"/>
      <c r="H342" s="49"/>
      <c r="I342" s="124">
        <v>4590.4459999999999</v>
      </c>
    </row>
    <row r="343" spans="1:9" ht="51" x14ac:dyDescent="0.25">
      <c r="A343" s="255"/>
      <c r="B343" s="40" t="s">
        <v>3792</v>
      </c>
      <c r="C343" s="40" t="s">
        <v>1041</v>
      </c>
      <c r="D343" s="41">
        <v>2.6700000000000002E-2</v>
      </c>
      <c r="E343" s="35">
        <v>163.4855</v>
      </c>
      <c r="F343" s="38">
        <f t="shared" si="5"/>
        <v>4.3650628500000002</v>
      </c>
      <c r="G343" s="48"/>
      <c r="H343" s="49"/>
      <c r="I343" s="124">
        <v>4590.4459999999999</v>
      </c>
    </row>
    <row r="344" spans="1:9" ht="51" x14ac:dyDescent="0.25">
      <c r="A344" s="255"/>
      <c r="B344" s="40" t="s">
        <v>3962</v>
      </c>
      <c r="C344" s="40" t="s">
        <v>1052</v>
      </c>
      <c r="D344" s="41">
        <v>2.0299999999999999E-2</v>
      </c>
      <c r="E344" s="35">
        <v>53.9315</v>
      </c>
      <c r="F344" s="38">
        <f t="shared" si="5"/>
        <v>1.0948094499999999</v>
      </c>
      <c r="G344" s="48"/>
      <c r="H344" s="49"/>
      <c r="I344" s="124">
        <v>4590.4459999999999</v>
      </c>
    </row>
    <row r="345" spans="1:9" ht="15.75" thickBot="1" x14ac:dyDescent="0.3">
      <c r="A345" s="269"/>
      <c r="B345" s="60" t="s">
        <v>23</v>
      </c>
      <c r="C345" s="60"/>
      <c r="D345" s="130"/>
      <c r="E345" s="87" t="s">
        <v>23</v>
      </c>
      <c r="F345" s="88" t="str">
        <f t="shared" si="5"/>
        <v/>
      </c>
      <c r="G345" s="89"/>
      <c r="H345" s="35"/>
      <c r="I345" s="124">
        <v>4590.4459999999999</v>
      </c>
    </row>
    <row r="346" spans="1:9" ht="15.75" hidden="1" thickBot="1" x14ac:dyDescent="0.3">
      <c r="A346" s="268" t="s">
        <v>4754</v>
      </c>
      <c r="B346" s="28" t="s">
        <v>23</v>
      </c>
      <c r="C346" s="29" t="s">
        <v>4753</v>
      </c>
      <c r="D346" s="127"/>
      <c r="E346" s="31" t="s">
        <v>23</v>
      </c>
      <c r="F346" s="29" t="str">
        <f t="shared" si="5"/>
        <v/>
      </c>
      <c r="G346" s="32"/>
      <c r="H346" s="33"/>
      <c r="I346" s="124">
        <v>0</v>
      </c>
    </row>
    <row r="347" spans="1:9" ht="15.75" hidden="1" thickBot="1" x14ac:dyDescent="0.3">
      <c r="A347" s="255"/>
      <c r="B347" s="36" t="s">
        <v>23</v>
      </c>
      <c r="C347" s="36"/>
      <c r="D347" s="125"/>
      <c r="E347" s="35" t="s">
        <v>23</v>
      </c>
      <c r="F347" s="35" t="str">
        <f t="shared" si="5"/>
        <v/>
      </c>
      <c r="G347" s="39"/>
      <c r="H347" s="35"/>
      <c r="I347" s="124">
        <v>0</v>
      </c>
    </row>
    <row r="348" spans="1:9" ht="39" hidden="1" thickBot="1" x14ac:dyDescent="0.3">
      <c r="A348" s="255"/>
      <c r="B348" s="40" t="s">
        <v>4038</v>
      </c>
      <c r="C348" s="40" t="s">
        <v>1041</v>
      </c>
      <c r="D348" s="41">
        <v>5.5599999999999998E-3</v>
      </c>
      <c r="E348" s="35">
        <v>162.21250000000001</v>
      </c>
      <c r="F348" s="38">
        <f t="shared" si="5"/>
        <v>0.90190150000000002</v>
      </c>
      <c r="G348" s="48">
        <f>SUM(F348:F351)</f>
        <v>5.1729048500000001</v>
      </c>
      <c r="H348" s="49"/>
      <c r="I348" s="124">
        <v>0</v>
      </c>
    </row>
    <row r="349" spans="1:9" ht="39" hidden="1" thickBot="1" x14ac:dyDescent="0.3">
      <c r="A349" s="255"/>
      <c r="B349" s="40" t="s">
        <v>4105</v>
      </c>
      <c r="C349" s="40" t="s">
        <v>1052</v>
      </c>
      <c r="D349" s="41">
        <v>1.01E-2</v>
      </c>
      <c r="E349" s="35">
        <v>62.661999999999992</v>
      </c>
      <c r="F349" s="38">
        <f t="shared" si="5"/>
        <v>0.63288619999999984</v>
      </c>
      <c r="G349" s="48"/>
      <c r="H349" s="49"/>
      <c r="I349" s="124">
        <v>0</v>
      </c>
    </row>
    <row r="350" spans="1:9" ht="51.75" hidden="1" thickBot="1" x14ac:dyDescent="0.3">
      <c r="A350" s="255"/>
      <c r="B350" s="40" t="s">
        <v>3792</v>
      </c>
      <c r="C350" s="40" t="s">
        <v>1041</v>
      </c>
      <c r="D350" s="41">
        <v>1.78E-2</v>
      </c>
      <c r="E350" s="35">
        <v>163.4855</v>
      </c>
      <c r="F350" s="38">
        <f t="shared" si="5"/>
        <v>2.9100419</v>
      </c>
      <c r="G350" s="48"/>
      <c r="H350" s="49"/>
      <c r="I350" s="124">
        <v>0</v>
      </c>
    </row>
    <row r="351" spans="1:9" ht="51.75" hidden="1" thickBot="1" x14ac:dyDescent="0.3">
      <c r="A351" s="255"/>
      <c r="B351" s="40" t="s">
        <v>3962</v>
      </c>
      <c r="C351" s="40" t="s">
        <v>1052</v>
      </c>
      <c r="D351" s="41">
        <v>1.35E-2</v>
      </c>
      <c r="E351" s="35">
        <v>53.9315</v>
      </c>
      <c r="F351" s="38">
        <f t="shared" si="5"/>
        <v>0.72807524999999995</v>
      </c>
      <c r="G351" s="48"/>
      <c r="H351" s="49"/>
      <c r="I351" s="124">
        <v>0</v>
      </c>
    </row>
    <row r="352" spans="1:9" ht="15.75" hidden="1" thickBot="1" x14ac:dyDescent="0.3">
      <c r="A352" s="269"/>
      <c r="B352" s="60" t="s">
        <v>23</v>
      </c>
      <c r="C352" s="60"/>
      <c r="D352" s="130"/>
      <c r="E352" s="87" t="s">
        <v>23</v>
      </c>
      <c r="F352" s="88" t="str">
        <f t="shared" si="5"/>
        <v/>
      </c>
      <c r="G352" s="89"/>
      <c r="H352" s="35"/>
      <c r="I352" s="124">
        <v>0</v>
      </c>
    </row>
    <row r="353" spans="1:9" ht="15.75" hidden="1" thickBot="1" x14ac:dyDescent="0.3">
      <c r="A353" s="268" t="s">
        <v>4683</v>
      </c>
      <c r="B353" s="28" t="s">
        <v>23</v>
      </c>
      <c r="C353" s="29" t="s">
        <v>177</v>
      </c>
      <c r="D353" s="127"/>
      <c r="E353" s="31" t="s">
        <v>23</v>
      </c>
      <c r="F353" s="31" t="str">
        <f t="shared" si="5"/>
        <v/>
      </c>
      <c r="G353" s="32"/>
      <c r="H353" s="33"/>
      <c r="I353" s="124">
        <v>0</v>
      </c>
    </row>
    <row r="354" spans="1:9" ht="15.75" hidden="1" thickBot="1" x14ac:dyDescent="0.3">
      <c r="A354" s="255"/>
      <c r="B354" s="36" t="s">
        <v>23</v>
      </c>
      <c r="C354" s="36"/>
      <c r="D354" s="125"/>
      <c r="E354" s="35" t="s">
        <v>23</v>
      </c>
      <c r="F354" s="35" t="str">
        <f t="shared" si="5"/>
        <v/>
      </c>
      <c r="G354" s="39"/>
      <c r="H354" s="35"/>
      <c r="I354" s="124">
        <v>0</v>
      </c>
    </row>
    <row r="355" spans="1:9" ht="26.25" hidden="1" thickBot="1" x14ac:dyDescent="0.3">
      <c r="A355" s="255"/>
      <c r="B355" s="40" t="s">
        <v>4659</v>
      </c>
      <c r="C355" s="40" t="s">
        <v>80</v>
      </c>
      <c r="D355" s="41">
        <v>1.7000000000000001E-2</v>
      </c>
      <c r="E355" s="35">
        <v>7.9229999999999992</v>
      </c>
      <c r="F355" s="38">
        <f t="shared" si="5"/>
        <v>0.13469100000000001</v>
      </c>
      <c r="G355" s="48">
        <f>SUM(F355:F359)</f>
        <v>219.49498772499999</v>
      </c>
      <c r="H355" s="49"/>
      <c r="I355" s="124">
        <v>0</v>
      </c>
    </row>
    <row r="356" spans="1:9" ht="15.75" hidden="1" thickBot="1" x14ac:dyDescent="0.3">
      <c r="A356" s="255"/>
      <c r="B356" s="40" t="s">
        <v>4185</v>
      </c>
      <c r="C356" s="40" t="s">
        <v>1035</v>
      </c>
      <c r="D356" s="41">
        <v>2.7E-2</v>
      </c>
      <c r="E356" s="38">
        <v>25.640499999999996</v>
      </c>
      <c r="F356" s="38">
        <f t="shared" si="5"/>
        <v>0.6922934999999999</v>
      </c>
      <c r="G356" s="48"/>
      <c r="H356" s="49"/>
      <c r="I356" s="124">
        <v>0</v>
      </c>
    </row>
    <row r="357" spans="1:9" ht="15.75" hidden="1" thickBot="1" x14ac:dyDescent="0.3">
      <c r="A357" s="255"/>
      <c r="B357" s="40" t="s">
        <v>4111</v>
      </c>
      <c r="C357" s="40" t="s">
        <v>3752</v>
      </c>
      <c r="D357" s="41">
        <v>0.48899999999999999</v>
      </c>
      <c r="E357" s="35">
        <v>21.983000000000001</v>
      </c>
      <c r="F357" s="38">
        <f t="shared" si="5"/>
        <v>10.749687</v>
      </c>
      <c r="G357" s="48"/>
      <c r="H357" s="49"/>
      <c r="I357" s="124">
        <v>0</v>
      </c>
    </row>
    <row r="358" spans="1:9" ht="15.75" hidden="1" thickBot="1" x14ac:dyDescent="0.3">
      <c r="A358" s="255"/>
      <c r="B358" s="40" t="s">
        <v>3823</v>
      </c>
      <c r="C358" s="40" t="s">
        <v>3752</v>
      </c>
      <c r="D358" s="41">
        <v>2.6680000000000001</v>
      </c>
      <c r="E358" s="35">
        <v>27.683</v>
      </c>
      <c r="F358" s="38">
        <f t="shared" si="5"/>
        <v>73.858243999999999</v>
      </c>
      <c r="G358" s="48"/>
      <c r="H358" s="49"/>
      <c r="I358" s="124">
        <v>0</v>
      </c>
    </row>
    <row r="359" spans="1:9" ht="26.25" hidden="1" thickBot="1" x14ac:dyDescent="0.3">
      <c r="A359" s="255"/>
      <c r="B359" s="40" t="s">
        <v>4681</v>
      </c>
      <c r="C359" s="40" t="s">
        <v>177</v>
      </c>
      <c r="D359" s="41">
        <v>0.53</v>
      </c>
      <c r="E359" s="35">
        <v>252.94353249999998</v>
      </c>
      <c r="F359" s="38">
        <f t="shared" si="5"/>
        <v>134.060072225</v>
      </c>
      <c r="G359" s="48"/>
      <c r="H359" s="49"/>
      <c r="I359" s="124">
        <v>0</v>
      </c>
    </row>
    <row r="360" spans="1:9" ht="15.75" hidden="1" thickBot="1" x14ac:dyDescent="0.3">
      <c r="A360" s="269"/>
      <c r="B360" s="60" t="s">
        <v>23</v>
      </c>
      <c r="C360" s="60"/>
      <c r="D360" s="130"/>
      <c r="E360" s="87" t="s">
        <v>23</v>
      </c>
      <c r="F360" s="88" t="str">
        <f t="shared" si="5"/>
        <v/>
      </c>
      <c r="G360" s="89"/>
      <c r="H360" s="35"/>
      <c r="I360" s="124">
        <v>0</v>
      </c>
    </row>
    <row r="361" spans="1:9" ht="15.75" hidden="1" thickBot="1" x14ac:dyDescent="0.3">
      <c r="A361" s="268" t="s">
        <v>4724</v>
      </c>
      <c r="B361" s="28" t="s">
        <v>23</v>
      </c>
      <c r="C361" s="29" t="s">
        <v>177</v>
      </c>
      <c r="D361" s="127"/>
      <c r="E361" s="31" t="s">
        <v>23</v>
      </c>
      <c r="F361" s="31" t="str">
        <f t="shared" si="5"/>
        <v/>
      </c>
      <c r="G361" s="32"/>
      <c r="H361" s="33"/>
      <c r="I361" s="124">
        <v>0</v>
      </c>
    </row>
    <row r="362" spans="1:9" ht="15.75" hidden="1" thickBot="1" x14ac:dyDescent="0.3">
      <c r="A362" s="255"/>
      <c r="B362" s="36" t="s">
        <v>23</v>
      </c>
      <c r="C362" s="36"/>
      <c r="D362" s="125"/>
      <c r="E362" s="35" t="s">
        <v>23</v>
      </c>
      <c r="F362" s="35" t="str">
        <f t="shared" si="5"/>
        <v/>
      </c>
      <c r="G362" s="39"/>
      <c r="H362" s="35"/>
      <c r="I362" s="124">
        <v>0</v>
      </c>
    </row>
    <row r="363" spans="1:9" ht="39" hidden="1" thickBot="1" x14ac:dyDescent="0.3">
      <c r="A363" s="255"/>
      <c r="B363" s="40" t="s">
        <v>4731</v>
      </c>
      <c r="C363" s="40" t="s">
        <v>3764</v>
      </c>
      <c r="D363" s="41">
        <v>4.1999999999999997E-3</v>
      </c>
      <c r="E363" s="35">
        <v>613.85568718749994</v>
      </c>
      <c r="F363" s="38">
        <f t="shared" si="5"/>
        <v>2.5781938861874996</v>
      </c>
      <c r="G363" s="48">
        <f>SUM(F363:F365)</f>
        <v>4.6876403861874998</v>
      </c>
      <c r="H363" s="49"/>
      <c r="I363" s="124">
        <v>0</v>
      </c>
    </row>
    <row r="364" spans="1:9" ht="15.75" hidden="1" thickBot="1" x14ac:dyDescent="0.3">
      <c r="A364" s="255"/>
      <c r="B364" s="40" t="s">
        <v>3757</v>
      </c>
      <c r="C364" s="40" t="s">
        <v>3752</v>
      </c>
      <c r="D364" s="41">
        <v>7.0000000000000007E-2</v>
      </c>
      <c r="E364" s="38">
        <v>28.0535</v>
      </c>
      <c r="F364" s="38">
        <f t="shared" si="5"/>
        <v>1.9637450000000001</v>
      </c>
      <c r="G364" s="48"/>
      <c r="H364" s="49"/>
      <c r="I364" s="124">
        <v>0</v>
      </c>
    </row>
    <row r="365" spans="1:9" ht="15.75" hidden="1" thickBot="1" x14ac:dyDescent="0.3">
      <c r="A365" s="255"/>
      <c r="B365" s="40" t="s">
        <v>3754</v>
      </c>
      <c r="C365" s="40" t="s">
        <v>3752</v>
      </c>
      <c r="D365" s="41">
        <v>7.0000000000000001E-3</v>
      </c>
      <c r="E365" s="35">
        <v>20.814499999999999</v>
      </c>
      <c r="F365" s="38">
        <f t="shared" si="5"/>
        <v>0.14570149999999998</v>
      </c>
      <c r="G365" s="48"/>
      <c r="H365" s="49"/>
      <c r="I365" s="124">
        <v>0</v>
      </c>
    </row>
    <row r="366" spans="1:9" ht="15.75" hidden="1" thickBot="1" x14ac:dyDescent="0.3">
      <c r="A366" s="255"/>
      <c r="B366" s="40"/>
      <c r="C366" s="40"/>
      <c r="D366" s="41"/>
      <c r="E366" s="35" t="s">
        <v>23</v>
      </c>
      <c r="F366" s="38"/>
      <c r="G366" s="48"/>
      <c r="H366" s="49"/>
      <c r="I366" s="124">
        <v>0</v>
      </c>
    </row>
    <row r="367" spans="1:9" ht="15.75" hidden="1" thickBot="1" x14ac:dyDescent="0.3">
      <c r="A367" s="268" t="s">
        <v>4725</v>
      </c>
      <c r="B367" s="28" t="s">
        <v>23</v>
      </c>
      <c r="C367" s="29" t="s">
        <v>177</v>
      </c>
      <c r="D367" s="127"/>
      <c r="E367" s="31" t="s">
        <v>23</v>
      </c>
      <c r="F367" s="31" t="str">
        <f>IF(ISNUMBER(E367),E367*$D367,"")</f>
        <v/>
      </c>
      <c r="G367" s="32"/>
      <c r="H367" s="33"/>
      <c r="I367" s="124">
        <v>0</v>
      </c>
    </row>
    <row r="368" spans="1:9" ht="15.75" hidden="1" thickBot="1" x14ac:dyDescent="0.3">
      <c r="A368" s="255"/>
      <c r="B368" s="36" t="s">
        <v>23</v>
      </c>
      <c r="C368" s="36"/>
      <c r="D368" s="125"/>
      <c r="E368" s="35" t="s">
        <v>23</v>
      </c>
      <c r="F368" s="35" t="str">
        <f>IF(ISNUMBER(E368),E368*$D368,"")</f>
        <v/>
      </c>
      <c r="G368" s="39"/>
      <c r="H368" s="35"/>
      <c r="I368" s="124">
        <v>0</v>
      </c>
    </row>
    <row r="369" spans="1:9" ht="51.75" hidden="1" thickBot="1" x14ac:dyDescent="0.3">
      <c r="A369" s="255"/>
      <c r="B369" s="40" t="s">
        <v>4727</v>
      </c>
      <c r="C369" s="40" t="s">
        <v>3764</v>
      </c>
      <c r="D369" s="41">
        <v>2.1299999999999999E-2</v>
      </c>
      <c r="E369" s="35">
        <v>749.29872024999997</v>
      </c>
      <c r="F369" s="38">
        <f>IF(ISNUMBER(E369),E369*$D369,"")</f>
        <v>15.960062741324998</v>
      </c>
      <c r="G369" s="48">
        <f>SUM(F369:F371)</f>
        <v>32.340694241324996</v>
      </c>
      <c r="H369" s="49"/>
      <c r="I369" s="124">
        <v>0</v>
      </c>
    </row>
    <row r="370" spans="1:9" ht="15.75" hidden="1" thickBot="1" x14ac:dyDescent="0.3">
      <c r="A370" s="255"/>
      <c r="B370" s="40" t="s">
        <v>3757</v>
      </c>
      <c r="C370" s="40" t="s">
        <v>3752</v>
      </c>
      <c r="D370" s="41">
        <v>0.46</v>
      </c>
      <c r="E370" s="38">
        <v>28.0535</v>
      </c>
      <c r="F370" s="38">
        <f>IF(ISNUMBER(E370),E370*$D370,"")</f>
        <v>12.90461</v>
      </c>
      <c r="G370" s="48"/>
      <c r="H370" s="49"/>
      <c r="I370" s="124">
        <v>0</v>
      </c>
    </row>
    <row r="371" spans="1:9" ht="15.75" hidden="1" thickBot="1" x14ac:dyDescent="0.3">
      <c r="A371" s="255"/>
      <c r="B371" s="40" t="s">
        <v>3754</v>
      </c>
      <c r="C371" s="40" t="s">
        <v>3752</v>
      </c>
      <c r="D371" s="41">
        <v>0.16700000000000001</v>
      </c>
      <c r="E371" s="35">
        <v>20.814499999999999</v>
      </c>
      <c r="F371" s="38">
        <f>IF(ISNUMBER(E371),E371*$D371,"")</f>
        <v>3.4760214999999999</v>
      </c>
      <c r="G371" s="48"/>
      <c r="H371" s="49"/>
      <c r="I371" s="124">
        <v>0</v>
      </c>
    </row>
    <row r="372" spans="1:9" ht="15.75" hidden="1" thickBot="1" x14ac:dyDescent="0.3">
      <c r="A372" s="255"/>
      <c r="B372" s="40"/>
      <c r="C372" s="40"/>
      <c r="D372" s="41"/>
      <c r="E372" s="35" t="s">
        <v>23</v>
      </c>
      <c r="F372" s="38"/>
      <c r="G372" s="48"/>
      <c r="H372" s="49"/>
      <c r="I372" s="124">
        <v>0</v>
      </c>
    </row>
    <row r="373" spans="1:9" ht="15.75" hidden="1" thickBot="1" x14ac:dyDescent="0.3">
      <c r="A373" s="268" t="s">
        <v>4722</v>
      </c>
      <c r="B373" s="28" t="s">
        <v>23</v>
      </c>
      <c r="C373" s="29" t="s">
        <v>177</v>
      </c>
      <c r="D373" s="127"/>
      <c r="E373" s="31" t="s">
        <v>23</v>
      </c>
      <c r="F373" s="31" t="str">
        <f t="shared" ref="F373:F381" si="6">IF(ISNUMBER(E373),E373*$D373,"")</f>
        <v/>
      </c>
      <c r="G373" s="32"/>
      <c r="H373" s="33"/>
      <c r="I373" s="124">
        <v>0</v>
      </c>
    </row>
    <row r="374" spans="1:9" ht="15.75" hidden="1" thickBot="1" x14ac:dyDescent="0.3">
      <c r="A374" s="255"/>
      <c r="B374" s="36" t="s">
        <v>23</v>
      </c>
      <c r="C374" s="36"/>
      <c r="D374" s="125"/>
      <c r="E374" s="35" t="s">
        <v>23</v>
      </c>
      <c r="F374" s="35" t="str">
        <f t="shared" si="6"/>
        <v/>
      </c>
      <c r="G374" s="39"/>
      <c r="H374" s="35"/>
      <c r="I374" s="124">
        <v>0</v>
      </c>
    </row>
    <row r="375" spans="1:9" ht="26.25" hidden="1" thickBot="1" x14ac:dyDescent="0.3">
      <c r="A375" s="255"/>
      <c r="B375" s="40" t="s">
        <v>3797</v>
      </c>
      <c r="C375" s="40" t="s">
        <v>1286</v>
      </c>
      <c r="D375" s="41">
        <v>0.42</v>
      </c>
      <c r="E375" s="35">
        <v>2.2705000000000002</v>
      </c>
      <c r="F375" s="38">
        <f t="shared" si="6"/>
        <v>0.95361000000000007</v>
      </c>
      <c r="G375" s="48">
        <f>SUM(F375:F380)</f>
        <v>57.985149190599998</v>
      </c>
      <c r="H375" s="49"/>
      <c r="I375" s="124">
        <v>0</v>
      </c>
    </row>
    <row r="376" spans="1:9" ht="15.75" hidden="1" thickBot="1" x14ac:dyDescent="0.3">
      <c r="A376" s="255"/>
      <c r="B376" s="40" t="s">
        <v>3798</v>
      </c>
      <c r="C376" s="40" t="s">
        <v>3799</v>
      </c>
      <c r="D376" s="41">
        <v>5.0000000000000001E-3</v>
      </c>
      <c r="E376" s="38">
        <v>38.037999999999997</v>
      </c>
      <c r="F376" s="38">
        <f t="shared" si="6"/>
        <v>0.19019</v>
      </c>
      <c r="G376" s="48"/>
      <c r="H376" s="49"/>
      <c r="I376" s="124">
        <v>0</v>
      </c>
    </row>
    <row r="377" spans="1:9" ht="26.25" hidden="1" thickBot="1" x14ac:dyDescent="0.3">
      <c r="A377" s="255"/>
      <c r="B377" s="40" t="s">
        <v>3807</v>
      </c>
      <c r="C377" s="40" t="s">
        <v>291</v>
      </c>
      <c r="D377" s="41">
        <v>13.6</v>
      </c>
      <c r="E377" s="35">
        <v>1.9379999999999999</v>
      </c>
      <c r="F377" s="38">
        <f t="shared" si="6"/>
        <v>26.3568</v>
      </c>
      <c r="G377" s="48"/>
      <c r="H377" s="49"/>
      <c r="I377" s="124">
        <v>0</v>
      </c>
    </row>
    <row r="378" spans="1:9" ht="51.75" hidden="1" thickBot="1" x14ac:dyDescent="0.3">
      <c r="A378" s="255"/>
      <c r="B378" s="40" t="s">
        <v>4727</v>
      </c>
      <c r="C378" s="40" t="s">
        <v>3764</v>
      </c>
      <c r="D378" s="41">
        <v>1.04E-2</v>
      </c>
      <c r="E378" s="35">
        <v>749.29872024999997</v>
      </c>
      <c r="F378" s="38">
        <f t="shared" si="6"/>
        <v>7.7927066905999993</v>
      </c>
      <c r="G378" s="48"/>
      <c r="H378" s="49"/>
      <c r="I378" s="124">
        <v>0</v>
      </c>
    </row>
    <row r="379" spans="1:9" ht="15.75" hidden="1" thickBot="1" x14ac:dyDescent="0.3">
      <c r="A379" s="255"/>
      <c r="B379" s="40" t="s">
        <v>3757</v>
      </c>
      <c r="C379" s="40" t="s">
        <v>3752</v>
      </c>
      <c r="D379" s="41">
        <v>0.59</v>
      </c>
      <c r="E379" s="35">
        <v>28.0535</v>
      </c>
      <c r="F379" s="38">
        <f t="shared" si="6"/>
        <v>16.551565</v>
      </c>
      <c r="G379" s="48"/>
      <c r="H379" s="49"/>
      <c r="I379" s="124">
        <v>0</v>
      </c>
    </row>
    <row r="380" spans="1:9" ht="15.75" hidden="1" thickBot="1" x14ac:dyDescent="0.3">
      <c r="A380" s="255"/>
      <c r="B380" s="40" t="s">
        <v>3754</v>
      </c>
      <c r="C380" s="40" t="s">
        <v>3752</v>
      </c>
      <c r="D380" s="41">
        <v>0.29499999999999998</v>
      </c>
      <c r="E380" s="35">
        <v>20.814499999999999</v>
      </c>
      <c r="F380" s="38">
        <f t="shared" si="6"/>
        <v>6.1402774999999989</v>
      </c>
      <c r="G380" s="48"/>
      <c r="H380" s="49"/>
      <c r="I380" s="124">
        <v>0</v>
      </c>
    </row>
    <row r="381" spans="1:9" ht="15.75" hidden="1" thickBot="1" x14ac:dyDescent="0.3">
      <c r="A381" s="269"/>
      <c r="B381" s="60" t="s">
        <v>23</v>
      </c>
      <c r="C381" s="60"/>
      <c r="D381" s="130"/>
      <c r="E381" s="87" t="s">
        <v>23</v>
      </c>
      <c r="F381" s="88" t="str">
        <f t="shared" si="6"/>
        <v/>
      </c>
      <c r="G381" s="89"/>
      <c r="H381" s="35"/>
      <c r="I381" s="124">
        <v>0</v>
      </c>
    </row>
    <row r="382" spans="1:9" ht="15.75" hidden="1" thickBot="1" x14ac:dyDescent="0.3">
      <c r="A382" s="268" t="s">
        <v>4681</v>
      </c>
      <c r="B382" s="28" t="s">
        <v>23</v>
      </c>
      <c r="C382" s="29" t="s">
        <v>177</v>
      </c>
      <c r="D382" s="127"/>
      <c r="E382" s="45" t="s">
        <v>23</v>
      </c>
      <c r="F382" s="45" t="str">
        <f t="shared" ref="F382:F398" si="7">IF(ISNUMBER(E382),ROUND(E382*$D382,2),"")</f>
        <v/>
      </c>
      <c r="G382" s="32"/>
      <c r="H382" s="33"/>
      <c r="I382" s="124">
        <v>0</v>
      </c>
    </row>
    <row r="383" spans="1:9" ht="15.75" hidden="1" thickBot="1" x14ac:dyDescent="0.3">
      <c r="A383" s="255"/>
      <c r="B383" s="36" t="s">
        <v>23</v>
      </c>
      <c r="C383" s="134"/>
      <c r="D383" s="125"/>
      <c r="E383" s="128" t="s">
        <v>23</v>
      </c>
      <c r="F383" s="129" t="str">
        <f t="shared" si="7"/>
        <v/>
      </c>
      <c r="G383" s="39"/>
      <c r="H383" s="35"/>
      <c r="I383" s="124">
        <v>0</v>
      </c>
    </row>
    <row r="384" spans="1:9" ht="26.25" hidden="1" thickBot="1" x14ac:dyDescent="0.3">
      <c r="A384" s="255"/>
      <c r="B384" s="40" t="s">
        <v>4135</v>
      </c>
      <c r="C384" s="40" t="s">
        <v>1286</v>
      </c>
      <c r="D384" s="41">
        <v>4.4320000000000004</v>
      </c>
      <c r="E384" s="38">
        <v>2.7075</v>
      </c>
      <c r="F384" s="38">
        <f t="shared" si="7"/>
        <v>12</v>
      </c>
      <c r="G384" s="48">
        <f>SUM(F384:F390)</f>
        <v>252.93999999999997</v>
      </c>
      <c r="H384" s="49"/>
      <c r="I384" s="124">
        <v>0</v>
      </c>
    </row>
    <row r="385" spans="1:9" ht="15.75" hidden="1" thickBot="1" x14ac:dyDescent="0.3">
      <c r="A385" s="255"/>
      <c r="B385" s="40" t="s">
        <v>4155</v>
      </c>
      <c r="C385" s="40" t="s">
        <v>1035</v>
      </c>
      <c r="D385" s="41">
        <v>8.5999999999999993E-2</v>
      </c>
      <c r="E385" s="38">
        <v>20.776499999999999</v>
      </c>
      <c r="F385" s="38">
        <f t="shared" si="7"/>
        <v>1.79</v>
      </c>
      <c r="G385" s="48"/>
      <c r="H385" s="49"/>
      <c r="I385" s="124">
        <v>0</v>
      </c>
    </row>
    <row r="386" spans="1:9" ht="26.25" hidden="1" thickBot="1" x14ac:dyDescent="0.3">
      <c r="A386" s="255"/>
      <c r="B386" s="40" t="s">
        <v>3856</v>
      </c>
      <c r="C386" s="40" t="s">
        <v>1286</v>
      </c>
      <c r="D386" s="41">
        <v>6.53</v>
      </c>
      <c r="E386" s="35">
        <v>32.717999999999996</v>
      </c>
      <c r="F386" s="38">
        <f t="shared" si="7"/>
        <v>213.65</v>
      </c>
      <c r="G386" s="48"/>
      <c r="H386" s="49"/>
      <c r="I386" s="124">
        <v>0</v>
      </c>
    </row>
    <row r="387" spans="1:9" ht="15.75" hidden="1" thickBot="1" x14ac:dyDescent="0.3">
      <c r="A387" s="255"/>
      <c r="B387" s="40" t="s">
        <v>4111</v>
      </c>
      <c r="C387" s="40" t="s">
        <v>3752</v>
      </c>
      <c r="D387" s="41">
        <v>0.14299999999999999</v>
      </c>
      <c r="E387" s="35">
        <v>21.983000000000001</v>
      </c>
      <c r="F387" s="38">
        <f t="shared" si="7"/>
        <v>3.14</v>
      </c>
      <c r="G387" s="48"/>
      <c r="H387" s="49"/>
      <c r="I387" s="124">
        <v>0</v>
      </c>
    </row>
    <row r="388" spans="1:9" ht="15.75" hidden="1" thickBot="1" x14ac:dyDescent="0.3">
      <c r="A388" s="255"/>
      <c r="B388" s="40" t="s">
        <v>3823</v>
      </c>
      <c r="C388" s="40" t="s">
        <v>3752</v>
      </c>
      <c r="D388" s="41">
        <v>0.60699999999999998</v>
      </c>
      <c r="E388" s="35">
        <v>27.683</v>
      </c>
      <c r="F388" s="38">
        <f t="shared" si="7"/>
        <v>16.8</v>
      </c>
      <c r="G388" s="48"/>
      <c r="H388" s="49"/>
      <c r="I388" s="124">
        <v>0</v>
      </c>
    </row>
    <row r="389" spans="1:9" ht="26.25" hidden="1" thickBot="1" x14ac:dyDescent="0.3">
      <c r="A389" s="255"/>
      <c r="B389" s="40" t="s">
        <v>4168</v>
      </c>
      <c r="C389" s="40" t="s">
        <v>1041</v>
      </c>
      <c r="D389" s="41">
        <v>0.05</v>
      </c>
      <c r="E389" s="35">
        <v>22.895</v>
      </c>
      <c r="F389" s="38">
        <f t="shared" si="7"/>
        <v>1.1399999999999999</v>
      </c>
      <c r="G389" s="48"/>
      <c r="H389" s="49"/>
      <c r="I389" s="124">
        <v>0</v>
      </c>
    </row>
    <row r="390" spans="1:9" ht="26.25" hidden="1" thickBot="1" x14ac:dyDescent="0.3">
      <c r="A390" s="255"/>
      <c r="B390" s="40" t="s">
        <v>4120</v>
      </c>
      <c r="C390" s="40" t="s">
        <v>1052</v>
      </c>
      <c r="D390" s="41">
        <v>0.20100000000000001</v>
      </c>
      <c r="E390" s="38">
        <v>21.973499999999998</v>
      </c>
      <c r="F390" s="38">
        <f t="shared" si="7"/>
        <v>4.42</v>
      </c>
      <c r="G390" s="48"/>
      <c r="H390" s="49"/>
      <c r="I390" s="124">
        <v>0</v>
      </c>
    </row>
    <row r="391" spans="1:9" ht="15.75" hidden="1" thickBot="1" x14ac:dyDescent="0.3">
      <c r="A391" s="269"/>
      <c r="B391" s="135"/>
      <c r="C391" s="136"/>
      <c r="D391" s="130"/>
      <c r="E391" s="87" t="s">
        <v>23</v>
      </c>
      <c r="F391" s="87" t="str">
        <f t="shared" si="7"/>
        <v/>
      </c>
      <c r="G391" s="89"/>
      <c r="H391" s="35"/>
      <c r="I391" s="124">
        <v>0</v>
      </c>
    </row>
    <row r="392" spans="1:9" ht="15.75" hidden="1" thickBot="1" x14ac:dyDescent="0.3">
      <c r="A392" s="268" t="s">
        <v>4731</v>
      </c>
      <c r="B392" s="28" t="s">
        <v>23</v>
      </c>
      <c r="C392" s="29" t="s">
        <v>3764</v>
      </c>
      <c r="D392" s="127"/>
      <c r="E392" s="45" t="s">
        <v>23</v>
      </c>
      <c r="F392" s="45" t="str">
        <f t="shared" si="7"/>
        <v/>
      </c>
      <c r="G392" s="32"/>
      <c r="H392" s="33"/>
      <c r="I392" s="124">
        <v>0</v>
      </c>
    </row>
    <row r="393" spans="1:9" ht="15.75" hidden="1" thickBot="1" x14ac:dyDescent="0.3">
      <c r="A393" s="255"/>
      <c r="B393" s="36" t="s">
        <v>23</v>
      </c>
      <c r="C393" s="134"/>
      <c r="D393" s="125"/>
      <c r="E393" s="128" t="s">
        <v>23</v>
      </c>
      <c r="F393" s="129" t="str">
        <f t="shared" si="7"/>
        <v/>
      </c>
      <c r="G393" s="39"/>
      <c r="H393" s="35"/>
      <c r="I393" s="124">
        <v>0</v>
      </c>
    </row>
    <row r="394" spans="1:9" ht="26.25" hidden="1" thickBot="1" x14ac:dyDescent="0.3">
      <c r="A394" s="255"/>
      <c r="B394" s="40" t="s">
        <v>3845</v>
      </c>
      <c r="C394" s="40" t="s">
        <v>3764</v>
      </c>
      <c r="D394" s="41">
        <v>0.95</v>
      </c>
      <c r="E394" s="38">
        <v>206.90049999999999</v>
      </c>
      <c r="F394" s="38">
        <f t="shared" si="7"/>
        <v>196.56</v>
      </c>
      <c r="G394" s="48">
        <f>SUM(F394:F402)</f>
        <v>613.85952218750003</v>
      </c>
      <c r="H394" s="49"/>
      <c r="I394" s="124">
        <v>0</v>
      </c>
    </row>
    <row r="395" spans="1:9" ht="15.75" hidden="1" thickBot="1" x14ac:dyDescent="0.3">
      <c r="A395" s="255"/>
      <c r="B395" s="40" t="s">
        <v>3759</v>
      </c>
      <c r="C395" s="40" t="s">
        <v>1035</v>
      </c>
      <c r="D395" s="41">
        <v>426.49</v>
      </c>
      <c r="E395" s="38">
        <v>0.627</v>
      </c>
      <c r="F395" s="38">
        <f t="shared" si="7"/>
        <v>267.41000000000003</v>
      </c>
      <c r="G395" s="48"/>
      <c r="H395" s="49"/>
      <c r="I395" s="124">
        <v>0</v>
      </c>
    </row>
    <row r="396" spans="1:9" ht="26.25" hidden="1" thickBot="1" x14ac:dyDescent="0.3">
      <c r="A396" s="255"/>
      <c r="B396" s="40" t="s">
        <v>3805</v>
      </c>
      <c r="C396" s="40" t="s">
        <v>3752</v>
      </c>
      <c r="D396" s="41">
        <v>4.32</v>
      </c>
      <c r="E396" s="35">
        <v>20.918999999999997</v>
      </c>
      <c r="F396" s="38">
        <f t="shared" si="7"/>
        <v>90.37</v>
      </c>
      <c r="G396" s="48"/>
      <c r="H396" s="49"/>
      <c r="I396" s="124">
        <v>0</v>
      </c>
    </row>
    <row r="397" spans="1:9" ht="39" hidden="1" thickBot="1" x14ac:dyDescent="0.3">
      <c r="A397" s="255"/>
      <c r="B397" s="40" t="s">
        <v>4115</v>
      </c>
      <c r="C397" s="40" t="s">
        <v>1041</v>
      </c>
      <c r="D397" s="41">
        <v>1.01</v>
      </c>
      <c r="E397" s="35">
        <v>1.5579999999999998</v>
      </c>
      <c r="F397" s="38">
        <f t="shared" si="7"/>
        <v>1.57</v>
      </c>
      <c r="G397" s="48"/>
      <c r="H397" s="49"/>
      <c r="I397" s="124">
        <v>0</v>
      </c>
    </row>
    <row r="398" spans="1:9" ht="39" hidden="1" thickBot="1" x14ac:dyDescent="0.3">
      <c r="A398" s="255"/>
      <c r="B398" s="40" t="s">
        <v>4121</v>
      </c>
      <c r="C398" s="40" t="s">
        <v>1052</v>
      </c>
      <c r="D398" s="41">
        <v>3.31</v>
      </c>
      <c r="E398" s="35">
        <v>0.38</v>
      </c>
      <c r="F398" s="38">
        <f t="shared" si="7"/>
        <v>1.26</v>
      </c>
      <c r="G398" s="48"/>
      <c r="H398" s="49"/>
      <c r="I398" s="124">
        <v>0</v>
      </c>
    </row>
    <row r="399" spans="1:9" ht="51.75" hidden="1" thickBot="1" x14ac:dyDescent="0.3">
      <c r="A399" s="255"/>
      <c r="B399" s="40" t="s">
        <v>4752</v>
      </c>
      <c r="C399" s="40" t="s">
        <v>3764</v>
      </c>
      <c r="D399" s="41">
        <f>ROUND(1*(D394),4)</f>
        <v>0.95</v>
      </c>
      <c r="E399" s="35">
        <v>7.75243225</v>
      </c>
      <c r="F399" s="38">
        <f>IF(ISNUMBER(E399),E399*$D399,"")</f>
        <v>7.3648106374999998</v>
      </c>
      <c r="G399" s="48"/>
      <c r="H399" s="49"/>
      <c r="I399" s="124">
        <v>0</v>
      </c>
    </row>
    <row r="400" spans="1:9" ht="39" hidden="1" thickBot="1" x14ac:dyDescent="0.3">
      <c r="A400" s="255"/>
      <c r="B400" s="40" t="s">
        <v>4749</v>
      </c>
      <c r="C400" s="53" t="s">
        <v>4744</v>
      </c>
      <c r="D400" s="41">
        <f>ROUND(D394*20,4)</f>
        <v>19</v>
      </c>
      <c r="E400" s="35">
        <v>2.5960374499999999</v>
      </c>
      <c r="F400" s="38">
        <f>IF(ISNUMBER(E400),E400*$D400,"")</f>
        <v>49.324711549999996</v>
      </c>
      <c r="G400" s="48"/>
      <c r="H400" s="49"/>
      <c r="I400" s="124">
        <v>0</v>
      </c>
    </row>
    <row r="401" spans="1:9" ht="15.75" hidden="1" thickBot="1" x14ac:dyDescent="0.3">
      <c r="A401" s="255"/>
      <c r="B401" s="52"/>
      <c r="C401" s="137"/>
      <c r="D401" s="41"/>
      <c r="E401" s="35" t="s">
        <v>23</v>
      </c>
      <c r="F401" s="38" t="str">
        <f t="shared" ref="F401:F410" si="8">IF(ISNUMBER(E401),ROUND(E401*$D401,2),"")</f>
        <v/>
      </c>
      <c r="G401" s="48"/>
      <c r="H401" s="49"/>
      <c r="I401" s="124">
        <v>0</v>
      </c>
    </row>
    <row r="402" spans="1:9" ht="15.75" hidden="1" thickBot="1" x14ac:dyDescent="0.3">
      <c r="A402" s="255"/>
      <c r="B402" s="50" t="s">
        <v>646</v>
      </c>
      <c r="C402" s="137"/>
      <c r="D402" s="41"/>
      <c r="E402" s="35" t="s">
        <v>23</v>
      </c>
      <c r="F402" s="38" t="str">
        <f t="shared" si="8"/>
        <v/>
      </c>
      <c r="G402" s="48"/>
      <c r="H402" s="49"/>
      <c r="I402" s="124">
        <v>0</v>
      </c>
    </row>
    <row r="403" spans="1:9" ht="15.75" hidden="1" thickBot="1" x14ac:dyDescent="0.3">
      <c r="A403" s="269"/>
      <c r="B403" s="135"/>
      <c r="C403" s="136"/>
      <c r="D403" s="130"/>
      <c r="E403" s="87" t="s">
        <v>23</v>
      </c>
      <c r="F403" s="87" t="str">
        <f t="shared" si="8"/>
        <v/>
      </c>
      <c r="G403" s="89"/>
      <c r="H403" s="35"/>
      <c r="I403" s="124">
        <v>0</v>
      </c>
    </row>
    <row r="404" spans="1:9" ht="26.25" hidden="1" customHeight="1" thickBot="1" x14ac:dyDescent="0.3">
      <c r="A404" s="268" t="s">
        <v>4729</v>
      </c>
      <c r="B404" s="28" t="s">
        <v>23</v>
      </c>
      <c r="C404" s="29" t="s">
        <v>3764</v>
      </c>
      <c r="D404" s="127"/>
      <c r="E404" s="45" t="s">
        <v>23</v>
      </c>
      <c r="F404" s="45" t="str">
        <f t="shared" si="8"/>
        <v/>
      </c>
      <c r="G404" s="32"/>
      <c r="H404" s="33"/>
      <c r="I404" s="124">
        <v>0</v>
      </c>
    </row>
    <row r="405" spans="1:9" ht="15.75" hidden="1" thickBot="1" x14ac:dyDescent="0.3">
      <c r="A405" s="255"/>
      <c r="B405" s="36" t="s">
        <v>23</v>
      </c>
      <c r="C405" s="134"/>
      <c r="D405" s="125"/>
      <c r="E405" s="128" t="s">
        <v>23</v>
      </c>
      <c r="F405" s="129" t="str">
        <f t="shared" si="8"/>
        <v/>
      </c>
      <c r="G405" s="39"/>
      <c r="H405" s="35"/>
      <c r="I405" s="124">
        <v>0</v>
      </c>
    </row>
    <row r="406" spans="1:9" ht="26.25" hidden="1" thickBot="1" x14ac:dyDescent="0.3">
      <c r="A406" s="255"/>
      <c r="B406" s="40" t="s">
        <v>3763</v>
      </c>
      <c r="C406" s="40" t="s">
        <v>3764</v>
      </c>
      <c r="D406" s="41">
        <v>1.27</v>
      </c>
      <c r="E406" s="38">
        <v>204.23099999999999</v>
      </c>
      <c r="F406" s="38">
        <f t="shared" si="8"/>
        <v>259.37</v>
      </c>
      <c r="G406" s="48">
        <f>SUM(F406:F414)</f>
        <v>790.15494018749996</v>
      </c>
      <c r="H406" s="49"/>
      <c r="I406" s="124">
        <v>0</v>
      </c>
    </row>
    <row r="407" spans="1:9" ht="15.75" hidden="1" thickBot="1" x14ac:dyDescent="0.3">
      <c r="A407" s="255"/>
      <c r="B407" s="40" t="s">
        <v>3759</v>
      </c>
      <c r="C407" s="40" t="s">
        <v>1035</v>
      </c>
      <c r="D407" s="41">
        <v>573.61</v>
      </c>
      <c r="E407" s="38">
        <v>0.627</v>
      </c>
      <c r="F407" s="38">
        <f t="shared" si="8"/>
        <v>359.65</v>
      </c>
      <c r="G407" s="48"/>
      <c r="H407" s="49"/>
      <c r="I407" s="124">
        <v>0</v>
      </c>
    </row>
    <row r="408" spans="1:9" ht="26.25" hidden="1" thickBot="1" x14ac:dyDescent="0.3">
      <c r="A408" s="255"/>
      <c r="B408" s="40" t="s">
        <v>3805</v>
      </c>
      <c r="C408" s="40" t="s">
        <v>3752</v>
      </c>
      <c r="D408" s="41">
        <v>4.42</v>
      </c>
      <c r="E408" s="35">
        <v>20.918999999999997</v>
      </c>
      <c r="F408" s="38">
        <f t="shared" si="8"/>
        <v>92.46</v>
      </c>
      <c r="G408" s="48"/>
      <c r="H408" s="49"/>
      <c r="I408" s="124">
        <v>0</v>
      </c>
    </row>
    <row r="409" spans="1:9" ht="39" hidden="1" thickBot="1" x14ac:dyDescent="0.3">
      <c r="A409" s="255"/>
      <c r="B409" s="40" t="s">
        <v>4115</v>
      </c>
      <c r="C409" s="40" t="s">
        <v>1041</v>
      </c>
      <c r="D409" s="41">
        <v>1.03</v>
      </c>
      <c r="E409" s="35">
        <v>1.5579999999999998</v>
      </c>
      <c r="F409" s="38">
        <f t="shared" si="8"/>
        <v>1.6</v>
      </c>
      <c r="G409" s="48"/>
      <c r="H409" s="49"/>
      <c r="I409" s="124">
        <v>0</v>
      </c>
    </row>
    <row r="410" spans="1:9" ht="39" hidden="1" thickBot="1" x14ac:dyDescent="0.3">
      <c r="A410" s="255"/>
      <c r="B410" s="40" t="s">
        <v>4121</v>
      </c>
      <c r="C410" s="40" t="s">
        <v>1052</v>
      </c>
      <c r="D410" s="41">
        <v>3.39</v>
      </c>
      <c r="E410" s="35">
        <v>0.38</v>
      </c>
      <c r="F410" s="38">
        <f t="shared" si="8"/>
        <v>1.29</v>
      </c>
      <c r="G410" s="48"/>
      <c r="H410" s="49"/>
      <c r="I410" s="124">
        <v>0</v>
      </c>
    </row>
    <row r="411" spans="1:9" ht="51.75" hidden="1" thickBot="1" x14ac:dyDescent="0.3">
      <c r="A411" s="255"/>
      <c r="B411" s="40" t="s">
        <v>4752</v>
      </c>
      <c r="C411" s="40" t="s">
        <v>3764</v>
      </c>
      <c r="D411" s="41">
        <f>ROUND(1*(D406),4)</f>
        <v>1.27</v>
      </c>
      <c r="E411" s="35">
        <v>7.75243225</v>
      </c>
      <c r="F411" s="38">
        <f>IF(ISNUMBER(E411),E411*$D411,"")</f>
        <v>9.8455889575000004</v>
      </c>
      <c r="G411" s="48"/>
      <c r="H411" s="49"/>
      <c r="I411" s="124">
        <v>0</v>
      </c>
    </row>
    <row r="412" spans="1:9" ht="39" hidden="1" thickBot="1" x14ac:dyDescent="0.3">
      <c r="A412" s="255"/>
      <c r="B412" s="40" t="s">
        <v>4749</v>
      </c>
      <c r="C412" s="53" t="s">
        <v>4744</v>
      </c>
      <c r="D412" s="41">
        <f>ROUND(D406*20,4)</f>
        <v>25.4</v>
      </c>
      <c r="E412" s="35">
        <v>2.5960374499999999</v>
      </c>
      <c r="F412" s="38">
        <f>IF(ISNUMBER(E412),E412*$D412,"")</f>
        <v>65.93935123</v>
      </c>
      <c r="G412" s="48"/>
      <c r="H412" s="49"/>
      <c r="I412" s="124">
        <v>0</v>
      </c>
    </row>
    <row r="413" spans="1:9" ht="15.75" hidden="1" thickBot="1" x14ac:dyDescent="0.3">
      <c r="A413" s="255"/>
      <c r="B413" s="52"/>
      <c r="C413" s="137"/>
      <c r="D413" s="41"/>
      <c r="E413" s="35" t="s">
        <v>23</v>
      </c>
      <c r="F413" s="38" t="str">
        <f t="shared" ref="F413:F421" si="9">IF(ISNUMBER(E413),ROUND(E413*$D413,2),"")</f>
        <v/>
      </c>
      <c r="G413" s="48"/>
      <c r="H413" s="49"/>
      <c r="I413" s="124">
        <v>0</v>
      </c>
    </row>
    <row r="414" spans="1:9" ht="24.95" hidden="1" customHeight="1" x14ac:dyDescent="0.3">
      <c r="A414" s="255"/>
      <c r="B414" s="50" t="s">
        <v>646</v>
      </c>
      <c r="C414" s="137"/>
      <c r="D414" s="41"/>
      <c r="E414" s="35" t="s">
        <v>23</v>
      </c>
      <c r="F414" s="38" t="str">
        <f t="shared" si="9"/>
        <v/>
      </c>
      <c r="G414" s="48"/>
      <c r="H414" s="49"/>
      <c r="I414" s="124">
        <v>0</v>
      </c>
    </row>
    <row r="415" spans="1:9" ht="15.75" hidden="1" thickBot="1" x14ac:dyDescent="0.3">
      <c r="A415" s="269"/>
      <c r="B415" s="135"/>
      <c r="C415" s="136"/>
      <c r="D415" s="130"/>
      <c r="E415" s="87" t="s">
        <v>23</v>
      </c>
      <c r="F415" s="87" t="str">
        <f t="shared" si="9"/>
        <v/>
      </c>
      <c r="G415" s="89"/>
      <c r="H415" s="35"/>
      <c r="I415" s="124">
        <v>0</v>
      </c>
    </row>
    <row r="416" spans="1:9" ht="26.25" hidden="1" customHeight="1" thickBot="1" x14ac:dyDescent="0.3">
      <c r="A416" s="268" t="s">
        <v>4733</v>
      </c>
      <c r="B416" s="28" t="s">
        <v>23</v>
      </c>
      <c r="C416" s="29" t="s">
        <v>3764</v>
      </c>
      <c r="D416" s="127"/>
      <c r="E416" s="45" t="s">
        <v>23</v>
      </c>
      <c r="F416" s="45" t="str">
        <f t="shared" si="9"/>
        <v/>
      </c>
      <c r="G416" s="32"/>
      <c r="H416" s="33"/>
      <c r="I416" s="124">
        <v>0</v>
      </c>
    </row>
    <row r="417" spans="1:9" ht="15.75" hidden="1" thickBot="1" x14ac:dyDescent="0.3">
      <c r="A417" s="255"/>
      <c r="B417" s="36" t="s">
        <v>23</v>
      </c>
      <c r="C417" s="134"/>
      <c r="D417" s="125"/>
      <c r="E417" s="128" t="s">
        <v>23</v>
      </c>
      <c r="F417" s="129" t="str">
        <f t="shared" si="9"/>
        <v/>
      </c>
      <c r="G417" s="39"/>
      <c r="H417" s="35"/>
      <c r="I417" s="124">
        <v>0</v>
      </c>
    </row>
    <row r="418" spans="1:9" ht="26.25" hidden="1" thickBot="1" x14ac:dyDescent="0.3">
      <c r="A418" s="255"/>
      <c r="B418" s="40" t="s">
        <v>3763</v>
      </c>
      <c r="C418" s="40" t="s">
        <v>3764</v>
      </c>
      <c r="D418" s="41">
        <v>1.1599999999999999</v>
      </c>
      <c r="E418" s="38">
        <v>204.23099999999999</v>
      </c>
      <c r="F418" s="38">
        <f t="shared" si="9"/>
        <v>236.91</v>
      </c>
      <c r="G418" s="48">
        <f>SUM(F418:F425)</f>
        <v>853.37089025</v>
      </c>
      <c r="H418" s="49"/>
      <c r="I418" s="124">
        <v>0</v>
      </c>
    </row>
    <row r="419" spans="1:9" ht="15.75" hidden="1" thickBot="1" x14ac:dyDescent="0.3">
      <c r="A419" s="255"/>
      <c r="B419" s="40" t="s">
        <v>3811</v>
      </c>
      <c r="C419" s="40" t="s">
        <v>1035</v>
      </c>
      <c r="D419" s="41">
        <v>116.4</v>
      </c>
      <c r="E419" s="38">
        <v>1.2825</v>
      </c>
      <c r="F419" s="38">
        <f t="shared" si="9"/>
        <v>149.28</v>
      </c>
      <c r="G419" s="48"/>
      <c r="H419" s="49"/>
      <c r="I419" s="124">
        <v>0</v>
      </c>
    </row>
    <row r="420" spans="1:9" ht="15.75" hidden="1" thickBot="1" x14ac:dyDescent="0.3">
      <c r="A420" s="255"/>
      <c r="B420" s="40" t="s">
        <v>3759</v>
      </c>
      <c r="C420" s="40" t="s">
        <v>1035</v>
      </c>
      <c r="D420" s="41">
        <v>261.89</v>
      </c>
      <c r="E420" s="35">
        <v>0.627</v>
      </c>
      <c r="F420" s="38">
        <f t="shared" si="9"/>
        <v>164.21</v>
      </c>
      <c r="G420" s="48"/>
      <c r="H420" s="49"/>
      <c r="I420" s="124">
        <v>0</v>
      </c>
    </row>
    <row r="421" spans="1:9" ht="15.75" hidden="1" thickBot="1" x14ac:dyDescent="0.3">
      <c r="A421" s="255"/>
      <c r="B421" s="40" t="s">
        <v>3754</v>
      </c>
      <c r="C421" s="40" t="s">
        <v>3752</v>
      </c>
      <c r="D421" s="41">
        <v>11.23</v>
      </c>
      <c r="E421" s="35">
        <v>20.814499999999999</v>
      </c>
      <c r="F421" s="38">
        <f t="shared" si="9"/>
        <v>233.75</v>
      </c>
      <c r="G421" s="48"/>
      <c r="H421" s="49"/>
      <c r="I421" s="124">
        <v>0</v>
      </c>
    </row>
    <row r="422" spans="1:9" ht="51.75" hidden="1" thickBot="1" x14ac:dyDescent="0.3">
      <c r="A422" s="255"/>
      <c r="B422" s="40" t="s">
        <v>4752</v>
      </c>
      <c r="C422" s="40" t="s">
        <v>3764</v>
      </c>
      <c r="D422" s="41">
        <f>ROUND(1*(D418),4)</f>
        <v>1.1599999999999999</v>
      </c>
      <c r="E422" s="35">
        <v>7.75243225</v>
      </c>
      <c r="F422" s="38">
        <f>IF(ISNUMBER(E422),E422*$D422,"")</f>
        <v>8.9928214099999995</v>
      </c>
      <c r="G422" s="48"/>
      <c r="H422" s="49"/>
      <c r="I422" s="124">
        <v>0</v>
      </c>
    </row>
    <row r="423" spans="1:9" ht="39" hidden="1" thickBot="1" x14ac:dyDescent="0.3">
      <c r="A423" s="255"/>
      <c r="B423" s="40" t="s">
        <v>4749</v>
      </c>
      <c r="C423" s="53" t="s">
        <v>4744</v>
      </c>
      <c r="D423" s="41">
        <f>ROUND(D418*20,4)</f>
        <v>23.2</v>
      </c>
      <c r="E423" s="35">
        <v>2.5960374499999999</v>
      </c>
      <c r="F423" s="38">
        <f>IF(ISNUMBER(E423),E423*$D423,"")</f>
        <v>60.228068839999992</v>
      </c>
      <c r="G423" s="48"/>
      <c r="H423" s="49"/>
      <c r="I423" s="124">
        <v>0</v>
      </c>
    </row>
    <row r="424" spans="1:9" ht="15.75" hidden="1" thickBot="1" x14ac:dyDescent="0.3">
      <c r="A424" s="255"/>
      <c r="B424" s="52"/>
      <c r="C424" s="137"/>
      <c r="D424" s="41"/>
      <c r="E424" s="35" t="s">
        <v>23</v>
      </c>
      <c r="F424" s="38" t="str">
        <f t="shared" ref="F424:F433" si="10">IF(ISNUMBER(E424),ROUND(E424*$D424,2),"")</f>
        <v/>
      </c>
      <c r="G424" s="48"/>
      <c r="H424" s="49"/>
      <c r="I424" s="124">
        <v>0</v>
      </c>
    </row>
    <row r="425" spans="1:9" ht="24.95" hidden="1" customHeight="1" x14ac:dyDescent="0.3">
      <c r="A425" s="255"/>
      <c r="B425" s="50" t="s">
        <v>646</v>
      </c>
      <c r="C425" s="137"/>
      <c r="D425" s="41"/>
      <c r="E425" s="35" t="s">
        <v>23</v>
      </c>
      <c r="F425" s="38" t="str">
        <f t="shared" si="10"/>
        <v/>
      </c>
      <c r="G425" s="48"/>
      <c r="H425" s="49"/>
      <c r="I425" s="124">
        <v>0</v>
      </c>
    </row>
    <row r="426" spans="1:9" ht="15.75" hidden="1" thickBot="1" x14ac:dyDescent="0.3">
      <c r="A426" s="269"/>
      <c r="B426" s="135"/>
      <c r="C426" s="136"/>
      <c r="D426" s="130"/>
      <c r="E426" s="87" t="s">
        <v>23</v>
      </c>
      <c r="F426" s="87" t="str">
        <f t="shared" si="10"/>
        <v/>
      </c>
      <c r="G426" s="89"/>
      <c r="H426" s="35"/>
      <c r="I426" s="124">
        <v>0</v>
      </c>
    </row>
    <row r="427" spans="1:9" ht="26.25" hidden="1" customHeight="1" thickBot="1" x14ac:dyDescent="0.3">
      <c r="A427" s="268" t="s">
        <v>4739</v>
      </c>
      <c r="B427" s="28" t="s">
        <v>23</v>
      </c>
      <c r="C427" s="29" t="s">
        <v>3764</v>
      </c>
      <c r="D427" s="127"/>
      <c r="E427" s="45" t="s">
        <v>23</v>
      </c>
      <c r="F427" s="45" t="str">
        <f t="shared" si="10"/>
        <v/>
      </c>
      <c r="G427" s="32"/>
      <c r="H427" s="33"/>
      <c r="I427" s="124">
        <v>0</v>
      </c>
    </row>
    <row r="428" spans="1:9" ht="15.75" hidden="1" thickBot="1" x14ac:dyDescent="0.3">
      <c r="A428" s="255"/>
      <c r="B428" s="36" t="s">
        <v>23</v>
      </c>
      <c r="C428" s="134"/>
      <c r="D428" s="125"/>
      <c r="E428" s="128" t="s">
        <v>23</v>
      </c>
      <c r="F428" s="129" t="str">
        <f t="shared" si="10"/>
        <v/>
      </c>
      <c r="G428" s="39"/>
      <c r="H428" s="35"/>
      <c r="I428" s="124">
        <v>0</v>
      </c>
    </row>
    <row r="429" spans="1:9" ht="26.25" hidden="1" thickBot="1" x14ac:dyDescent="0.3">
      <c r="A429" s="255"/>
      <c r="B429" s="40" t="s">
        <v>3763</v>
      </c>
      <c r="C429" s="40" t="s">
        <v>3764</v>
      </c>
      <c r="D429" s="41">
        <v>1.07</v>
      </c>
      <c r="E429" s="38">
        <v>204.23099999999999</v>
      </c>
      <c r="F429" s="38">
        <f t="shared" si="10"/>
        <v>218.53</v>
      </c>
      <c r="G429" s="48">
        <f>SUM(F429:F437)</f>
        <v>659.45030393749994</v>
      </c>
      <c r="H429" s="49"/>
      <c r="I429" s="124">
        <v>0</v>
      </c>
    </row>
    <row r="430" spans="1:9" ht="15.75" hidden="1" thickBot="1" x14ac:dyDescent="0.3">
      <c r="A430" s="255"/>
      <c r="B430" s="40" t="s">
        <v>3759</v>
      </c>
      <c r="C430" s="40" t="s">
        <v>1035</v>
      </c>
      <c r="D430" s="41">
        <v>483.7</v>
      </c>
      <c r="E430" s="38">
        <v>0.627</v>
      </c>
      <c r="F430" s="38">
        <f t="shared" si="10"/>
        <v>303.27999999999997</v>
      </c>
      <c r="G430" s="48"/>
      <c r="H430" s="49"/>
      <c r="I430" s="124">
        <v>0</v>
      </c>
    </row>
    <row r="431" spans="1:9" ht="26.25" hidden="1" thickBot="1" x14ac:dyDescent="0.3">
      <c r="A431" s="255"/>
      <c r="B431" s="40" t="s">
        <v>3805</v>
      </c>
      <c r="C431" s="40" t="s">
        <v>3752</v>
      </c>
      <c r="D431" s="41">
        <v>3.42</v>
      </c>
      <c r="E431" s="35">
        <v>20.918999999999997</v>
      </c>
      <c r="F431" s="38">
        <f t="shared" si="10"/>
        <v>71.540000000000006</v>
      </c>
      <c r="G431" s="48"/>
      <c r="H431" s="49"/>
      <c r="I431" s="124">
        <v>0</v>
      </c>
    </row>
    <row r="432" spans="1:9" ht="39" hidden="1" thickBot="1" x14ac:dyDescent="0.3">
      <c r="A432" s="255"/>
      <c r="B432" s="40" t="s">
        <v>4115</v>
      </c>
      <c r="C432" s="40" t="s">
        <v>1041</v>
      </c>
      <c r="D432" s="41">
        <v>0.8</v>
      </c>
      <c r="E432" s="35">
        <v>1.5579999999999998</v>
      </c>
      <c r="F432" s="38">
        <f t="shared" si="10"/>
        <v>1.25</v>
      </c>
      <c r="G432" s="48"/>
      <c r="H432" s="49"/>
      <c r="I432" s="124">
        <v>0</v>
      </c>
    </row>
    <row r="433" spans="1:9" ht="39" hidden="1" thickBot="1" x14ac:dyDescent="0.3">
      <c r="A433" s="255"/>
      <c r="B433" s="40" t="s">
        <v>4121</v>
      </c>
      <c r="C433" s="40" t="s">
        <v>1052</v>
      </c>
      <c r="D433" s="41">
        <v>2.62</v>
      </c>
      <c r="E433" s="35">
        <v>0.38</v>
      </c>
      <c r="F433" s="38">
        <f t="shared" si="10"/>
        <v>1</v>
      </c>
      <c r="G433" s="48"/>
      <c r="H433" s="49"/>
      <c r="I433" s="124">
        <v>0</v>
      </c>
    </row>
    <row r="434" spans="1:9" ht="51.75" hidden="1" thickBot="1" x14ac:dyDescent="0.3">
      <c r="A434" s="255"/>
      <c r="B434" s="40" t="s">
        <v>4752</v>
      </c>
      <c r="C434" s="40" t="s">
        <v>3764</v>
      </c>
      <c r="D434" s="41">
        <f>ROUND(1*(D429),4)</f>
        <v>1.07</v>
      </c>
      <c r="E434" s="35">
        <v>7.75243225</v>
      </c>
      <c r="F434" s="38">
        <f>IF(ISNUMBER(E434),E434*$D434,"")</f>
        <v>8.2951025075000011</v>
      </c>
      <c r="G434" s="48"/>
      <c r="H434" s="49"/>
      <c r="I434" s="124">
        <v>0</v>
      </c>
    </row>
    <row r="435" spans="1:9" ht="39" hidden="1" thickBot="1" x14ac:dyDescent="0.3">
      <c r="A435" s="255"/>
      <c r="B435" s="40" t="s">
        <v>4749</v>
      </c>
      <c r="C435" s="53" t="s">
        <v>4744</v>
      </c>
      <c r="D435" s="41">
        <f>ROUND(D429*20,4)</f>
        <v>21.4</v>
      </c>
      <c r="E435" s="35">
        <v>2.5960374499999999</v>
      </c>
      <c r="F435" s="38">
        <f>IF(ISNUMBER(E435),E435*$D435,"")</f>
        <v>55.555201429999997</v>
      </c>
      <c r="G435" s="48"/>
      <c r="H435" s="49"/>
      <c r="I435" s="124">
        <v>0</v>
      </c>
    </row>
    <row r="436" spans="1:9" ht="15.75" hidden="1" thickBot="1" x14ac:dyDescent="0.3">
      <c r="A436" s="255"/>
      <c r="B436" s="52"/>
      <c r="C436" s="137"/>
      <c r="D436" s="41"/>
      <c r="E436" s="35" t="s">
        <v>23</v>
      </c>
      <c r="F436" s="38" t="str">
        <f t="shared" ref="F436:F445" si="11">IF(ISNUMBER(E436),ROUND(E436*$D436,2),"")</f>
        <v/>
      </c>
      <c r="G436" s="48"/>
      <c r="H436" s="49"/>
      <c r="I436" s="124">
        <v>0</v>
      </c>
    </row>
    <row r="437" spans="1:9" ht="24.95" hidden="1" customHeight="1" x14ac:dyDescent="0.3">
      <c r="A437" s="255"/>
      <c r="B437" s="50" t="s">
        <v>646</v>
      </c>
      <c r="C437" s="137"/>
      <c r="D437" s="41"/>
      <c r="E437" s="35" t="s">
        <v>23</v>
      </c>
      <c r="F437" s="38" t="str">
        <f t="shared" si="11"/>
        <v/>
      </c>
      <c r="G437" s="48"/>
      <c r="H437" s="49"/>
      <c r="I437" s="124">
        <v>0</v>
      </c>
    </row>
    <row r="438" spans="1:9" ht="15.75" hidden="1" thickBot="1" x14ac:dyDescent="0.3">
      <c r="A438" s="269"/>
      <c r="B438" s="135"/>
      <c r="C438" s="136"/>
      <c r="D438" s="130"/>
      <c r="E438" s="87" t="s">
        <v>23</v>
      </c>
      <c r="F438" s="87" t="str">
        <f t="shared" si="11"/>
        <v/>
      </c>
      <c r="G438" s="89"/>
      <c r="H438" s="35"/>
      <c r="I438" s="124">
        <v>0</v>
      </c>
    </row>
    <row r="439" spans="1:9" ht="26.25" hidden="1" customHeight="1" thickBot="1" x14ac:dyDescent="0.3">
      <c r="A439" s="268" t="s">
        <v>4710</v>
      </c>
      <c r="B439" s="28" t="s">
        <v>23</v>
      </c>
      <c r="C439" s="29" t="s">
        <v>3764</v>
      </c>
      <c r="D439" s="127"/>
      <c r="E439" s="45" t="s">
        <v>23</v>
      </c>
      <c r="F439" s="45" t="str">
        <f t="shared" si="11"/>
        <v/>
      </c>
      <c r="G439" s="32"/>
      <c r="H439" s="33"/>
      <c r="I439" s="124">
        <v>0</v>
      </c>
    </row>
    <row r="440" spans="1:9" ht="15.75" hidden="1" thickBot="1" x14ac:dyDescent="0.3">
      <c r="A440" s="255"/>
      <c r="B440" s="36" t="s">
        <v>23</v>
      </c>
      <c r="C440" s="134"/>
      <c r="D440" s="125"/>
      <c r="E440" s="128" t="s">
        <v>23</v>
      </c>
      <c r="F440" s="129" t="str">
        <f t="shared" si="11"/>
        <v/>
      </c>
      <c r="G440" s="39"/>
      <c r="H440" s="35"/>
      <c r="I440" s="124">
        <v>0</v>
      </c>
    </row>
    <row r="441" spans="1:9" ht="39" hidden="1" thickBot="1" x14ac:dyDescent="0.3">
      <c r="A441" s="255"/>
      <c r="B441" s="40" t="s">
        <v>4104</v>
      </c>
      <c r="C441" s="40" t="s">
        <v>177</v>
      </c>
      <c r="D441" s="41">
        <v>1.3111999999999999</v>
      </c>
      <c r="E441" s="38">
        <v>49.846499999999999</v>
      </c>
      <c r="F441" s="38">
        <f t="shared" si="11"/>
        <v>65.36</v>
      </c>
      <c r="G441" s="48">
        <f>SUM(F441:F456)</f>
        <v>2617.6566266237501</v>
      </c>
      <c r="H441" s="49"/>
      <c r="I441" s="124">
        <v>0</v>
      </c>
    </row>
    <row r="442" spans="1:9" ht="26.25" hidden="1" thickBot="1" x14ac:dyDescent="0.3">
      <c r="A442" s="255"/>
      <c r="B442" s="40" t="s">
        <v>4659</v>
      </c>
      <c r="C442" s="40" t="s">
        <v>80</v>
      </c>
      <c r="D442" s="41">
        <v>5.67E-2</v>
      </c>
      <c r="E442" s="38">
        <v>7.9229999999999992</v>
      </c>
      <c r="F442" s="38">
        <f t="shared" si="11"/>
        <v>0.45</v>
      </c>
      <c r="G442" s="48"/>
      <c r="H442" s="49"/>
      <c r="I442" s="124">
        <v>0</v>
      </c>
    </row>
    <row r="443" spans="1:9" ht="26.25" hidden="1" thickBot="1" x14ac:dyDescent="0.3">
      <c r="A443" s="255"/>
      <c r="B443" s="40" t="s">
        <v>4135</v>
      </c>
      <c r="C443" s="40" t="s">
        <v>1286</v>
      </c>
      <c r="D443" s="41">
        <v>4.4770000000000003</v>
      </c>
      <c r="E443" s="35">
        <v>2.7075</v>
      </c>
      <c r="F443" s="38">
        <f t="shared" si="11"/>
        <v>12.12</v>
      </c>
      <c r="G443" s="48"/>
      <c r="H443" s="49"/>
      <c r="I443" s="124">
        <v>0</v>
      </c>
    </row>
    <row r="444" spans="1:9" ht="15.75" hidden="1" thickBot="1" x14ac:dyDescent="0.3">
      <c r="A444" s="255"/>
      <c r="B444" s="40" t="s">
        <v>4075</v>
      </c>
      <c r="C444" s="40" t="s">
        <v>1035</v>
      </c>
      <c r="D444" s="41">
        <v>0.26190000000000002</v>
      </c>
      <c r="E444" s="35">
        <v>23.008999999999997</v>
      </c>
      <c r="F444" s="38">
        <f t="shared" si="11"/>
        <v>6.03</v>
      </c>
      <c r="G444" s="48"/>
      <c r="H444" s="49"/>
      <c r="I444" s="124">
        <v>0</v>
      </c>
    </row>
    <row r="445" spans="1:9" ht="15.75" hidden="1" thickBot="1" x14ac:dyDescent="0.3">
      <c r="A445" s="255"/>
      <c r="B445" s="40" t="s">
        <v>4111</v>
      </c>
      <c r="C445" s="40" t="s">
        <v>3752</v>
      </c>
      <c r="D445" s="41">
        <v>0.73560000000000003</v>
      </c>
      <c r="E445" s="35">
        <v>21.983000000000001</v>
      </c>
      <c r="F445" s="38">
        <f t="shared" si="11"/>
        <v>16.170000000000002</v>
      </c>
      <c r="G445" s="48"/>
      <c r="H445" s="49"/>
      <c r="I445" s="124">
        <v>0</v>
      </c>
    </row>
    <row r="446" spans="1:9" ht="15.75" hidden="1" thickBot="1" x14ac:dyDescent="0.3">
      <c r="A446" s="255"/>
      <c r="B446" s="40" t="s">
        <v>3766</v>
      </c>
      <c r="C446" s="40" t="s">
        <v>3752</v>
      </c>
      <c r="D446" s="41">
        <v>3.6779999999999999</v>
      </c>
      <c r="E446" s="35">
        <v>26.552499999999998</v>
      </c>
      <c r="F446" s="38">
        <f t="shared" ref="F446:F454" si="12">IF(ISNUMBER(E446),E446*$D446,"")</f>
        <v>97.660094999999998</v>
      </c>
      <c r="G446" s="48"/>
      <c r="H446" s="49"/>
      <c r="I446" s="124">
        <v>0</v>
      </c>
    </row>
    <row r="447" spans="1:9" ht="15.75" hidden="1" thickBot="1" x14ac:dyDescent="0.3">
      <c r="A447" s="255"/>
      <c r="B447" s="40" t="s">
        <v>3757</v>
      </c>
      <c r="C447" s="40" t="s">
        <v>3752</v>
      </c>
      <c r="D447" s="41">
        <v>22.888400000000001</v>
      </c>
      <c r="E447" s="35">
        <v>28.0535</v>
      </c>
      <c r="F447" s="38">
        <f t="shared" si="12"/>
        <v>642.0997294</v>
      </c>
      <c r="G447" s="48"/>
      <c r="H447" s="49"/>
      <c r="I447" s="124">
        <v>0</v>
      </c>
    </row>
    <row r="448" spans="1:9" ht="15.75" hidden="1" thickBot="1" x14ac:dyDescent="0.3">
      <c r="A448" s="255"/>
      <c r="B448" s="40" t="s">
        <v>3754</v>
      </c>
      <c r="C448" s="40" t="s">
        <v>3752</v>
      </c>
      <c r="D448" s="41">
        <v>22.888400000000001</v>
      </c>
      <c r="E448" s="35">
        <v>20.814499999999999</v>
      </c>
      <c r="F448" s="38">
        <f t="shared" si="12"/>
        <v>476.41060179999999</v>
      </c>
      <c r="G448" s="48"/>
      <c r="H448" s="49"/>
      <c r="I448" s="124">
        <v>0</v>
      </c>
    </row>
    <row r="449" spans="1:9" ht="26.25" hidden="1" thickBot="1" x14ac:dyDescent="0.3">
      <c r="A449" s="255"/>
      <c r="B449" s="40" t="s">
        <v>4077</v>
      </c>
      <c r="C449" s="40" t="s">
        <v>1041</v>
      </c>
      <c r="D449" s="41">
        <v>4.7533000000000003</v>
      </c>
      <c r="E449" s="35">
        <v>1.1304999999999998</v>
      </c>
      <c r="F449" s="38">
        <f t="shared" si="12"/>
        <v>5.37360565</v>
      </c>
      <c r="G449" s="48"/>
      <c r="H449" s="49"/>
      <c r="I449" s="124">
        <v>0</v>
      </c>
    </row>
    <row r="450" spans="1:9" ht="26.25" hidden="1" thickBot="1" x14ac:dyDescent="0.3">
      <c r="A450" s="255"/>
      <c r="B450" s="40" t="s">
        <v>4078</v>
      </c>
      <c r="C450" s="40" t="s">
        <v>1052</v>
      </c>
      <c r="D450" s="41">
        <v>13.0715</v>
      </c>
      <c r="E450" s="35">
        <v>0.47499999999999998</v>
      </c>
      <c r="F450" s="38">
        <f t="shared" si="12"/>
        <v>6.2089625000000002</v>
      </c>
      <c r="G450" s="48"/>
      <c r="H450" s="49"/>
      <c r="I450" s="124">
        <v>0</v>
      </c>
    </row>
    <row r="451" spans="1:9" ht="26.25" hidden="1" thickBot="1" x14ac:dyDescent="0.3">
      <c r="A451" s="255"/>
      <c r="B451" s="40" t="s">
        <v>4168</v>
      </c>
      <c r="C451" s="40" t="s">
        <v>1041</v>
      </c>
      <c r="D451" s="41">
        <v>0.313</v>
      </c>
      <c r="E451" s="35">
        <v>22.895</v>
      </c>
      <c r="F451" s="38">
        <f t="shared" si="12"/>
        <v>7.1661349999999997</v>
      </c>
      <c r="G451" s="48"/>
      <c r="H451" s="49"/>
      <c r="I451" s="124">
        <v>0</v>
      </c>
    </row>
    <row r="452" spans="1:9" ht="26.25" hidden="1" thickBot="1" x14ac:dyDescent="0.3">
      <c r="A452" s="255"/>
      <c r="B452" s="40" t="s">
        <v>4120</v>
      </c>
      <c r="C452" s="40" t="s">
        <v>1052</v>
      </c>
      <c r="D452" s="41">
        <v>0.42259999999999998</v>
      </c>
      <c r="E452" s="35">
        <v>21.973499999999998</v>
      </c>
      <c r="F452" s="38">
        <f t="shared" si="12"/>
        <v>9.2860010999999982</v>
      </c>
      <c r="G452" s="48"/>
      <c r="H452" s="49"/>
      <c r="I452" s="124">
        <v>0</v>
      </c>
    </row>
    <row r="453" spans="1:9" ht="39" hidden="1" thickBot="1" x14ac:dyDescent="0.3">
      <c r="A453" s="255"/>
      <c r="B453" s="40" t="s">
        <v>4687</v>
      </c>
      <c r="C453" s="40" t="s">
        <v>1035</v>
      </c>
      <c r="D453" s="41">
        <v>28.936900000000001</v>
      </c>
      <c r="E453" s="35">
        <v>17.458292499999999</v>
      </c>
      <c r="F453" s="38">
        <f t="shared" si="12"/>
        <v>505.18886424325001</v>
      </c>
      <c r="G453" s="48"/>
      <c r="H453" s="49"/>
      <c r="I453" s="124">
        <v>0</v>
      </c>
    </row>
    <row r="454" spans="1:9" ht="39" hidden="1" thickBot="1" x14ac:dyDescent="0.3">
      <c r="A454" s="255"/>
      <c r="B454" s="40" t="s">
        <v>4706</v>
      </c>
      <c r="C454" s="53" t="s">
        <v>3764</v>
      </c>
      <c r="D454" s="41">
        <v>1.2</v>
      </c>
      <c r="E454" s="35">
        <v>640.11052660874998</v>
      </c>
      <c r="F454" s="38">
        <f t="shared" si="12"/>
        <v>768.1326319305</v>
      </c>
      <c r="G454" s="48"/>
      <c r="H454" s="49"/>
      <c r="I454" s="124">
        <v>0</v>
      </c>
    </row>
    <row r="455" spans="1:9" ht="15.75" hidden="1" thickBot="1" x14ac:dyDescent="0.3">
      <c r="A455" s="255"/>
      <c r="B455" s="52"/>
      <c r="C455" s="137"/>
      <c r="D455" s="41"/>
      <c r="E455" s="35" t="s">
        <v>23</v>
      </c>
      <c r="F455" s="38" t="str">
        <f t="shared" ref="F455:F464" si="13">IF(ISNUMBER(E455),ROUND(E455*$D455,2),"")</f>
        <v/>
      </c>
      <c r="G455" s="48"/>
      <c r="H455" s="49"/>
      <c r="I455" s="124">
        <v>0</v>
      </c>
    </row>
    <row r="456" spans="1:9" ht="24.95" hidden="1" customHeight="1" x14ac:dyDescent="0.3">
      <c r="A456" s="255"/>
      <c r="B456" s="50" t="s">
        <v>646</v>
      </c>
      <c r="C456" s="137"/>
      <c r="D456" s="41"/>
      <c r="E456" s="35" t="s">
        <v>23</v>
      </c>
      <c r="F456" s="38" t="str">
        <f t="shared" si="13"/>
        <v/>
      </c>
      <c r="G456" s="48"/>
      <c r="H456" s="49"/>
      <c r="I456" s="124">
        <v>0</v>
      </c>
    </row>
    <row r="457" spans="1:9" ht="15.75" hidden="1" thickBot="1" x14ac:dyDescent="0.3">
      <c r="A457" s="269"/>
      <c r="B457" s="135"/>
      <c r="C457" s="136"/>
      <c r="D457" s="130"/>
      <c r="E457" s="87" t="s">
        <v>23</v>
      </c>
      <c r="F457" s="87" t="str">
        <f t="shared" si="13"/>
        <v/>
      </c>
      <c r="G457" s="89"/>
      <c r="H457" s="35"/>
      <c r="I457" s="124">
        <v>0</v>
      </c>
    </row>
    <row r="458" spans="1:9" ht="26.25" hidden="1" customHeight="1" thickBot="1" x14ac:dyDescent="0.3">
      <c r="A458" s="268" t="s">
        <v>4720</v>
      </c>
      <c r="B458" s="28" t="s">
        <v>23</v>
      </c>
      <c r="C458" s="29" t="s">
        <v>3764</v>
      </c>
      <c r="D458" s="127"/>
      <c r="E458" s="45" t="s">
        <v>23</v>
      </c>
      <c r="F458" s="45" t="str">
        <f t="shared" si="13"/>
        <v/>
      </c>
      <c r="G458" s="32"/>
      <c r="H458" s="33"/>
      <c r="I458" s="124">
        <v>0</v>
      </c>
    </row>
    <row r="459" spans="1:9" ht="15.75" hidden="1" thickBot="1" x14ac:dyDescent="0.3">
      <c r="A459" s="255"/>
      <c r="B459" s="36" t="s">
        <v>23</v>
      </c>
      <c r="C459" s="134"/>
      <c r="D459" s="125"/>
      <c r="E459" s="128" t="s">
        <v>23</v>
      </c>
      <c r="F459" s="129" t="str">
        <f t="shared" si="13"/>
        <v/>
      </c>
      <c r="G459" s="39"/>
      <c r="H459" s="35"/>
      <c r="I459" s="124">
        <v>0</v>
      </c>
    </row>
    <row r="460" spans="1:9" ht="26.25" hidden="1" thickBot="1" x14ac:dyDescent="0.3">
      <c r="A460" s="255"/>
      <c r="B460" s="40" t="s">
        <v>3841</v>
      </c>
      <c r="C460" s="40" t="s">
        <v>3764</v>
      </c>
      <c r="D460" s="41">
        <v>1.1000000000000001</v>
      </c>
      <c r="E460" s="38">
        <v>196.38399999999999</v>
      </c>
      <c r="F460" s="38">
        <f t="shared" si="13"/>
        <v>216.02</v>
      </c>
      <c r="G460" s="48">
        <f>SUM(F460:F470)</f>
        <v>389.24452037499998</v>
      </c>
      <c r="H460" s="49"/>
      <c r="I460" s="124">
        <v>0</v>
      </c>
    </row>
    <row r="461" spans="1:9" ht="64.5" hidden="1" thickBot="1" x14ac:dyDescent="0.3">
      <c r="A461" s="255"/>
      <c r="B461" s="40" t="s">
        <v>4044</v>
      </c>
      <c r="C461" s="40" t="s">
        <v>1041</v>
      </c>
      <c r="D461" s="41">
        <v>0.128</v>
      </c>
      <c r="E461" s="38">
        <v>123.91799999999999</v>
      </c>
      <c r="F461" s="38">
        <f t="shared" si="13"/>
        <v>15.86</v>
      </c>
      <c r="G461" s="48"/>
      <c r="H461" s="49"/>
      <c r="I461" s="124">
        <v>0</v>
      </c>
    </row>
    <row r="462" spans="1:9" ht="64.5" hidden="1" thickBot="1" x14ac:dyDescent="0.3">
      <c r="A462" s="255"/>
      <c r="B462" s="40" t="s">
        <v>4045</v>
      </c>
      <c r="C462" s="40" t="s">
        <v>1052</v>
      </c>
      <c r="D462" s="41">
        <v>0.63980000000000004</v>
      </c>
      <c r="E462" s="35">
        <v>52.392499999999998</v>
      </c>
      <c r="F462" s="38">
        <f t="shared" si="13"/>
        <v>33.520000000000003</v>
      </c>
      <c r="G462" s="48"/>
      <c r="H462" s="49"/>
      <c r="I462" s="124">
        <v>0</v>
      </c>
    </row>
    <row r="463" spans="1:9" ht="15.75" hidden="1" thickBot="1" x14ac:dyDescent="0.3">
      <c r="A463" s="255"/>
      <c r="B463" s="40" t="s">
        <v>3757</v>
      </c>
      <c r="C463" s="40" t="s">
        <v>3752</v>
      </c>
      <c r="D463" s="41">
        <v>0.92130000000000001</v>
      </c>
      <c r="E463" s="35">
        <v>28.0535</v>
      </c>
      <c r="F463" s="38">
        <f t="shared" si="13"/>
        <v>25.85</v>
      </c>
      <c r="G463" s="48"/>
      <c r="H463" s="49"/>
      <c r="I463" s="124">
        <v>0</v>
      </c>
    </row>
    <row r="464" spans="1:9" ht="15.75" hidden="1" thickBot="1" x14ac:dyDescent="0.3">
      <c r="A464" s="255"/>
      <c r="B464" s="40" t="s">
        <v>3754</v>
      </c>
      <c r="C464" s="40" t="s">
        <v>3752</v>
      </c>
      <c r="D464" s="41">
        <v>1.3818999999999999</v>
      </c>
      <c r="E464" s="35">
        <v>20.814499999999999</v>
      </c>
      <c r="F464" s="38">
        <f t="shared" si="13"/>
        <v>28.76</v>
      </c>
      <c r="G464" s="48"/>
      <c r="H464" s="49"/>
      <c r="I464" s="124">
        <v>0</v>
      </c>
    </row>
    <row r="465" spans="1:9" ht="39" hidden="1" thickBot="1" x14ac:dyDescent="0.3">
      <c r="A465" s="255"/>
      <c r="B465" s="40" t="s">
        <v>4018</v>
      </c>
      <c r="C465" s="40" t="s">
        <v>1041</v>
      </c>
      <c r="D465" s="41">
        <v>7.1800000000000003E-2</v>
      </c>
      <c r="E465" s="35">
        <v>29.012999999999998</v>
      </c>
      <c r="F465" s="38">
        <f>IF(ISNUMBER(E465),E465*$D465,"")</f>
        <v>2.0831333999999999</v>
      </c>
      <c r="G465" s="48"/>
      <c r="H465" s="49"/>
      <c r="I465" s="124">
        <v>0</v>
      </c>
    </row>
    <row r="466" spans="1:9" ht="39" hidden="1" thickBot="1" x14ac:dyDescent="0.3">
      <c r="A466" s="255"/>
      <c r="B466" s="40" t="s">
        <v>4019</v>
      </c>
      <c r="C466" s="40" t="s">
        <v>1052</v>
      </c>
      <c r="D466" s="41">
        <v>6.6600000000000006E-2</v>
      </c>
      <c r="E466" s="35">
        <v>22.685999999999996</v>
      </c>
      <c r="F466" s="38">
        <f>IF(ISNUMBER(E466),E466*$D466,"")</f>
        <v>1.5108876</v>
      </c>
      <c r="G466" s="48"/>
      <c r="H466" s="49"/>
      <c r="I466" s="124">
        <v>0</v>
      </c>
    </row>
    <row r="467" spans="1:9" ht="51.75" hidden="1" thickBot="1" x14ac:dyDescent="0.3">
      <c r="A467" s="255"/>
      <c r="B467" s="40" t="s">
        <v>4752</v>
      </c>
      <c r="C467" s="40" t="s">
        <v>3764</v>
      </c>
      <c r="D467" s="41">
        <f>ROUND(1*(D460),4)</f>
        <v>1.1000000000000001</v>
      </c>
      <c r="E467" s="35">
        <v>7.75243225</v>
      </c>
      <c r="F467" s="38">
        <f>IF(ISNUMBER(E467),E467*$D467,"")</f>
        <v>8.5276754750000006</v>
      </c>
      <c r="G467" s="48"/>
      <c r="H467" s="49"/>
      <c r="I467" s="124">
        <v>0</v>
      </c>
    </row>
    <row r="468" spans="1:9" ht="39" hidden="1" thickBot="1" x14ac:dyDescent="0.3">
      <c r="A468" s="255"/>
      <c r="B468" s="40" t="s">
        <v>4749</v>
      </c>
      <c r="C468" s="53" t="s">
        <v>4744</v>
      </c>
      <c r="D468" s="41">
        <f>ROUND(D460*20,4)</f>
        <v>22</v>
      </c>
      <c r="E468" s="35">
        <v>2.5960374499999999</v>
      </c>
      <c r="F468" s="38">
        <f>IF(ISNUMBER(E468),E468*$D468,"")</f>
        <v>57.112823899999995</v>
      </c>
      <c r="G468" s="48"/>
      <c r="H468" s="49"/>
      <c r="I468" s="124">
        <v>0</v>
      </c>
    </row>
    <row r="469" spans="1:9" ht="15.75" hidden="1" thickBot="1" x14ac:dyDescent="0.3">
      <c r="A469" s="255"/>
      <c r="B469" s="52"/>
      <c r="C469" s="137"/>
      <c r="D469" s="41"/>
      <c r="E469" s="35" t="s">
        <v>23</v>
      </c>
      <c r="F469" s="38" t="str">
        <f t="shared" ref="F469:F478" si="14">IF(ISNUMBER(E469),ROUND(E469*$D469,2),"")</f>
        <v/>
      </c>
      <c r="G469" s="48"/>
      <c r="H469" s="49"/>
      <c r="I469" s="124">
        <v>0</v>
      </c>
    </row>
    <row r="470" spans="1:9" ht="24.95" hidden="1" customHeight="1" x14ac:dyDescent="0.3">
      <c r="A470" s="255"/>
      <c r="B470" s="50" t="s">
        <v>646</v>
      </c>
      <c r="C470" s="137"/>
      <c r="D470" s="41"/>
      <c r="E470" s="35" t="s">
        <v>23</v>
      </c>
      <c r="F470" s="38" t="str">
        <f t="shared" si="14"/>
        <v/>
      </c>
      <c r="G470" s="48"/>
      <c r="H470" s="49"/>
      <c r="I470" s="124">
        <v>0</v>
      </c>
    </row>
    <row r="471" spans="1:9" ht="15.75" hidden="1" thickBot="1" x14ac:dyDescent="0.3">
      <c r="A471" s="269"/>
      <c r="B471" s="135"/>
      <c r="C471" s="136"/>
      <c r="D471" s="130"/>
      <c r="E471" s="87" t="s">
        <v>23</v>
      </c>
      <c r="F471" s="87" t="str">
        <f t="shared" si="14"/>
        <v/>
      </c>
      <c r="G471" s="89"/>
      <c r="H471" s="35"/>
      <c r="I471" s="124">
        <v>0</v>
      </c>
    </row>
    <row r="472" spans="1:9" ht="26.25" hidden="1" customHeight="1" thickBot="1" x14ac:dyDescent="0.3">
      <c r="A472" s="268" t="s">
        <v>4709</v>
      </c>
      <c r="B472" s="28" t="s">
        <v>23</v>
      </c>
      <c r="C472" s="29" t="s">
        <v>3764</v>
      </c>
      <c r="D472" s="127"/>
      <c r="E472" s="45" t="s">
        <v>23</v>
      </c>
      <c r="F472" s="45" t="str">
        <f t="shared" si="14"/>
        <v/>
      </c>
      <c r="G472" s="32"/>
      <c r="H472" s="33"/>
      <c r="I472" s="124">
        <v>0</v>
      </c>
    </row>
    <row r="473" spans="1:9" ht="15.75" hidden="1" thickBot="1" x14ac:dyDescent="0.3">
      <c r="A473" s="255"/>
      <c r="B473" s="36" t="s">
        <v>23</v>
      </c>
      <c r="C473" s="134"/>
      <c r="D473" s="125"/>
      <c r="E473" s="128" t="s">
        <v>23</v>
      </c>
      <c r="F473" s="129" t="str">
        <f t="shared" si="14"/>
        <v/>
      </c>
      <c r="G473" s="39"/>
      <c r="H473" s="35"/>
      <c r="I473" s="124">
        <v>0</v>
      </c>
    </row>
    <row r="474" spans="1:9" ht="39" hidden="1" thickBot="1" x14ac:dyDescent="0.3">
      <c r="A474" s="255"/>
      <c r="B474" s="40" t="s">
        <v>4104</v>
      </c>
      <c r="C474" s="40" t="s">
        <v>177</v>
      </c>
      <c r="D474" s="41">
        <v>1.9403999999999999</v>
      </c>
      <c r="E474" s="38">
        <v>49.846499999999999</v>
      </c>
      <c r="F474" s="38">
        <f t="shared" si="14"/>
        <v>96.72</v>
      </c>
      <c r="G474" s="48">
        <f>SUM(F474:F489)</f>
        <v>3133.8461297312497</v>
      </c>
      <c r="H474" s="49"/>
      <c r="I474" s="124">
        <v>0</v>
      </c>
    </row>
    <row r="475" spans="1:9" ht="26.25" hidden="1" thickBot="1" x14ac:dyDescent="0.3">
      <c r="A475" s="255"/>
      <c r="B475" s="40" t="s">
        <v>4659</v>
      </c>
      <c r="C475" s="40" t="s">
        <v>80</v>
      </c>
      <c r="D475" s="41">
        <v>8.3299999999999999E-2</v>
      </c>
      <c r="E475" s="38">
        <v>7.9229999999999992</v>
      </c>
      <c r="F475" s="38">
        <f t="shared" si="14"/>
        <v>0.66</v>
      </c>
      <c r="G475" s="48"/>
      <c r="H475" s="49"/>
      <c r="I475" s="124">
        <v>0</v>
      </c>
    </row>
    <row r="476" spans="1:9" ht="26.25" hidden="1" thickBot="1" x14ac:dyDescent="0.3">
      <c r="A476" s="255"/>
      <c r="B476" s="40" t="s">
        <v>4135</v>
      </c>
      <c r="C476" s="40" t="s">
        <v>1286</v>
      </c>
      <c r="D476" s="41">
        <v>5.6283000000000003</v>
      </c>
      <c r="E476" s="35">
        <v>2.7075</v>
      </c>
      <c r="F476" s="38">
        <f t="shared" si="14"/>
        <v>15.24</v>
      </c>
      <c r="G476" s="48"/>
      <c r="H476" s="49"/>
      <c r="I476" s="124">
        <v>0</v>
      </c>
    </row>
    <row r="477" spans="1:9" ht="15.75" hidden="1" thickBot="1" x14ac:dyDescent="0.3">
      <c r="A477" s="255"/>
      <c r="B477" s="40" t="s">
        <v>4075</v>
      </c>
      <c r="C477" s="40" t="s">
        <v>1035</v>
      </c>
      <c r="D477" s="41">
        <v>0.4365</v>
      </c>
      <c r="E477" s="35">
        <v>23.008999999999997</v>
      </c>
      <c r="F477" s="38">
        <f t="shared" si="14"/>
        <v>10.039999999999999</v>
      </c>
      <c r="G477" s="48"/>
      <c r="H477" s="49"/>
      <c r="I477" s="124">
        <v>0</v>
      </c>
    </row>
    <row r="478" spans="1:9" ht="15.75" hidden="1" thickBot="1" x14ac:dyDescent="0.3">
      <c r="A478" s="255"/>
      <c r="B478" s="40" t="s">
        <v>4111</v>
      </c>
      <c r="C478" s="40" t="s">
        <v>3752</v>
      </c>
      <c r="D478" s="41">
        <v>1.1919999999999999</v>
      </c>
      <c r="E478" s="35">
        <v>21.983000000000001</v>
      </c>
      <c r="F478" s="38">
        <f t="shared" si="14"/>
        <v>26.2</v>
      </c>
      <c r="G478" s="48"/>
      <c r="H478" s="49"/>
      <c r="I478" s="124">
        <v>0</v>
      </c>
    </row>
    <row r="479" spans="1:9" ht="15.75" hidden="1" thickBot="1" x14ac:dyDescent="0.3">
      <c r="A479" s="255"/>
      <c r="B479" s="40" t="s">
        <v>3766</v>
      </c>
      <c r="C479" s="40" t="s">
        <v>3752</v>
      </c>
      <c r="D479" s="41">
        <v>5.96</v>
      </c>
      <c r="E479" s="35">
        <v>26.552499999999998</v>
      </c>
      <c r="F479" s="38">
        <f t="shared" ref="F479:F487" si="15">IF(ISNUMBER(E479),E479*$D479,"")</f>
        <v>158.25289999999998</v>
      </c>
      <c r="G479" s="48"/>
      <c r="H479" s="49"/>
      <c r="I479" s="124">
        <v>0</v>
      </c>
    </row>
    <row r="480" spans="1:9" ht="15.75" hidden="1" thickBot="1" x14ac:dyDescent="0.3">
      <c r="A480" s="255"/>
      <c r="B480" s="40" t="s">
        <v>3757</v>
      </c>
      <c r="C480" s="40" t="s">
        <v>3752</v>
      </c>
      <c r="D480" s="41">
        <v>31.5459</v>
      </c>
      <c r="E480" s="35">
        <v>28.0535</v>
      </c>
      <c r="F480" s="38">
        <f t="shared" si="15"/>
        <v>884.97290565000003</v>
      </c>
      <c r="G480" s="48"/>
      <c r="H480" s="49"/>
      <c r="I480" s="124">
        <v>0</v>
      </c>
    </row>
    <row r="481" spans="1:9" ht="15.75" hidden="1" thickBot="1" x14ac:dyDescent="0.3">
      <c r="A481" s="255"/>
      <c r="B481" s="40" t="s">
        <v>3754</v>
      </c>
      <c r="C481" s="40" t="s">
        <v>3752</v>
      </c>
      <c r="D481" s="41">
        <v>31.5459</v>
      </c>
      <c r="E481" s="35">
        <v>20.814499999999999</v>
      </c>
      <c r="F481" s="38">
        <f t="shared" si="15"/>
        <v>656.61213554999995</v>
      </c>
      <c r="G481" s="48"/>
      <c r="H481" s="49"/>
      <c r="I481" s="124">
        <v>0</v>
      </c>
    </row>
    <row r="482" spans="1:9" ht="26.25" hidden="1" thickBot="1" x14ac:dyDescent="0.3">
      <c r="A482" s="255"/>
      <c r="B482" s="40" t="s">
        <v>4077</v>
      </c>
      <c r="C482" s="40" t="s">
        <v>1041</v>
      </c>
      <c r="D482" s="41">
        <v>6.6349999999999998</v>
      </c>
      <c r="E482" s="35">
        <v>1.1304999999999998</v>
      </c>
      <c r="F482" s="38">
        <f t="shared" si="15"/>
        <v>7.5008674999999982</v>
      </c>
      <c r="G482" s="48"/>
      <c r="H482" s="49"/>
      <c r="I482" s="124">
        <v>0</v>
      </c>
    </row>
    <row r="483" spans="1:9" ht="26.25" hidden="1" thickBot="1" x14ac:dyDescent="0.3">
      <c r="A483" s="255"/>
      <c r="B483" s="40" t="s">
        <v>4078</v>
      </c>
      <c r="C483" s="40" t="s">
        <v>1052</v>
      </c>
      <c r="D483" s="41">
        <v>18.246200000000002</v>
      </c>
      <c r="E483" s="35">
        <v>0.47499999999999998</v>
      </c>
      <c r="F483" s="38">
        <f t="shared" si="15"/>
        <v>8.6669450000000001</v>
      </c>
      <c r="G483" s="48"/>
      <c r="H483" s="49"/>
      <c r="I483" s="124">
        <v>0</v>
      </c>
    </row>
    <row r="484" spans="1:9" ht="26.25" hidden="1" thickBot="1" x14ac:dyDescent="0.3">
      <c r="A484" s="255"/>
      <c r="B484" s="40" t="s">
        <v>4168</v>
      </c>
      <c r="C484" s="40" t="s">
        <v>1041</v>
      </c>
      <c r="D484" s="41">
        <v>0.48770000000000002</v>
      </c>
      <c r="E484" s="35">
        <v>22.895</v>
      </c>
      <c r="F484" s="38">
        <f t="shared" si="15"/>
        <v>11.165891500000001</v>
      </c>
      <c r="G484" s="48"/>
      <c r="H484" s="49"/>
      <c r="I484" s="124">
        <v>0</v>
      </c>
    </row>
    <row r="485" spans="1:9" ht="26.25" hidden="1" thickBot="1" x14ac:dyDescent="0.3">
      <c r="A485" s="255"/>
      <c r="B485" s="40" t="s">
        <v>4120</v>
      </c>
      <c r="C485" s="40" t="s">
        <v>1052</v>
      </c>
      <c r="D485" s="41">
        <v>0.70430000000000004</v>
      </c>
      <c r="E485" s="35">
        <v>21.973499999999998</v>
      </c>
      <c r="F485" s="38">
        <f t="shared" si="15"/>
        <v>15.47593605</v>
      </c>
      <c r="G485" s="48"/>
      <c r="H485" s="49"/>
      <c r="I485" s="124">
        <v>0</v>
      </c>
    </row>
    <row r="486" spans="1:9" ht="39" hidden="1" thickBot="1" x14ac:dyDescent="0.3">
      <c r="A486" s="255"/>
      <c r="B486" s="40" t="s">
        <v>4687</v>
      </c>
      <c r="C486" s="40" t="s">
        <v>1035</v>
      </c>
      <c r="D486" s="41">
        <v>27.898800000000001</v>
      </c>
      <c r="E486" s="35">
        <v>17.458292499999999</v>
      </c>
      <c r="F486" s="38">
        <f t="shared" si="15"/>
        <v>487.06541079900001</v>
      </c>
      <c r="G486" s="48"/>
      <c r="H486" s="49"/>
      <c r="I486" s="124">
        <v>0</v>
      </c>
    </row>
    <row r="487" spans="1:9" ht="39" hidden="1" thickBot="1" x14ac:dyDescent="0.3">
      <c r="A487" s="255"/>
      <c r="B487" s="40" t="s">
        <v>4705</v>
      </c>
      <c r="C487" s="53" t="s">
        <v>3764</v>
      </c>
      <c r="D487" s="41">
        <v>1.2</v>
      </c>
      <c r="E487" s="35">
        <v>629.39428140187499</v>
      </c>
      <c r="F487" s="38">
        <f t="shared" si="15"/>
        <v>755.27313768224997</v>
      </c>
      <c r="G487" s="48"/>
      <c r="H487" s="49"/>
      <c r="I487" s="124">
        <v>0</v>
      </c>
    </row>
    <row r="488" spans="1:9" ht="15.75" hidden="1" thickBot="1" x14ac:dyDescent="0.3">
      <c r="A488" s="255"/>
      <c r="B488" s="52"/>
      <c r="C488" s="137"/>
      <c r="D488" s="41"/>
      <c r="E488" s="35" t="s">
        <v>23</v>
      </c>
      <c r="F488" s="38" t="str">
        <f t="shared" ref="F488:F495" si="16">IF(ISNUMBER(E488),ROUND(E488*$D488,2),"")</f>
        <v/>
      </c>
      <c r="G488" s="48"/>
      <c r="H488" s="49"/>
      <c r="I488" s="124">
        <v>0</v>
      </c>
    </row>
    <row r="489" spans="1:9" ht="24.95" hidden="1" customHeight="1" x14ac:dyDescent="0.3">
      <c r="A489" s="255"/>
      <c r="B489" s="50" t="s">
        <v>646</v>
      </c>
      <c r="C489" s="137"/>
      <c r="D489" s="41"/>
      <c r="E489" s="35" t="s">
        <v>23</v>
      </c>
      <c r="F489" s="38" t="str">
        <f t="shared" si="16"/>
        <v/>
      </c>
      <c r="G489" s="48"/>
      <c r="H489" s="49"/>
      <c r="I489" s="124">
        <v>0</v>
      </c>
    </row>
    <row r="490" spans="1:9" ht="15.75" hidden="1" thickBot="1" x14ac:dyDescent="0.3">
      <c r="A490" s="269"/>
      <c r="B490" s="135"/>
      <c r="C490" s="136"/>
      <c r="D490" s="130"/>
      <c r="E490" s="87" t="s">
        <v>23</v>
      </c>
      <c r="F490" s="87" t="str">
        <f t="shared" si="16"/>
        <v/>
      </c>
      <c r="G490" s="89"/>
      <c r="H490" s="35"/>
      <c r="I490" s="124">
        <v>0</v>
      </c>
    </row>
    <row r="491" spans="1:9" ht="26.25" hidden="1" customHeight="1" thickBot="1" x14ac:dyDescent="0.3">
      <c r="A491" s="268" t="s">
        <v>4719</v>
      </c>
      <c r="B491" s="28" t="s">
        <v>23</v>
      </c>
      <c r="C491" s="29" t="s">
        <v>3764</v>
      </c>
      <c r="D491" s="127"/>
      <c r="E491" s="45" t="s">
        <v>23</v>
      </c>
      <c r="F491" s="45" t="str">
        <f t="shared" si="16"/>
        <v/>
      </c>
      <c r="G491" s="32"/>
      <c r="H491" s="33"/>
      <c r="I491" s="124">
        <v>0</v>
      </c>
    </row>
    <row r="492" spans="1:9" ht="15.75" hidden="1" thickBot="1" x14ac:dyDescent="0.3">
      <c r="A492" s="255"/>
      <c r="B492" s="36" t="s">
        <v>23</v>
      </c>
      <c r="C492" s="134"/>
      <c r="D492" s="125"/>
      <c r="E492" s="128" t="s">
        <v>23</v>
      </c>
      <c r="F492" s="129" t="str">
        <f t="shared" si="16"/>
        <v/>
      </c>
      <c r="G492" s="39"/>
      <c r="H492" s="35"/>
      <c r="I492" s="124">
        <v>0</v>
      </c>
    </row>
    <row r="493" spans="1:9" ht="26.25" hidden="1" thickBot="1" x14ac:dyDescent="0.3">
      <c r="A493" s="255"/>
      <c r="B493" s="40" t="s">
        <v>3841</v>
      </c>
      <c r="C493" s="40" t="s">
        <v>3764</v>
      </c>
      <c r="D493" s="41">
        <v>1.1000000000000001</v>
      </c>
      <c r="E493" s="38">
        <v>196.38399999999999</v>
      </c>
      <c r="F493" s="38">
        <f t="shared" si="16"/>
        <v>216.02</v>
      </c>
      <c r="G493" s="48">
        <f>SUM(F493:F501)</f>
        <v>433.07452037500002</v>
      </c>
      <c r="H493" s="49"/>
      <c r="I493" s="124">
        <v>0</v>
      </c>
    </row>
    <row r="494" spans="1:9" ht="15.75" hidden="1" thickBot="1" x14ac:dyDescent="0.3">
      <c r="A494" s="255"/>
      <c r="B494" s="40" t="s">
        <v>3757</v>
      </c>
      <c r="C494" s="40" t="s">
        <v>3752</v>
      </c>
      <c r="D494" s="41">
        <v>2.4937999999999998</v>
      </c>
      <c r="E494" s="35">
        <v>28.0535</v>
      </c>
      <c r="F494" s="38">
        <f t="shared" si="16"/>
        <v>69.959999999999994</v>
      </c>
      <c r="G494" s="48"/>
      <c r="H494" s="49"/>
      <c r="I494" s="124">
        <v>0</v>
      </c>
    </row>
    <row r="495" spans="1:9" ht="15.75" hidden="1" thickBot="1" x14ac:dyDescent="0.3">
      <c r="A495" s="255"/>
      <c r="B495" s="40" t="s">
        <v>3754</v>
      </c>
      <c r="C495" s="40" t="s">
        <v>3752</v>
      </c>
      <c r="D495" s="41">
        <v>3.7406999999999999</v>
      </c>
      <c r="E495" s="35">
        <v>20.814499999999999</v>
      </c>
      <c r="F495" s="38">
        <f t="shared" si="16"/>
        <v>77.86</v>
      </c>
      <c r="G495" s="48"/>
      <c r="H495" s="49"/>
      <c r="I495" s="124">
        <v>0</v>
      </c>
    </row>
    <row r="496" spans="1:9" ht="39" hidden="1" thickBot="1" x14ac:dyDescent="0.3">
      <c r="A496" s="255"/>
      <c r="B496" s="40" t="s">
        <v>4018</v>
      </c>
      <c r="C496" s="40" t="s">
        <v>1041</v>
      </c>
      <c r="D496" s="41">
        <v>7.1800000000000003E-2</v>
      </c>
      <c r="E496" s="35">
        <v>29.012999999999998</v>
      </c>
      <c r="F496" s="38">
        <f>IF(ISNUMBER(E496),E496*$D496,"")</f>
        <v>2.0831333999999999</v>
      </c>
      <c r="G496" s="48"/>
      <c r="H496" s="49"/>
      <c r="I496" s="124">
        <v>0</v>
      </c>
    </row>
    <row r="497" spans="1:9" ht="39" hidden="1" thickBot="1" x14ac:dyDescent="0.3">
      <c r="A497" s="255"/>
      <c r="B497" s="40" t="s">
        <v>4019</v>
      </c>
      <c r="C497" s="40" t="s">
        <v>1052</v>
      </c>
      <c r="D497" s="41">
        <v>6.6600000000000006E-2</v>
      </c>
      <c r="E497" s="35">
        <v>22.685999999999996</v>
      </c>
      <c r="F497" s="38">
        <f>IF(ISNUMBER(E497),E497*$D497,"")</f>
        <v>1.5108876</v>
      </c>
      <c r="G497" s="48"/>
      <c r="H497" s="49"/>
      <c r="I497" s="124">
        <v>0</v>
      </c>
    </row>
    <row r="498" spans="1:9" ht="51.75" hidden="1" thickBot="1" x14ac:dyDescent="0.3">
      <c r="A498" s="255"/>
      <c r="B498" s="40" t="s">
        <v>4752</v>
      </c>
      <c r="C498" s="40" t="s">
        <v>3764</v>
      </c>
      <c r="D498" s="41">
        <f>ROUND(1*(D493),4)</f>
        <v>1.1000000000000001</v>
      </c>
      <c r="E498" s="35">
        <v>7.75243225</v>
      </c>
      <c r="F498" s="38">
        <f>IF(ISNUMBER(E498),E498*$D498,"")</f>
        <v>8.5276754750000006</v>
      </c>
      <c r="G498" s="48"/>
      <c r="H498" s="49"/>
      <c r="I498" s="124">
        <v>0</v>
      </c>
    </row>
    <row r="499" spans="1:9" ht="39" hidden="1" thickBot="1" x14ac:dyDescent="0.3">
      <c r="A499" s="255"/>
      <c r="B499" s="40" t="s">
        <v>4749</v>
      </c>
      <c r="C499" s="53" t="s">
        <v>4744</v>
      </c>
      <c r="D499" s="41">
        <f>ROUND(D493*20,4)</f>
        <v>22</v>
      </c>
      <c r="E499" s="35">
        <v>2.5960374499999999</v>
      </c>
      <c r="F499" s="38">
        <f>IF(ISNUMBER(E499),E499*$D499,"")</f>
        <v>57.112823899999995</v>
      </c>
      <c r="G499" s="48"/>
      <c r="H499" s="49"/>
      <c r="I499" s="124">
        <v>0</v>
      </c>
    </row>
    <row r="500" spans="1:9" ht="15.75" hidden="1" thickBot="1" x14ac:dyDescent="0.3">
      <c r="A500" s="255"/>
      <c r="B500" s="52"/>
      <c r="C500" s="137"/>
      <c r="D500" s="41"/>
      <c r="E500" s="35" t="s">
        <v>23</v>
      </c>
      <c r="F500" s="38" t="str">
        <f t="shared" ref="F500:F508" si="17">IF(ISNUMBER(E500),ROUND(E500*$D500,2),"")</f>
        <v/>
      </c>
      <c r="G500" s="48"/>
      <c r="H500" s="49"/>
      <c r="I500" s="124">
        <v>0</v>
      </c>
    </row>
    <row r="501" spans="1:9" ht="24.95" hidden="1" customHeight="1" x14ac:dyDescent="0.3">
      <c r="A501" s="255"/>
      <c r="B501" s="50" t="s">
        <v>646</v>
      </c>
      <c r="C501" s="137"/>
      <c r="D501" s="41"/>
      <c r="E501" s="35" t="s">
        <v>23</v>
      </c>
      <c r="F501" s="38" t="str">
        <f t="shared" si="17"/>
        <v/>
      </c>
      <c r="G501" s="48"/>
      <c r="H501" s="49"/>
      <c r="I501" s="124">
        <v>0</v>
      </c>
    </row>
    <row r="502" spans="1:9" ht="15.75" hidden="1" thickBot="1" x14ac:dyDescent="0.3">
      <c r="A502" s="269"/>
      <c r="B502" s="135"/>
      <c r="C502" s="136"/>
      <c r="D502" s="130"/>
      <c r="E502" s="87" t="s">
        <v>23</v>
      </c>
      <c r="F502" s="87" t="str">
        <f t="shared" si="17"/>
        <v/>
      </c>
      <c r="G502" s="89"/>
      <c r="H502" s="35"/>
      <c r="I502" s="124">
        <v>0</v>
      </c>
    </row>
    <row r="503" spans="1:9" ht="26.25" customHeight="1" thickBot="1" x14ac:dyDescent="0.3">
      <c r="A503" s="268" t="s">
        <v>4707</v>
      </c>
      <c r="B503" s="28" t="s">
        <v>23</v>
      </c>
      <c r="C503" s="29" t="s">
        <v>3764</v>
      </c>
      <c r="D503" s="127"/>
      <c r="E503" s="45" t="s">
        <v>23</v>
      </c>
      <c r="F503" s="45" t="str">
        <f t="shared" si="17"/>
        <v/>
      </c>
      <c r="G503" s="32"/>
      <c r="H503" s="33"/>
      <c r="I503" s="124">
        <v>2.4</v>
      </c>
    </row>
    <row r="504" spans="1:9" x14ac:dyDescent="0.25">
      <c r="A504" s="255"/>
      <c r="B504" s="36" t="s">
        <v>23</v>
      </c>
      <c r="C504" s="134"/>
      <c r="D504" s="125"/>
      <c r="E504" s="128" t="s">
        <v>23</v>
      </c>
      <c r="F504" s="129" t="str">
        <f t="shared" si="17"/>
        <v/>
      </c>
      <c r="G504" s="39"/>
      <c r="H504" s="35"/>
      <c r="I504" s="124">
        <v>2.4</v>
      </c>
    </row>
    <row r="505" spans="1:9" ht="25.5" x14ac:dyDescent="0.25">
      <c r="A505" s="255"/>
      <c r="B505" s="40" t="s">
        <v>3763</v>
      </c>
      <c r="C505" s="40" t="s">
        <v>3764</v>
      </c>
      <c r="D505" s="41">
        <v>0.8538</v>
      </c>
      <c r="E505" s="38">
        <v>204.23099999999999</v>
      </c>
      <c r="F505" s="38">
        <f t="shared" si="17"/>
        <v>174.37</v>
      </c>
      <c r="G505" s="48">
        <f>SUM(F505:F512)</f>
        <v>630.62981867562496</v>
      </c>
      <c r="H505" s="49"/>
      <c r="I505" s="124">
        <v>2.4</v>
      </c>
    </row>
    <row r="506" spans="1:9" x14ac:dyDescent="0.25">
      <c r="A506" s="255"/>
      <c r="B506" s="40" t="s">
        <v>3759</v>
      </c>
      <c r="C506" s="40" t="s">
        <v>1035</v>
      </c>
      <c r="D506" s="41">
        <v>218.93</v>
      </c>
      <c r="E506" s="38">
        <v>0.627</v>
      </c>
      <c r="F506" s="38">
        <f t="shared" si="17"/>
        <v>137.27000000000001</v>
      </c>
      <c r="G506" s="48"/>
      <c r="H506" s="49"/>
      <c r="I506" s="124">
        <v>2.4</v>
      </c>
    </row>
    <row r="507" spans="1:9" ht="25.5" x14ac:dyDescent="0.25">
      <c r="A507" s="255"/>
      <c r="B507" s="40" t="s">
        <v>4016</v>
      </c>
      <c r="C507" s="40" t="s">
        <v>3764</v>
      </c>
      <c r="D507" s="41">
        <v>0.59709999999999996</v>
      </c>
      <c r="E507" s="35">
        <v>170.107</v>
      </c>
      <c r="F507" s="38">
        <f t="shared" si="17"/>
        <v>101.57</v>
      </c>
      <c r="G507" s="48"/>
      <c r="H507" s="49"/>
      <c r="I507" s="124">
        <v>2.4</v>
      </c>
    </row>
    <row r="508" spans="1:9" x14ac:dyDescent="0.25">
      <c r="A508" s="255"/>
      <c r="B508" s="40" t="s">
        <v>3754</v>
      </c>
      <c r="C508" s="40" t="s">
        <v>3752</v>
      </c>
      <c r="D508" s="41">
        <v>6.2858000000000001</v>
      </c>
      <c r="E508" s="35">
        <v>20.814499999999999</v>
      </c>
      <c r="F508" s="38">
        <f t="shared" si="17"/>
        <v>130.84</v>
      </c>
      <c r="G508" s="48"/>
      <c r="H508" s="49"/>
      <c r="I508" s="124">
        <v>2.4</v>
      </c>
    </row>
    <row r="509" spans="1:9" ht="51" x14ac:dyDescent="0.25">
      <c r="A509" s="255"/>
      <c r="B509" s="40" t="s">
        <v>4752</v>
      </c>
      <c r="C509" s="40" t="s">
        <v>3764</v>
      </c>
      <c r="D509" s="41">
        <f>ROUND(1*(D505+D507),4)</f>
        <v>1.4509000000000001</v>
      </c>
      <c r="E509" s="35">
        <v>7.75243225</v>
      </c>
      <c r="F509" s="38">
        <f>IF(ISNUMBER(E509),E509*$D509,"")</f>
        <v>11.248003951525</v>
      </c>
      <c r="G509" s="48"/>
      <c r="H509" s="49"/>
      <c r="I509" s="124">
        <v>2.4</v>
      </c>
    </row>
    <row r="510" spans="1:9" ht="38.25" x14ac:dyDescent="0.25">
      <c r="A510" s="255"/>
      <c r="B510" s="40" t="s">
        <v>4749</v>
      </c>
      <c r="C510" s="53" t="s">
        <v>4744</v>
      </c>
      <c r="D510" s="41">
        <f>ROUND((D505+D507)*20,4)</f>
        <v>29.018000000000001</v>
      </c>
      <c r="E510" s="35">
        <v>2.5960374499999999</v>
      </c>
      <c r="F510" s="38">
        <f>IF(ISNUMBER(E510),E510*$D510,"")</f>
        <v>75.331814724099999</v>
      </c>
      <c r="G510" s="48"/>
      <c r="H510" s="49"/>
      <c r="I510" s="124">
        <v>2.4</v>
      </c>
    </row>
    <row r="511" spans="1:9" x14ac:dyDescent="0.25">
      <c r="A511" s="255"/>
      <c r="B511" s="52"/>
      <c r="C511" s="137"/>
      <c r="D511" s="41"/>
      <c r="E511" s="35" t="s">
        <v>23</v>
      </c>
      <c r="F511" s="38" t="str">
        <f t="shared" ref="F511:F543" si="18">IF(ISNUMBER(E511),ROUND(E511*$D511,2),"")</f>
        <v/>
      </c>
      <c r="G511" s="48"/>
      <c r="H511" s="49"/>
      <c r="I511" s="124">
        <v>2.4</v>
      </c>
    </row>
    <row r="512" spans="1:9" ht="24.95" customHeight="1" x14ac:dyDescent="0.25">
      <c r="A512" s="255"/>
      <c r="B512" s="50" t="s">
        <v>88</v>
      </c>
      <c r="C512" s="137"/>
      <c r="D512" s="41"/>
      <c r="E512" s="35" t="s">
        <v>23</v>
      </c>
      <c r="F512" s="38" t="str">
        <f t="shared" si="18"/>
        <v/>
      </c>
      <c r="G512" s="48"/>
      <c r="H512" s="49"/>
      <c r="I512" s="124">
        <v>2.4</v>
      </c>
    </row>
    <row r="513" spans="1:9" ht="15.75" thickBot="1" x14ac:dyDescent="0.3">
      <c r="A513" s="269"/>
      <c r="B513" s="135"/>
      <c r="C513" s="136"/>
      <c r="D513" s="130"/>
      <c r="E513" s="87" t="s">
        <v>23</v>
      </c>
      <c r="F513" s="87" t="str">
        <f t="shared" si="18"/>
        <v/>
      </c>
      <c r="G513" s="89"/>
      <c r="H513" s="35"/>
      <c r="I513" s="124">
        <v>2.4</v>
      </c>
    </row>
    <row r="514" spans="1:9" ht="26.25" hidden="1" customHeight="1" thickBot="1" x14ac:dyDescent="0.3">
      <c r="A514" s="268" t="s">
        <v>4747</v>
      </c>
      <c r="B514" s="28" t="s">
        <v>23</v>
      </c>
      <c r="C514" s="29" t="s">
        <v>291</v>
      </c>
      <c r="D514" s="127"/>
      <c r="E514" s="45" t="s">
        <v>23</v>
      </c>
      <c r="F514" s="45" t="str">
        <f t="shared" si="18"/>
        <v/>
      </c>
      <c r="G514" s="32"/>
      <c r="H514" s="33"/>
      <c r="I514" s="124">
        <v>0</v>
      </c>
    </row>
    <row r="515" spans="1:9" hidden="1" x14ac:dyDescent="0.25">
      <c r="A515" s="255"/>
      <c r="B515" s="36" t="s">
        <v>23</v>
      </c>
      <c r="C515" s="134"/>
      <c r="D515" s="125"/>
      <c r="E515" s="128" t="s">
        <v>23</v>
      </c>
      <c r="F515" s="129" t="str">
        <f t="shared" si="18"/>
        <v/>
      </c>
      <c r="G515" s="39"/>
      <c r="H515" s="35"/>
      <c r="I515" s="124">
        <v>0</v>
      </c>
    </row>
    <row r="516" spans="1:9" hidden="1" x14ac:dyDescent="0.25">
      <c r="A516" s="255"/>
      <c r="B516" s="40" t="s">
        <v>4155</v>
      </c>
      <c r="C516" s="40" t="s">
        <v>1035</v>
      </c>
      <c r="D516" s="41">
        <v>3.3999999999999998E-3</v>
      </c>
      <c r="E516" s="38">
        <v>20.776499999999999</v>
      </c>
      <c r="F516" s="38">
        <f t="shared" si="18"/>
        <v>7.0000000000000007E-2</v>
      </c>
      <c r="G516" s="48">
        <f>SUM(F516:F518)</f>
        <v>2.5700000000000003</v>
      </c>
      <c r="H516" s="49"/>
      <c r="I516" s="124">
        <v>0</v>
      </c>
    </row>
    <row r="517" spans="1:9" hidden="1" x14ac:dyDescent="0.25">
      <c r="A517" s="255"/>
      <c r="B517" s="40" t="s">
        <v>4111</v>
      </c>
      <c r="C517" s="40" t="s">
        <v>3752</v>
      </c>
      <c r="D517" s="41">
        <v>3.2300000000000002E-2</v>
      </c>
      <c r="E517" s="38">
        <v>21.983000000000001</v>
      </c>
      <c r="F517" s="38">
        <f t="shared" si="18"/>
        <v>0.71</v>
      </c>
      <c r="G517" s="48"/>
      <c r="H517" s="49"/>
      <c r="I517" s="124">
        <v>0</v>
      </c>
    </row>
    <row r="518" spans="1:9" hidden="1" x14ac:dyDescent="0.25">
      <c r="A518" s="255"/>
      <c r="B518" s="40" t="s">
        <v>3823</v>
      </c>
      <c r="C518" s="40" t="s">
        <v>3752</v>
      </c>
      <c r="D518" s="41">
        <v>6.4500000000000002E-2</v>
      </c>
      <c r="E518" s="35">
        <v>27.683</v>
      </c>
      <c r="F518" s="38">
        <f t="shared" si="18"/>
        <v>1.79</v>
      </c>
      <c r="G518" s="48"/>
      <c r="H518" s="49"/>
      <c r="I518" s="124">
        <v>0</v>
      </c>
    </row>
    <row r="519" spans="1:9" ht="15.75" hidden="1" thickBot="1" x14ac:dyDescent="0.3">
      <c r="A519" s="269"/>
      <c r="B519" s="135"/>
      <c r="C519" s="136"/>
      <c r="D519" s="130"/>
      <c r="E519" s="87" t="s">
        <v>23</v>
      </c>
      <c r="F519" s="87" t="str">
        <f t="shared" si="18"/>
        <v/>
      </c>
      <c r="G519" s="89"/>
      <c r="H519" s="35"/>
      <c r="I519" s="124">
        <v>0</v>
      </c>
    </row>
    <row r="520" spans="1:9" ht="26.25" hidden="1" customHeight="1" thickBot="1" x14ac:dyDescent="0.3">
      <c r="A520" s="268" t="s">
        <v>4696</v>
      </c>
      <c r="B520" s="28" t="s">
        <v>23</v>
      </c>
      <c r="C520" s="29" t="s">
        <v>3764</v>
      </c>
      <c r="D520" s="127"/>
      <c r="E520" s="45" t="s">
        <v>23</v>
      </c>
      <c r="F520" s="45" t="str">
        <f t="shared" si="18"/>
        <v/>
      </c>
      <c r="G520" s="32"/>
      <c r="H520" s="33"/>
      <c r="I520" s="124">
        <v>0</v>
      </c>
    </row>
    <row r="521" spans="1:9" hidden="1" x14ac:dyDescent="0.25">
      <c r="A521" s="255"/>
      <c r="B521" s="36" t="s">
        <v>23</v>
      </c>
      <c r="C521" s="134"/>
      <c r="D521" s="125"/>
      <c r="E521" s="128" t="s">
        <v>23</v>
      </c>
      <c r="F521" s="129" t="str">
        <f t="shared" si="18"/>
        <v/>
      </c>
      <c r="G521" s="39"/>
      <c r="H521" s="35"/>
      <c r="I521" s="124">
        <v>0</v>
      </c>
    </row>
    <row r="522" spans="1:9" hidden="1" x14ac:dyDescent="0.25">
      <c r="A522" s="255"/>
      <c r="B522" s="40" t="s">
        <v>3757</v>
      </c>
      <c r="C522" s="40" t="s">
        <v>3752</v>
      </c>
      <c r="D522" s="41">
        <v>8.2972999999999999</v>
      </c>
      <c r="E522" s="38">
        <v>28.0535</v>
      </c>
      <c r="F522" s="38">
        <f t="shared" si="18"/>
        <v>232.77</v>
      </c>
      <c r="G522" s="48">
        <f>SUM(F522:F524)</f>
        <v>1178.03</v>
      </c>
      <c r="H522" s="49"/>
      <c r="I522" s="124">
        <v>0</v>
      </c>
    </row>
    <row r="523" spans="1:9" hidden="1" x14ac:dyDescent="0.25">
      <c r="A523" s="255"/>
      <c r="B523" s="40" t="s">
        <v>3754</v>
      </c>
      <c r="C523" s="40" t="s">
        <v>3752</v>
      </c>
      <c r="D523" s="41">
        <v>5.5315000000000003</v>
      </c>
      <c r="E523" s="38">
        <v>20.814499999999999</v>
      </c>
      <c r="F523" s="38">
        <f t="shared" si="18"/>
        <v>115.14</v>
      </c>
      <c r="G523" s="48"/>
      <c r="H523" s="49"/>
      <c r="I523" s="124">
        <v>0</v>
      </c>
    </row>
    <row r="524" spans="1:9" ht="38.25" hidden="1" x14ac:dyDescent="0.25">
      <c r="A524" s="255"/>
      <c r="B524" s="40" t="s">
        <v>4698</v>
      </c>
      <c r="C524" s="58" t="s">
        <v>3764</v>
      </c>
      <c r="D524" s="41">
        <v>1.2030000000000001</v>
      </c>
      <c r="E524" s="35">
        <v>690.03950748500006</v>
      </c>
      <c r="F524" s="38">
        <f t="shared" si="18"/>
        <v>830.12</v>
      </c>
      <c r="G524" s="48"/>
      <c r="H524" s="49"/>
      <c r="I524" s="124">
        <v>0</v>
      </c>
    </row>
    <row r="525" spans="1:9" ht="15.75" hidden="1" thickBot="1" x14ac:dyDescent="0.3">
      <c r="A525" s="269"/>
      <c r="B525" s="135"/>
      <c r="C525" s="136"/>
      <c r="D525" s="130"/>
      <c r="E525" s="87" t="s">
        <v>23</v>
      </c>
      <c r="F525" s="87" t="str">
        <f t="shared" si="18"/>
        <v/>
      </c>
      <c r="G525" s="89"/>
      <c r="H525" s="35"/>
      <c r="I525" s="124">
        <v>0</v>
      </c>
    </row>
    <row r="526" spans="1:9" ht="26.25" hidden="1" customHeight="1" thickBot="1" x14ac:dyDescent="0.3">
      <c r="A526" s="268" t="s">
        <v>4697</v>
      </c>
      <c r="B526" s="28" t="s">
        <v>23</v>
      </c>
      <c r="C526" s="29" t="s">
        <v>3764</v>
      </c>
      <c r="D526" s="127"/>
      <c r="E526" s="45" t="s">
        <v>23</v>
      </c>
      <c r="F526" s="45" t="str">
        <f t="shared" si="18"/>
        <v/>
      </c>
      <c r="G526" s="32"/>
      <c r="H526" s="33"/>
      <c r="I526" s="124">
        <v>0</v>
      </c>
    </row>
    <row r="527" spans="1:9" hidden="1" x14ac:dyDescent="0.25">
      <c r="A527" s="255"/>
      <c r="B527" s="36" t="s">
        <v>23</v>
      </c>
      <c r="C527" s="134"/>
      <c r="D527" s="125"/>
      <c r="E527" s="128" t="s">
        <v>23</v>
      </c>
      <c r="F527" s="129" t="str">
        <f t="shared" si="18"/>
        <v/>
      </c>
      <c r="G527" s="39"/>
      <c r="H527" s="35"/>
      <c r="I527" s="124">
        <v>0</v>
      </c>
    </row>
    <row r="528" spans="1:9" hidden="1" x14ac:dyDescent="0.25">
      <c r="A528" s="255"/>
      <c r="B528" s="40" t="s">
        <v>3757</v>
      </c>
      <c r="C528" s="40" t="s">
        <v>3752</v>
      </c>
      <c r="D528" s="41">
        <v>7.4147999999999996</v>
      </c>
      <c r="E528" s="38">
        <v>28.0535</v>
      </c>
      <c r="F528" s="38">
        <f t="shared" si="18"/>
        <v>208.01</v>
      </c>
      <c r="G528" s="48">
        <f>SUM(F528:F530)</f>
        <v>1141.02</v>
      </c>
      <c r="H528" s="49"/>
      <c r="I528" s="124">
        <v>0</v>
      </c>
    </row>
    <row r="529" spans="1:9" hidden="1" x14ac:dyDescent="0.25">
      <c r="A529" s="255"/>
      <c r="B529" s="40" t="s">
        <v>3754</v>
      </c>
      <c r="C529" s="40" t="s">
        <v>3752</v>
      </c>
      <c r="D529" s="41">
        <v>4.9432</v>
      </c>
      <c r="E529" s="38">
        <v>20.814499999999999</v>
      </c>
      <c r="F529" s="38">
        <f t="shared" si="18"/>
        <v>102.89</v>
      </c>
      <c r="G529" s="48"/>
      <c r="H529" s="49"/>
      <c r="I529" s="124">
        <v>0</v>
      </c>
    </row>
    <row r="530" spans="1:9" ht="38.25" hidden="1" x14ac:dyDescent="0.25">
      <c r="A530" s="255"/>
      <c r="B530" s="40" t="s">
        <v>4698</v>
      </c>
      <c r="C530" s="58" t="s">
        <v>3764</v>
      </c>
      <c r="D530" s="41">
        <v>1.2030000000000001</v>
      </c>
      <c r="E530" s="35">
        <v>690.03950748500006</v>
      </c>
      <c r="F530" s="38">
        <f t="shared" si="18"/>
        <v>830.12</v>
      </c>
      <c r="G530" s="48"/>
      <c r="H530" s="49"/>
      <c r="I530" s="124">
        <v>0</v>
      </c>
    </row>
    <row r="531" spans="1:9" ht="15.75" hidden="1" thickBot="1" x14ac:dyDescent="0.3">
      <c r="A531" s="269"/>
      <c r="B531" s="135"/>
      <c r="C531" s="136"/>
      <c r="D531" s="130"/>
      <c r="E531" s="87" t="s">
        <v>23</v>
      </c>
      <c r="F531" s="87" t="str">
        <f t="shared" si="18"/>
        <v/>
      </c>
      <c r="G531" s="89"/>
      <c r="H531" s="35"/>
      <c r="I531" s="124">
        <v>0</v>
      </c>
    </row>
    <row r="532" spans="1:9" ht="26.25" hidden="1" customHeight="1" thickBot="1" x14ac:dyDescent="0.3">
      <c r="A532" s="268" t="s">
        <v>4685</v>
      </c>
      <c r="B532" s="28" t="s">
        <v>23</v>
      </c>
      <c r="C532" s="29" t="s">
        <v>1035</v>
      </c>
      <c r="D532" s="127"/>
      <c r="E532" s="45" t="s">
        <v>23</v>
      </c>
      <c r="F532" s="45" t="str">
        <f t="shared" si="18"/>
        <v/>
      </c>
      <c r="G532" s="32"/>
      <c r="H532" s="33"/>
      <c r="I532" s="124">
        <v>0</v>
      </c>
    </row>
    <row r="533" spans="1:9" hidden="1" x14ac:dyDescent="0.25">
      <c r="A533" s="255"/>
      <c r="B533" s="36" t="s">
        <v>23</v>
      </c>
      <c r="C533" s="134"/>
      <c r="D533" s="125"/>
      <c r="E533" s="128" t="s">
        <v>23</v>
      </c>
      <c r="F533" s="129" t="str">
        <f t="shared" si="18"/>
        <v/>
      </c>
      <c r="G533" s="39"/>
      <c r="H533" s="35"/>
      <c r="I533" s="124">
        <v>0</v>
      </c>
    </row>
    <row r="534" spans="1:9" hidden="1" x14ac:dyDescent="0.25">
      <c r="A534" s="255"/>
      <c r="B534" s="40" t="s">
        <v>4150</v>
      </c>
      <c r="C534" s="40" t="s">
        <v>1035</v>
      </c>
      <c r="D534" s="41">
        <v>1</v>
      </c>
      <c r="E534" s="38">
        <v>10.126999999999999</v>
      </c>
      <c r="F534" s="38">
        <f t="shared" si="18"/>
        <v>10.130000000000001</v>
      </c>
      <c r="G534" s="48">
        <f>SUM(F534:F536)</f>
        <v>12.690000000000001</v>
      </c>
      <c r="H534" s="49"/>
      <c r="I534" s="124">
        <v>0</v>
      </c>
    </row>
    <row r="535" spans="1:9" hidden="1" x14ac:dyDescent="0.25">
      <c r="A535" s="255"/>
      <c r="B535" s="40" t="s">
        <v>4167</v>
      </c>
      <c r="C535" s="40" t="s">
        <v>3752</v>
      </c>
      <c r="D535" s="41">
        <v>4.1000000000000002E-2</v>
      </c>
      <c r="E535" s="38">
        <v>20.785999999999998</v>
      </c>
      <c r="F535" s="38">
        <f t="shared" si="18"/>
        <v>0.85</v>
      </c>
      <c r="G535" s="48"/>
      <c r="H535" s="49"/>
      <c r="I535" s="124">
        <v>0</v>
      </c>
    </row>
    <row r="536" spans="1:9" hidden="1" x14ac:dyDescent="0.25">
      <c r="A536" s="255"/>
      <c r="B536" s="40" t="s">
        <v>3977</v>
      </c>
      <c r="C536" s="40" t="s">
        <v>3752</v>
      </c>
      <c r="D536" s="41">
        <v>6.1499999999999999E-2</v>
      </c>
      <c r="E536" s="35">
        <v>27.853999999999999</v>
      </c>
      <c r="F536" s="38">
        <f t="shared" si="18"/>
        <v>1.71</v>
      </c>
      <c r="G536" s="48"/>
      <c r="H536" s="49"/>
      <c r="I536" s="124">
        <v>0</v>
      </c>
    </row>
    <row r="537" spans="1:9" ht="15.75" hidden="1" thickBot="1" x14ac:dyDescent="0.3">
      <c r="A537" s="269"/>
      <c r="B537" s="135"/>
      <c r="C537" s="136"/>
      <c r="D537" s="130"/>
      <c r="E537" s="87" t="s">
        <v>23</v>
      </c>
      <c r="F537" s="87" t="str">
        <f t="shared" si="18"/>
        <v/>
      </c>
      <c r="G537" s="89"/>
      <c r="H537" s="35"/>
      <c r="I537" s="124">
        <v>0</v>
      </c>
    </row>
    <row r="538" spans="1:9" ht="26.25" hidden="1" customHeight="1" thickBot="1" x14ac:dyDescent="0.3">
      <c r="A538" s="268" t="s">
        <v>4686</v>
      </c>
      <c r="B538" s="28" t="s">
        <v>23</v>
      </c>
      <c r="C538" s="29" t="s">
        <v>1035</v>
      </c>
      <c r="D538" s="127"/>
      <c r="E538" s="45" t="s">
        <v>23</v>
      </c>
      <c r="F538" s="45" t="str">
        <f t="shared" si="18"/>
        <v/>
      </c>
      <c r="G538" s="32"/>
      <c r="H538" s="33"/>
      <c r="I538" s="124">
        <v>0</v>
      </c>
    </row>
    <row r="539" spans="1:9" hidden="1" x14ac:dyDescent="0.25">
      <c r="A539" s="255"/>
      <c r="B539" s="36" t="s">
        <v>23</v>
      </c>
      <c r="C539" s="134"/>
      <c r="D539" s="125"/>
      <c r="E539" s="128" t="s">
        <v>23</v>
      </c>
      <c r="F539" s="129" t="str">
        <f t="shared" si="18"/>
        <v/>
      </c>
      <c r="G539" s="39"/>
      <c r="H539" s="35"/>
      <c r="I539" s="124">
        <v>0</v>
      </c>
    </row>
    <row r="540" spans="1:9" hidden="1" x14ac:dyDescent="0.25">
      <c r="A540" s="255"/>
      <c r="B540" s="40" t="s">
        <v>4150</v>
      </c>
      <c r="C540" s="40" t="s">
        <v>1035</v>
      </c>
      <c r="D540" s="41">
        <v>1</v>
      </c>
      <c r="E540" s="38">
        <v>10.126999999999999</v>
      </c>
      <c r="F540" s="38">
        <f t="shared" si="18"/>
        <v>10.130000000000001</v>
      </c>
      <c r="G540" s="48">
        <f>SUM(F540:F542)</f>
        <v>12.17</v>
      </c>
      <c r="H540" s="49"/>
      <c r="I540" s="124">
        <v>0</v>
      </c>
    </row>
    <row r="541" spans="1:9" hidden="1" x14ac:dyDescent="0.25">
      <c r="A541" s="255"/>
      <c r="B541" s="40" t="s">
        <v>4167</v>
      </c>
      <c r="C541" s="40" t="s">
        <v>3752</v>
      </c>
      <c r="D541" s="41">
        <v>3.2500000000000001E-2</v>
      </c>
      <c r="E541" s="38">
        <v>20.785999999999998</v>
      </c>
      <c r="F541" s="38">
        <f t="shared" si="18"/>
        <v>0.68</v>
      </c>
      <c r="G541" s="48"/>
      <c r="H541" s="49"/>
      <c r="I541" s="124">
        <v>0</v>
      </c>
    </row>
    <row r="542" spans="1:9" hidden="1" x14ac:dyDescent="0.25">
      <c r="A542" s="255"/>
      <c r="B542" s="40" t="s">
        <v>3977</v>
      </c>
      <c r="C542" s="40" t="s">
        <v>3752</v>
      </c>
      <c r="D542" s="41">
        <v>4.8800000000000003E-2</v>
      </c>
      <c r="E542" s="35">
        <v>27.853999999999999</v>
      </c>
      <c r="F542" s="38">
        <f t="shared" si="18"/>
        <v>1.36</v>
      </c>
      <c r="G542" s="48"/>
      <c r="H542" s="49"/>
      <c r="I542" s="124">
        <v>0</v>
      </c>
    </row>
    <row r="543" spans="1:9" ht="15.75" hidden="1" thickBot="1" x14ac:dyDescent="0.3">
      <c r="A543" s="269"/>
      <c r="B543" s="135"/>
      <c r="C543" s="136"/>
      <c r="D543" s="130"/>
      <c r="E543" s="87" t="s">
        <v>23</v>
      </c>
      <c r="F543" s="87" t="str">
        <f t="shared" si="18"/>
        <v/>
      </c>
      <c r="G543" s="89"/>
      <c r="H543" s="35"/>
      <c r="I543" s="124">
        <v>0</v>
      </c>
    </row>
    <row r="544" spans="1:9" ht="15.75" hidden="1" thickBot="1" x14ac:dyDescent="0.3">
      <c r="A544" s="268" t="s">
        <v>4718</v>
      </c>
      <c r="B544" s="28" t="s">
        <v>23</v>
      </c>
      <c r="C544" s="29" t="s">
        <v>177</v>
      </c>
      <c r="D544" s="127"/>
      <c r="E544" s="31" t="s">
        <v>23</v>
      </c>
      <c r="F544" s="31" t="str">
        <f t="shared" ref="F544:F550" si="19">IF(ISNUMBER(E544),E544*$D544,"")</f>
        <v/>
      </c>
      <c r="G544" s="32"/>
      <c r="H544" s="33"/>
      <c r="I544" s="124">
        <v>0</v>
      </c>
    </row>
    <row r="545" spans="1:9" hidden="1" x14ac:dyDescent="0.25">
      <c r="A545" s="255"/>
      <c r="B545" s="36" t="s">
        <v>23</v>
      </c>
      <c r="C545" s="36"/>
      <c r="D545" s="125"/>
      <c r="E545" s="35" t="s">
        <v>23</v>
      </c>
      <c r="F545" s="35" t="str">
        <f t="shared" si="19"/>
        <v/>
      </c>
      <c r="G545" s="39"/>
      <c r="H545" s="35"/>
      <c r="I545" s="124">
        <v>0</v>
      </c>
    </row>
    <row r="546" spans="1:9" hidden="1" x14ac:dyDescent="0.25">
      <c r="A546" s="255"/>
      <c r="B546" s="40" t="s">
        <v>3757</v>
      </c>
      <c r="C546" s="40" t="s">
        <v>3752</v>
      </c>
      <c r="D546" s="41">
        <v>5.0700000000000002E-2</v>
      </c>
      <c r="E546" s="35">
        <v>28.0535</v>
      </c>
      <c r="F546" s="38">
        <f t="shared" si="19"/>
        <v>1.42231245</v>
      </c>
      <c r="G546" s="48">
        <f>SUM(F546:F549)</f>
        <v>3.0869328500000002</v>
      </c>
      <c r="H546" s="49"/>
      <c r="I546" s="124">
        <v>0</v>
      </c>
    </row>
    <row r="547" spans="1:9" hidden="1" x14ac:dyDescent="0.25">
      <c r="A547" s="255"/>
      <c r="B547" s="40" t="s">
        <v>3754</v>
      </c>
      <c r="C547" s="40" t="s">
        <v>3752</v>
      </c>
      <c r="D547" s="41">
        <v>7.5999999999999998E-2</v>
      </c>
      <c r="E547" s="38">
        <v>20.814499999999999</v>
      </c>
      <c r="F547" s="38">
        <f t="shared" si="19"/>
        <v>1.5819019999999999</v>
      </c>
      <c r="G547" s="48"/>
      <c r="H547" s="49"/>
      <c r="I547" s="124">
        <v>0</v>
      </c>
    </row>
    <row r="548" spans="1:9" ht="38.25" hidden="1" x14ac:dyDescent="0.25">
      <c r="A548" s="255"/>
      <c r="B548" s="40" t="s">
        <v>4018</v>
      </c>
      <c r="C548" s="40" t="s">
        <v>1041</v>
      </c>
      <c r="D548" s="41">
        <v>1.6000000000000001E-3</v>
      </c>
      <c r="E548" s="35">
        <v>29.012999999999998</v>
      </c>
      <c r="F548" s="38">
        <f t="shared" si="19"/>
        <v>4.6420799999999998E-2</v>
      </c>
      <c r="G548" s="48"/>
      <c r="H548" s="49"/>
      <c r="I548" s="124">
        <v>0</v>
      </c>
    </row>
    <row r="549" spans="1:9" ht="38.25" hidden="1" x14ac:dyDescent="0.25">
      <c r="A549" s="255"/>
      <c r="B549" s="40" t="s">
        <v>4019</v>
      </c>
      <c r="C549" s="40" t="s">
        <v>1052</v>
      </c>
      <c r="D549" s="41">
        <v>1.6000000000000001E-3</v>
      </c>
      <c r="E549" s="35">
        <v>22.685999999999996</v>
      </c>
      <c r="F549" s="38">
        <f t="shared" si="19"/>
        <v>3.6297599999999999E-2</v>
      </c>
      <c r="G549" s="48"/>
      <c r="H549" s="49"/>
      <c r="I549" s="124">
        <v>0</v>
      </c>
    </row>
    <row r="550" spans="1:9" ht="15.75" hidden="1" thickBot="1" x14ac:dyDescent="0.3">
      <c r="A550" s="269"/>
      <c r="B550" s="60" t="s">
        <v>23</v>
      </c>
      <c r="C550" s="60"/>
      <c r="D550" s="130"/>
      <c r="E550" s="87" t="s">
        <v>23</v>
      </c>
      <c r="F550" s="88" t="str">
        <f t="shared" si="19"/>
        <v/>
      </c>
      <c r="G550" s="89"/>
      <c r="H550" s="35"/>
      <c r="I550" s="124">
        <v>0</v>
      </c>
    </row>
    <row r="551" spans="1:9" ht="26.25" hidden="1" customHeight="1" thickBot="1" x14ac:dyDescent="0.3">
      <c r="A551" s="268" t="s">
        <v>4726</v>
      </c>
      <c r="B551" s="28" t="s">
        <v>23</v>
      </c>
      <c r="C551" s="29" t="s">
        <v>3764</v>
      </c>
      <c r="D551" s="127"/>
      <c r="E551" s="45" t="s">
        <v>23</v>
      </c>
      <c r="F551" s="45" t="str">
        <f>IF(ISNUMBER(E551),ROUND(E551*$D551,2),"")</f>
        <v/>
      </c>
      <c r="G551" s="32"/>
      <c r="H551" s="33"/>
      <c r="I551" s="124">
        <v>0</v>
      </c>
    </row>
    <row r="552" spans="1:9" hidden="1" x14ac:dyDescent="0.25">
      <c r="A552" s="255"/>
      <c r="B552" s="36" t="s">
        <v>23</v>
      </c>
      <c r="C552" s="134"/>
      <c r="D552" s="125"/>
      <c r="E552" s="128" t="s">
        <v>23</v>
      </c>
      <c r="F552" s="129" t="str">
        <f>IF(ISNUMBER(E552),ROUND(E552*$D552,2),"")</f>
        <v/>
      </c>
      <c r="G552" s="39"/>
      <c r="H552" s="35"/>
      <c r="I552" s="124">
        <v>0</v>
      </c>
    </row>
    <row r="553" spans="1:9" ht="25.5" hidden="1" x14ac:dyDescent="0.25">
      <c r="A553" s="255"/>
      <c r="B553" s="40" t="s">
        <v>3763</v>
      </c>
      <c r="C553" s="40" t="s">
        <v>3764</v>
      </c>
      <c r="D553" s="41">
        <v>1.17</v>
      </c>
      <c r="E553" s="38">
        <v>204.23099999999999</v>
      </c>
      <c r="F553" s="38">
        <f>IF(ISNUMBER(E553),ROUND(E553*$D553,2),"")</f>
        <v>238.95</v>
      </c>
      <c r="G553" s="48">
        <f>SUM(F553:F562)</f>
        <v>735.77406206249998</v>
      </c>
      <c r="H553" s="49"/>
      <c r="I553" s="124">
        <v>0</v>
      </c>
    </row>
    <row r="554" spans="1:9" hidden="1" x14ac:dyDescent="0.25">
      <c r="A554" s="255"/>
      <c r="B554" s="40" t="s">
        <v>3811</v>
      </c>
      <c r="C554" s="40" t="s">
        <v>1035</v>
      </c>
      <c r="D554" s="41">
        <v>117.22</v>
      </c>
      <c r="E554" s="35">
        <v>1.2825</v>
      </c>
      <c r="F554" s="38">
        <f>IF(ISNUMBER(E554),ROUND(E554*$D554,2),"")</f>
        <v>150.33000000000001</v>
      </c>
      <c r="G554" s="48"/>
      <c r="H554" s="49"/>
      <c r="I554" s="124">
        <v>0</v>
      </c>
    </row>
    <row r="555" spans="1:9" hidden="1" x14ac:dyDescent="0.25">
      <c r="A555" s="255"/>
      <c r="B555" s="40" t="s">
        <v>3759</v>
      </c>
      <c r="C555" s="40" t="s">
        <v>1035</v>
      </c>
      <c r="D555" s="41">
        <v>263.74</v>
      </c>
      <c r="E555" s="35">
        <v>0.627</v>
      </c>
      <c r="F555" s="38">
        <f>IF(ISNUMBER(E555),ROUND(E555*$D555,2),"")</f>
        <v>165.36</v>
      </c>
      <c r="G555" s="48"/>
      <c r="H555" s="49"/>
      <c r="I555" s="124">
        <v>0</v>
      </c>
    </row>
    <row r="556" spans="1:9" ht="25.5" hidden="1" x14ac:dyDescent="0.25">
      <c r="A556" s="255"/>
      <c r="B556" s="40" t="s">
        <v>3805</v>
      </c>
      <c r="C556" s="40" t="s">
        <v>3752</v>
      </c>
      <c r="D556" s="41">
        <v>5.16</v>
      </c>
      <c r="E556" s="35">
        <v>20.918999999999997</v>
      </c>
      <c r="F556" s="38">
        <f>IF(ISNUMBER(E556),E556*$D556,"")</f>
        <v>107.94203999999999</v>
      </c>
      <c r="G556" s="48"/>
      <c r="H556" s="49"/>
      <c r="I556" s="124">
        <v>0</v>
      </c>
    </row>
    <row r="557" spans="1:9" ht="38.25" hidden="1" x14ac:dyDescent="0.25">
      <c r="A557" s="255"/>
      <c r="B557" s="40" t="s">
        <v>4115</v>
      </c>
      <c r="C557" s="40" t="s">
        <v>1041</v>
      </c>
      <c r="D557" s="41">
        <v>1.2</v>
      </c>
      <c r="E557" s="35">
        <v>1.5579999999999998</v>
      </c>
      <c r="F557" s="38">
        <f>IF(ISNUMBER(E557),E557*$D557,"")</f>
        <v>1.8695999999999997</v>
      </c>
      <c r="G557" s="48"/>
      <c r="H557" s="49"/>
      <c r="I557" s="124">
        <v>0</v>
      </c>
    </row>
    <row r="558" spans="1:9" ht="38.25" hidden="1" x14ac:dyDescent="0.25">
      <c r="A558" s="255"/>
      <c r="B558" s="40" t="s">
        <v>4121</v>
      </c>
      <c r="C558" s="40" t="s">
        <v>1052</v>
      </c>
      <c r="D558" s="41">
        <v>3.96</v>
      </c>
      <c r="E558" s="35">
        <v>0.38</v>
      </c>
      <c r="F558" s="38">
        <f>IF(ISNUMBER(E558),E558*$D558,"")</f>
        <v>1.5047999999999999</v>
      </c>
      <c r="G558" s="48"/>
      <c r="H558" s="49"/>
      <c r="I558" s="124">
        <v>0</v>
      </c>
    </row>
    <row r="559" spans="1:9" ht="51" hidden="1" x14ac:dyDescent="0.25">
      <c r="A559" s="255"/>
      <c r="B559" s="40" t="s">
        <v>4752</v>
      </c>
      <c r="C559" s="40" t="s">
        <v>3764</v>
      </c>
      <c r="D559" s="41">
        <f>ROUND(1*(D553),4)</f>
        <v>1.17</v>
      </c>
      <c r="E559" s="35">
        <v>7.75243225</v>
      </c>
      <c r="F559" s="38">
        <f>IF(ISNUMBER(E559),E559*$D559,"")</f>
        <v>9.0703457324999999</v>
      </c>
      <c r="G559" s="48"/>
      <c r="H559" s="49"/>
      <c r="I559" s="124">
        <v>0</v>
      </c>
    </row>
    <row r="560" spans="1:9" ht="38.25" hidden="1" x14ac:dyDescent="0.25">
      <c r="A560" s="255"/>
      <c r="B560" s="40" t="s">
        <v>4749</v>
      </c>
      <c r="C560" s="53" t="s">
        <v>4744</v>
      </c>
      <c r="D560" s="41">
        <f>ROUND(D553*20,4)</f>
        <v>23.4</v>
      </c>
      <c r="E560" s="35">
        <v>2.5960374499999999</v>
      </c>
      <c r="F560" s="38">
        <f>IF(ISNUMBER(E560),E560*$D560,"")</f>
        <v>60.747276329999991</v>
      </c>
      <c r="G560" s="48"/>
      <c r="H560" s="49"/>
      <c r="I560" s="124">
        <v>0</v>
      </c>
    </row>
    <row r="561" spans="1:9" hidden="1" x14ac:dyDescent="0.25">
      <c r="A561" s="255"/>
      <c r="B561" s="52"/>
      <c r="C561" s="137"/>
      <c r="D561" s="41"/>
      <c r="E561" s="35" t="s">
        <v>23</v>
      </c>
      <c r="F561" s="38" t="str">
        <f t="shared" ref="F561:F586" si="20">IF(ISNUMBER(E561),ROUND(E561*$D561,2),"")</f>
        <v/>
      </c>
      <c r="G561" s="48"/>
      <c r="H561" s="49"/>
      <c r="I561" s="124">
        <v>0</v>
      </c>
    </row>
    <row r="562" spans="1:9" ht="24.95" hidden="1" customHeight="1" x14ac:dyDescent="0.25">
      <c r="A562" s="255"/>
      <c r="B562" s="50" t="s">
        <v>646</v>
      </c>
      <c r="C562" s="137"/>
      <c r="D562" s="41"/>
      <c r="E562" s="35" t="s">
        <v>23</v>
      </c>
      <c r="F562" s="38" t="str">
        <f t="shared" si="20"/>
        <v/>
      </c>
      <c r="G562" s="48"/>
      <c r="H562" s="49"/>
      <c r="I562" s="124">
        <v>0</v>
      </c>
    </row>
    <row r="563" spans="1:9" ht="15.75" hidden="1" thickBot="1" x14ac:dyDescent="0.3">
      <c r="A563" s="269"/>
      <c r="B563" s="135"/>
      <c r="C563" s="136"/>
      <c r="D563" s="130"/>
      <c r="E563" s="87" t="s">
        <v>23</v>
      </c>
      <c r="F563" s="87" t="str">
        <f t="shared" si="20"/>
        <v/>
      </c>
      <c r="G563" s="89"/>
      <c r="H563" s="35"/>
      <c r="I563" s="124">
        <v>0</v>
      </c>
    </row>
    <row r="564" spans="1:9" ht="26.25" hidden="1" customHeight="1" thickBot="1" x14ac:dyDescent="0.3">
      <c r="A564" s="268" t="s">
        <v>4690</v>
      </c>
      <c r="B564" s="28" t="s">
        <v>23</v>
      </c>
      <c r="C564" s="29" t="s">
        <v>1035</v>
      </c>
      <c r="D564" s="127"/>
      <c r="E564" s="45" t="s">
        <v>23</v>
      </c>
      <c r="F564" s="45" t="str">
        <f t="shared" si="20"/>
        <v/>
      </c>
      <c r="G564" s="32"/>
      <c r="H564" s="33"/>
      <c r="I564" s="124">
        <v>0</v>
      </c>
    </row>
    <row r="565" spans="1:9" hidden="1" x14ac:dyDescent="0.25">
      <c r="A565" s="255"/>
      <c r="B565" s="36" t="s">
        <v>23</v>
      </c>
      <c r="C565" s="134"/>
      <c r="D565" s="125"/>
      <c r="E565" s="128" t="s">
        <v>23</v>
      </c>
      <c r="F565" s="129" t="str">
        <f t="shared" si="20"/>
        <v/>
      </c>
      <c r="G565" s="39"/>
      <c r="H565" s="35"/>
      <c r="I565" s="124">
        <v>0</v>
      </c>
    </row>
    <row r="566" spans="1:9" hidden="1" x14ac:dyDescent="0.25">
      <c r="A566" s="255"/>
      <c r="B566" s="40" t="s">
        <v>4138</v>
      </c>
      <c r="C566" s="40" t="s">
        <v>1035</v>
      </c>
      <c r="D566" s="41">
        <v>1.07</v>
      </c>
      <c r="E566" s="38">
        <v>9.5759999999999987</v>
      </c>
      <c r="F566" s="38">
        <f t="shared" si="20"/>
        <v>10.25</v>
      </c>
      <c r="G566" s="48">
        <f>SUM(F566:F568)</f>
        <v>12.07</v>
      </c>
      <c r="H566" s="49"/>
      <c r="I566" s="124">
        <v>0</v>
      </c>
    </row>
    <row r="567" spans="1:9" hidden="1" x14ac:dyDescent="0.25">
      <c r="A567" s="255"/>
      <c r="B567" s="40" t="s">
        <v>4167</v>
      </c>
      <c r="C567" s="40" t="s">
        <v>3752</v>
      </c>
      <c r="D567" s="41">
        <v>9.4999999999999998E-3</v>
      </c>
      <c r="E567" s="38">
        <v>20.785999999999998</v>
      </c>
      <c r="F567" s="38">
        <f t="shared" si="20"/>
        <v>0.2</v>
      </c>
      <c r="G567" s="48"/>
      <c r="H567" s="49"/>
      <c r="I567" s="124">
        <v>0</v>
      </c>
    </row>
    <row r="568" spans="1:9" hidden="1" x14ac:dyDescent="0.25">
      <c r="A568" s="255"/>
      <c r="B568" s="40" t="s">
        <v>3977</v>
      </c>
      <c r="C568" s="40" t="s">
        <v>3752</v>
      </c>
      <c r="D568" s="41">
        <v>5.8099999999999999E-2</v>
      </c>
      <c r="E568" s="35">
        <v>27.853999999999999</v>
      </c>
      <c r="F568" s="38">
        <f t="shared" si="20"/>
        <v>1.62</v>
      </c>
      <c r="G568" s="48"/>
      <c r="H568" s="49"/>
      <c r="I568" s="124">
        <v>0</v>
      </c>
    </row>
    <row r="569" spans="1:9" ht="15.75" hidden="1" thickBot="1" x14ac:dyDescent="0.3">
      <c r="A569" s="269"/>
      <c r="B569" s="135"/>
      <c r="C569" s="136"/>
      <c r="D569" s="130"/>
      <c r="E569" s="87" t="s">
        <v>23</v>
      </c>
      <c r="F569" s="87" t="str">
        <f t="shared" si="20"/>
        <v/>
      </c>
      <c r="G569" s="89"/>
      <c r="H569" s="35"/>
      <c r="I569" s="124">
        <v>0</v>
      </c>
    </row>
    <row r="570" spans="1:9" ht="26.25" hidden="1" customHeight="1" thickBot="1" x14ac:dyDescent="0.3">
      <c r="A570" s="268" t="s">
        <v>4695</v>
      </c>
      <c r="B570" s="28" t="s">
        <v>23</v>
      </c>
      <c r="C570" s="29" t="s">
        <v>1035</v>
      </c>
      <c r="D570" s="127"/>
      <c r="E570" s="45" t="s">
        <v>23</v>
      </c>
      <c r="F570" s="45" t="str">
        <f t="shared" si="20"/>
        <v/>
      </c>
      <c r="G570" s="32"/>
      <c r="H570" s="33"/>
      <c r="I570" s="124">
        <v>0</v>
      </c>
    </row>
    <row r="571" spans="1:9" hidden="1" x14ac:dyDescent="0.25">
      <c r="A571" s="255"/>
      <c r="B571" s="36" t="s">
        <v>23</v>
      </c>
      <c r="C571" s="134"/>
      <c r="D571" s="125"/>
      <c r="E571" s="128" t="s">
        <v>23</v>
      </c>
      <c r="F571" s="129" t="str">
        <f t="shared" si="20"/>
        <v/>
      </c>
      <c r="G571" s="39"/>
      <c r="H571" s="35"/>
      <c r="I571" s="124">
        <v>0</v>
      </c>
    </row>
    <row r="572" spans="1:9" ht="25.5" hidden="1" x14ac:dyDescent="0.25">
      <c r="A572" s="255"/>
      <c r="B572" s="40" t="s">
        <v>4033</v>
      </c>
      <c r="C572" s="40" t="s">
        <v>1035</v>
      </c>
      <c r="D572" s="41">
        <v>0.02</v>
      </c>
      <c r="E572" s="38">
        <v>18.249500000000001</v>
      </c>
      <c r="F572" s="38">
        <f t="shared" si="20"/>
        <v>0.36</v>
      </c>
      <c r="G572" s="48">
        <f>SUM(F572:F575)</f>
        <v>10.5</v>
      </c>
      <c r="H572" s="49"/>
      <c r="I572" s="124">
        <v>0</v>
      </c>
    </row>
    <row r="573" spans="1:9" hidden="1" x14ac:dyDescent="0.25">
      <c r="A573" s="255"/>
      <c r="B573" s="40" t="s">
        <v>4167</v>
      </c>
      <c r="C573" s="40" t="s">
        <v>3752</v>
      </c>
      <c r="D573" s="41">
        <v>2.0999999999999999E-3</v>
      </c>
      <c r="E573" s="38">
        <v>20.785999999999998</v>
      </c>
      <c r="F573" s="38">
        <f t="shared" si="20"/>
        <v>0.04</v>
      </c>
      <c r="G573" s="48"/>
      <c r="H573" s="49"/>
      <c r="I573" s="124">
        <v>0</v>
      </c>
    </row>
    <row r="574" spans="1:9" hidden="1" x14ac:dyDescent="0.25">
      <c r="A574" s="255"/>
      <c r="B574" s="40" t="s">
        <v>3977</v>
      </c>
      <c r="C574" s="40" t="s">
        <v>3752</v>
      </c>
      <c r="D574" s="41">
        <v>1.06E-2</v>
      </c>
      <c r="E574" s="38">
        <v>27.853999999999999</v>
      </c>
      <c r="F574" s="38">
        <f t="shared" si="20"/>
        <v>0.3</v>
      </c>
      <c r="G574" s="48"/>
      <c r="H574" s="49"/>
      <c r="I574" s="124">
        <v>0</v>
      </c>
    </row>
    <row r="575" spans="1:9" hidden="1" x14ac:dyDescent="0.25">
      <c r="A575" s="255"/>
      <c r="B575" s="40" t="s">
        <v>4693</v>
      </c>
      <c r="C575" s="58" t="s">
        <v>1035</v>
      </c>
      <c r="D575" s="41">
        <v>1</v>
      </c>
      <c r="E575" s="35">
        <v>9.8026700000000009</v>
      </c>
      <c r="F575" s="38">
        <f t="shared" si="20"/>
        <v>9.8000000000000007</v>
      </c>
      <c r="G575" s="48"/>
      <c r="H575" s="49"/>
      <c r="I575" s="124">
        <v>0</v>
      </c>
    </row>
    <row r="576" spans="1:9" ht="15.75" hidden="1" thickBot="1" x14ac:dyDescent="0.3">
      <c r="A576" s="269"/>
      <c r="B576" s="135"/>
      <c r="C576" s="136"/>
      <c r="D576" s="130"/>
      <c r="E576" s="87" t="s">
        <v>23</v>
      </c>
      <c r="F576" s="87" t="str">
        <f t="shared" si="20"/>
        <v/>
      </c>
      <c r="G576" s="89"/>
      <c r="H576" s="35"/>
      <c r="I576" s="124">
        <v>0</v>
      </c>
    </row>
    <row r="577" spans="1:9" ht="26.25" hidden="1" customHeight="1" thickBot="1" x14ac:dyDescent="0.3">
      <c r="A577" s="268" t="s">
        <v>4748</v>
      </c>
      <c r="B577" s="28" t="s">
        <v>23</v>
      </c>
      <c r="C577" s="29" t="s">
        <v>4744</v>
      </c>
      <c r="D577" s="127"/>
      <c r="E577" s="45" t="s">
        <v>23</v>
      </c>
      <c r="F577" s="45" t="str">
        <f t="shared" si="20"/>
        <v/>
      </c>
      <c r="G577" s="32"/>
      <c r="H577" s="33"/>
      <c r="I577" s="124">
        <v>0</v>
      </c>
    </row>
    <row r="578" spans="1:9" hidden="1" x14ac:dyDescent="0.25">
      <c r="A578" s="255"/>
      <c r="B578" s="36" t="s">
        <v>23</v>
      </c>
      <c r="C578" s="134"/>
      <c r="D578" s="125"/>
      <c r="E578" s="128" t="s">
        <v>23</v>
      </c>
      <c r="F578" s="129" t="str">
        <f t="shared" si="20"/>
        <v/>
      </c>
      <c r="G578" s="39"/>
      <c r="H578" s="35"/>
      <c r="I578" s="124">
        <v>0</v>
      </c>
    </row>
    <row r="579" spans="1:9" ht="51" hidden="1" x14ac:dyDescent="0.25">
      <c r="A579" s="255"/>
      <c r="B579" s="40" t="s">
        <v>3792</v>
      </c>
      <c r="C579" s="40" t="s">
        <v>1041</v>
      </c>
      <c r="D579" s="41">
        <v>1.52E-2</v>
      </c>
      <c r="E579" s="38">
        <v>163.4855</v>
      </c>
      <c r="F579" s="38">
        <f t="shared" si="20"/>
        <v>2.48</v>
      </c>
      <c r="G579" s="48">
        <f>SUM(F579:F580)</f>
        <v>2.83</v>
      </c>
      <c r="H579" s="49"/>
      <c r="I579" s="124">
        <v>0</v>
      </c>
    </row>
    <row r="580" spans="1:9" ht="51" hidden="1" x14ac:dyDescent="0.25">
      <c r="A580" s="255"/>
      <c r="B580" s="40" t="s">
        <v>3962</v>
      </c>
      <c r="C580" s="40" t="s">
        <v>1052</v>
      </c>
      <c r="D580" s="41">
        <v>6.4999999999999997E-3</v>
      </c>
      <c r="E580" s="38">
        <v>53.9315</v>
      </c>
      <c r="F580" s="38">
        <f t="shared" si="20"/>
        <v>0.35</v>
      </c>
      <c r="G580" s="48"/>
      <c r="H580" s="49"/>
      <c r="I580" s="124">
        <v>0</v>
      </c>
    </row>
    <row r="581" spans="1:9" ht="15.75" hidden="1" thickBot="1" x14ac:dyDescent="0.3">
      <c r="A581" s="269"/>
      <c r="B581" s="135"/>
      <c r="C581" s="136"/>
      <c r="D581" s="130"/>
      <c r="E581" s="87" t="s">
        <v>23</v>
      </c>
      <c r="F581" s="87" t="str">
        <f t="shared" si="20"/>
        <v/>
      </c>
      <c r="G581" s="89"/>
      <c r="H581" s="35"/>
      <c r="I581" s="124">
        <v>0</v>
      </c>
    </row>
    <row r="582" spans="1:9" ht="26.25" hidden="1" customHeight="1" thickBot="1" x14ac:dyDescent="0.3">
      <c r="A582" s="268" t="s">
        <v>4742</v>
      </c>
      <c r="B582" s="28" t="s">
        <v>23</v>
      </c>
      <c r="C582" s="29" t="s">
        <v>3764</v>
      </c>
      <c r="D582" s="127"/>
      <c r="E582" s="45" t="s">
        <v>23</v>
      </c>
      <c r="F582" s="45" t="str">
        <f t="shared" si="20"/>
        <v/>
      </c>
      <c r="G582" s="32"/>
      <c r="H582" s="33"/>
      <c r="I582" s="124">
        <v>0</v>
      </c>
    </row>
    <row r="583" spans="1:9" hidden="1" x14ac:dyDescent="0.25">
      <c r="A583" s="255"/>
      <c r="B583" s="36" t="s">
        <v>23</v>
      </c>
      <c r="C583" s="134"/>
      <c r="D583" s="125"/>
      <c r="E583" s="128" t="s">
        <v>23</v>
      </c>
      <c r="F583" s="129" t="str">
        <f t="shared" si="20"/>
        <v/>
      </c>
      <c r="G583" s="39"/>
      <c r="H583" s="35"/>
      <c r="I583" s="124">
        <v>0</v>
      </c>
    </row>
    <row r="584" spans="1:9" ht="25.5" hidden="1" x14ac:dyDescent="0.25">
      <c r="A584" s="255"/>
      <c r="B584" s="40" t="s">
        <v>3763</v>
      </c>
      <c r="C584" s="40" t="s">
        <v>3764</v>
      </c>
      <c r="D584" s="41">
        <v>1.19</v>
      </c>
      <c r="E584" s="38">
        <v>204.23099999999999</v>
      </c>
      <c r="F584" s="38">
        <f t="shared" si="20"/>
        <v>243.03</v>
      </c>
      <c r="G584" s="48">
        <f>SUM(F584:F593)</f>
        <v>721.91104568749995</v>
      </c>
      <c r="H584" s="49"/>
      <c r="I584" s="124">
        <v>0</v>
      </c>
    </row>
    <row r="585" spans="1:9" hidden="1" x14ac:dyDescent="0.25">
      <c r="A585" s="255"/>
      <c r="B585" s="40" t="s">
        <v>3811</v>
      </c>
      <c r="C585" s="40" t="s">
        <v>1035</v>
      </c>
      <c r="D585" s="41">
        <v>158.94999999999999</v>
      </c>
      <c r="E585" s="35">
        <v>1.2825</v>
      </c>
      <c r="F585" s="38">
        <f t="shared" si="20"/>
        <v>203.85</v>
      </c>
      <c r="G585" s="48"/>
      <c r="H585" s="49"/>
      <c r="I585" s="124">
        <v>0</v>
      </c>
    </row>
    <row r="586" spans="1:9" hidden="1" x14ac:dyDescent="0.25">
      <c r="A586" s="255"/>
      <c r="B586" s="40" t="s">
        <v>3759</v>
      </c>
      <c r="C586" s="40" t="s">
        <v>1035</v>
      </c>
      <c r="D586" s="41">
        <v>178.82</v>
      </c>
      <c r="E586" s="35">
        <v>0.627</v>
      </c>
      <c r="F586" s="38">
        <f t="shared" si="20"/>
        <v>112.12</v>
      </c>
      <c r="G586" s="48"/>
      <c r="H586" s="49"/>
      <c r="I586" s="124">
        <v>0</v>
      </c>
    </row>
    <row r="587" spans="1:9" ht="25.5" hidden="1" x14ac:dyDescent="0.25">
      <c r="A587" s="255"/>
      <c r="B587" s="40" t="s">
        <v>3805</v>
      </c>
      <c r="C587" s="40" t="s">
        <v>3752</v>
      </c>
      <c r="D587" s="41">
        <v>4.26</v>
      </c>
      <c r="E587" s="35">
        <v>20.918999999999997</v>
      </c>
      <c r="F587" s="38">
        <f>IF(ISNUMBER(E587),E587*$D587,"")</f>
        <v>89.114939999999976</v>
      </c>
      <c r="G587" s="48"/>
      <c r="H587" s="49"/>
      <c r="I587" s="124">
        <v>0</v>
      </c>
    </row>
    <row r="588" spans="1:9" ht="38.25" hidden="1" x14ac:dyDescent="0.25">
      <c r="A588" s="255"/>
      <c r="B588" s="40" t="s">
        <v>4115</v>
      </c>
      <c r="C588" s="40" t="s">
        <v>1041</v>
      </c>
      <c r="D588" s="41">
        <v>0.99</v>
      </c>
      <c r="E588" s="35">
        <v>1.5579999999999998</v>
      </c>
      <c r="F588" s="38">
        <f>IF(ISNUMBER(E588),E588*$D588,"")</f>
        <v>1.5424199999999999</v>
      </c>
      <c r="G588" s="48"/>
      <c r="H588" s="49"/>
      <c r="I588" s="124">
        <v>0</v>
      </c>
    </row>
    <row r="589" spans="1:9" ht="38.25" hidden="1" x14ac:dyDescent="0.25">
      <c r="A589" s="255"/>
      <c r="B589" s="40" t="s">
        <v>4121</v>
      </c>
      <c r="C589" s="40" t="s">
        <v>1052</v>
      </c>
      <c r="D589" s="41">
        <v>3.27</v>
      </c>
      <c r="E589" s="35">
        <v>0.38</v>
      </c>
      <c r="F589" s="38">
        <f>IF(ISNUMBER(E589),E589*$D589,"")</f>
        <v>1.2425999999999999</v>
      </c>
      <c r="G589" s="48"/>
      <c r="H589" s="49"/>
      <c r="I589" s="124">
        <v>0</v>
      </c>
    </row>
    <row r="590" spans="1:9" ht="51" hidden="1" x14ac:dyDescent="0.25">
      <c r="A590" s="255"/>
      <c r="B590" s="40" t="s">
        <v>4752</v>
      </c>
      <c r="C590" s="40" t="s">
        <v>3764</v>
      </c>
      <c r="D590" s="41">
        <f>ROUND(1*(D584),4)</f>
        <v>1.19</v>
      </c>
      <c r="E590" s="35">
        <v>7.75243225</v>
      </c>
      <c r="F590" s="38">
        <f>IF(ISNUMBER(E590),E590*$D590,"")</f>
        <v>9.2253943774999989</v>
      </c>
      <c r="G590" s="48"/>
      <c r="H590" s="49"/>
      <c r="I590" s="124">
        <v>0</v>
      </c>
    </row>
    <row r="591" spans="1:9" ht="38.25" hidden="1" x14ac:dyDescent="0.25">
      <c r="A591" s="255"/>
      <c r="B591" s="40" t="s">
        <v>4749</v>
      </c>
      <c r="C591" s="53" t="s">
        <v>4744</v>
      </c>
      <c r="D591" s="41">
        <f>ROUND(D584*20,4)</f>
        <v>23.8</v>
      </c>
      <c r="E591" s="35">
        <v>2.5960374499999999</v>
      </c>
      <c r="F591" s="38">
        <f>IF(ISNUMBER(E591),E591*$D591,"")</f>
        <v>61.785691309999997</v>
      </c>
      <c r="G591" s="48"/>
      <c r="H591" s="49"/>
      <c r="I591" s="124">
        <v>0</v>
      </c>
    </row>
    <row r="592" spans="1:9" hidden="1" x14ac:dyDescent="0.25">
      <c r="A592" s="255"/>
      <c r="B592" s="52"/>
      <c r="C592" s="137"/>
      <c r="D592" s="41"/>
      <c r="E592" s="35" t="s">
        <v>23</v>
      </c>
      <c r="F592" s="38" t="str">
        <f>IF(ISNUMBER(E592),ROUND(E592*$D592,2),"")</f>
        <v/>
      </c>
      <c r="G592" s="48"/>
      <c r="H592" s="49"/>
      <c r="I592" s="124">
        <v>0</v>
      </c>
    </row>
    <row r="593" spans="1:9" ht="24.95" hidden="1" customHeight="1" x14ac:dyDescent="0.25">
      <c r="A593" s="255"/>
      <c r="B593" s="50" t="s">
        <v>646</v>
      </c>
      <c r="C593" s="137"/>
      <c r="D593" s="41"/>
      <c r="E593" s="35" t="s">
        <v>23</v>
      </c>
      <c r="F593" s="38" t="str">
        <f>IF(ISNUMBER(E593),ROUND(E593*$D593,2),"")</f>
        <v/>
      </c>
      <c r="G593" s="48"/>
      <c r="H593" s="49"/>
      <c r="I593" s="124">
        <v>0</v>
      </c>
    </row>
    <row r="594" spans="1:9" ht="15.75" hidden="1" thickBot="1" x14ac:dyDescent="0.3">
      <c r="A594" s="269"/>
      <c r="B594" s="135"/>
      <c r="C594" s="136"/>
      <c r="D594" s="130"/>
      <c r="E594" s="87" t="s">
        <v>23</v>
      </c>
      <c r="F594" s="87" t="str">
        <f>IF(ISNUMBER(E594),ROUND(E594*$D594,2),"")</f>
        <v/>
      </c>
      <c r="G594" s="89"/>
      <c r="H594" s="35"/>
      <c r="I594" s="124">
        <v>0</v>
      </c>
    </row>
    <row r="595" spans="1:9" ht="15.75" hidden="1" thickBot="1" x14ac:dyDescent="0.3">
      <c r="A595" s="268" t="s">
        <v>4694</v>
      </c>
      <c r="B595" s="28" t="s">
        <v>23</v>
      </c>
      <c r="C595" s="29" t="s">
        <v>1035</v>
      </c>
      <c r="D595" s="127"/>
      <c r="E595" s="45" t="s">
        <v>23</v>
      </c>
      <c r="F595" s="45" t="str">
        <f t="shared" ref="F595:F607" si="21">IF(ISNUMBER(E595),E595*$D595,"")</f>
        <v/>
      </c>
      <c r="G595" s="32"/>
      <c r="H595" s="33"/>
      <c r="I595" s="124">
        <v>0</v>
      </c>
    </row>
    <row r="596" spans="1:9" hidden="1" x14ac:dyDescent="0.25">
      <c r="A596" s="255"/>
      <c r="B596" s="36" t="s">
        <v>23</v>
      </c>
      <c r="C596" s="36"/>
      <c r="D596" s="125"/>
      <c r="E596" s="46" t="s">
        <v>23</v>
      </c>
      <c r="F596" s="35" t="str">
        <f t="shared" si="21"/>
        <v/>
      </c>
      <c r="G596" s="39"/>
      <c r="H596" s="35"/>
      <c r="I596" s="124">
        <v>0</v>
      </c>
    </row>
    <row r="597" spans="1:9" ht="25.5" hidden="1" x14ac:dyDescent="0.25">
      <c r="A597" s="255"/>
      <c r="B597" s="40" t="s">
        <v>4673</v>
      </c>
      <c r="C597" s="40" t="s">
        <v>1035</v>
      </c>
      <c r="D597" s="41">
        <v>1.1100000000000001</v>
      </c>
      <c r="E597" s="38">
        <v>10.8775</v>
      </c>
      <c r="F597" s="38">
        <f t="shared" si="21"/>
        <v>12.074025000000001</v>
      </c>
      <c r="G597" s="48">
        <f>SUM(F597:F598)</f>
        <v>12.177084800000001</v>
      </c>
      <c r="H597" s="49"/>
      <c r="I597" s="124">
        <v>0</v>
      </c>
    </row>
    <row r="598" spans="1:9" hidden="1" x14ac:dyDescent="0.25">
      <c r="A598" s="255"/>
      <c r="B598" s="40" t="s">
        <v>3977</v>
      </c>
      <c r="C598" s="40" t="s">
        <v>3752</v>
      </c>
      <c r="D598" s="41">
        <v>3.7000000000000002E-3</v>
      </c>
      <c r="E598" s="38">
        <v>27.853999999999999</v>
      </c>
      <c r="F598" s="38">
        <f t="shared" si="21"/>
        <v>0.10305980000000001</v>
      </c>
      <c r="G598" s="48"/>
      <c r="H598" s="49"/>
      <c r="I598" s="124">
        <v>0</v>
      </c>
    </row>
    <row r="599" spans="1:9" hidden="1" x14ac:dyDescent="0.25">
      <c r="A599" s="255"/>
      <c r="B599" s="40" t="s">
        <v>23</v>
      </c>
      <c r="C599" s="40"/>
      <c r="D599" s="126"/>
      <c r="E599" s="35" t="s">
        <v>23</v>
      </c>
      <c r="F599" s="35" t="str">
        <f t="shared" si="21"/>
        <v/>
      </c>
      <c r="G599" s="39"/>
      <c r="H599" s="35"/>
      <c r="I599" s="124">
        <v>0</v>
      </c>
    </row>
    <row r="600" spans="1:9" ht="15.75" hidden="1" thickBot="1" x14ac:dyDescent="0.3">
      <c r="A600" s="268" t="s">
        <v>4688</v>
      </c>
      <c r="B600" s="28" t="s">
        <v>23</v>
      </c>
      <c r="C600" s="29" t="s">
        <v>1035</v>
      </c>
      <c r="D600" s="127"/>
      <c r="E600" s="31" t="s">
        <v>23</v>
      </c>
      <c r="F600" s="31" t="str">
        <f t="shared" si="21"/>
        <v/>
      </c>
      <c r="G600" s="32"/>
      <c r="H600" s="33"/>
      <c r="I600" s="124">
        <v>0</v>
      </c>
    </row>
    <row r="601" spans="1:9" hidden="1" x14ac:dyDescent="0.25">
      <c r="A601" s="255"/>
      <c r="B601" s="95" t="s">
        <v>23</v>
      </c>
      <c r="C601" s="95"/>
      <c r="D601" s="138"/>
      <c r="E601" s="35" t="s">
        <v>23</v>
      </c>
      <c r="F601" s="35" t="str">
        <f t="shared" si="21"/>
        <v/>
      </c>
      <c r="G601" s="39"/>
      <c r="H601" s="35"/>
      <c r="I601" s="124">
        <v>0</v>
      </c>
    </row>
    <row r="602" spans="1:9" ht="38.25" hidden="1" x14ac:dyDescent="0.25">
      <c r="A602" s="255"/>
      <c r="B602" s="40" t="s">
        <v>4149</v>
      </c>
      <c r="C602" s="40" t="s">
        <v>291</v>
      </c>
      <c r="D602" s="75">
        <v>2.1179999999999999</v>
      </c>
      <c r="E602" s="35">
        <v>0.20899999999999999</v>
      </c>
      <c r="F602" s="38">
        <f t="shared" si="21"/>
        <v>0.44266199999999994</v>
      </c>
      <c r="G602" s="48">
        <f>SUM(F602:F606)</f>
        <v>15.545266099999999</v>
      </c>
      <c r="H602" s="49"/>
      <c r="I602" s="124">
        <v>0</v>
      </c>
    </row>
    <row r="603" spans="1:9" ht="25.5" hidden="1" x14ac:dyDescent="0.25">
      <c r="A603" s="255"/>
      <c r="B603" s="40" t="s">
        <v>4033</v>
      </c>
      <c r="C603" s="40" t="s">
        <v>1035</v>
      </c>
      <c r="D603" s="75">
        <v>2.5000000000000001E-2</v>
      </c>
      <c r="E603" s="35">
        <v>18.249500000000001</v>
      </c>
      <c r="F603" s="38">
        <f t="shared" si="21"/>
        <v>0.45623750000000007</v>
      </c>
      <c r="G603" s="48"/>
      <c r="H603" s="49"/>
      <c r="I603" s="124">
        <v>0</v>
      </c>
    </row>
    <row r="604" spans="1:9" hidden="1" x14ac:dyDescent="0.25">
      <c r="A604" s="255"/>
      <c r="B604" s="40" t="s">
        <v>4167</v>
      </c>
      <c r="C604" s="40" t="s">
        <v>3752</v>
      </c>
      <c r="D604" s="75">
        <v>1.3599999999999999E-2</v>
      </c>
      <c r="E604" s="38">
        <v>20.785999999999998</v>
      </c>
      <c r="F604" s="38">
        <f t="shared" si="21"/>
        <v>0.28268959999999993</v>
      </c>
      <c r="G604" s="48"/>
      <c r="H604" s="49"/>
      <c r="I604" s="124">
        <v>0</v>
      </c>
    </row>
    <row r="605" spans="1:9" ht="15.75" hidden="1" customHeight="1" x14ac:dyDescent="0.25">
      <c r="A605" s="255"/>
      <c r="B605" s="40" t="s">
        <v>3977</v>
      </c>
      <c r="C605" s="40" t="s">
        <v>3752</v>
      </c>
      <c r="D605" s="75">
        <v>8.3599999999999994E-2</v>
      </c>
      <c r="E605" s="35">
        <v>27.853999999999999</v>
      </c>
      <c r="F605" s="38">
        <f t="shared" si="21"/>
        <v>2.3285943999999996</v>
      </c>
      <c r="G605" s="48"/>
      <c r="H605" s="49"/>
      <c r="I605" s="124">
        <v>0</v>
      </c>
    </row>
    <row r="606" spans="1:9" hidden="1" x14ac:dyDescent="0.25">
      <c r="A606" s="255"/>
      <c r="B606" s="40" t="s">
        <v>4690</v>
      </c>
      <c r="C606" s="108" t="s">
        <v>1035</v>
      </c>
      <c r="D606" s="75">
        <v>1</v>
      </c>
      <c r="E606" s="35">
        <v>12.035082600000001</v>
      </c>
      <c r="F606" s="38">
        <f t="shared" si="21"/>
        <v>12.035082600000001</v>
      </c>
      <c r="G606" s="48"/>
      <c r="H606" s="49"/>
      <c r="I606" s="124">
        <v>0</v>
      </c>
    </row>
    <row r="607" spans="1:9" ht="15.75" hidden="1" thickBot="1" x14ac:dyDescent="0.3">
      <c r="A607" s="269"/>
      <c r="B607" s="139"/>
      <c r="C607" s="78"/>
      <c r="D607" s="79"/>
      <c r="E607" s="87" t="s">
        <v>23</v>
      </c>
      <c r="F607" s="88" t="str">
        <f t="shared" si="21"/>
        <v/>
      </c>
      <c r="G607" s="140"/>
      <c r="H607" s="49"/>
      <c r="I607" s="124">
        <v>0</v>
      </c>
    </row>
    <row r="608" spans="1:9" ht="26.25" hidden="1" customHeight="1" thickBot="1" x14ac:dyDescent="0.3">
      <c r="A608" s="268" t="s">
        <v>4755</v>
      </c>
      <c r="B608" s="28" t="s">
        <v>23</v>
      </c>
      <c r="C608" s="29" t="s">
        <v>4753</v>
      </c>
      <c r="D608" s="127"/>
      <c r="E608" s="45" t="s">
        <v>23</v>
      </c>
      <c r="F608" s="45" t="str">
        <f t="shared" ref="F608:F629" si="22">IF(ISNUMBER(E608),ROUND(E608*$D608,2),"")</f>
        <v/>
      </c>
      <c r="G608" s="32"/>
      <c r="H608" s="33"/>
      <c r="I608" s="124">
        <v>0</v>
      </c>
    </row>
    <row r="609" spans="1:9" hidden="1" x14ac:dyDescent="0.25">
      <c r="A609" s="255"/>
      <c r="B609" s="36" t="s">
        <v>23</v>
      </c>
      <c r="C609" s="134"/>
      <c r="D609" s="125"/>
      <c r="E609" s="128" t="s">
        <v>23</v>
      </c>
      <c r="F609" s="129" t="str">
        <f t="shared" si="22"/>
        <v/>
      </c>
      <c r="G609" s="39"/>
      <c r="H609" s="35"/>
      <c r="I609" s="124">
        <v>0</v>
      </c>
    </row>
    <row r="610" spans="1:9" ht="51" hidden="1" x14ac:dyDescent="0.25">
      <c r="A610" s="255"/>
      <c r="B610" s="40" t="s">
        <v>4213</v>
      </c>
      <c r="C610" s="40" t="s">
        <v>1041</v>
      </c>
      <c r="D610" s="41">
        <v>0.1071</v>
      </c>
      <c r="E610" s="38">
        <v>238.74449999999999</v>
      </c>
      <c r="F610" s="38">
        <f t="shared" si="22"/>
        <v>25.57</v>
      </c>
      <c r="G610" s="48">
        <f>SUM(F610:F612)</f>
        <v>34.67</v>
      </c>
      <c r="H610" s="49"/>
      <c r="I610" s="124">
        <v>0</v>
      </c>
    </row>
    <row r="611" spans="1:9" ht="51" hidden="1" x14ac:dyDescent="0.25">
      <c r="A611" s="255"/>
      <c r="B611" s="40" t="s">
        <v>4674</v>
      </c>
      <c r="C611" s="40" t="s">
        <v>1052</v>
      </c>
      <c r="D611" s="41">
        <v>4.5900000000000003E-2</v>
      </c>
      <c r="E611" s="38">
        <v>59.5745</v>
      </c>
      <c r="F611" s="38">
        <f t="shared" si="22"/>
        <v>2.73</v>
      </c>
      <c r="G611" s="48"/>
      <c r="H611" s="49"/>
      <c r="I611" s="124">
        <v>0</v>
      </c>
    </row>
    <row r="612" spans="1:9" hidden="1" x14ac:dyDescent="0.25">
      <c r="A612" s="255"/>
      <c r="B612" s="40" t="s">
        <v>3754</v>
      </c>
      <c r="C612" s="40" t="s">
        <v>3752</v>
      </c>
      <c r="D612" s="41">
        <v>0.30590000000000001</v>
      </c>
      <c r="E612" s="35">
        <v>20.814499999999999</v>
      </c>
      <c r="F612" s="38">
        <f t="shared" si="22"/>
        <v>6.37</v>
      </c>
      <c r="G612" s="48"/>
      <c r="H612" s="49"/>
      <c r="I612" s="124">
        <v>0</v>
      </c>
    </row>
    <row r="613" spans="1:9" ht="15.75" hidden="1" thickBot="1" x14ac:dyDescent="0.3">
      <c r="A613" s="269"/>
      <c r="B613" s="135"/>
      <c r="C613" s="136"/>
      <c r="D613" s="130"/>
      <c r="E613" s="87" t="s">
        <v>23</v>
      </c>
      <c r="F613" s="87" t="str">
        <f t="shared" si="22"/>
        <v/>
      </c>
      <c r="G613" s="89"/>
      <c r="H613" s="35"/>
      <c r="I613" s="124">
        <v>0</v>
      </c>
    </row>
    <row r="614" spans="1:9" ht="26.25" hidden="1" customHeight="1" thickBot="1" x14ac:dyDescent="0.3">
      <c r="A614" s="268" t="s">
        <v>4750</v>
      </c>
      <c r="B614" s="28" t="s">
        <v>23</v>
      </c>
      <c r="C614" s="29" t="s">
        <v>4715</v>
      </c>
      <c r="D614" s="127"/>
      <c r="E614" s="45" t="s">
        <v>23</v>
      </c>
      <c r="F614" s="45" t="str">
        <f t="shared" si="22"/>
        <v/>
      </c>
      <c r="G614" s="32"/>
      <c r="H614" s="33"/>
      <c r="I614" s="124">
        <v>0</v>
      </c>
    </row>
    <row r="615" spans="1:9" hidden="1" x14ac:dyDescent="0.25">
      <c r="A615" s="255"/>
      <c r="B615" s="36" t="s">
        <v>23</v>
      </c>
      <c r="C615" s="134"/>
      <c r="D615" s="125"/>
      <c r="E615" s="128" t="s">
        <v>23</v>
      </c>
      <c r="F615" s="129" t="str">
        <f t="shared" si="22"/>
        <v/>
      </c>
      <c r="G615" s="39"/>
      <c r="H615" s="35"/>
      <c r="I615" s="124">
        <v>0</v>
      </c>
    </row>
    <row r="616" spans="1:9" ht="51" hidden="1" x14ac:dyDescent="0.25">
      <c r="A616" s="255"/>
      <c r="B616" s="40" t="s">
        <v>4213</v>
      </c>
      <c r="C616" s="40" t="s">
        <v>1041</v>
      </c>
      <c r="D616" s="41">
        <v>9.2999999999999992E-3</v>
      </c>
      <c r="E616" s="38">
        <v>238.74449999999999</v>
      </c>
      <c r="F616" s="38">
        <f t="shared" si="22"/>
        <v>2.2200000000000002</v>
      </c>
      <c r="G616" s="48">
        <f>SUM(F616:F617)</f>
        <v>2.46</v>
      </c>
      <c r="H616" s="49"/>
      <c r="I616" s="124">
        <v>0</v>
      </c>
    </row>
    <row r="617" spans="1:9" ht="51" hidden="1" x14ac:dyDescent="0.25">
      <c r="A617" s="255"/>
      <c r="B617" s="40" t="s">
        <v>4674</v>
      </c>
      <c r="C617" s="40" t="s">
        <v>1052</v>
      </c>
      <c r="D617" s="41">
        <v>4.0000000000000001E-3</v>
      </c>
      <c r="E617" s="38">
        <v>59.5745</v>
      </c>
      <c r="F617" s="38">
        <f t="shared" si="22"/>
        <v>0.24</v>
      </c>
      <c r="G617" s="48"/>
      <c r="H617" s="49"/>
      <c r="I617" s="124">
        <v>0</v>
      </c>
    </row>
    <row r="618" spans="1:9" ht="15.75" hidden="1" thickBot="1" x14ac:dyDescent="0.3">
      <c r="A618" s="269"/>
      <c r="B618" s="135"/>
      <c r="C618" s="136"/>
      <c r="D618" s="130"/>
      <c r="E618" s="87" t="s">
        <v>23</v>
      </c>
      <c r="F618" s="87" t="str">
        <f t="shared" si="22"/>
        <v/>
      </c>
      <c r="G618" s="89"/>
      <c r="H618" s="35"/>
      <c r="I618" s="124">
        <v>0</v>
      </c>
    </row>
    <row r="619" spans="1:9" ht="26.25" hidden="1" customHeight="1" thickBot="1" x14ac:dyDescent="0.3">
      <c r="A619" s="268" t="s">
        <v>4751</v>
      </c>
      <c r="B619" s="28" t="s">
        <v>23</v>
      </c>
      <c r="C619" s="29" t="s">
        <v>4715</v>
      </c>
      <c r="D619" s="127"/>
      <c r="E619" s="45" t="s">
        <v>23</v>
      </c>
      <c r="F619" s="45" t="str">
        <f t="shared" si="22"/>
        <v/>
      </c>
      <c r="G619" s="32"/>
      <c r="H619" s="33"/>
      <c r="I619" s="124">
        <v>0</v>
      </c>
    </row>
    <row r="620" spans="1:9" hidden="1" x14ac:dyDescent="0.25">
      <c r="A620" s="255"/>
      <c r="B620" s="36" t="s">
        <v>23</v>
      </c>
      <c r="C620" s="134"/>
      <c r="D620" s="125"/>
      <c r="E620" s="128" t="s">
        <v>23</v>
      </c>
      <c r="F620" s="129" t="str">
        <f t="shared" si="22"/>
        <v/>
      </c>
      <c r="G620" s="39"/>
      <c r="H620" s="35"/>
      <c r="I620" s="124">
        <v>0</v>
      </c>
    </row>
    <row r="621" spans="1:9" ht="51" hidden="1" x14ac:dyDescent="0.25">
      <c r="A621" s="255"/>
      <c r="B621" s="40" t="s">
        <v>4213</v>
      </c>
      <c r="C621" s="40" t="s">
        <v>1041</v>
      </c>
      <c r="D621" s="41">
        <v>3.7000000000000002E-3</v>
      </c>
      <c r="E621" s="38">
        <v>238.74449999999999</v>
      </c>
      <c r="F621" s="38">
        <f t="shared" si="22"/>
        <v>0.88</v>
      </c>
      <c r="G621" s="48">
        <f>SUM(F621:F622)</f>
        <v>0.98</v>
      </c>
      <c r="H621" s="49"/>
      <c r="I621" s="124">
        <v>0</v>
      </c>
    </row>
    <row r="622" spans="1:9" ht="51" hidden="1" x14ac:dyDescent="0.25">
      <c r="A622" s="255"/>
      <c r="B622" s="40" t="s">
        <v>4674</v>
      </c>
      <c r="C622" s="40" t="s">
        <v>1052</v>
      </c>
      <c r="D622" s="41">
        <v>1.6000000000000001E-3</v>
      </c>
      <c r="E622" s="38">
        <v>59.5745</v>
      </c>
      <c r="F622" s="38">
        <f t="shared" si="22"/>
        <v>0.1</v>
      </c>
      <c r="G622" s="48"/>
      <c r="H622" s="49"/>
      <c r="I622" s="124">
        <v>0</v>
      </c>
    </row>
    <row r="623" spans="1:9" ht="15.75" hidden="1" thickBot="1" x14ac:dyDescent="0.3">
      <c r="A623" s="269"/>
      <c r="B623" s="135"/>
      <c r="C623" s="136"/>
      <c r="D623" s="130"/>
      <c r="E623" s="87" t="s">
        <v>23</v>
      </c>
      <c r="F623" s="87" t="str">
        <f t="shared" si="22"/>
        <v/>
      </c>
      <c r="G623" s="89"/>
      <c r="H623" s="35"/>
      <c r="I623" s="124">
        <v>0</v>
      </c>
    </row>
    <row r="624" spans="1:9" ht="26.25" hidden="1" customHeight="1" thickBot="1" x14ac:dyDescent="0.3">
      <c r="A624" s="268" t="s">
        <v>4756</v>
      </c>
      <c r="B624" s="28" t="s">
        <v>23</v>
      </c>
      <c r="C624" s="29" t="s">
        <v>4753</v>
      </c>
      <c r="D624" s="127"/>
      <c r="E624" s="45" t="s">
        <v>23</v>
      </c>
      <c r="F624" s="45" t="str">
        <f t="shared" si="22"/>
        <v/>
      </c>
      <c r="G624" s="32"/>
      <c r="H624" s="33"/>
      <c r="I624" s="124">
        <v>0</v>
      </c>
    </row>
    <row r="625" spans="1:9" hidden="1" x14ac:dyDescent="0.25">
      <c r="A625" s="255"/>
      <c r="B625" s="36" t="s">
        <v>23</v>
      </c>
      <c r="C625" s="134"/>
      <c r="D625" s="125"/>
      <c r="E625" s="128" t="s">
        <v>23</v>
      </c>
      <c r="F625" s="129" t="str">
        <f t="shared" si="22"/>
        <v/>
      </c>
      <c r="G625" s="39"/>
      <c r="H625" s="35"/>
      <c r="I625" s="124">
        <v>0</v>
      </c>
    </row>
    <row r="626" spans="1:9" ht="51" hidden="1" x14ac:dyDescent="0.25">
      <c r="A626" s="255"/>
      <c r="B626" s="40" t="s">
        <v>4213</v>
      </c>
      <c r="C626" s="40" t="s">
        <v>1041</v>
      </c>
      <c r="D626" s="41">
        <v>8.1199999999999994E-2</v>
      </c>
      <c r="E626" s="38">
        <v>238.74449999999999</v>
      </c>
      <c r="F626" s="38">
        <f t="shared" si="22"/>
        <v>19.39</v>
      </c>
      <c r="G626" s="48">
        <f>SUM(F626:F628)</f>
        <v>26.29</v>
      </c>
      <c r="H626" s="49"/>
      <c r="I626" s="124">
        <v>0</v>
      </c>
    </row>
    <row r="627" spans="1:9" ht="51" hidden="1" x14ac:dyDescent="0.25">
      <c r="A627" s="255"/>
      <c r="B627" s="40" t="s">
        <v>4674</v>
      </c>
      <c r="C627" s="40" t="s">
        <v>1052</v>
      </c>
      <c r="D627" s="41">
        <v>3.4799999999999998E-2</v>
      </c>
      <c r="E627" s="38">
        <v>59.5745</v>
      </c>
      <c r="F627" s="38">
        <f t="shared" si="22"/>
        <v>2.0699999999999998</v>
      </c>
      <c r="G627" s="48"/>
      <c r="H627" s="49"/>
      <c r="I627" s="124">
        <v>0</v>
      </c>
    </row>
    <row r="628" spans="1:9" hidden="1" x14ac:dyDescent="0.25">
      <c r="A628" s="255"/>
      <c r="B628" s="40" t="s">
        <v>3754</v>
      </c>
      <c r="C628" s="40" t="s">
        <v>3752</v>
      </c>
      <c r="D628" s="41">
        <v>0.2321</v>
      </c>
      <c r="E628" s="35">
        <v>20.814499999999999</v>
      </c>
      <c r="F628" s="38">
        <f t="shared" si="22"/>
        <v>4.83</v>
      </c>
      <c r="G628" s="48"/>
      <c r="H628" s="49"/>
      <c r="I628" s="124">
        <v>0</v>
      </c>
    </row>
    <row r="629" spans="1:9" ht="15.75" hidden="1" thickBot="1" x14ac:dyDescent="0.3">
      <c r="A629" s="269"/>
      <c r="B629" s="135"/>
      <c r="C629" s="136"/>
      <c r="D629" s="130"/>
      <c r="E629" s="87" t="s">
        <v>23</v>
      </c>
      <c r="F629" s="87" t="str">
        <f t="shared" si="22"/>
        <v/>
      </c>
      <c r="G629" s="89"/>
      <c r="H629" s="35"/>
      <c r="I629" s="124">
        <v>0</v>
      </c>
    </row>
    <row r="630" spans="1:9" ht="15.75" hidden="1" thickBot="1" x14ac:dyDescent="0.3">
      <c r="A630" s="268" t="s">
        <v>4706</v>
      </c>
      <c r="B630" s="28" t="s">
        <v>23</v>
      </c>
      <c r="C630" s="29" t="s">
        <v>3764</v>
      </c>
      <c r="D630" s="127"/>
      <c r="E630" s="45" t="s">
        <v>23</v>
      </c>
      <c r="F630" s="45" t="str">
        <f t="shared" ref="F630:F643" si="23">IF(ISNUMBER(E630),E630*$D630,"")</f>
        <v/>
      </c>
      <c r="G630" s="32"/>
      <c r="H630" s="33"/>
      <c r="I630" s="124">
        <v>0</v>
      </c>
    </row>
    <row r="631" spans="1:9" hidden="1" x14ac:dyDescent="0.25">
      <c r="A631" s="255"/>
      <c r="B631" s="95" t="s">
        <v>23</v>
      </c>
      <c r="C631" s="95"/>
      <c r="D631" s="138"/>
      <c r="E631" s="46" t="s">
        <v>23</v>
      </c>
      <c r="F631" s="35" t="str">
        <f t="shared" si="23"/>
        <v/>
      </c>
      <c r="G631" s="39"/>
      <c r="H631" s="35"/>
      <c r="I631" s="124">
        <v>0</v>
      </c>
    </row>
    <row r="632" spans="1:9" ht="25.5" hidden="1" x14ac:dyDescent="0.25">
      <c r="A632" s="255"/>
      <c r="B632" s="40" t="s">
        <v>3763</v>
      </c>
      <c r="C632" s="40" t="s">
        <v>3764</v>
      </c>
      <c r="D632" s="75">
        <v>0.71189999999999998</v>
      </c>
      <c r="E632" s="38">
        <v>204.23099999999999</v>
      </c>
      <c r="F632" s="38">
        <f t="shared" si="23"/>
        <v>145.39204889999999</v>
      </c>
      <c r="G632" s="48">
        <f>SUM(F632:F640)</f>
        <v>640.11052660874998</v>
      </c>
      <c r="H632" s="49"/>
      <c r="I632" s="124">
        <v>0</v>
      </c>
    </row>
    <row r="633" spans="1:9" hidden="1" x14ac:dyDescent="0.25">
      <c r="A633" s="255"/>
      <c r="B633" s="40" t="s">
        <v>3759</v>
      </c>
      <c r="C633" s="40" t="s">
        <v>1035</v>
      </c>
      <c r="D633" s="75">
        <v>391.16629999999998</v>
      </c>
      <c r="E633" s="38">
        <v>0.627</v>
      </c>
      <c r="F633" s="38">
        <f t="shared" si="23"/>
        <v>245.26127009999999</v>
      </c>
      <c r="G633" s="48"/>
      <c r="H633" s="49"/>
      <c r="I633" s="124">
        <v>0</v>
      </c>
    </row>
    <row r="634" spans="1:9" ht="25.5" hidden="1" x14ac:dyDescent="0.25">
      <c r="A634" s="255"/>
      <c r="B634" s="40" t="s">
        <v>4016</v>
      </c>
      <c r="C634" s="40" t="s">
        <v>3764</v>
      </c>
      <c r="D634" s="75">
        <v>0.5927</v>
      </c>
      <c r="E634" s="38">
        <v>170.107</v>
      </c>
      <c r="F634" s="38">
        <f t="shared" si="23"/>
        <v>100.8224189</v>
      </c>
      <c r="G634" s="48"/>
      <c r="H634" s="49"/>
      <c r="I634" s="124">
        <v>0</v>
      </c>
    </row>
    <row r="635" spans="1:9" hidden="1" x14ac:dyDescent="0.25">
      <c r="A635" s="255"/>
      <c r="B635" s="40" t="s">
        <v>3754</v>
      </c>
      <c r="C635" s="40" t="s">
        <v>3752</v>
      </c>
      <c r="D635" s="75">
        <v>1.9633</v>
      </c>
      <c r="E635" s="35">
        <v>20.814499999999999</v>
      </c>
      <c r="F635" s="38">
        <f t="shared" si="23"/>
        <v>40.865107850000001</v>
      </c>
      <c r="G635" s="48"/>
      <c r="H635" s="49"/>
      <c r="I635" s="124">
        <v>0</v>
      </c>
    </row>
    <row r="636" spans="1:9" ht="25.5" hidden="1" x14ac:dyDescent="0.25">
      <c r="A636" s="255"/>
      <c r="B636" s="40" t="s">
        <v>3805</v>
      </c>
      <c r="C636" s="40" t="s">
        <v>3752</v>
      </c>
      <c r="D636" s="75">
        <v>1.24</v>
      </c>
      <c r="E636" s="35">
        <v>20.918999999999997</v>
      </c>
      <c r="F636" s="38">
        <f t="shared" si="23"/>
        <v>25.939559999999997</v>
      </c>
      <c r="G636" s="48"/>
      <c r="H636" s="49"/>
      <c r="I636" s="124">
        <v>0</v>
      </c>
    </row>
    <row r="637" spans="1:9" ht="38.25" hidden="1" x14ac:dyDescent="0.25">
      <c r="A637" s="255"/>
      <c r="B637" s="40" t="s">
        <v>4182</v>
      </c>
      <c r="C637" s="40" t="s">
        <v>1041</v>
      </c>
      <c r="D637" s="75">
        <v>0.63819999999999999</v>
      </c>
      <c r="E637" s="35">
        <v>4.75</v>
      </c>
      <c r="F637" s="38">
        <f t="shared" si="23"/>
        <v>3.03145</v>
      </c>
      <c r="G637" s="48"/>
      <c r="H637" s="49"/>
      <c r="I637" s="124">
        <v>0</v>
      </c>
    </row>
    <row r="638" spans="1:9" ht="38.25" hidden="1" x14ac:dyDescent="0.25">
      <c r="A638" s="255"/>
      <c r="B638" s="40" t="s">
        <v>4650</v>
      </c>
      <c r="C638" s="40" t="s">
        <v>1052</v>
      </c>
      <c r="D638" s="75">
        <v>0.6018</v>
      </c>
      <c r="E638" s="35">
        <v>1.577</v>
      </c>
      <c r="F638" s="38">
        <f t="shared" si="23"/>
        <v>0.94903859999999995</v>
      </c>
      <c r="G638" s="48"/>
      <c r="H638" s="49"/>
      <c r="I638" s="124">
        <v>0</v>
      </c>
    </row>
    <row r="639" spans="1:9" ht="51" hidden="1" x14ac:dyDescent="0.25">
      <c r="A639" s="255"/>
      <c r="B639" s="40" t="s">
        <v>4752</v>
      </c>
      <c r="C639" s="99" t="s">
        <v>3764</v>
      </c>
      <c r="D639" s="75">
        <f>ROUND(1*(D632+D634),4)</f>
        <v>1.3046</v>
      </c>
      <c r="E639" s="35">
        <v>7.75243225</v>
      </c>
      <c r="F639" s="38">
        <f t="shared" si="23"/>
        <v>10.11382311335</v>
      </c>
      <c r="G639" s="48"/>
      <c r="H639" s="49"/>
      <c r="I639" s="124">
        <v>0</v>
      </c>
    </row>
    <row r="640" spans="1:9" ht="38.25" hidden="1" x14ac:dyDescent="0.25">
      <c r="A640" s="255"/>
      <c r="B640" s="40" t="s">
        <v>4749</v>
      </c>
      <c r="C640" s="108" t="s">
        <v>4744</v>
      </c>
      <c r="D640" s="75">
        <f>ROUND((D632+D634)*20,4)</f>
        <v>26.091999999999999</v>
      </c>
      <c r="E640" s="35">
        <v>2.5960374499999999</v>
      </c>
      <c r="F640" s="38">
        <f t="shared" si="23"/>
        <v>67.735809145399998</v>
      </c>
      <c r="G640" s="48"/>
      <c r="H640" s="49"/>
      <c r="I640" s="124">
        <v>0</v>
      </c>
    </row>
    <row r="641" spans="1:9" hidden="1" x14ac:dyDescent="0.25">
      <c r="A641" s="255"/>
      <c r="B641" s="141"/>
      <c r="C641" s="108"/>
      <c r="D641" s="75"/>
      <c r="E641" s="35" t="s">
        <v>23</v>
      </c>
      <c r="F641" s="38" t="str">
        <f t="shared" si="23"/>
        <v/>
      </c>
      <c r="G641" s="48"/>
      <c r="H641" s="49"/>
      <c r="I641" s="124">
        <v>0</v>
      </c>
    </row>
    <row r="642" spans="1:9" ht="25.5" hidden="1" x14ac:dyDescent="0.25">
      <c r="A642" s="255"/>
      <c r="B642" s="142" t="s">
        <v>88</v>
      </c>
      <c r="C642" s="108"/>
      <c r="D642" s="75"/>
      <c r="E642" s="35" t="s">
        <v>23</v>
      </c>
      <c r="F642" s="38" t="str">
        <f t="shared" si="23"/>
        <v/>
      </c>
      <c r="G642" s="48"/>
      <c r="H642" s="49"/>
      <c r="I642" s="124">
        <v>0</v>
      </c>
    </row>
    <row r="643" spans="1:9" ht="15.75" hidden="1" thickBot="1" x14ac:dyDescent="0.3">
      <c r="A643" s="269"/>
      <c r="B643" s="60" t="s">
        <v>23</v>
      </c>
      <c r="C643" s="60"/>
      <c r="D643" s="130"/>
      <c r="E643" s="87" t="s">
        <v>23</v>
      </c>
      <c r="F643" s="87" t="str">
        <f t="shared" si="23"/>
        <v/>
      </c>
      <c r="G643" s="89"/>
      <c r="H643" s="35"/>
      <c r="I643" s="124">
        <v>0</v>
      </c>
    </row>
    <row r="644" spans="1:9" ht="26.25" hidden="1" customHeight="1" thickBot="1" x14ac:dyDescent="0.3">
      <c r="A644" s="268" t="s">
        <v>4743</v>
      </c>
      <c r="B644" s="28" t="s">
        <v>23</v>
      </c>
      <c r="C644" s="29" t="s">
        <v>3764</v>
      </c>
      <c r="D644" s="127"/>
      <c r="E644" s="45" t="s">
        <v>23</v>
      </c>
      <c r="F644" s="45" t="str">
        <f t="shared" ref="F644:F656" si="24">IF(ISNUMBER(E644),ROUND(E644*$D644,2),"")</f>
        <v/>
      </c>
      <c r="G644" s="32"/>
      <c r="H644" s="33"/>
      <c r="I644" s="124">
        <v>0</v>
      </c>
    </row>
    <row r="645" spans="1:9" hidden="1" x14ac:dyDescent="0.25">
      <c r="A645" s="255"/>
      <c r="B645" s="36" t="s">
        <v>23</v>
      </c>
      <c r="C645" s="134"/>
      <c r="D645" s="125"/>
      <c r="E645" s="128" t="s">
        <v>23</v>
      </c>
      <c r="F645" s="129" t="str">
        <f t="shared" si="24"/>
        <v/>
      </c>
      <c r="G645" s="39"/>
      <c r="H645" s="35"/>
      <c r="I645" s="124">
        <v>0</v>
      </c>
    </row>
    <row r="646" spans="1:9" ht="38.25" hidden="1" x14ac:dyDescent="0.25">
      <c r="A646" s="255"/>
      <c r="B646" s="40" t="s">
        <v>4107</v>
      </c>
      <c r="C646" s="40" t="s">
        <v>80</v>
      </c>
      <c r="D646" s="41">
        <v>19.440000000000001</v>
      </c>
      <c r="E646" s="38">
        <v>8.2459999999999987</v>
      </c>
      <c r="F646" s="38">
        <f t="shared" si="24"/>
        <v>160.30000000000001</v>
      </c>
      <c r="G646" s="48">
        <f>SUM(F646:F655)</f>
        <v>830.93000000000018</v>
      </c>
      <c r="H646" s="49"/>
      <c r="I646" s="124">
        <v>0</v>
      </c>
    </row>
    <row r="647" spans="1:9" ht="25.5" hidden="1" x14ac:dyDescent="0.25">
      <c r="A647" s="255"/>
      <c r="B647" s="40" t="s">
        <v>3763</v>
      </c>
      <c r="C647" s="40" t="s">
        <v>3764</v>
      </c>
      <c r="D647" s="41">
        <v>1.08</v>
      </c>
      <c r="E647" s="38">
        <v>204.23099999999999</v>
      </c>
      <c r="F647" s="38">
        <f t="shared" si="24"/>
        <v>220.57</v>
      </c>
      <c r="G647" s="48"/>
      <c r="H647" s="49"/>
      <c r="I647" s="124">
        <v>0</v>
      </c>
    </row>
    <row r="648" spans="1:9" hidden="1" x14ac:dyDescent="0.25">
      <c r="A648" s="255"/>
      <c r="B648" s="40" t="s">
        <v>3759</v>
      </c>
      <c r="C648" s="40" t="s">
        <v>1035</v>
      </c>
      <c r="D648" s="41">
        <v>486</v>
      </c>
      <c r="E648" s="35">
        <v>0.627</v>
      </c>
      <c r="F648" s="38">
        <f t="shared" si="24"/>
        <v>304.72000000000003</v>
      </c>
      <c r="G648" s="48"/>
      <c r="H648" s="49"/>
      <c r="I648" s="124">
        <v>0</v>
      </c>
    </row>
    <row r="649" spans="1:9" ht="25.5" hidden="1" x14ac:dyDescent="0.25">
      <c r="A649" s="255"/>
      <c r="B649" s="40" t="s">
        <v>3805</v>
      </c>
      <c r="C649" s="40" t="s">
        <v>3752</v>
      </c>
      <c r="D649" s="41">
        <v>3.75</v>
      </c>
      <c r="E649" s="35">
        <v>20.918999999999997</v>
      </c>
      <c r="F649" s="38">
        <f t="shared" si="24"/>
        <v>78.45</v>
      </c>
      <c r="G649" s="48"/>
      <c r="H649" s="49"/>
      <c r="I649" s="124">
        <v>0</v>
      </c>
    </row>
    <row r="650" spans="1:9" ht="38.25" hidden="1" x14ac:dyDescent="0.25">
      <c r="A650" s="255"/>
      <c r="B650" s="40" t="s">
        <v>4115</v>
      </c>
      <c r="C650" s="40" t="s">
        <v>1041</v>
      </c>
      <c r="D650" s="41">
        <v>0.87</v>
      </c>
      <c r="E650" s="35">
        <v>1.5579999999999998</v>
      </c>
      <c r="F650" s="38">
        <f t="shared" si="24"/>
        <v>1.36</v>
      </c>
      <c r="G650" s="48"/>
      <c r="H650" s="49"/>
      <c r="I650" s="124">
        <v>0</v>
      </c>
    </row>
    <row r="651" spans="1:9" ht="38.25" hidden="1" x14ac:dyDescent="0.25">
      <c r="A651" s="255"/>
      <c r="B651" s="40" t="s">
        <v>4121</v>
      </c>
      <c r="C651" s="53" t="s">
        <v>1052</v>
      </c>
      <c r="D651" s="41">
        <v>2.88</v>
      </c>
      <c r="E651" s="35">
        <v>0.38</v>
      </c>
      <c r="F651" s="38">
        <f t="shared" si="24"/>
        <v>1.0900000000000001</v>
      </c>
      <c r="G651" s="48"/>
      <c r="H651" s="49"/>
      <c r="I651" s="124">
        <v>0</v>
      </c>
    </row>
    <row r="652" spans="1:9" ht="51" hidden="1" x14ac:dyDescent="0.25">
      <c r="A652" s="255"/>
      <c r="B652" s="40" t="s">
        <v>4752</v>
      </c>
      <c r="C652" s="99" t="s">
        <v>3764</v>
      </c>
      <c r="D652" s="75">
        <f>ROUND(1*(D647),4)</f>
        <v>1.08</v>
      </c>
      <c r="E652" s="35">
        <v>7.75243225</v>
      </c>
      <c r="F652" s="38">
        <f t="shared" si="24"/>
        <v>8.3699999999999992</v>
      </c>
      <c r="G652" s="48"/>
      <c r="H652" s="49"/>
      <c r="I652" s="124">
        <v>0</v>
      </c>
    </row>
    <row r="653" spans="1:9" ht="38.25" hidden="1" x14ac:dyDescent="0.25">
      <c r="A653" s="255"/>
      <c r="B653" s="40" t="s">
        <v>4749</v>
      </c>
      <c r="C653" s="108" t="s">
        <v>4744</v>
      </c>
      <c r="D653" s="75">
        <f>ROUND(D647*20,4)</f>
        <v>21.6</v>
      </c>
      <c r="E653" s="35">
        <v>2.5960374499999999</v>
      </c>
      <c r="F653" s="38">
        <f t="shared" si="24"/>
        <v>56.07</v>
      </c>
      <c r="G653" s="48"/>
      <c r="H653" s="49"/>
      <c r="I653" s="124">
        <v>0</v>
      </c>
    </row>
    <row r="654" spans="1:9" hidden="1" x14ac:dyDescent="0.25">
      <c r="A654" s="255"/>
      <c r="B654" s="52"/>
      <c r="C654" s="137"/>
      <c r="D654" s="41"/>
      <c r="E654" s="35" t="s">
        <v>23</v>
      </c>
      <c r="F654" s="38" t="str">
        <f t="shared" si="24"/>
        <v/>
      </c>
      <c r="G654" s="48"/>
      <c r="H654" s="49"/>
      <c r="I654" s="124">
        <v>0</v>
      </c>
    </row>
    <row r="655" spans="1:9" ht="24.95" hidden="1" customHeight="1" x14ac:dyDescent="0.25">
      <c r="A655" s="255"/>
      <c r="B655" s="50" t="s">
        <v>646</v>
      </c>
      <c r="C655" s="137"/>
      <c r="D655" s="41"/>
      <c r="E655" s="35" t="s">
        <v>23</v>
      </c>
      <c r="F655" s="38" t="str">
        <f t="shared" si="24"/>
        <v/>
      </c>
      <c r="G655" s="48"/>
      <c r="H655" s="49"/>
      <c r="I655" s="124">
        <v>0</v>
      </c>
    </row>
    <row r="656" spans="1:9" ht="15.75" hidden="1" thickBot="1" x14ac:dyDescent="0.3">
      <c r="A656" s="269"/>
      <c r="B656" s="135"/>
      <c r="C656" s="136"/>
      <c r="D656" s="130"/>
      <c r="E656" s="87" t="s">
        <v>23</v>
      </c>
      <c r="F656" s="87" t="str">
        <f t="shared" si="24"/>
        <v/>
      </c>
      <c r="G656" s="89"/>
      <c r="H656" s="35"/>
      <c r="I656" s="124">
        <v>0</v>
      </c>
    </row>
    <row r="657" spans="1:9" ht="15.75" hidden="1" thickBot="1" x14ac:dyDescent="0.3">
      <c r="A657" s="268" t="s">
        <v>4717</v>
      </c>
      <c r="B657" s="28" t="s">
        <v>23</v>
      </c>
      <c r="C657" s="29" t="s">
        <v>177</v>
      </c>
      <c r="D657" s="127"/>
      <c r="E657" s="31" t="s">
        <v>23</v>
      </c>
      <c r="F657" s="31" t="str">
        <f t="shared" ref="F657:F685" si="25">IF(ISNUMBER(E657),E657*$D657,"")</f>
        <v/>
      </c>
      <c r="G657" s="32"/>
      <c r="H657" s="33"/>
      <c r="I657" s="124">
        <v>0</v>
      </c>
    </row>
    <row r="658" spans="1:9" hidden="1" x14ac:dyDescent="0.25">
      <c r="A658" s="255"/>
      <c r="B658" s="36" t="s">
        <v>23</v>
      </c>
      <c r="C658" s="36"/>
      <c r="D658" s="125"/>
      <c r="E658" s="35" t="s">
        <v>23</v>
      </c>
      <c r="F658" s="35" t="str">
        <f t="shared" si="25"/>
        <v/>
      </c>
      <c r="G658" s="39"/>
      <c r="H658" s="35"/>
      <c r="I658" s="124">
        <v>0</v>
      </c>
    </row>
    <row r="659" spans="1:9" hidden="1" x14ac:dyDescent="0.25">
      <c r="A659" s="255"/>
      <c r="B659" s="40" t="s">
        <v>3757</v>
      </c>
      <c r="C659" s="40" t="s">
        <v>3752</v>
      </c>
      <c r="D659" s="41">
        <v>0.10199999999999999</v>
      </c>
      <c r="E659" s="35">
        <v>28.0535</v>
      </c>
      <c r="F659" s="38">
        <f t="shared" si="25"/>
        <v>2.8614569999999997</v>
      </c>
      <c r="G659" s="48">
        <f>SUM(F659:F662)</f>
        <v>6.2342733499999987</v>
      </c>
      <c r="H659" s="49"/>
      <c r="I659" s="124">
        <v>0</v>
      </c>
    </row>
    <row r="660" spans="1:9" hidden="1" x14ac:dyDescent="0.25">
      <c r="A660" s="255"/>
      <c r="B660" s="40" t="s">
        <v>3754</v>
      </c>
      <c r="C660" s="40" t="s">
        <v>3752</v>
      </c>
      <c r="D660" s="41">
        <v>0.15310000000000001</v>
      </c>
      <c r="E660" s="38">
        <v>20.814499999999999</v>
      </c>
      <c r="F660" s="38">
        <f t="shared" si="25"/>
        <v>3.1866999499999999</v>
      </c>
      <c r="G660" s="48"/>
      <c r="H660" s="49"/>
      <c r="I660" s="124">
        <v>0</v>
      </c>
    </row>
    <row r="661" spans="1:9" ht="38.25" hidden="1" x14ac:dyDescent="0.25">
      <c r="A661" s="255"/>
      <c r="B661" s="40" t="s">
        <v>4018</v>
      </c>
      <c r="C661" s="40" t="s">
        <v>1041</v>
      </c>
      <c r="D661" s="41">
        <v>3.5999999999999999E-3</v>
      </c>
      <c r="E661" s="35">
        <v>29.012999999999998</v>
      </c>
      <c r="F661" s="38">
        <f t="shared" si="25"/>
        <v>0.10444679999999999</v>
      </c>
      <c r="G661" s="48"/>
      <c r="H661" s="49"/>
      <c r="I661" s="124">
        <v>0</v>
      </c>
    </row>
    <row r="662" spans="1:9" ht="38.25" hidden="1" x14ac:dyDescent="0.25">
      <c r="A662" s="255"/>
      <c r="B662" s="40" t="s">
        <v>4019</v>
      </c>
      <c r="C662" s="40" t="s">
        <v>1052</v>
      </c>
      <c r="D662" s="41">
        <v>3.5999999999999999E-3</v>
      </c>
      <c r="E662" s="35">
        <v>22.685999999999996</v>
      </c>
      <c r="F662" s="38">
        <f t="shared" si="25"/>
        <v>8.1669599999999981E-2</v>
      </c>
      <c r="G662" s="48"/>
      <c r="H662" s="49"/>
      <c r="I662" s="124">
        <v>0</v>
      </c>
    </row>
    <row r="663" spans="1:9" ht="15.75" hidden="1" thickBot="1" x14ac:dyDescent="0.3">
      <c r="A663" s="269"/>
      <c r="B663" s="60" t="s">
        <v>23</v>
      </c>
      <c r="C663" s="60"/>
      <c r="D663" s="130"/>
      <c r="E663" s="87" t="s">
        <v>23</v>
      </c>
      <c r="F663" s="88" t="str">
        <f t="shared" si="25"/>
        <v/>
      </c>
      <c r="G663" s="89"/>
      <c r="H663" s="35"/>
      <c r="I663" s="124">
        <v>0</v>
      </c>
    </row>
    <row r="664" spans="1:9" ht="15.75" hidden="1" thickBot="1" x14ac:dyDescent="0.3">
      <c r="A664" s="268" t="s">
        <v>4678</v>
      </c>
      <c r="B664" s="28" t="s">
        <v>23</v>
      </c>
      <c r="C664" s="29" t="s">
        <v>1035</v>
      </c>
      <c r="D664" s="127"/>
      <c r="E664" s="31" t="s">
        <v>23</v>
      </c>
      <c r="F664" s="31" t="str">
        <f t="shared" si="25"/>
        <v/>
      </c>
      <c r="G664" s="32"/>
      <c r="H664" s="33"/>
      <c r="I664" s="124">
        <v>0</v>
      </c>
    </row>
    <row r="665" spans="1:9" hidden="1" x14ac:dyDescent="0.25">
      <c r="A665" s="255"/>
      <c r="B665" s="95" t="s">
        <v>23</v>
      </c>
      <c r="C665" s="95"/>
      <c r="D665" s="138"/>
      <c r="E665" s="35" t="s">
        <v>23</v>
      </c>
      <c r="F665" s="35" t="str">
        <f t="shared" si="25"/>
        <v/>
      </c>
      <c r="G665" s="39"/>
      <c r="H665" s="35"/>
      <c r="I665" s="124">
        <v>0</v>
      </c>
    </row>
    <row r="666" spans="1:9" ht="38.25" hidden="1" x14ac:dyDescent="0.25">
      <c r="A666" s="255"/>
      <c r="B666" s="40" t="s">
        <v>3973</v>
      </c>
      <c r="C666" s="40" t="s">
        <v>177</v>
      </c>
      <c r="D666" s="75">
        <v>0.82399999999999995</v>
      </c>
      <c r="E666" s="35">
        <v>11.9985</v>
      </c>
      <c r="F666" s="38">
        <f t="shared" si="25"/>
        <v>9.8867639999999994</v>
      </c>
      <c r="G666" s="48">
        <f>SUM(F666:F670)</f>
        <v>15.525118500000001</v>
      </c>
      <c r="H666" s="49"/>
      <c r="I666" s="124">
        <v>0</v>
      </c>
    </row>
    <row r="667" spans="1:9" ht="38.25" hidden="1" x14ac:dyDescent="0.25">
      <c r="A667" s="255"/>
      <c r="B667" s="40" t="s">
        <v>4675</v>
      </c>
      <c r="C667" s="40" t="s">
        <v>1286</v>
      </c>
      <c r="D667" s="75">
        <v>0.67600000000000005</v>
      </c>
      <c r="E667" s="35">
        <v>5.8519999999999994</v>
      </c>
      <c r="F667" s="38">
        <f t="shared" si="25"/>
        <v>3.9559519999999999</v>
      </c>
      <c r="G667" s="48"/>
      <c r="H667" s="49"/>
      <c r="I667" s="124">
        <v>0</v>
      </c>
    </row>
    <row r="668" spans="1:9" ht="25.5" hidden="1" x14ac:dyDescent="0.25">
      <c r="A668" s="255"/>
      <c r="B668" s="40" t="s">
        <v>4033</v>
      </c>
      <c r="C668" s="40" t="s">
        <v>1035</v>
      </c>
      <c r="D668" s="75">
        <v>1.0999999999999999E-2</v>
      </c>
      <c r="E668" s="38">
        <v>18.249500000000001</v>
      </c>
      <c r="F668" s="38">
        <f t="shared" si="25"/>
        <v>0.20074449999999999</v>
      </c>
      <c r="G668" s="48"/>
      <c r="H668" s="49"/>
      <c r="I668" s="124">
        <v>0</v>
      </c>
    </row>
    <row r="669" spans="1:9" ht="15.75" hidden="1" customHeight="1" x14ac:dyDescent="0.25">
      <c r="A669" s="255"/>
      <c r="B669" s="40" t="s">
        <v>4167</v>
      </c>
      <c r="C669" s="40" t="s">
        <v>3752</v>
      </c>
      <c r="D669" s="75">
        <v>1.4999999999999999E-2</v>
      </c>
      <c r="E669" s="35">
        <v>20.785999999999998</v>
      </c>
      <c r="F669" s="38">
        <f t="shared" si="25"/>
        <v>0.31178999999999996</v>
      </c>
      <c r="G669" s="48"/>
      <c r="H669" s="49"/>
      <c r="I669" s="124">
        <v>0</v>
      </c>
    </row>
    <row r="670" spans="1:9" hidden="1" x14ac:dyDescent="0.25">
      <c r="A670" s="255"/>
      <c r="B670" s="40" t="s">
        <v>3977</v>
      </c>
      <c r="C670" s="40" t="s">
        <v>3752</v>
      </c>
      <c r="D670" s="75">
        <v>4.2000000000000003E-2</v>
      </c>
      <c r="E670" s="35">
        <v>27.853999999999999</v>
      </c>
      <c r="F670" s="38">
        <f t="shared" si="25"/>
        <v>1.1698680000000001</v>
      </c>
      <c r="G670" s="48"/>
      <c r="H670" s="49"/>
      <c r="I670" s="124">
        <v>0</v>
      </c>
    </row>
    <row r="671" spans="1:9" ht="15.75" hidden="1" thickBot="1" x14ac:dyDescent="0.3">
      <c r="A671" s="269"/>
      <c r="B671" s="139"/>
      <c r="C671" s="78"/>
      <c r="D671" s="79"/>
      <c r="E671" s="87" t="s">
        <v>23</v>
      </c>
      <c r="F671" s="88" t="str">
        <f t="shared" si="25"/>
        <v/>
      </c>
      <c r="G671" s="140"/>
      <c r="H671" s="49"/>
      <c r="I671" s="124">
        <v>0</v>
      </c>
    </row>
    <row r="672" spans="1:9" ht="15.75" hidden="1" thickBot="1" x14ac:dyDescent="0.3">
      <c r="A672" s="268" t="s">
        <v>4701</v>
      </c>
      <c r="B672" s="28" t="s">
        <v>23</v>
      </c>
      <c r="C672" s="29" t="s">
        <v>3764</v>
      </c>
      <c r="D672" s="127"/>
      <c r="E672" s="45" t="s">
        <v>23</v>
      </c>
      <c r="F672" s="45" t="str">
        <f t="shared" si="25"/>
        <v/>
      </c>
      <c r="G672" s="32"/>
      <c r="H672" s="33"/>
      <c r="I672" s="124">
        <v>0</v>
      </c>
    </row>
    <row r="673" spans="1:9" hidden="1" x14ac:dyDescent="0.25">
      <c r="A673" s="255"/>
      <c r="B673" s="95" t="s">
        <v>23</v>
      </c>
      <c r="C673" s="95"/>
      <c r="D673" s="138"/>
      <c r="E673" s="46" t="s">
        <v>23</v>
      </c>
      <c r="F673" s="35" t="str">
        <f t="shared" si="25"/>
        <v/>
      </c>
      <c r="G673" s="39"/>
      <c r="H673" s="35"/>
      <c r="I673" s="124">
        <v>0</v>
      </c>
    </row>
    <row r="674" spans="1:9" ht="25.5" hidden="1" x14ac:dyDescent="0.25">
      <c r="A674" s="255"/>
      <c r="B674" s="40" t="s">
        <v>3763</v>
      </c>
      <c r="C674" s="40" t="s">
        <v>3764</v>
      </c>
      <c r="D674" s="75">
        <v>0.75580000000000003</v>
      </c>
      <c r="E674" s="38">
        <v>204.23099999999999</v>
      </c>
      <c r="F674" s="38">
        <f t="shared" si="25"/>
        <v>154.35778980000001</v>
      </c>
      <c r="G674" s="48">
        <f>SUM(F674:F682)</f>
        <v>624.77137896875001</v>
      </c>
      <c r="H674" s="49"/>
      <c r="I674" s="124">
        <v>0</v>
      </c>
    </row>
    <row r="675" spans="1:9" hidden="1" x14ac:dyDescent="0.25">
      <c r="A675" s="255"/>
      <c r="B675" s="40" t="s">
        <v>3759</v>
      </c>
      <c r="C675" s="40" t="s">
        <v>1035</v>
      </c>
      <c r="D675" s="75">
        <v>322.97770000000003</v>
      </c>
      <c r="E675" s="38">
        <v>0.627</v>
      </c>
      <c r="F675" s="38">
        <f t="shared" si="25"/>
        <v>202.50701790000002</v>
      </c>
      <c r="G675" s="48"/>
      <c r="H675" s="49"/>
      <c r="I675" s="124">
        <v>0</v>
      </c>
    </row>
    <row r="676" spans="1:9" ht="25.5" hidden="1" x14ac:dyDescent="0.25">
      <c r="A676" s="255"/>
      <c r="B676" s="40" t="s">
        <v>4016</v>
      </c>
      <c r="C676" s="40" t="s">
        <v>3764</v>
      </c>
      <c r="D676" s="75">
        <v>0.58720000000000006</v>
      </c>
      <c r="E676" s="38">
        <v>170.107</v>
      </c>
      <c r="F676" s="38">
        <f t="shared" si="25"/>
        <v>99.886830400000008</v>
      </c>
      <c r="G676" s="48"/>
      <c r="H676" s="49"/>
      <c r="I676" s="124">
        <v>0</v>
      </c>
    </row>
    <row r="677" spans="1:9" hidden="1" x14ac:dyDescent="0.25">
      <c r="A677" s="255"/>
      <c r="B677" s="40" t="s">
        <v>3754</v>
      </c>
      <c r="C677" s="40" t="s">
        <v>3752</v>
      </c>
      <c r="D677" s="75">
        <v>2.5333000000000001</v>
      </c>
      <c r="E677" s="35">
        <v>20.814499999999999</v>
      </c>
      <c r="F677" s="38">
        <f t="shared" si="25"/>
        <v>52.729372849999997</v>
      </c>
      <c r="G677" s="48"/>
      <c r="H677" s="49"/>
      <c r="I677" s="124">
        <v>0</v>
      </c>
    </row>
    <row r="678" spans="1:9" ht="25.5" hidden="1" x14ac:dyDescent="0.25">
      <c r="A678" s="255"/>
      <c r="B678" s="40" t="s">
        <v>3805</v>
      </c>
      <c r="C678" s="40" t="s">
        <v>3752</v>
      </c>
      <c r="D678" s="75">
        <v>1.6046</v>
      </c>
      <c r="E678" s="35">
        <v>20.918999999999997</v>
      </c>
      <c r="F678" s="38">
        <f t="shared" si="25"/>
        <v>33.566627399999994</v>
      </c>
      <c r="G678" s="48"/>
      <c r="H678" s="49"/>
      <c r="I678" s="124">
        <v>0</v>
      </c>
    </row>
    <row r="679" spans="1:9" ht="38.25" hidden="1" x14ac:dyDescent="0.25">
      <c r="A679" s="255"/>
      <c r="B679" s="40" t="s">
        <v>4115</v>
      </c>
      <c r="C679" s="40" t="s">
        <v>1041</v>
      </c>
      <c r="D679" s="75">
        <v>0.82589999999999997</v>
      </c>
      <c r="E679" s="35">
        <v>1.5579999999999998</v>
      </c>
      <c r="F679" s="38">
        <f t="shared" si="25"/>
        <v>1.2867521999999998</v>
      </c>
      <c r="G679" s="48"/>
      <c r="H679" s="49"/>
      <c r="I679" s="124">
        <v>0</v>
      </c>
    </row>
    <row r="680" spans="1:9" ht="38.25" hidden="1" x14ac:dyDescent="0.25">
      <c r="A680" s="255"/>
      <c r="B680" s="40" t="s">
        <v>4121</v>
      </c>
      <c r="C680" s="40" t="s">
        <v>1052</v>
      </c>
      <c r="D680" s="75">
        <v>0.77869999999999995</v>
      </c>
      <c r="E680" s="35">
        <v>0.38</v>
      </c>
      <c r="F680" s="38">
        <f t="shared" si="25"/>
        <v>0.295906</v>
      </c>
      <c r="G680" s="48"/>
      <c r="H680" s="49"/>
      <c r="I680" s="124">
        <v>0</v>
      </c>
    </row>
    <row r="681" spans="1:9" ht="51" hidden="1" x14ac:dyDescent="0.25">
      <c r="A681" s="255"/>
      <c r="B681" s="40" t="s">
        <v>4752</v>
      </c>
      <c r="C681" s="99" t="s">
        <v>3764</v>
      </c>
      <c r="D681" s="75">
        <f>ROUND(1*(D674+D676),4)</f>
        <v>1.343</v>
      </c>
      <c r="E681" s="35">
        <v>7.75243225</v>
      </c>
      <c r="F681" s="38">
        <f t="shared" si="25"/>
        <v>10.411516511749999</v>
      </c>
      <c r="G681" s="48"/>
      <c r="H681" s="49"/>
      <c r="I681" s="124">
        <v>0</v>
      </c>
    </row>
    <row r="682" spans="1:9" ht="38.25" hidden="1" x14ac:dyDescent="0.25">
      <c r="A682" s="255"/>
      <c r="B682" s="40" t="s">
        <v>4749</v>
      </c>
      <c r="C682" s="108" t="s">
        <v>4744</v>
      </c>
      <c r="D682" s="75">
        <f>ROUND((D674+D676)*20,4)</f>
        <v>26.86</v>
      </c>
      <c r="E682" s="35">
        <v>2.5960374499999999</v>
      </c>
      <c r="F682" s="38">
        <f t="shared" si="25"/>
        <v>69.729565906999994</v>
      </c>
      <c r="G682" s="48"/>
      <c r="H682" s="49"/>
      <c r="I682" s="124">
        <v>0</v>
      </c>
    </row>
    <row r="683" spans="1:9" hidden="1" x14ac:dyDescent="0.25">
      <c r="A683" s="255"/>
      <c r="B683" s="141"/>
      <c r="C683" s="108"/>
      <c r="D683" s="75"/>
      <c r="E683" s="35" t="s">
        <v>23</v>
      </c>
      <c r="F683" s="38" t="str">
        <f t="shared" si="25"/>
        <v/>
      </c>
      <c r="G683" s="48"/>
      <c r="H683" s="49"/>
      <c r="I683" s="124">
        <v>0</v>
      </c>
    </row>
    <row r="684" spans="1:9" ht="25.5" hidden="1" x14ac:dyDescent="0.25">
      <c r="A684" s="255"/>
      <c r="B684" s="142" t="s">
        <v>88</v>
      </c>
      <c r="C684" s="108"/>
      <c r="D684" s="75"/>
      <c r="E684" s="35" t="s">
        <v>23</v>
      </c>
      <c r="F684" s="38" t="str">
        <f t="shared" si="25"/>
        <v/>
      </c>
      <c r="G684" s="48"/>
      <c r="H684" s="49"/>
      <c r="I684" s="124">
        <v>0</v>
      </c>
    </row>
    <row r="685" spans="1:9" ht="15.75" hidden="1" thickBot="1" x14ac:dyDescent="0.3">
      <c r="A685" s="269"/>
      <c r="B685" s="60" t="s">
        <v>23</v>
      </c>
      <c r="C685" s="60"/>
      <c r="D685" s="130"/>
      <c r="E685" s="87" t="s">
        <v>23</v>
      </c>
      <c r="F685" s="87" t="str">
        <f t="shared" si="25"/>
        <v/>
      </c>
      <c r="G685" s="89"/>
      <c r="H685" s="35"/>
      <c r="I685" s="124">
        <v>0</v>
      </c>
    </row>
    <row r="686" spans="1:9" ht="26.25" hidden="1" customHeight="1" thickBot="1" x14ac:dyDescent="0.3">
      <c r="A686" s="268" t="s">
        <v>4684</v>
      </c>
      <c r="B686" s="28" t="s">
        <v>23</v>
      </c>
      <c r="C686" s="29" t="s">
        <v>177</v>
      </c>
      <c r="D686" s="127"/>
      <c r="E686" s="45" t="s">
        <v>23</v>
      </c>
      <c r="F686" s="45" t="str">
        <f t="shared" ref="F686:F692" si="26">IF(ISNUMBER(E686),ROUND(E686*$D686,2),"")</f>
        <v/>
      </c>
      <c r="G686" s="32"/>
      <c r="H686" s="33"/>
      <c r="I686" s="124">
        <v>0</v>
      </c>
    </row>
    <row r="687" spans="1:9" hidden="1" x14ac:dyDescent="0.25">
      <c r="A687" s="255"/>
      <c r="B687" s="36" t="s">
        <v>23</v>
      </c>
      <c r="C687" s="134"/>
      <c r="D687" s="125"/>
      <c r="E687" s="128" t="s">
        <v>23</v>
      </c>
      <c r="F687" s="129" t="str">
        <f t="shared" si="26"/>
        <v/>
      </c>
      <c r="G687" s="39"/>
      <c r="H687" s="35"/>
      <c r="I687" s="124">
        <v>0</v>
      </c>
    </row>
    <row r="688" spans="1:9" ht="25.5" hidden="1" x14ac:dyDescent="0.25">
      <c r="A688" s="255"/>
      <c r="B688" s="40" t="s">
        <v>4659</v>
      </c>
      <c r="C688" s="40" t="s">
        <v>80</v>
      </c>
      <c r="D688" s="41">
        <v>1.7000000000000001E-2</v>
      </c>
      <c r="E688" s="38">
        <v>7.9229999999999992</v>
      </c>
      <c r="F688" s="38">
        <f t="shared" si="26"/>
        <v>0.13</v>
      </c>
      <c r="G688" s="48">
        <f>SUM(F688:F697)</f>
        <v>125.61456199999999</v>
      </c>
      <c r="H688" s="49"/>
      <c r="I688" s="124">
        <v>0</v>
      </c>
    </row>
    <row r="689" spans="1:9" ht="25.5" hidden="1" x14ac:dyDescent="0.25">
      <c r="A689" s="255"/>
      <c r="B689" s="40" t="s">
        <v>3840</v>
      </c>
      <c r="C689" s="40" t="s">
        <v>1286</v>
      </c>
      <c r="D689" s="41">
        <v>1.1659999999999999</v>
      </c>
      <c r="E689" s="38">
        <v>7.7330000000000005</v>
      </c>
      <c r="F689" s="38">
        <f t="shared" si="26"/>
        <v>9.02</v>
      </c>
      <c r="G689" s="48"/>
      <c r="H689" s="49"/>
      <c r="I689" s="124">
        <v>0</v>
      </c>
    </row>
    <row r="690" spans="1:9" ht="25.5" hidden="1" x14ac:dyDescent="0.25">
      <c r="A690" s="255"/>
      <c r="B690" s="40" t="s">
        <v>4135</v>
      </c>
      <c r="C690" s="40" t="s">
        <v>1286</v>
      </c>
      <c r="D690" s="41">
        <v>1.093</v>
      </c>
      <c r="E690" s="35">
        <v>2.7075</v>
      </c>
      <c r="F690" s="38">
        <f t="shared" si="26"/>
        <v>2.96</v>
      </c>
      <c r="G690" s="48"/>
      <c r="H690" s="49"/>
      <c r="I690" s="124">
        <v>0</v>
      </c>
    </row>
    <row r="691" spans="1:9" hidden="1" x14ac:dyDescent="0.25">
      <c r="A691" s="255"/>
      <c r="B691" s="40" t="s">
        <v>4676</v>
      </c>
      <c r="C691" s="40" t="s">
        <v>1035</v>
      </c>
      <c r="D691" s="41">
        <v>4.9000000000000002E-2</v>
      </c>
      <c r="E691" s="35">
        <v>21.1755</v>
      </c>
      <c r="F691" s="38">
        <f t="shared" si="26"/>
        <v>1.04</v>
      </c>
      <c r="G691" s="48"/>
      <c r="H691" s="49"/>
      <c r="I691" s="124">
        <v>0</v>
      </c>
    </row>
    <row r="692" spans="1:9" ht="25.5" hidden="1" x14ac:dyDescent="0.25">
      <c r="A692" s="255"/>
      <c r="B692" s="40" t="s">
        <v>3856</v>
      </c>
      <c r="C692" s="40" t="s">
        <v>1286</v>
      </c>
      <c r="D692" s="41">
        <v>1.9430000000000001</v>
      </c>
      <c r="E692" s="35">
        <v>32.717999999999996</v>
      </c>
      <c r="F692" s="38">
        <f t="shared" si="26"/>
        <v>63.57</v>
      </c>
      <c r="G692" s="48"/>
      <c r="H692" s="49"/>
      <c r="I692" s="124">
        <v>0</v>
      </c>
    </row>
    <row r="693" spans="1:9" hidden="1" x14ac:dyDescent="0.25">
      <c r="A693" s="255"/>
      <c r="B693" s="40" t="s">
        <v>4185</v>
      </c>
      <c r="C693" s="40" t="s">
        <v>1035</v>
      </c>
      <c r="D693" s="41">
        <v>3.4000000000000002E-2</v>
      </c>
      <c r="E693" s="35">
        <v>25.640499999999996</v>
      </c>
      <c r="F693" s="38">
        <f>IF(ISNUMBER(E693),E693*$D693,"")</f>
        <v>0.87177699999999991</v>
      </c>
      <c r="G693" s="48"/>
      <c r="H693" s="49"/>
      <c r="I693" s="124">
        <v>0</v>
      </c>
    </row>
    <row r="694" spans="1:9" hidden="1" x14ac:dyDescent="0.25">
      <c r="A694" s="255"/>
      <c r="B694" s="40" t="s">
        <v>4111</v>
      </c>
      <c r="C694" s="40" t="s">
        <v>3752</v>
      </c>
      <c r="D694" s="41">
        <v>0.5</v>
      </c>
      <c r="E694" s="35">
        <v>21.983000000000001</v>
      </c>
      <c r="F694" s="38">
        <f>IF(ISNUMBER(E694),E694*$D694,"")</f>
        <v>10.9915</v>
      </c>
      <c r="G694" s="48"/>
      <c r="H694" s="49"/>
      <c r="I694" s="124">
        <v>0</v>
      </c>
    </row>
    <row r="695" spans="1:9" hidden="1" x14ac:dyDescent="0.25">
      <c r="A695" s="255"/>
      <c r="B695" s="40" t="s">
        <v>3823</v>
      </c>
      <c r="C695" s="40" t="s">
        <v>3752</v>
      </c>
      <c r="D695" s="41">
        <v>1.2889999999999999</v>
      </c>
      <c r="E695" s="35">
        <v>27.683</v>
      </c>
      <c r="F695" s="38">
        <f>IF(ISNUMBER(E695),E695*$D695,"")</f>
        <v>35.683386999999996</v>
      </c>
      <c r="G695" s="48"/>
      <c r="H695" s="49"/>
      <c r="I695" s="124">
        <v>0</v>
      </c>
    </row>
    <row r="696" spans="1:9" ht="25.5" hidden="1" x14ac:dyDescent="0.25">
      <c r="A696" s="255"/>
      <c r="B696" s="40" t="s">
        <v>4168</v>
      </c>
      <c r="C696" s="40" t="s">
        <v>1041</v>
      </c>
      <c r="D696" s="41">
        <v>3.2000000000000001E-2</v>
      </c>
      <c r="E696" s="35">
        <v>22.895</v>
      </c>
      <c r="F696" s="38">
        <f>IF(ISNUMBER(E696),E696*$D696,"")</f>
        <v>0.73263999999999996</v>
      </c>
      <c r="G696" s="48"/>
      <c r="H696" s="49"/>
      <c r="I696" s="124">
        <v>0</v>
      </c>
    </row>
    <row r="697" spans="1:9" ht="25.5" hidden="1" x14ac:dyDescent="0.25">
      <c r="A697" s="255"/>
      <c r="B697" s="40" t="s">
        <v>4120</v>
      </c>
      <c r="C697" s="40" t="s">
        <v>1052</v>
      </c>
      <c r="D697" s="41">
        <v>2.8000000000000001E-2</v>
      </c>
      <c r="E697" s="35">
        <v>21.973499999999998</v>
      </c>
      <c r="F697" s="38">
        <f>IF(ISNUMBER(E697),E697*$D697,"")</f>
        <v>0.61525799999999997</v>
      </c>
      <c r="G697" s="48"/>
      <c r="H697" s="49"/>
      <c r="I697" s="124">
        <v>0</v>
      </c>
    </row>
    <row r="698" spans="1:9" ht="15.75" hidden="1" thickBot="1" x14ac:dyDescent="0.3">
      <c r="A698" s="269"/>
      <c r="B698" s="135"/>
      <c r="C698" s="136"/>
      <c r="D698" s="130"/>
      <c r="E698" s="87" t="s">
        <v>23</v>
      </c>
      <c r="F698" s="87" t="str">
        <f t="shared" ref="F698:F703" si="27">IF(ISNUMBER(E698),ROUND(E698*$D698,2),"")</f>
        <v/>
      </c>
      <c r="G698" s="89"/>
      <c r="H698" s="35"/>
      <c r="I698" s="124">
        <v>0</v>
      </c>
    </row>
    <row r="699" spans="1:9" ht="26.25" hidden="1" customHeight="1" thickBot="1" x14ac:dyDescent="0.3">
      <c r="A699" s="268" t="s">
        <v>4679</v>
      </c>
      <c r="B699" s="28" t="s">
        <v>23</v>
      </c>
      <c r="C699" s="29" t="s">
        <v>3764</v>
      </c>
      <c r="D699" s="127"/>
      <c r="E699" s="45" t="s">
        <v>23</v>
      </c>
      <c r="F699" s="45" t="str">
        <f t="shared" si="27"/>
        <v/>
      </c>
      <c r="G699" s="32"/>
      <c r="H699" s="33"/>
      <c r="I699" s="124">
        <v>0</v>
      </c>
    </row>
    <row r="700" spans="1:9" hidden="1" x14ac:dyDescent="0.25">
      <c r="A700" s="255"/>
      <c r="B700" s="36" t="s">
        <v>23</v>
      </c>
      <c r="C700" s="134"/>
      <c r="D700" s="125"/>
      <c r="E700" s="128" t="s">
        <v>23</v>
      </c>
      <c r="F700" s="129" t="str">
        <f t="shared" si="27"/>
        <v/>
      </c>
      <c r="G700" s="39"/>
      <c r="H700" s="35"/>
      <c r="I700" s="124">
        <v>0</v>
      </c>
    </row>
    <row r="701" spans="1:9" ht="25.5" hidden="1" x14ac:dyDescent="0.25">
      <c r="A701" s="255"/>
      <c r="B701" s="40" t="s">
        <v>3994</v>
      </c>
      <c r="C701" s="40" t="s">
        <v>3764</v>
      </c>
      <c r="D701" s="41">
        <v>1.1000000000000001</v>
      </c>
      <c r="E701" s="38">
        <v>171</v>
      </c>
      <c r="F701" s="38">
        <f t="shared" si="27"/>
        <v>188.1</v>
      </c>
      <c r="G701" s="48">
        <f>SUM(F701:F710)</f>
        <v>934.37695927624998</v>
      </c>
      <c r="H701" s="49"/>
      <c r="I701" s="124">
        <v>0</v>
      </c>
    </row>
    <row r="702" spans="1:9" ht="25.5" hidden="1" x14ac:dyDescent="0.25">
      <c r="A702" s="255"/>
      <c r="B702" s="40" t="s">
        <v>4016</v>
      </c>
      <c r="C702" s="40" t="s">
        <v>3764</v>
      </c>
      <c r="D702" s="41">
        <v>2.4937999999999998</v>
      </c>
      <c r="E702" s="35">
        <v>170.107</v>
      </c>
      <c r="F702" s="38">
        <f t="shared" si="27"/>
        <v>424.21</v>
      </c>
      <c r="G702" s="48"/>
      <c r="H702" s="49"/>
      <c r="I702" s="124">
        <v>0</v>
      </c>
    </row>
    <row r="703" spans="1:9" hidden="1" x14ac:dyDescent="0.25">
      <c r="A703" s="255"/>
      <c r="B703" s="40" t="s">
        <v>3757</v>
      </c>
      <c r="C703" s="40" t="s">
        <v>3752</v>
      </c>
      <c r="D703" s="41">
        <v>3.7406999999999999</v>
      </c>
      <c r="E703" s="35">
        <v>28.0535</v>
      </c>
      <c r="F703" s="38">
        <f t="shared" si="27"/>
        <v>104.94</v>
      </c>
      <c r="G703" s="48"/>
      <c r="H703" s="49"/>
      <c r="I703" s="124">
        <v>0</v>
      </c>
    </row>
    <row r="704" spans="1:9" hidden="1" x14ac:dyDescent="0.25">
      <c r="A704" s="255"/>
      <c r="B704" s="40" t="s">
        <v>3754</v>
      </c>
      <c r="C704" s="40" t="s">
        <v>3752</v>
      </c>
      <c r="D704" s="41">
        <v>7.1800000000000003E-2</v>
      </c>
      <c r="E704" s="35">
        <v>20.814499999999999</v>
      </c>
      <c r="F704" s="38">
        <f>IF(ISNUMBER(E704),E704*$D704,"")</f>
        <v>1.4944811</v>
      </c>
      <c r="G704" s="48"/>
      <c r="H704" s="49"/>
      <c r="I704" s="124">
        <v>0</v>
      </c>
    </row>
    <row r="705" spans="1:9" ht="38.25" hidden="1" x14ac:dyDescent="0.25">
      <c r="A705" s="255"/>
      <c r="B705" s="40" t="s">
        <v>4663</v>
      </c>
      <c r="C705" s="40" t="s">
        <v>1041</v>
      </c>
      <c r="D705" s="41">
        <v>6.6600000000000006E-2</v>
      </c>
      <c r="E705" s="35">
        <v>8.7590000000000003</v>
      </c>
      <c r="F705" s="38">
        <f>IF(ISNUMBER(E705),E705*$D705,"")</f>
        <v>0.58334940000000013</v>
      </c>
      <c r="G705" s="48"/>
      <c r="H705" s="49"/>
      <c r="I705" s="124">
        <v>0</v>
      </c>
    </row>
    <row r="706" spans="1:9" ht="38.25" hidden="1" x14ac:dyDescent="0.25">
      <c r="A706" s="255"/>
      <c r="B706" s="40" t="s">
        <v>4669</v>
      </c>
      <c r="C706" s="40" t="s">
        <v>1052</v>
      </c>
      <c r="D706" s="41">
        <f>ROUND(1*(D701),4)</f>
        <v>1.1000000000000001</v>
      </c>
      <c r="E706" s="35">
        <v>0.54149999999999998</v>
      </c>
      <c r="F706" s="38">
        <f>IF(ISNUMBER(E706),E706*$D706,"")</f>
        <v>0.59565000000000001</v>
      </c>
      <c r="G706" s="48"/>
      <c r="H706" s="49"/>
      <c r="I706" s="124">
        <v>0</v>
      </c>
    </row>
    <row r="707" spans="1:9" ht="51" hidden="1" x14ac:dyDescent="0.25">
      <c r="A707" s="255"/>
      <c r="B707" s="40" t="s">
        <v>4752</v>
      </c>
      <c r="C707" s="99" t="s">
        <v>3764</v>
      </c>
      <c r="D707" s="75">
        <f>ROUND(1*(D701+D702),4)</f>
        <v>3.5937999999999999</v>
      </c>
      <c r="E707" s="35">
        <v>7.75243225</v>
      </c>
      <c r="F707" s="38">
        <f>IF(ISNUMBER(E707),E707*$D707,"")</f>
        <v>27.860691020049998</v>
      </c>
      <c r="G707" s="48"/>
      <c r="H707" s="49"/>
      <c r="I707" s="124">
        <v>0</v>
      </c>
    </row>
    <row r="708" spans="1:9" ht="38.25" hidden="1" x14ac:dyDescent="0.25">
      <c r="A708" s="255"/>
      <c r="B708" s="40" t="s">
        <v>4749</v>
      </c>
      <c r="C708" s="108" t="s">
        <v>4744</v>
      </c>
      <c r="D708" s="75">
        <f>ROUND((D701+D702)*20,4)</f>
        <v>71.876000000000005</v>
      </c>
      <c r="E708" s="35">
        <v>2.5960374499999999</v>
      </c>
      <c r="F708" s="38">
        <f>IF(ISNUMBER(E708),E708*$D708,"")</f>
        <v>186.59278775620001</v>
      </c>
      <c r="G708" s="48"/>
      <c r="H708" s="49"/>
      <c r="I708" s="124">
        <v>0</v>
      </c>
    </row>
    <row r="709" spans="1:9" hidden="1" x14ac:dyDescent="0.25">
      <c r="A709" s="255"/>
      <c r="B709" s="52"/>
      <c r="C709" s="137"/>
      <c r="D709" s="41"/>
      <c r="E709" s="35" t="s">
        <v>23</v>
      </c>
      <c r="F709" s="38" t="str">
        <f>IF(ISNUMBER(E709),ROUND(E709*$D709,2),"")</f>
        <v/>
      </c>
      <c r="G709" s="48"/>
      <c r="H709" s="49"/>
      <c r="I709" s="124">
        <v>0</v>
      </c>
    </row>
    <row r="710" spans="1:9" ht="24.95" hidden="1" customHeight="1" x14ac:dyDescent="0.25">
      <c r="A710" s="255"/>
      <c r="B710" s="50" t="s">
        <v>646</v>
      </c>
      <c r="C710" s="137"/>
      <c r="D710" s="41"/>
      <c r="E710" s="35" t="s">
        <v>23</v>
      </c>
      <c r="F710" s="38" t="str">
        <f>IF(ISNUMBER(E710),ROUND(E710*$D710,2),"")</f>
        <v/>
      </c>
      <c r="G710" s="48"/>
      <c r="H710" s="49"/>
      <c r="I710" s="124">
        <v>0</v>
      </c>
    </row>
    <row r="711" spans="1:9" ht="15.75" hidden="1" thickBot="1" x14ac:dyDescent="0.3">
      <c r="A711" s="269"/>
      <c r="B711" s="135"/>
      <c r="C711" s="136"/>
      <c r="D711" s="130"/>
      <c r="E711" s="87" t="s">
        <v>23</v>
      </c>
      <c r="F711" s="87" t="str">
        <f>IF(ISNUMBER(E711),ROUND(E711*$D711,2),"")</f>
        <v/>
      </c>
      <c r="G711" s="89"/>
      <c r="H711" s="35"/>
      <c r="I711" s="124">
        <v>0</v>
      </c>
    </row>
  </sheetData>
  <autoFilter ref="A5:I711">
    <filterColumn colId="8">
      <customFilters>
        <customFilter operator="notEqual" val="0"/>
      </customFilters>
    </filterColumn>
  </autoFilter>
  <mergeCells count="78">
    <mergeCell ref="A699:A711"/>
    <mergeCell ref="A600:A607"/>
    <mergeCell ref="A608:A613"/>
    <mergeCell ref="A614:A618"/>
    <mergeCell ref="A619:A623"/>
    <mergeCell ref="A624:A629"/>
    <mergeCell ref="A630:A643"/>
    <mergeCell ref="A644:A656"/>
    <mergeCell ref="A657:A663"/>
    <mergeCell ref="A664:A671"/>
    <mergeCell ref="A672:A685"/>
    <mergeCell ref="A686:A698"/>
    <mergeCell ref="A595:A599"/>
    <mergeCell ref="A514:A519"/>
    <mergeCell ref="A520:A525"/>
    <mergeCell ref="A526:A531"/>
    <mergeCell ref="A532:A537"/>
    <mergeCell ref="A538:A543"/>
    <mergeCell ref="A544:A550"/>
    <mergeCell ref="A551:A563"/>
    <mergeCell ref="A564:A569"/>
    <mergeCell ref="A570:A576"/>
    <mergeCell ref="A577:A581"/>
    <mergeCell ref="A582:A594"/>
    <mergeCell ref="A503:A513"/>
    <mergeCell ref="A367:A372"/>
    <mergeCell ref="A373:A381"/>
    <mergeCell ref="A382:A391"/>
    <mergeCell ref="A392:A403"/>
    <mergeCell ref="A404:A415"/>
    <mergeCell ref="A416:A426"/>
    <mergeCell ref="A427:A438"/>
    <mergeCell ref="A439:A457"/>
    <mergeCell ref="A458:A471"/>
    <mergeCell ref="A472:A490"/>
    <mergeCell ref="A491:A502"/>
    <mergeCell ref="A361:A366"/>
    <mergeCell ref="A256:A265"/>
    <mergeCell ref="A266:A273"/>
    <mergeCell ref="A274:A284"/>
    <mergeCell ref="A285:A292"/>
    <mergeCell ref="A293:A298"/>
    <mergeCell ref="A299:A312"/>
    <mergeCell ref="A313:A326"/>
    <mergeCell ref="A327:A338"/>
    <mergeCell ref="A339:A345"/>
    <mergeCell ref="A346:A352"/>
    <mergeCell ref="A353:A360"/>
    <mergeCell ref="A241:A255"/>
    <mergeCell ref="A156:A167"/>
    <mergeCell ref="A168:A173"/>
    <mergeCell ref="A174:A179"/>
    <mergeCell ref="A180:A185"/>
    <mergeCell ref="A186:A190"/>
    <mergeCell ref="A191:A194"/>
    <mergeCell ref="A195:A202"/>
    <mergeCell ref="A203:A207"/>
    <mergeCell ref="A208:A212"/>
    <mergeCell ref="A213:A226"/>
    <mergeCell ref="A227:A240"/>
    <mergeCell ref="A142:A155"/>
    <mergeCell ref="A61:A68"/>
    <mergeCell ref="A69:A78"/>
    <mergeCell ref="A79:A85"/>
    <mergeCell ref="A86:A95"/>
    <mergeCell ref="A96:A105"/>
    <mergeCell ref="A106:A111"/>
    <mergeCell ref="A112:A117"/>
    <mergeCell ref="A118:A123"/>
    <mergeCell ref="A124:A129"/>
    <mergeCell ref="A130:A135"/>
    <mergeCell ref="A136:A141"/>
    <mergeCell ref="A48:A60"/>
    <mergeCell ref="A6:A15"/>
    <mergeCell ref="A16:A20"/>
    <mergeCell ref="A21:A26"/>
    <mergeCell ref="A27:A37"/>
    <mergeCell ref="A38:A47"/>
  </mergeCells>
  <conditionalFormatting sqref="F4">
    <cfRule type="containsText" dxfId="171" priority="440" operator="containsText" text="Pesquisa">
      <formula>NOT(ISERROR(SEARCH("Pesquisa",F4)))</formula>
    </cfRule>
  </conditionalFormatting>
  <conditionalFormatting sqref="C15:D15">
    <cfRule type="containsText" dxfId="170" priority="469" operator="containsText" text="Pesquisa de Preços">
      <formula>NOT(ISERROR(SEARCH("Pesquisa de Preços",C15)))</formula>
    </cfRule>
  </conditionalFormatting>
  <conditionalFormatting sqref="C7:D7">
    <cfRule type="containsText" dxfId="169" priority="468" operator="containsText" text="Pesquisa de Preços">
      <formula>NOT(ISERROR(SEARCH("Pesquisa de Preços",C7)))</formula>
    </cfRule>
  </conditionalFormatting>
  <conditionalFormatting sqref="C6:D6">
    <cfRule type="containsText" dxfId="168" priority="467" operator="containsText" text="Pesquisa de Preços">
      <formula>NOT(ISERROR(SEARCH("Pesquisa de Preços",C6)))</formula>
    </cfRule>
  </conditionalFormatting>
  <conditionalFormatting sqref="D8:D10">
    <cfRule type="containsText" dxfId="167" priority="466" operator="containsText" text="Pesquisa de Preços">
      <formula>NOT(ISERROR(SEARCH("Pesquisa de Preços",D8)))</formula>
    </cfRule>
  </conditionalFormatting>
  <conditionalFormatting sqref="D29:D36">
    <cfRule type="containsText" dxfId="166" priority="465" operator="containsText" text="Pesquisa de Preços">
      <formula>NOT(ISERROR(SEARCH("Pesquisa de Preços",D29)))</formula>
    </cfRule>
  </conditionalFormatting>
  <conditionalFormatting sqref="D27">
    <cfRule type="containsText" dxfId="165" priority="462" operator="containsText" text="Pesquisa de Preços">
      <formula>NOT(ISERROR(SEARCH("Pesquisa de Preços",D27)))</formula>
    </cfRule>
  </conditionalFormatting>
  <conditionalFormatting sqref="C37:D37">
    <cfRule type="containsText" dxfId="164" priority="464" operator="containsText" text="Pesquisa de Preços">
      <formula>NOT(ISERROR(SEARCH("Pesquisa de Preços",C37)))</formula>
    </cfRule>
  </conditionalFormatting>
  <conditionalFormatting sqref="C28:D28">
    <cfRule type="containsText" dxfId="163" priority="463" operator="containsText" text="Pesquisa de Preços">
      <formula>NOT(ISERROR(SEARCH("Pesquisa de Preços",C28)))</formula>
    </cfRule>
  </conditionalFormatting>
  <conditionalFormatting sqref="C632:C634 C602:C603 C597 C584:C586 C572 C566 C553:C555 C540 C534 C516 C505:C507 C493 C474:C477 C460 C441:C444 C429:C430 C418:C420 C406:C407 C394:C395 C384:C386 C375:C377 C355:C356 C329:C330 C315:C317 C301:C303 C295 C287:C288 C276:C278 C268:C270 C258:C259 C243:C246 C229:C231 C215:C217 C188 C182 C176 C158:C159 C144:C146 C138 C132 C126 C120 C114 C108 C98:C99 C88:C89 C81 C71:C72">
    <cfRule type="containsText" dxfId="162" priority="133" operator="containsText" text="Pesquisa de Preços">
      <formula>NOT(ISERROR(SEARCH("Pesquisa de Preços",C71)))</formula>
    </cfRule>
  </conditionalFormatting>
  <conditionalFormatting sqref="C635:C638 C626:C628 C621:C622 C616:C617 C610:C612 C604:C605 C598 C587:C589 C579:C580 C573:C574 C567:C568 C556:C558 C546:C549 C541:C542 C535:C536 C528:C529 C522:C523 C517:C518 C508 C494:C497 C478:C485 C461:C466 C445:C452 C431:C433 C421 C408:C410 C396:C398 C387:C390 C379:C380 C370:C371 C364:C365 C357:C358 C348:C351 C341:C344 C331:C333 C318:C321 C304:C307 C296:C297 C289:C290 C279 C271:C272 C260 C247:C250 C232:C235 C218:C221 C210:C211 C205:C206 C197:C201 C193 C189 C183:C184 C177:C178 C170:C172 C160:C162 C147:C150 C139:C140 C133:C134 C127:C128 C121:C122 C115:C116 C109:C110 C100 C90 C82:C84 C73">
    <cfRule type="containsText" dxfId="161" priority="132" operator="containsText" text="Pesquisa de Preços">
      <formula>NOT(ISERROR(SEARCH("Pesquisa de Preços",C73)))</formula>
    </cfRule>
  </conditionalFormatting>
  <conditionalFormatting sqref="C646:C648">
    <cfRule type="containsText" dxfId="160" priority="120" operator="containsText" text="Pesquisa de Preços">
      <formula>NOT(ISERROR(SEARCH("Pesquisa de Preços",C646)))</formula>
    </cfRule>
  </conditionalFormatting>
  <conditionalFormatting sqref="C649">
    <cfRule type="containsText" dxfId="159" priority="119" operator="containsText" text="Pesquisa de Preços">
      <formula>NOT(ISERROR(SEARCH("Pesquisa de Preços",C649)))</formula>
    </cfRule>
  </conditionalFormatting>
  <conditionalFormatting sqref="C659:C662">
    <cfRule type="containsText" dxfId="158" priority="115" operator="containsText" text="Pesquisa de Preços">
      <formula>NOT(ISERROR(SEARCH("Pesquisa de Preços",C659)))</formula>
    </cfRule>
  </conditionalFormatting>
  <conditionalFormatting sqref="C666:C670">
    <cfRule type="containsText" dxfId="157" priority="110" operator="containsText" text="Pesquisa de Preços">
      <formula>NOT(ISERROR(SEARCH("Pesquisa de Preços",C666)))</formula>
    </cfRule>
  </conditionalFormatting>
  <conditionalFormatting sqref="C8:C12">
    <cfRule type="containsText" dxfId="156" priority="109" operator="containsText" text="Pesquisa de Preços">
      <formula>NOT(ISERROR(SEARCH("Pesquisa de Preços",C8)))</formula>
    </cfRule>
  </conditionalFormatting>
  <conditionalFormatting sqref="C18:C19">
    <cfRule type="containsText" dxfId="155" priority="108" operator="containsText" text="Pesquisa de Preços">
      <formula>NOT(ISERROR(SEARCH("Pesquisa de Preços",C18)))</formula>
    </cfRule>
  </conditionalFormatting>
  <conditionalFormatting sqref="C23:C25">
    <cfRule type="containsText" dxfId="154" priority="107" operator="containsText" text="Pesquisa de Preços">
      <formula>NOT(ISERROR(SEARCH("Pesquisa de Preços",C23)))</formula>
    </cfRule>
  </conditionalFormatting>
  <conditionalFormatting sqref="C29:C36">
    <cfRule type="containsText" dxfId="153" priority="106" operator="containsText" text="Pesquisa de Preços">
      <formula>NOT(ISERROR(SEARCH("Pesquisa de Preços",C29)))</formula>
    </cfRule>
  </conditionalFormatting>
  <conditionalFormatting sqref="C40:C46">
    <cfRule type="containsText" dxfId="152" priority="105" operator="containsText" text="Pesquisa de Preços">
      <formula>NOT(ISERROR(SEARCH("Pesquisa de Preços",C40)))</formula>
    </cfRule>
  </conditionalFormatting>
  <conditionalFormatting sqref="C50:C57">
    <cfRule type="containsText" dxfId="151" priority="104" operator="containsText" text="Pesquisa de Preços">
      <formula>NOT(ISERROR(SEARCH("Pesquisa de Preços",C50)))</formula>
    </cfRule>
  </conditionalFormatting>
  <conditionalFormatting sqref="C63:C67">
    <cfRule type="containsText" dxfId="150" priority="103" operator="containsText" text="Pesquisa de Preços">
      <formula>NOT(ISERROR(SEARCH("Pesquisa de Preços",C63)))</formula>
    </cfRule>
  </conditionalFormatting>
  <conditionalFormatting sqref="C16">
    <cfRule type="containsText" dxfId="149" priority="102" operator="containsText" text="Pesquisa de Preços">
      <formula>NOT(ISERROR(SEARCH("Pesquisa de Preços",C16)))</formula>
    </cfRule>
  </conditionalFormatting>
  <conditionalFormatting sqref="C21">
    <cfRule type="containsText" dxfId="148" priority="101" operator="containsText" text="Pesquisa de Preços">
      <formula>NOT(ISERROR(SEARCH("Pesquisa de Preços",C21)))</formula>
    </cfRule>
  </conditionalFormatting>
  <conditionalFormatting sqref="C27">
    <cfRule type="containsText" dxfId="147" priority="100" operator="containsText" text="Pesquisa de Preços">
      <formula>NOT(ISERROR(SEARCH("Pesquisa de Preços",C27)))</formula>
    </cfRule>
  </conditionalFormatting>
  <conditionalFormatting sqref="C38">
    <cfRule type="containsText" dxfId="146" priority="99" operator="containsText" text="Pesquisa de Preços">
      <formula>NOT(ISERROR(SEARCH("Pesquisa de Preços",C38)))</formula>
    </cfRule>
  </conditionalFormatting>
  <conditionalFormatting sqref="C48">
    <cfRule type="containsText" dxfId="145" priority="98" operator="containsText" text="Pesquisa de Preços">
      <formula>NOT(ISERROR(SEARCH("Pesquisa de Preços",C48)))</formula>
    </cfRule>
  </conditionalFormatting>
  <conditionalFormatting sqref="C61">
    <cfRule type="containsText" dxfId="144" priority="97" operator="containsText" text="Pesquisa de Preços">
      <formula>NOT(ISERROR(SEARCH("Pesquisa de Preços",C61)))</formula>
    </cfRule>
  </conditionalFormatting>
  <conditionalFormatting sqref="C69">
    <cfRule type="containsText" dxfId="143" priority="96" operator="containsText" text="Pesquisa de Preços">
      <formula>NOT(ISERROR(SEARCH("Pesquisa de Preços",C69)))</formula>
    </cfRule>
  </conditionalFormatting>
  <conditionalFormatting sqref="C79">
    <cfRule type="containsText" dxfId="142" priority="95" operator="containsText" text="Pesquisa de Preços">
      <formula>NOT(ISERROR(SEARCH("Pesquisa de Preços",C79)))</formula>
    </cfRule>
  </conditionalFormatting>
  <conditionalFormatting sqref="C86">
    <cfRule type="containsText" dxfId="141" priority="94" operator="containsText" text="Pesquisa de Preços">
      <formula>NOT(ISERROR(SEARCH("Pesquisa de Preços",C86)))</formula>
    </cfRule>
  </conditionalFormatting>
  <conditionalFormatting sqref="C96">
    <cfRule type="containsText" dxfId="140" priority="93" operator="containsText" text="Pesquisa de Preços">
      <formula>NOT(ISERROR(SEARCH("Pesquisa de Preços",C96)))</formula>
    </cfRule>
  </conditionalFormatting>
  <conditionalFormatting sqref="C106">
    <cfRule type="containsText" dxfId="139" priority="92" operator="containsText" text="Pesquisa de Preços">
      <formula>NOT(ISERROR(SEARCH("Pesquisa de Preços",C106)))</formula>
    </cfRule>
  </conditionalFormatting>
  <conditionalFormatting sqref="C136">
    <cfRule type="containsText" dxfId="138" priority="91" operator="containsText" text="Pesquisa de Preços">
      <formula>NOT(ISERROR(SEARCH("Pesquisa de Preços",C136)))</formula>
    </cfRule>
  </conditionalFormatting>
  <conditionalFormatting sqref="C142">
    <cfRule type="containsText" dxfId="137" priority="90" operator="containsText" text="Pesquisa de Preços">
      <formula>NOT(ISERROR(SEARCH("Pesquisa de Preços",C142)))</formula>
    </cfRule>
  </conditionalFormatting>
  <conditionalFormatting sqref="C156">
    <cfRule type="containsText" dxfId="136" priority="89" operator="containsText" text="Pesquisa de Preços">
      <formula>NOT(ISERROR(SEARCH("Pesquisa de Preços",C156)))</formula>
    </cfRule>
  </conditionalFormatting>
  <conditionalFormatting sqref="C168">
    <cfRule type="containsText" dxfId="135" priority="88" operator="containsText" text="Pesquisa de Preços">
      <formula>NOT(ISERROR(SEARCH("Pesquisa de Preços",C168)))</formula>
    </cfRule>
  </conditionalFormatting>
  <conditionalFormatting sqref="C174">
    <cfRule type="containsText" dxfId="134" priority="87" operator="containsText" text="Pesquisa de Preços">
      <formula>NOT(ISERROR(SEARCH("Pesquisa de Preços",C174)))</formula>
    </cfRule>
  </conditionalFormatting>
  <conditionalFormatting sqref="C180">
    <cfRule type="containsText" dxfId="133" priority="86" operator="containsText" text="Pesquisa de Preços">
      <formula>NOT(ISERROR(SEARCH("Pesquisa de Preços",C180)))</formula>
    </cfRule>
  </conditionalFormatting>
  <conditionalFormatting sqref="C186">
    <cfRule type="containsText" dxfId="132" priority="85" operator="containsText" text="Pesquisa de Preços">
      <formula>NOT(ISERROR(SEARCH("Pesquisa de Preços",C186)))</formula>
    </cfRule>
  </conditionalFormatting>
  <conditionalFormatting sqref="C191">
    <cfRule type="containsText" dxfId="131" priority="84" operator="containsText" text="Pesquisa de Preços">
      <formula>NOT(ISERROR(SEARCH("Pesquisa de Preços",C191)))</formula>
    </cfRule>
  </conditionalFormatting>
  <conditionalFormatting sqref="C195">
    <cfRule type="containsText" dxfId="130" priority="83" operator="containsText" text="Pesquisa de Preços">
      <formula>NOT(ISERROR(SEARCH("Pesquisa de Preços",C195)))</formula>
    </cfRule>
  </conditionalFormatting>
  <conditionalFormatting sqref="C203">
    <cfRule type="containsText" dxfId="129" priority="82" operator="containsText" text="Pesquisa de Preços">
      <formula>NOT(ISERROR(SEARCH("Pesquisa de Preços",C203)))</formula>
    </cfRule>
  </conditionalFormatting>
  <conditionalFormatting sqref="C208">
    <cfRule type="containsText" dxfId="128" priority="81" operator="containsText" text="Pesquisa de Preços">
      <formula>NOT(ISERROR(SEARCH("Pesquisa de Preços",C208)))</formula>
    </cfRule>
  </conditionalFormatting>
  <conditionalFormatting sqref="C213">
    <cfRule type="containsText" dxfId="127" priority="80" operator="containsText" text="Pesquisa de Preços">
      <formula>NOT(ISERROR(SEARCH("Pesquisa de Preços",C213)))</formula>
    </cfRule>
  </conditionalFormatting>
  <conditionalFormatting sqref="C227">
    <cfRule type="containsText" dxfId="126" priority="79" operator="containsText" text="Pesquisa de Preços">
      <formula>NOT(ISERROR(SEARCH("Pesquisa de Preços",C227)))</formula>
    </cfRule>
  </conditionalFormatting>
  <conditionalFormatting sqref="C241">
    <cfRule type="containsText" dxfId="125" priority="78" operator="containsText" text="Pesquisa de Preços">
      <formula>NOT(ISERROR(SEARCH("Pesquisa de Preços",C241)))</formula>
    </cfRule>
  </conditionalFormatting>
  <conditionalFormatting sqref="C256">
    <cfRule type="containsText" dxfId="124" priority="77" operator="containsText" text="Pesquisa de Preços">
      <formula>NOT(ISERROR(SEARCH("Pesquisa de Preços",C256)))</formula>
    </cfRule>
  </conditionalFormatting>
  <conditionalFormatting sqref="C266">
    <cfRule type="containsText" dxfId="123" priority="76" operator="containsText" text="Pesquisa de Preços">
      <formula>NOT(ISERROR(SEARCH("Pesquisa de Preços",C266)))</formula>
    </cfRule>
  </conditionalFormatting>
  <conditionalFormatting sqref="C274">
    <cfRule type="containsText" dxfId="122" priority="75" operator="containsText" text="Pesquisa de Preços">
      <formula>NOT(ISERROR(SEARCH("Pesquisa de Preços",C274)))</formula>
    </cfRule>
  </conditionalFormatting>
  <conditionalFormatting sqref="C285">
    <cfRule type="containsText" dxfId="121" priority="74" operator="containsText" text="Pesquisa de Preços">
      <formula>NOT(ISERROR(SEARCH("Pesquisa de Preços",C285)))</formula>
    </cfRule>
  </conditionalFormatting>
  <conditionalFormatting sqref="C293">
    <cfRule type="containsText" dxfId="120" priority="73" operator="containsText" text="Pesquisa de Preços">
      <formula>NOT(ISERROR(SEARCH("Pesquisa de Preços",C293)))</formula>
    </cfRule>
  </conditionalFormatting>
  <conditionalFormatting sqref="C299">
    <cfRule type="containsText" dxfId="119" priority="72" operator="containsText" text="Pesquisa de Preços">
      <formula>NOT(ISERROR(SEARCH("Pesquisa de Preços",C299)))</formula>
    </cfRule>
  </conditionalFormatting>
  <conditionalFormatting sqref="C313">
    <cfRule type="containsText" dxfId="118" priority="71" operator="containsText" text="Pesquisa de Preços">
      <formula>NOT(ISERROR(SEARCH("Pesquisa de Preços",C313)))</formula>
    </cfRule>
  </conditionalFormatting>
  <conditionalFormatting sqref="C327">
    <cfRule type="containsText" dxfId="117" priority="70" operator="containsText" text="Pesquisa de Preços">
      <formula>NOT(ISERROR(SEARCH("Pesquisa de Preços",C327)))</formula>
    </cfRule>
  </conditionalFormatting>
  <conditionalFormatting sqref="C339">
    <cfRule type="containsText" dxfId="116" priority="69" operator="containsText" text="Pesquisa de Preços">
      <formula>NOT(ISERROR(SEARCH("Pesquisa de Preços",C339)))</formula>
    </cfRule>
  </conditionalFormatting>
  <conditionalFormatting sqref="C346">
    <cfRule type="containsText" dxfId="115" priority="68" operator="containsText" text="Pesquisa de Preços">
      <formula>NOT(ISERROR(SEARCH("Pesquisa de Preços",C346)))</formula>
    </cfRule>
  </conditionalFormatting>
  <conditionalFormatting sqref="C353">
    <cfRule type="containsText" dxfId="114" priority="67" operator="containsText" text="Pesquisa de Preços">
      <formula>NOT(ISERROR(SEARCH("Pesquisa de Preços",C353)))</formula>
    </cfRule>
  </conditionalFormatting>
  <conditionalFormatting sqref="C361">
    <cfRule type="containsText" dxfId="113" priority="66" operator="containsText" text="Pesquisa de Preços">
      <formula>NOT(ISERROR(SEARCH("Pesquisa de Preços",C361)))</formula>
    </cfRule>
  </conditionalFormatting>
  <conditionalFormatting sqref="C367">
    <cfRule type="containsText" dxfId="112" priority="65" operator="containsText" text="Pesquisa de Preços">
      <formula>NOT(ISERROR(SEARCH("Pesquisa de Preços",C367)))</formula>
    </cfRule>
  </conditionalFormatting>
  <conditionalFormatting sqref="C373">
    <cfRule type="containsText" dxfId="111" priority="64" operator="containsText" text="Pesquisa de Preços">
      <formula>NOT(ISERROR(SEARCH("Pesquisa de Preços",C373)))</formula>
    </cfRule>
  </conditionalFormatting>
  <conditionalFormatting sqref="C382">
    <cfRule type="containsText" dxfId="110" priority="63" operator="containsText" text="Pesquisa de Preços">
      <formula>NOT(ISERROR(SEARCH("Pesquisa de Preços",C382)))</formula>
    </cfRule>
  </conditionalFormatting>
  <conditionalFormatting sqref="C392">
    <cfRule type="containsText" dxfId="109" priority="62" operator="containsText" text="Pesquisa de Preços">
      <formula>NOT(ISERROR(SEARCH("Pesquisa de Preços",C392)))</formula>
    </cfRule>
  </conditionalFormatting>
  <conditionalFormatting sqref="C404">
    <cfRule type="containsText" dxfId="108" priority="61" operator="containsText" text="Pesquisa de Preços">
      <formula>NOT(ISERROR(SEARCH("Pesquisa de Preços",C404)))</formula>
    </cfRule>
  </conditionalFormatting>
  <conditionalFormatting sqref="C416">
    <cfRule type="containsText" dxfId="107" priority="60" operator="containsText" text="Pesquisa de Preços">
      <formula>NOT(ISERROR(SEARCH("Pesquisa de Preços",C416)))</formula>
    </cfRule>
  </conditionalFormatting>
  <conditionalFormatting sqref="C427">
    <cfRule type="containsText" dxfId="106" priority="59" operator="containsText" text="Pesquisa de Preços">
      <formula>NOT(ISERROR(SEARCH("Pesquisa de Preços",C427)))</formula>
    </cfRule>
  </conditionalFormatting>
  <conditionalFormatting sqref="C439">
    <cfRule type="containsText" dxfId="105" priority="58" operator="containsText" text="Pesquisa de Preços">
      <formula>NOT(ISERROR(SEARCH("Pesquisa de Preços",C439)))</formula>
    </cfRule>
  </conditionalFormatting>
  <conditionalFormatting sqref="C458">
    <cfRule type="containsText" dxfId="104" priority="57" operator="containsText" text="Pesquisa de Preços">
      <formula>NOT(ISERROR(SEARCH("Pesquisa de Preços",C458)))</formula>
    </cfRule>
  </conditionalFormatting>
  <conditionalFormatting sqref="C472">
    <cfRule type="containsText" dxfId="103" priority="56" operator="containsText" text="Pesquisa de Preços">
      <formula>NOT(ISERROR(SEARCH("Pesquisa de Preços",C472)))</formula>
    </cfRule>
  </conditionalFormatting>
  <conditionalFormatting sqref="C491">
    <cfRule type="containsText" dxfId="102" priority="55" operator="containsText" text="Pesquisa de Preços">
      <formula>NOT(ISERROR(SEARCH("Pesquisa de Preços",C491)))</formula>
    </cfRule>
  </conditionalFormatting>
  <conditionalFormatting sqref="C503">
    <cfRule type="containsText" dxfId="101" priority="54" operator="containsText" text="Pesquisa de Preços">
      <formula>NOT(ISERROR(SEARCH("Pesquisa de Preços",C503)))</formula>
    </cfRule>
  </conditionalFormatting>
  <conditionalFormatting sqref="C514">
    <cfRule type="containsText" dxfId="100" priority="53" operator="containsText" text="Pesquisa de Preços">
      <formula>NOT(ISERROR(SEARCH("Pesquisa de Preços",C514)))</formula>
    </cfRule>
  </conditionalFormatting>
  <conditionalFormatting sqref="C520">
    <cfRule type="containsText" dxfId="99" priority="52" operator="containsText" text="Pesquisa de Preços">
      <formula>NOT(ISERROR(SEARCH("Pesquisa de Preços",C520)))</formula>
    </cfRule>
  </conditionalFormatting>
  <conditionalFormatting sqref="C526">
    <cfRule type="containsText" dxfId="98" priority="51" operator="containsText" text="Pesquisa de Preços">
      <formula>NOT(ISERROR(SEARCH("Pesquisa de Preços",C526)))</formula>
    </cfRule>
  </conditionalFormatting>
  <conditionalFormatting sqref="C532">
    <cfRule type="containsText" dxfId="97" priority="50" operator="containsText" text="Pesquisa de Preços">
      <formula>NOT(ISERROR(SEARCH("Pesquisa de Preços",C532)))</formula>
    </cfRule>
  </conditionalFormatting>
  <conditionalFormatting sqref="C538">
    <cfRule type="containsText" dxfId="96" priority="49" operator="containsText" text="Pesquisa de Preços">
      <formula>NOT(ISERROR(SEARCH("Pesquisa de Preços",C538)))</formula>
    </cfRule>
  </conditionalFormatting>
  <conditionalFormatting sqref="C544">
    <cfRule type="containsText" dxfId="95" priority="48" operator="containsText" text="Pesquisa de Preços">
      <formula>NOT(ISERROR(SEARCH("Pesquisa de Preços",C544)))</formula>
    </cfRule>
  </conditionalFormatting>
  <conditionalFormatting sqref="C551">
    <cfRule type="containsText" dxfId="94" priority="47" operator="containsText" text="Pesquisa de Preços">
      <formula>NOT(ISERROR(SEARCH("Pesquisa de Preços",C551)))</formula>
    </cfRule>
  </conditionalFormatting>
  <conditionalFormatting sqref="C564">
    <cfRule type="containsText" dxfId="93" priority="46" operator="containsText" text="Pesquisa de Preços">
      <formula>NOT(ISERROR(SEARCH("Pesquisa de Preços",C564)))</formula>
    </cfRule>
  </conditionalFormatting>
  <conditionalFormatting sqref="C570">
    <cfRule type="containsText" dxfId="92" priority="45" operator="containsText" text="Pesquisa de Preços">
      <formula>NOT(ISERROR(SEARCH("Pesquisa de Preços",C570)))</formula>
    </cfRule>
  </conditionalFormatting>
  <conditionalFormatting sqref="C577">
    <cfRule type="containsText" dxfId="91" priority="44" operator="containsText" text="Pesquisa de Preços">
      <formula>NOT(ISERROR(SEARCH("Pesquisa de Preços",C577)))</formula>
    </cfRule>
  </conditionalFormatting>
  <conditionalFormatting sqref="C582">
    <cfRule type="containsText" dxfId="90" priority="43" operator="containsText" text="Pesquisa de Preços">
      <formula>NOT(ISERROR(SEARCH("Pesquisa de Preços",C582)))</formula>
    </cfRule>
  </conditionalFormatting>
  <conditionalFormatting sqref="C595">
    <cfRule type="containsText" dxfId="89" priority="42" operator="containsText" text="Pesquisa de Preços">
      <formula>NOT(ISERROR(SEARCH("Pesquisa de Preços",C595)))</formula>
    </cfRule>
  </conditionalFormatting>
  <conditionalFormatting sqref="C600">
    <cfRule type="containsText" dxfId="88" priority="41" operator="containsText" text="Pesquisa de Preços">
      <formula>NOT(ISERROR(SEARCH("Pesquisa de Preços",C600)))</formula>
    </cfRule>
  </conditionalFormatting>
  <conditionalFormatting sqref="C608">
    <cfRule type="containsText" dxfId="87" priority="40" operator="containsText" text="Pesquisa de Preços">
      <formula>NOT(ISERROR(SEARCH("Pesquisa de Preços",C608)))</formula>
    </cfRule>
  </conditionalFormatting>
  <conditionalFormatting sqref="C614">
    <cfRule type="containsText" dxfId="86" priority="39" operator="containsText" text="Pesquisa de Preços">
      <formula>NOT(ISERROR(SEARCH("Pesquisa de Preços",C614)))</formula>
    </cfRule>
  </conditionalFormatting>
  <conditionalFormatting sqref="C619">
    <cfRule type="containsText" dxfId="85" priority="38" operator="containsText" text="Pesquisa de Preços">
      <formula>NOT(ISERROR(SEARCH("Pesquisa de Preços",C619)))</formula>
    </cfRule>
  </conditionalFormatting>
  <conditionalFormatting sqref="C624">
    <cfRule type="containsText" dxfId="84" priority="37" operator="containsText" text="Pesquisa de Preços">
      <formula>NOT(ISERROR(SEARCH("Pesquisa de Preços",C624)))</formula>
    </cfRule>
  </conditionalFormatting>
  <conditionalFormatting sqref="C630">
    <cfRule type="containsText" dxfId="83" priority="36" operator="containsText" text="Pesquisa de Preços">
      <formula>NOT(ISERROR(SEARCH("Pesquisa de Preços",C630)))</formula>
    </cfRule>
  </conditionalFormatting>
  <conditionalFormatting sqref="C644">
    <cfRule type="containsText" dxfId="82" priority="35" operator="containsText" text="Pesquisa de Preços">
      <formula>NOT(ISERROR(SEARCH("Pesquisa de Preços",C644)))</formula>
    </cfRule>
  </conditionalFormatting>
  <conditionalFormatting sqref="C657">
    <cfRule type="containsText" dxfId="81" priority="34" operator="containsText" text="Pesquisa de Preços">
      <formula>NOT(ISERROR(SEARCH("Pesquisa de Preços",C657)))</formula>
    </cfRule>
  </conditionalFormatting>
  <conditionalFormatting sqref="C664">
    <cfRule type="containsText" dxfId="80" priority="33" operator="containsText" text="Pesquisa de Preços">
      <formula>NOT(ISERROR(SEARCH("Pesquisa de Preços",C664)))</formula>
    </cfRule>
  </conditionalFormatting>
  <conditionalFormatting sqref="C672">
    <cfRule type="containsText" dxfId="79" priority="28" operator="containsText" text="Pesquisa de Preços">
      <formula>NOT(ISERROR(SEARCH("Pesquisa de Preços",C672)))</formula>
    </cfRule>
  </conditionalFormatting>
  <conditionalFormatting sqref="C674:C680">
    <cfRule type="containsText" dxfId="78" priority="27" operator="containsText" text="Pesquisa de Preços">
      <formula>NOT(ISERROR(SEARCH("Pesquisa de Preços",C674)))</formula>
    </cfRule>
  </conditionalFormatting>
  <conditionalFormatting sqref="C688:C691">
    <cfRule type="containsText" dxfId="77" priority="17" operator="containsText" text="Pesquisa de Preços">
      <formula>NOT(ISERROR(SEARCH("Pesquisa de Preços",C688)))</formula>
    </cfRule>
  </conditionalFormatting>
  <conditionalFormatting sqref="C692:C697">
    <cfRule type="containsText" dxfId="76" priority="16" operator="containsText" text="Pesquisa de Preços">
      <formula>NOT(ISERROR(SEARCH("Pesquisa de Preços",C692)))</formula>
    </cfRule>
  </conditionalFormatting>
  <conditionalFormatting sqref="C686">
    <cfRule type="containsText" dxfId="75" priority="15" operator="containsText" text="Pesquisa de Preços">
      <formula>NOT(ISERROR(SEARCH("Pesquisa de Preços",C686)))</formula>
    </cfRule>
  </conditionalFormatting>
  <conditionalFormatting sqref="C701">
    <cfRule type="containsText" dxfId="74" priority="4" operator="containsText" text="Pesquisa de Preços">
      <formula>NOT(ISERROR(SEARCH("Pesquisa de Preços",C701)))</formula>
    </cfRule>
  </conditionalFormatting>
  <conditionalFormatting sqref="C702:C705">
    <cfRule type="containsText" dxfId="73" priority="3" operator="containsText" text="Pesquisa de Preços">
      <formula>NOT(ISERROR(SEARCH("Pesquisa de Preços",C702)))</formula>
    </cfRule>
  </conditionalFormatting>
  <conditionalFormatting sqref="C699">
    <cfRule type="containsText" dxfId="72" priority="2" operator="containsText" text="Pesquisa de Preços">
      <formula>NOT(ISERROR(SEARCH("Pesquisa de Preços",C699)))</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4" manualBreakCount="4">
    <brk id="47" max="16383" man="1"/>
    <brk id="95" max="16383" man="1"/>
    <brk id="255" max="16383" man="1"/>
    <brk id="502"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filterMode="1">
    <pageSetUpPr fitToPage="1"/>
  </sheetPr>
  <dimension ref="A1:I139"/>
  <sheetViews>
    <sheetView view="pageBreakPreview" zoomScale="60" zoomScaleNormal="80" workbookViewId="0">
      <pane ySplit="5" topLeftCell="A6" activePane="bottomLeft" state="frozen"/>
      <selection pane="bottomLeft" activeCell="A3" sqref="A1:I139"/>
    </sheetView>
  </sheetViews>
  <sheetFormatPr defaultRowHeight="15" x14ac:dyDescent="0.25"/>
  <cols>
    <col min="1" max="1" width="46.85546875" customWidth="1"/>
    <col min="2" max="2" width="65.7109375" style="3" customWidth="1"/>
    <col min="3" max="3" width="15.7109375" style="109"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10" t="s">
        <v>2026</v>
      </c>
      <c r="B1" s="111"/>
      <c r="C1" s="110"/>
      <c r="D1" s="110"/>
      <c r="E1" s="110"/>
      <c r="F1" s="110"/>
      <c r="G1" s="110"/>
      <c r="H1" s="112"/>
      <c r="I1" s="114"/>
    </row>
    <row r="2" spans="1:9" ht="24.95" customHeight="1" x14ac:dyDescent="0.25">
      <c r="A2" s="8" t="s">
        <v>2023</v>
      </c>
      <c r="B2" s="9"/>
      <c r="C2" s="10"/>
      <c r="D2" s="9"/>
      <c r="E2" s="9"/>
      <c r="F2" s="9"/>
      <c r="G2" s="9"/>
      <c r="H2" s="12"/>
      <c r="I2" s="114"/>
    </row>
    <row r="3" spans="1:9" ht="20.100000000000001" customHeight="1" x14ac:dyDescent="0.25">
      <c r="A3" s="13" t="s">
        <v>0</v>
      </c>
      <c r="B3" s="13"/>
      <c r="C3" s="14"/>
      <c r="D3" s="13"/>
      <c r="E3" s="13"/>
      <c r="F3" s="13"/>
      <c r="G3" s="13"/>
      <c r="H3" s="13"/>
      <c r="I3" s="114"/>
    </row>
    <row r="4" spans="1:9" ht="20.100000000000001" customHeight="1" thickBot="1" x14ac:dyDescent="0.3">
      <c r="A4" s="115"/>
      <c r="B4" s="116"/>
      <c r="C4" s="143"/>
      <c r="D4" s="116"/>
      <c r="E4" s="116"/>
      <c r="F4" s="116"/>
      <c r="G4" s="116"/>
      <c r="H4" s="117"/>
      <c r="I4" s="118"/>
    </row>
    <row r="5" spans="1:9" ht="65.099999999999994" customHeight="1" thickBot="1" x14ac:dyDescent="0.3">
      <c r="A5" s="144" t="s">
        <v>14</v>
      </c>
      <c r="B5" s="145" t="s">
        <v>15</v>
      </c>
      <c r="C5" s="146" t="s">
        <v>16</v>
      </c>
      <c r="D5" s="145" t="s">
        <v>17</v>
      </c>
      <c r="E5" s="145" t="s">
        <v>18</v>
      </c>
      <c r="F5" s="22" t="s">
        <v>19</v>
      </c>
      <c r="G5" s="25" t="s">
        <v>2018</v>
      </c>
      <c r="H5" s="26"/>
      <c r="I5" s="119" t="s">
        <v>21</v>
      </c>
    </row>
    <row r="6" spans="1:9" ht="15.75" thickBot="1" x14ac:dyDescent="0.3">
      <c r="A6" s="268" t="s">
        <v>4749</v>
      </c>
      <c r="B6" s="28" t="s">
        <v>23</v>
      </c>
      <c r="C6" s="29" t="s">
        <v>4744</v>
      </c>
      <c r="D6" s="127"/>
      <c r="E6" s="45" t="s">
        <v>23</v>
      </c>
      <c r="F6" s="45" t="str">
        <f t="shared" ref="F6:F19" si="0">IF(ISNUMBER(E6),ROUND(E6*$D6,2),"")</f>
        <v/>
      </c>
      <c r="G6" s="32"/>
      <c r="H6" s="33"/>
      <c r="I6" s="124">
        <v>282608.1508</v>
      </c>
    </row>
    <row r="7" spans="1:9" x14ac:dyDescent="0.25">
      <c r="A7" s="255"/>
      <c r="B7" s="36" t="s">
        <v>23</v>
      </c>
      <c r="C7" s="134"/>
      <c r="D7" s="125"/>
      <c r="E7" s="46" t="s">
        <v>23</v>
      </c>
      <c r="F7" s="35" t="str">
        <f t="shared" si="0"/>
        <v/>
      </c>
      <c r="G7" s="39"/>
      <c r="H7" s="35"/>
      <c r="I7" s="124">
        <v>282608.1508</v>
      </c>
    </row>
    <row r="8" spans="1:9" ht="51" x14ac:dyDescent="0.25">
      <c r="A8" s="255"/>
      <c r="B8" s="40" t="s">
        <v>3792</v>
      </c>
      <c r="C8" s="40" t="s">
        <v>1041</v>
      </c>
      <c r="D8" s="41">
        <v>1.3899999999999999E-2</v>
      </c>
      <c r="E8" s="38">
        <v>163.4855</v>
      </c>
      <c r="F8" s="38">
        <f t="shared" si="0"/>
        <v>2.27</v>
      </c>
      <c r="G8" s="48">
        <f>SUM(F8:F9)</f>
        <v>2.59</v>
      </c>
      <c r="H8" s="49"/>
      <c r="I8" s="124">
        <v>282608.1508</v>
      </c>
    </row>
    <row r="9" spans="1:9" ht="51" x14ac:dyDescent="0.25">
      <c r="A9" s="255"/>
      <c r="B9" s="40" t="s">
        <v>3962</v>
      </c>
      <c r="C9" s="40" t="s">
        <v>1052</v>
      </c>
      <c r="D9" s="41">
        <v>6.0000000000000001E-3</v>
      </c>
      <c r="E9" s="38">
        <v>53.9315</v>
      </c>
      <c r="F9" s="38">
        <f t="shared" si="0"/>
        <v>0.32</v>
      </c>
      <c r="G9" s="48"/>
      <c r="H9" s="49"/>
      <c r="I9" s="124">
        <v>282608.1508</v>
      </c>
    </row>
    <row r="10" spans="1:9" ht="15.75" thickBot="1" x14ac:dyDescent="0.3">
      <c r="A10" s="269"/>
      <c r="B10" s="60" t="s">
        <v>23</v>
      </c>
      <c r="C10" s="136"/>
      <c r="D10" s="130"/>
      <c r="E10" s="87" t="s">
        <v>23</v>
      </c>
      <c r="F10" s="87" t="str">
        <f t="shared" si="0"/>
        <v/>
      </c>
      <c r="G10" s="89"/>
      <c r="H10" s="35"/>
      <c r="I10" s="124">
        <v>282608.1508</v>
      </c>
    </row>
    <row r="11" spans="1:9" ht="15.75" hidden="1" thickBot="1" x14ac:dyDescent="0.3">
      <c r="A11" s="268" t="s">
        <v>4689</v>
      </c>
      <c r="B11" s="28" t="s">
        <v>23</v>
      </c>
      <c r="C11" s="29" t="s">
        <v>1035</v>
      </c>
      <c r="D11" s="127"/>
      <c r="E11" s="31" t="s">
        <v>23</v>
      </c>
      <c r="F11" s="29" t="str">
        <f t="shared" si="0"/>
        <v/>
      </c>
      <c r="G11" s="32"/>
      <c r="H11" s="33"/>
      <c r="I11" s="124">
        <v>0</v>
      </c>
    </row>
    <row r="12" spans="1:9" ht="15.75" hidden="1" thickBot="1" x14ac:dyDescent="0.3">
      <c r="A12" s="255"/>
      <c r="B12" s="36" t="s">
        <v>23</v>
      </c>
      <c r="C12" s="134"/>
      <c r="D12" s="125"/>
      <c r="E12" s="35" t="s">
        <v>23</v>
      </c>
      <c r="F12" s="35" t="str">
        <f t="shared" si="0"/>
        <v/>
      </c>
      <c r="G12" s="39"/>
      <c r="H12" s="35"/>
      <c r="I12" s="124">
        <v>0</v>
      </c>
    </row>
    <row r="13" spans="1:9" ht="15.75" hidden="1" thickBot="1" x14ac:dyDescent="0.3">
      <c r="A13" s="255"/>
      <c r="B13" s="40" t="s">
        <v>4138</v>
      </c>
      <c r="C13" s="40" t="s">
        <v>1035</v>
      </c>
      <c r="D13" s="41">
        <v>1.07</v>
      </c>
      <c r="E13" s="35">
        <v>9.5759999999999987</v>
      </c>
      <c r="F13" s="38">
        <f t="shared" si="0"/>
        <v>10.25</v>
      </c>
      <c r="G13" s="48">
        <f>SUM(F13:F15)</f>
        <v>13.12</v>
      </c>
      <c r="H13" s="49"/>
      <c r="I13" s="124">
        <v>0</v>
      </c>
    </row>
    <row r="14" spans="1:9" ht="15.75" hidden="1" thickBot="1" x14ac:dyDescent="0.3">
      <c r="A14" s="255"/>
      <c r="B14" s="40" t="s">
        <v>4167</v>
      </c>
      <c r="C14" s="40" t="s">
        <v>3752</v>
      </c>
      <c r="D14" s="41">
        <v>1.3100000000000001E-2</v>
      </c>
      <c r="E14" s="38">
        <v>20.785999999999998</v>
      </c>
      <c r="F14" s="38">
        <f t="shared" si="0"/>
        <v>0.27</v>
      </c>
      <c r="G14" s="48"/>
      <c r="H14" s="49"/>
      <c r="I14" s="124">
        <v>0</v>
      </c>
    </row>
    <row r="15" spans="1:9" ht="15.75" hidden="1" thickBot="1" x14ac:dyDescent="0.3">
      <c r="A15" s="255"/>
      <c r="B15" s="40" t="s">
        <v>3977</v>
      </c>
      <c r="C15" s="40" t="s">
        <v>3752</v>
      </c>
      <c r="D15" s="41">
        <v>9.3299999999999994E-2</v>
      </c>
      <c r="E15" s="35">
        <v>27.853999999999999</v>
      </c>
      <c r="F15" s="38">
        <f t="shared" si="0"/>
        <v>2.6</v>
      </c>
      <c r="G15" s="48"/>
      <c r="H15" s="49"/>
      <c r="I15" s="124">
        <v>0</v>
      </c>
    </row>
    <row r="16" spans="1:9" ht="15.75" hidden="1" thickBot="1" x14ac:dyDescent="0.3">
      <c r="A16" s="269"/>
      <c r="B16" s="60" t="s">
        <v>23</v>
      </c>
      <c r="C16" s="136"/>
      <c r="D16" s="130"/>
      <c r="E16" s="87" t="s">
        <v>23</v>
      </c>
      <c r="F16" s="88" t="str">
        <f t="shared" si="0"/>
        <v/>
      </c>
      <c r="G16" s="89"/>
      <c r="H16" s="35"/>
      <c r="I16" s="124">
        <v>0</v>
      </c>
    </row>
    <row r="17" spans="1:9" ht="15.75" customHeight="1" thickBot="1" x14ac:dyDescent="0.3">
      <c r="A17" s="268" t="s">
        <v>4752</v>
      </c>
      <c r="B17" s="28" t="s">
        <v>23</v>
      </c>
      <c r="C17" s="29" t="s">
        <v>3764</v>
      </c>
      <c r="D17" s="127"/>
      <c r="E17" s="31" t="s">
        <v>23</v>
      </c>
      <c r="F17" s="29" t="str">
        <f t="shared" si="0"/>
        <v/>
      </c>
      <c r="G17" s="32"/>
      <c r="H17" s="33"/>
      <c r="I17" s="124">
        <v>14130.407539999998</v>
      </c>
    </row>
    <row r="18" spans="1:9" x14ac:dyDescent="0.25">
      <c r="A18" s="255"/>
      <c r="B18" s="36" t="s">
        <v>23</v>
      </c>
      <c r="C18" s="134"/>
      <c r="D18" s="125"/>
      <c r="E18" s="35" t="s">
        <v>23</v>
      </c>
      <c r="F18" s="35" t="str">
        <f t="shared" si="0"/>
        <v/>
      </c>
      <c r="G18" s="39"/>
      <c r="H18" s="35"/>
      <c r="I18" s="124">
        <v>14130.407539999998</v>
      </c>
    </row>
    <row r="19" spans="1:9" ht="38.25" x14ac:dyDescent="0.25">
      <c r="A19" s="255"/>
      <c r="B19" s="40" t="s">
        <v>4038</v>
      </c>
      <c r="C19" s="40" t="s">
        <v>1041</v>
      </c>
      <c r="D19" s="41">
        <v>8.3000000000000001E-3</v>
      </c>
      <c r="E19" s="35">
        <v>162.21250000000001</v>
      </c>
      <c r="F19" s="38">
        <f t="shared" si="0"/>
        <v>1.35</v>
      </c>
      <c r="G19" s="48">
        <f>SUM(F19:F22)</f>
        <v>7.7560684999999996</v>
      </c>
      <c r="H19" s="49"/>
      <c r="I19" s="124">
        <v>14130.407539999998</v>
      </c>
    </row>
    <row r="20" spans="1:9" ht="38.25" x14ac:dyDescent="0.25">
      <c r="A20" s="255"/>
      <c r="B20" s="40" t="s">
        <v>4105</v>
      </c>
      <c r="C20" s="40" t="s">
        <v>1052</v>
      </c>
      <c r="D20" s="41">
        <v>1.5100000000000001E-2</v>
      </c>
      <c r="E20" s="35">
        <v>62.661999999999992</v>
      </c>
      <c r="F20" s="38">
        <f>IF(ISNUMBER(E20),E20*$D20,"")</f>
        <v>0.94619619999999993</v>
      </c>
      <c r="G20" s="48"/>
      <c r="H20" s="49"/>
      <c r="I20" s="124">
        <v>14130.407539999998</v>
      </c>
    </row>
    <row r="21" spans="1:9" ht="51" x14ac:dyDescent="0.25">
      <c r="A21" s="255"/>
      <c r="B21" s="40" t="s">
        <v>3792</v>
      </c>
      <c r="C21" s="40" t="s">
        <v>1041</v>
      </c>
      <c r="D21" s="41">
        <v>2.6700000000000002E-2</v>
      </c>
      <c r="E21" s="35">
        <v>163.4855</v>
      </c>
      <c r="F21" s="38">
        <f>IF(ISNUMBER(E21),E21*$D21,"")</f>
        <v>4.3650628500000002</v>
      </c>
      <c r="G21" s="48"/>
      <c r="H21" s="49"/>
      <c r="I21" s="124">
        <v>14130.407539999998</v>
      </c>
    </row>
    <row r="22" spans="1:9" ht="51" x14ac:dyDescent="0.25">
      <c r="A22" s="255"/>
      <c r="B22" s="40" t="s">
        <v>3962</v>
      </c>
      <c r="C22" s="40" t="s">
        <v>1052</v>
      </c>
      <c r="D22" s="41">
        <v>2.0299999999999999E-2</v>
      </c>
      <c r="E22" s="35">
        <v>53.9315</v>
      </c>
      <c r="F22" s="38">
        <f>IF(ISNUMBER(E22),E22*$D22,"")</f>
        <v>1.0948094499999999</v>
      </c>
      <c r="G22" s="48"/>
      <c r="H22" s="49"/>
      <c r="I22" s="124">
        <v>14130.407539999998</v>
      </c>
    </row>
    <row r="23" spans="1:9" ht="15.75" thickBot="1" x14ac:dyDescent="0.3">
      <c r="A23" s="269"/>
      <c r="B23" s="60" t="s">
        <v>23</v>
      </c>
      <c r="C23" s="136"/>
      <c r="D23" s="130"/>
      <c r="E23" s="87" t="s">
        <v>23</v>
      </c>
      <c r="F23" s="88" t="str">
        <f t="shared" ref="F23:F30" si="1">IF(ISNUMBER(E23),ROUND(E23*$D23,2),"")</f>
        <v/>
      </c>
      <c r="G23" s="89"/>
      <c r="H23" s="35"/>
      <c r="I23" s="124">
        <v>14130.407539999998</v>
      </c>
    </row>
    <row r="24" spans="1:9" ht="15.75" hidden="1" thickBot="1" x14ac:dyDescent="0.3">
      <c r="A24" s="268" t="s">
        <v>4730</v>
      </c>
      <c r="B24" s="28" t="s">
        <v>23</v>
      </c>
      <c r="C24" s="29" t="s">
        <v>3764</v>
      </c>
      <c r="D24" s="127"/>
      <c r="E24" s="45" t="s">
        <v>23</v>
      </c>
      <c r="F24" s="45" t="str">
        <f t="shared" si="1"/>
        <v/>
      </c>
      <c r="G24" s="32"/>
      <c r="H24" s="33"/>
      <c r="I24" s="124">
        <v>0</v>
      </c>
    </row>
    <row r="25" spans="1:9" hidden="1" x14ac:dyDescent="0.25">
      <c r="A25" s="255"/>
      <c r="B25" s="36" t="s">
        <v>23</v>
      </c>
      <c r="C25" s="134"/>
      <c r="D25" s="125"/>
      <c r="E25" s="128" t="s">
        <v>23</v>
      </c>
      <c r="F25" s="129" t="str">
        <f t="shared" si="1"/>
        <v/>
      </c>
      <c r="G25" s="39"/>
      <c r="H25" s="35"/>
      <c r="I25" s="124">
        <v>0</v>
      </c>
    </row>
    <row r="26" spans="1:9" ht="25.5" hidden="1" x14ac:dyDescent="0.25">
      <c r="A26" s="255"/>
      <c r="B26" s="40" t="s">
        <v>3763</v>
      </c>
      <c r="C26" s="40" t="s">
        <v>3764</v>
      </c>
      <c r="D26" s="41">
        <v>1.36</v>
      </c>
      <c r="E26" s="38">
        <v>204.23099999999999</v>
      </c>
      <c r="F26" s="38">
        <f t="shared" si="1"/>
        <v>277.75</v>
      </c>
      <c r="G26" s="48">
        <f>SUM(F26:F32)</f>
        <v>751.86330785999996</v>
      </c>
      <c r="H26" s="49"/>
      <c r="I26" s="124">
        <v>0</v>
      </c>
    </row>
    <row r="27" spans="1:9" hidden="1" x14ac:dyDescent="0.25">
      <c r="A27" s="255"/>
      <c r="B27" s="40" t="s">
        <v>3759</v>
      </c>
      <c r="C27" s="40" t="s">
        <v>1035</v>
      </c>
      <c r="D27" s="41">
        <v>459.85</v>
      </c>
      <c r="E27" s="38">
        <v>0.627</v>
      </c>
      <c r="F27" s="38">
        <f t="shared" si="1"/>
        <v>288.33</v>
      </c>
      <c r="G27" s="48"/>
      <c r="H27" s="49"/>
      <c r="I27" s="124">
        <v>0</v>
      </c>
    </row>
    <row r="28" spans="1:9" ht="25.5" hidden="1" x14ac:dyDescent="0.25">
      <c r="A28" s="255"/>
      <c r="B28" s="40" t="s">
        <v>3805</v>
      </c>
      <c r="C28" s="40" t="s">
        <v>3752</v>
      </c>
      <c r="D28" s="41">
        <v>4.8499999999999996</v>
      </c>
      <c r="E28" s="35">
        <v>20.918999999999997</v>
      </c>
      <c r="F28" s="38">
        <f t="shared" si="1"/>
        <v>101.46</v>
      </c>
      <c r="G28" s="48"/>
      <c r="H28" s="49"/>
      <c r="I28" s="124">
        <v>0</v>
      </c>
    </row>
    <row r="29" spans="1:9" ht="38.25" hidden="1" x14ac:dyDescent="0.25">
      <c r="A29" s="255"/>
      <c r="B29" s="40" t="s">
        <v>4115</v>
      </c>
      <c r="C29" s="40" t="s">
        <v>1041</v>
      </c>
      <c r="D29" s="41">
        <v>1.1299999999999999</v>
      </c>
      <c r="E29" s="35">
        <v>1.5579999999999998</v>
      </c>
      <c r="F29" s="38">
        <f t="shared" si="1"/>
        <v>1.76</v>
      </c>
      <c r="G29" s="48"/>
      <c r="H29" s="49"/>
      <c r="I29" s="124">
        <v>0</v>
      </c>
    </row>
    <row r="30" spans="1:9" ht="38.25" hidden="1" x14ac:dyDescent="0.25">
      <c r="A30" s="255"/>
      <c r="B30" s="40" t="s">
        <v>4121</v>
      </c>
      <c r="C30" s="40" t="s">
        <v>1052</v>
      </c>
      <c r="D30" s="41">
        <v>3.72</v>
      </c>
      <c r="E30" s="35">
        <v>0.38</v>
      </c>
      <c r="F30" s="38">
        <f t="shared" si="1"/>
        <v>1.41</v>
      </c>
      <c r="G30" s="48"/>
      <c r="H30" s="49"/>
      <c r="I30" s="124">
        <v>0</v>
      </c>
    </row>
    <row r="31" spans="1:9" ht="51" hidden="1" x14ac:dyDescent="0.25">
      <c r="A31" s="255"/>
      <c r="B31" s="40" t="s">
        <v>4752</v>
      </c>
      <c r="C31" s="40" t="s">
        <v>3764</v>
      </c>
      <c r="D31" s="41">
        <f>D26</f>
        <v>1.36</v>
      </c>
      <c r="E31" s="35">
        <v>7.75243225</v>
      </c>
      <c r="F31" s="38">
        <f>IF(ISNUMBER(E31),E31*$D31,"")</f>
        <v>10.543307860000001</v>
      </c>
      <c r="G31" s="48"/>
      <c r="H31" s="49"/>
      <c r="I31" s="124">
        <v>0</v>
      </c>
    </row>
    <row r="32" spans="1:9" ht="38.25" hidden="1" x14ac:dyDescent="0.25">
      <c r="A32" s="255"/>
      <c r="B32" s="40" t="s">
        <v>4749</v>
      </c>
      <c r="C32" s="40" t="s">
        <v>4744</v>
      </c>
      <c r="D32" s="41">
        <f>20*D26</f>
        <v>27.200000000000003</v>
      </c>
      <c r="E32" s="38">
        <v>2.5960374499999999</v>
      </c>
      <c r="F32" s="38">
        <f t="shared" ref="F32:F52" si="2">IF(ISNUMBER(E32),ROUND(E32*$D32,2),"")</f>
        <v>70.61</v>
      </c>
      <c r="G32" s="48"/>
      <c r="H32" s="49"/>
      <c r="I32" s="124">
        <v>0</v>
      </c>
    </row>
    <row r="33" spans="1:9" hidden="1" x14ac:dyDescent="0.25">
      <c r="A33" s="255"/>
      <c r="B33" s="52"/>
      <c r="C33" s="137"/>
      <c r="D33" s="41"/>
      <c r="E33" s="35" t="s">
        <v>23</v>
      </c>
      <c r="F33" s="38" t="str">
        <f t="shared" si="2"/>
        <v/>
      </c>
      <c r="G33" s="48"/>
      <c r="H33" s="49"/>
      <c r="I33" s="124">
        <v>0</v>
      </c>
    </row>
    <row r="34" spans="1:9" hidden="1" x14ac:dyDescent="0.25">
      <c r="A34" s="255"/>
      <c r="B34" s="50" t="s">
        <v>646</v>
      </c>
      <c r="C34" s="137"/>
      <c r="D34" s="41"/>
      <c r="E34" s="35" t="s">
        <v>23</v>
      </c>
      <c r="F34" s="38" t="str">
        <f t="shared" si="2"/>
        <v/>
      </c>
      <c r="G34" s="48"/>
      <c r="H34" s="49"/>
      <c r="I34" s="124">
        <v>0</v>
      </c>
    </row>
    <row r="35" spans="1:9" ht="15.75" hidden="1" thickBot="1" x14ac:dyDescent="0.3">
      <c r="A35" s="269"/>
      <c r="B35" s="135" t="s">
        <v>2024</v>
      </c>
      <c r="C35" s="136"/>
      <c r="D35" s="130"/>
      <c r="E35" s="87" t="s">
        <v>23</v>
      </c>
      <c r="F35" s="87" t="str">
        <f t="shared" si="2"/>
        <v/>
      </c>
      <c r="G35" s="89"/>
      <c r="H35" s="35"/>
      <c r="I35" s="124">
        <v>0</v>
      </c>
    </row>
    <row r="36" spans="1:9" ht="27.75" hidden="1" customHeight="1" thickBot="1" x14ac:dyDescent="0.3">
      <c r="A36" s="268" t="s">
        <v>4681</v>
      </c>
      <c r="B36" s="28" t="s">
        <v>23</v>
      </c>
      <c r="C36" s="29" t="s">
        <v>177</v>
      </c>
      <c r="D36" s="127"/>
      <c r="E36" s="45" t="s">
        <v>23</v>
      </c>
      <c r="F36" s="45" t="str">
        <f t="shared" si="2"/>
        <v/>
      </c>
      <c r="G36" s="32"/>
      <c r="H36" s="33"/>
      <c r="I36" s="124">
        <v>0</v>
      </c>
    </row>
    <row r="37" spans="1:9" ht="27.75" hidden="1" customHeight="1" x14ac:dyDescent="0.25">
      <c r="A37" s="255"/>
      <c r="B37" s="36" t="s">
        <v>23</v>
      </c>
      <c r="C37" s="134"/>
      <c r="D37" s="125"/>
      <c r="E37" s="128" t="s">
        <v>23</v>
      </c>
      <c r="F37" s="129" t="str">
        <f t="shared" si="2"/>
        <v/>
      </c>
      <c r="G37" s="39"/>
      <c r="H37" s="35"/>
      <c r="I37" s="124">
        <v>0</v>
      </c>
    </row>
    <row r="38" spans="1:9" ht="25.5" hidden="1" x14ac:dyDescent="0.25">
      <c r="A38" s="255"/>
      <c r="B38" s="40" t="s">
        <v>4135</v>
      </c>
      <c r="C38" s="40" t="s">
        <v>1286</v>
      </c>
      <c r="D38" s="41">
        <v>4.4320000000000004</v>
      </c>
      <c r="E38" s="38">
        <v>2.7075</v>
      </c>
      <c r="F38" s="38">
        <f t="shared" si="2"/>
        <v>12</v>
      </c>
      <c r="G38" s="48">
        <f>SUM(F38:F44)</f>
        <v>252.93999999999997</v>
      </c>
      <c r="H38" s="49"/>
      <c r="I38" s="124">
        <v>0</v>
      </c>
    </row>
    <row r="39" spans="1:9" hidden="1" x14ac:dyDescent="0.25">
      <c r="A39" s="255"/>
      <c r="B39" s="40" t="s">
        <v>4155</v>
      </c>
      <c r="C39" s="40" t="s">
        <v>1035</v>
      </c>
      <c r="D39" s="41">
        <v>8.5999999999999993E-2</v>
      </c>
      <c r="E39" s="38">
        <v>20.776499999999999</v>
      </c>
      <c r="F39" s="38">
        <f t="shared" si="2"/>
        <v>1.79</v>
      </c>
      <c r="G39" s="48"/>
      <c r="H39" s="49"/>
      <c r="I39" s="124">
        <v>0</v>
      </c>
    </row>
    <row r="40" spans="1:9" ht="27.75" hidden="1" customHeight="1" x14ac:dyDescent="0.25">
      <c r="A40" s="255"/>
      <c r="B40" s="40" t="s">
        <v>3856</v>
      </c>
      <c r="C40" s="40" t="s">
        <v>1286</v>
      </c>
      <c r="D40" s="41">
        <v>6.53</v>
      </c>
      <c r="E40" s="35">
        <v>32.717999999999996</v>
      </c>
      <c r="F40" s="38">
        <f t="shared" si="2"/>
        <v>213.65</v>
      </c>
      <c r="G40" s="48"/>
      <c r="H40" s="49"/>
      <c r="I40" s="124">
        <v>0</v>
      </c>
    </row>
    <row r="41" spans="1:9" hidden="1" x14ac:dyDescent="0.25">
      <c r="A41" s="255"/>
      <c r="B41" s="40" t="s">
        <v>4111</v>
      </c>
      <c r="C41" s="40" t="s">
        <v>3752</v>
      </c>
      <c r="D41" s="41">
        <v>0.14299999999999999</v>
      </c>
      <c r="E41" s="35">
        <v>21.983000000000001</v>
      </c>
      <c r="F41" s="38">
        <f t="shared" si="2"/>
        <v>3.14</v>
      </c>
      <c r="G41" s="48"/>
      <c r="H41" s="49"/>
      <c r="I41" s="124">
        <v>0</v>
      </c>
    </row>
    <row r="42" spans="1:9" hidden="1" x14ac:dyDescent="0.25">
      <c r="A42" s="255"/>
      <c r="B42" s="40" t="s">
        <v>3823</v>
      </c>
      <c r="C42" s="40" t="s">
        <v>3752</v>
      </c>
      <c r="D42" s="41">
        <v>0.60699999999999998</v>
      </c>
      <c r="E42" s="35">
        <v>27.683</v>
      </c>
      <c r="F42" s="38">
        <f t="shared" si="2"/>
        <v>16.8</v>
      </c>
      <c r="G42" s="48"/>
      <c r="H42" s="49"/>
      <c r="I42" s="124">
        <v>0</v>
      </c>
    </row>
    <row r="43" spans="1:9" ht="27.75" hidden="1" customHeight="1" x14ac:dyDescent="0.25">
      <c r="A43" s="255"/>
      <c r="B43" s="40" t="s">
        <v>4168</v>
      </c>
      <c r="C43" s="40" t="s">
        <v>1041</v>
      </c>
      <c r="D43" s="41">
        <v>0.05</v>
      </c>
      <c r="E43" s="35">
        <v>22.895</v>
      </c>
      <c r="F43" s="38">
        <f t="shared" si="2"/>
        <v>1.1399999999999999</v>
      </c>
      <c r="G43" s="48"/>
      <c r="H43" s="49"/>
      <c r="I43" s="124">
        <v>0</v>
      </c>
    </row>
    <row r="44" spans="1:9" ht="27.75" hidden="1" customHeight="1" x14ac:dyDescent="0.25">
      <c r="A44" s="255"/>
      <c r="B44" s="40" t="s">
        <v>4120</v>
      </c>
      <c r="C44" s="40" t="s">
        <v>1052</v>
      </c>
      <c r="D44" s="41">
        <v>0.20100000000000001</v>
      </c>
      <c r="E44" s="38">
        <v>21.973499999999998</v>
      </c>
      <c r="F44" s="38">
        <f t="shared" si="2"/>
        <v>4.42</v>
      </c>
      <c r="G44" s="48"/>
      <c r="H44" s="49"/>
      <c r="I44" s="124">
        <v>0</v>
      </c>
    </row>
    <row r="45" spans="1:9" ht="27.75" hidden="1" customHeight="1" thickBot="1" x14ac:dyDescent="0.3">
      <c r="A45" s="269"/>
      <c r="B45" s="135"/>
      <c r="C45" s="136"/>
      <c r="D45" s="130"/>
      <c r="E45" s="87" t="s">
        <v>23</v>
      </c>
      <c r="F45" s="87" t="str">
        <f t="shared" si="2"/>
        <v/>
      </c>
      <c r="G45" s="89"/>
      <c r="H45" s="35"/>
      <c r="I45" s="124">
        <v>0</v>
      </c>
    </row>
    <row r="46" spans="1:9" ht="15.75" hidden="1" thickBot="1" x14ac:dyDescent="0.3">
      <c r="A46" s="268" t="s">
        <v>4731</v>
      </c>
      <c r="B46" s="28" t="s">
        <v>23</v>
      </c>
      <c r="C46" s="29" t="s">
        <v>3764</v>
      </c>
      <c r="D46" s="127"/>
      <c r="E46" s="45" t="s">
        <v>23</v>
      </c>
      <c r="F46" s="45" t="str">
        <f t="shared" si="2"/>
        <v/>
      </c>
      <c r="G46" s="32"/>
      <c r="H46" s="33"/>
      <c r="I46" s="124">
        <v>0</v>
      </c>
    </row>
    <row r="47" spans="1:9" hidden="1" x14ac:dyDescent="0.25">
      <c r="A47" s="255"/>
      <c r="B47" s="36" t="s">
        <v>23</v>
      </c>
      <c r="C47" s="134"/>
      <c r="D47" s="125"/>
      <c r="E47" s="128" t="s">
        <v>23</v>
      </c>
      <c r="F47" s="129" t="str">
        <f t="shared" si="2"/>
        <v/>
      </c>
      <c r="G47" s="39"/>
      <c r="H47" s="35"/>
      <c r="I47" s="124">
        <v>0</v>
      </c>
    </row>
    <row r="48" spans="1:9" ht="25.5" hidden="1" x14ac:dyDescent="0.25">
      <c r="A48" s="255"/>
      <c r="B48" s="40" t="s">
        <v>3845</v>
      </c>
      <c r="C48" s="40" t="s">
        <v>3764</v>
      </c>
      <c r="D48" s="41">
        <v>0.95</v>
      </c>
      <c r="E48" s="38">
        <v>206.90049999999999</v>
      </c>
      <c r="F48" s="38">
        <f t="shared" si="2"/>
        <v>196.56</v>
      </c>
      <c r="G48" s="48">
        <f>SUM(F48:F57)</f>
        <v>613.85481063750012</v>
      </c>
      <c r="H48" s="49"/>
      <c r="I48" s="124">
        <v>0</v>
      </c>
    </row>
    <row r="49" spans="1:9" hidden="1" x14ac:dyDescent="0.25">
      <c r="A49" s="255"/>
      <c r="B49" s="40" t="s">
        <v>3759</v>
      </c>
      <c r="C49" s="40" t="s">
        <v>1035</v>
      </c>
      <c r="D49" s="41">
        <v>426.49</v>
      </c>
      <c r="E49" s="38">
        <v>0.627</v>
      </c>
      <c r="F49" s="38">
        <f t="shared" si="2"/>
        <v>267.41000000000003</v>
      </c>
      <c r="G49" s="48"/>
      <c r="H49" s="49"/>
      <c r="I49" s="124">
        <v>0</v>
      </c>
    </row>
    <row r="50" spans="1:9" ht="25.5" hidden="1" x14ac:dyDescent="0.25">
      <c r="A50" s="255"/>
      <c r="B50" s="40" t="s">
        <v>3805</v>
      </c>
      <c r="C50" s="40" t="s">
        <v>3752</v>
      </c>
      <c r="D50" s="41">
        <v>4.32</v>
      </c>
      <c r="E50" s="35">
        <v>20.918999999999997</v>
      </c>
      <c r="F50" s="38">
        <f t="shared" si="2"/>
        <v>90.37</v>
      </c>
      <c r="G50" s="48"/>
      <c r="H50" s="49"/>
      <c r="I50" s="124">
        <v>0</v>
      </c>
    </row>
    <row r="51" spans="1:9" ht="38.25" hidden="1" x14ac:dyDescent="0.25">
      <c r="A51" s="255"/>
      <c r="B51" s="40" t="s">
        <v>4115</v>
      </c>
      <c r="C51" s="40" t="s">
        <v>1041</v>
      </c>
      <c r="D51" s="41">
        <v>1.01</v>
      </c>
      <c r="E51" s="35">
        <v>1.5579999999999998</v>
      </c>
      <c r="F51" s="38">
        <f t="shared" si="2"/>
        <v>1.57</v>
      </c>
      <c r="G51" s="48"/>
      <c r="H51" s="49"/>
      <c r="I51" s="124">
        <v>0</v>
      </c>
    </row>
    <row r="52" spans="1:9" ht="38.25" hidden="1" x14ac:dyDescent="0.25">
      <c r="A52" s="255"/>
      <c r="B52" s="40" t="s">
        <v>4121</v>
      </c>
      <c r="C52" s="40" t="s">
        <v>1052</v>
      </c>
      <c r="D52" s="41">
        <v>3.31</v>
      </c>
      <c r="E52" s="35">
        <v>0.38</v>
      </c>
      <c r="F52" s="38">
        <f t="shared" si="2"/>
        <v>1.26</v>
      </c>
      <c r="G52" s="48"/>
      <c r="H52" s="49"/>
      <c r="I52" s="124">
        <v>0</v>
      </c>
    </row>
    <row r="53" spans="1:9" ht="51" hidden="1" x14ac:dyDescent="0.25">
      <c r="A53" s="255"/>
      <c r="B53" s="40" t="s">
        <v>4752</v>
      </c>
      <c r="C53" s="40" t="s">
        <v>3764</v>
      </c>
      <c r="D53" s="41">
        <f>D48</f>
        <v>0.95</v>
      </c>
      <c r="E53" s="35">
        <v>7.75243225</v>
      </c>
      <c r="F53" s="38">
        <f>IF(ISNUMBER(E53),E53*$D53,"")</f>
        <v>7.3648106374999998</v>
      </c>
      <c r="G53" s="48"/>
      <c r="H53" s="49"/>
      <c r="I53" s="124">
        <v>0</v>
      </c>
    </row>
    <row r="54" spans="1:9" ht="38.25" hidden="1" x14ac:dyDescent="0.25">
      <c r="A54" s="255"/>
      <c r="B54" s="40" t="s">
        <v>4749</v>
      </c>
      <c r="C54" s="40" t="s">
        <v>4744</v>
      </c>
      <c r="D54" s="41">
        <f>20*D48</f>
        <v>19</v>
      </c>
      <c r="E54" s="38">
        <v>2.5960374499999999</v>
      </c>
      <c r="F54" s="38">
        <f t="shared" ref="F54:F66" si="3">IF(ISNUMBER(E54),ROUND(E54*$D54,2),"")</f>
        <v>49.32</v>
      </c>
      <c r="G54" s="48"/>
      <c r="H54" s="49"/>
      <c r="I54" s="124">
        <v>0</v>
      </c>
    </row>
    <row r="55" spans="1:9" hidden="1" x14ac:dyDescent="0.25">
      <c r="A55" s="255"/>
      <c r="B55" s="52"/>
      <c r="C55" s="137"/>
      <c r="D55" s="41"/>
      <c r="E55" s="35" t="s">
        <v>23</v>
      </c>
      <c r="F55" s="38" t="str">
        <f t="shared" si="3"/>
        <v/>
      </c>
      <c r="G55" s="48"/>
      <c r="H55" s="49"/>
      <c r="I55" s="124">
        <v>0</v>
      </c>
    </row>
    <row r="56" spans="1:9" hidden="1" x14ac:dyDescent="0.25">
      <c r="A56" s="255"/>
      <c r="B56" s="50" t="s">
        <v>646</v>
      </c>
      <c r="C56" s="137"/>
      <c r="D56" s="41"/>
      <c r="E56" s="35" t="s">
        <v>23</v>
      </c>
      <c r="F56" s="38" t="str">
        <f t="shared" si="3"/>
        <v/>
      </c>
      <c r="G56" s="48"/>
      <c r="H56" s="49"/>
      <c r="I56" s="124">
        <v>0</v>
      </c>
    </row>
    <row r="57" spans="1:9" hidden="1" x14ac:dyDescent="0.25">
      <c r="A57" s="255"/>
      <c r="B57" s="142" t="s">
        <v>2025</v>
      </c>
      <c r="C57" s="147"/>
      <c r="D57" s="148"/>
      <c r="E57" s="35" t="s">
        <v>23</v>
      </c>
      <c r="F57" s="35" t="str">
        <f t="shared" si="3"/>
        <v/>
      </c>
      <c r="G57" s="48"/>
      <c r="H57" s="49"/>
      <c r="I57" s="124">
        <v>0</v>
      </c>
    </row>
    <row r="58" spans="1:9" ht="15.75" hidden="1" thickBot="1" x14ac:dyDescent="0.3">
      <c r="A58" s="269"/>
      <c r="B58" s="135"/>
      <c r="C58" s="136"/>
      <c r="D58" s="130"/>
      <c r="E58" s="87" t="s">
        <v>23</v>
      </c>
      <c r="F58" s="87" t="str">
        <f t="shared" si="3"/>
        <v/>
      </c>
      <c r="G58" s="89"/>
      <c r="H58" s="35"/>
      <c r="I58" s="124">
        <v>0</v>
      </c>
    </row>
    <row r="59" spans="1:9" ht="15.75" hidden="1" thickBot="1" x14ac:dyDescent="0.3">
      <c r="A59" s="268" t="s">
        <v>4727</v>
      </c>
      <c r="B59" s="28" t="s">
        <v>23</v>
      </c>
      <c r="C59" s="29" t="s">
        <v>3764</v>
      </c>
      <c r="D59" s="127"/>
      <c r="E59" s="45" t="s">
        <v>23</v>
      </c>
      <c r="F59" s="45" t="str">
        <f t="shared" si="3"/>
        <v/>
      </c>
      <c r="G59" s="32"/>
      <c r="H59" s="33"/>
      <c r="I59" s="124">
        <v>0</v>
      </c>
    </row>
    <row r="60" spans="1:9" hidden="1" x14ac:dyDescent="0.25">
      <c r="A60" s="255"/>
      <c r="B60" s="36" t="s">
        <v>23</v>
      </c>
      <c r="C60" s="134"/>
      <c r="D60" s="125"/>
      <c r="E60" s="128" t="s">
        <v>23</v>
      </c>
      <c r="F60" s="129" t="str">
        <f t="shared" si="3"/>
        <v/>
      </c>
      <c r="G60" s="39"/>
      <c r="H60" s="35"/>
      <c r="I60" s="124">
        <v>0</v>
      </c>
    </row>
    <row r="61" spans="1:9" ht="25.5" hidden="1" x14ac:dyDescent="0.25">
      <c r="A61" s="255"/>
      <c r="B61" s="40" t="s">
        <v>3763</v>
      </c>
      <c r="C61" s="40" t="s">
        <v>3764</v>
      </c>
      <c r="D61" s="41">
        <v>1.1599999999999999</v>
      </c>
      <c r="E61" s="38">
        <v>204.23099999999999</v>
      </c>
      <c r="F61" s="38">
        <f t="shared" si="3"/>
        <v>236.91</v>
      </c>
      <c r="G61" s="48">
        <f>SUM(F61:F71)</f>
        <v>749.30282140999998</v>
      </c>
      <c r="H61" s="49"/>
      <c r="I61" s="124">
        <v>0</v>
      </c>
    </row>
    <row r="62" spans="1:9" hidden="1" x14ac:dyDescent="0.25">
      <c r="A62" s="255"/>
      <c r="B62" s="40" t="s">
        <v>3811</v>
      </c>
      <c r="C62" s="40" t="s">
        <v>1035</v>
      </c>
      <c r="D62" s="41">
        <v>174.1</v>
      </c>
      <c r="E62" s="38">
        <v>1.2825</v>
      </c>
      <c r="F62" s="38">
        <f t="shared" si="3"/>
        <v>223.28</v>
      </c>
      <c r="G62" s="48"/>
      <c r="H62" s="49"/>
      <c r="I62" s="124">
        <v>0</v>
      </c>
    </row>
    <row r="63" spans="1:9" hidden="1" x14ac:dyDescent="0.25">
      <c r="A63" s="255"/>
      <c r="B63" s="40" t="s">
        <v>3759</v>
      </c>
      <c r="C63" s="40" t="s">
        <v>1035</v>
      </c>
      <c r="D63" s="41">
        <v>195.86</v>
      </c>
      <c r="E63" s="35">
        <v>0.627</v>
      </c>
      <c r="F63" s="38">
        <f t="shared" si="3"/>
        <v>122.8</v>
      </c>
      <c r="G63" s="48"/>
      <c r="H63" s="49"/>
      <c r="I63" s="124">
        <v>0</v>
      </c>
    </row>
    <row r="64" spans="1:9" ht="25.5" hidden="1" x14ac:dyDescent="0.25">
      <c r="A64" s="255"/>
      <c r="B64" s="40" t="s">
        <v>3805</v>
      </c>
      <c r="C64" s="40" t="s">
        <v>3752</v>
      </c>
      <c r="D64" s="41">
        <v>4.5</v>
      </c>
      <c r="E64" s="35">
        <v>20.918999999999997</v>
      </c>
      <c r="F64" s="38">
        <f t="shared" si="3"/>
        <v>94.14</v>
      </c>
      <c r="G64" s="48"/>
      <c r="H64" s="49"/>
      <c r="I64" s="124">
        <v>0</v>
      </c>
    </row>
    <row r="65" spans="1:9" ht="38.25" hidden="1" x14ac:dyDescent="0.25">
      <c r="A65" s="255"/>
      <c r="B65" s="40" t="s">
        <v>4115</v>
      </c>
      <c r="C65" s="40" t="s">
        <v>1041</v>
      </c>
      <c r="D65" s="41">
        <v>1.05</v>
      </c>
      <c r="E65" s="35">
        <v>1.5579999999999998</v>
      </c>
      <c r="F65" s="38">
        <f t="shared" si="3"/>
        <v>1.64</v>
      </c>
      <c r="G65" s="48"/>
      <c r="H65" s="49"/>
      <c r="I65" s="124">
        <v>0</v>
      </c>
    </row>
    <row r="66" spans="1:9" ht="38.25" hidden="1" x14ac:dyDescent="0.25">
      <c r="A66" s="255"/>
      <c r="B66" s="40" t="s">
        <v>4121</v>
      </c>
      <c r="C66" s="40" t="s">
        <v>1052</v>
      </c>
      <c r="D66" s="41">
        <v>3.45</v>
      </c>
      <c r="E66" s="35">
        <v>0.38</v>
      </c>
      <c r="F66" s="38">
        <f t="shared" si="3"/>
        <v>1.31</v>
      </c>
      <c r="G66" s="48"/>
      <c r="H66" s="49"/>
      <c r="I66" s="124">
        <v>0</v>
      </c>
    </row>
    <row r="67" spans="1:9" ht="51" hidden="1" x14ac:dyDescent="0.25">
      <c r="A67" s="255"/>
      <c r="B67" s="40" t="s">
        <v>4752</v>
      </c>
      <c r="C67" s="40" t="s">
        <v>3764</v>
      </c>
      <c r="D67" s="41">
        <f>D61</f>
        <v>1.1599999999999999</v>
      </c>
      <c r="E67" s="35">
        <v>7.75243225</v>
      </c>
      <c r="F67" s="38">
        <f>IF(ISNUMBER(E67),E67*$D67,"")</f>
        <v>8.9928214099999995</v>
      </c>
      <c r="G67" s="48"/>
      <c r="H67" s="49"/>
      <c r="I67" s="124">
        <v>0</v>
      </c>
    </row>
    <row r="68" spans="1:9" ht="38.25" hidden="1" x14ac:dyDescent="0.25">
      <c r="A68" s="255"/>
      <c r="B68" s="40" t="s">
        <v>4749</v>
      </c>
      <c r="C68" s="40" t="s">
        <v>4744</v>
      </c>
      <c r="D68" s="41">
        <f>20*D61</f>
        <v>23.2</v>
      </c>
      <c r="E68" s="38">
        <v>2.5960374499999999</v>
      </c>
      <c r="F68" s="38">
        <f t="shared" ref="F68:F87" si="4">IF(ISNUMBER(E68),ROUND(E68*$D68,2),"")</f>
        <v>60.23</v>
      </c>
      <c r="G68" s="48"/>
      <c r="H68" s="49"/>
      <c r="I68" s="124">
        <v>0</v>
      </c>
    </row>
    <row r="69" spans="1:9" hidden="1" x14ac:dyDescent="0.25">
      <c r="A69" s="255"/>
      <c r="B69" s="52"/>
      <c r="C69" s="137"/>
      <c r="D69" s="41"/>
      <c r="E69" s="35" t="s">
        <v>23</v>
      </c>
      <c r="F69" s="38" t="str">
        <f t="shared" si="4"/>
        <v/>
      </c>
      <c r="G69" s="48"/>
      <c r="H69" s="49"/>
      <c r="I69" s="124">
        <v>0</v>
      </c>
    </row>
    <row r="70" spans="1:9" hidden="1" x14ac:dyDescent="0.25">
      <c r="A70" s="255"/>
      <c r="B70" s="50" t="s">
        <v>646</v>
      </c>
      <c r="C70" s="137"/>
      <c r="D70" s="41"/>
      <c r="E70" s="35" t="s">
        <v>23</v>
      </c>
      <c r="F70" s="38" t="str">
        <f t="shared" si="4"/>
        <v/>
      </c>
      <c r="G70" s="48"/>
      <c r="H70" s="49"/>
      <c r="I70" s="124">
        <v>0</v>
      </c>
    </row>
    <row r="71" spans="1:9" hidden="1" x14ac:dyDescent="0.25">
      <c r="A71" s="255"/>
      <c r="B71" s="142" t="s">
        <v>2025</v>
      </c>
      <c r="C71" s="147"/>
      <c r="D71" s="148"/>
      <c r="E71" s="35" t="s">
        <v>23</v>
      </c>
      <c r="F71" s="35" t="str">
        <f t="shared" si="4"/>
        <v/>
      </c>
      <c r="G71" s="48"/>
      <c r="H71" s="49"/>
      <c r="I71" s="124">
        <v>0</v>
      </c>
    </row>
    <row r="72" spans="1:9" ht="15.75" hidden="1" thickBot="1" x14ac:dyDescent="0.3">
      <c r="A72" s="269"/>
      <c r="B72" s="135"/>
      <c r="C72" s="136"/>
      <c r="D72" s="130"/>
      <c r="E72" s="87" t="s">
        <v>23</v>
      </c>
      <c r="F72" s="87" t="str">
        <f t="shared" si="4"/>
        <v/>
      </c>
      <c r="G72" s="89"/>
      <c r="H72" s="35"/>
      <c r="I72" s="124">
        <v>0</v>
      </c>
    </row>
    <row r="73" spans="1:9" ht="27.75" hidden="1" customHeight="1" thickBot="1" x14ac:dyDescent="0.3">
      <c r="A73" s="268" t="s">
        <v>4687</v>
      </c>
      <c r="B73" s="28" t="s">
        <v>23</v>
      </c>
      <c r="C73" s="29" t="s">
        <v>1035</v>
      </c>
      <c r="D73" s="127"/>
      <c r="E73" s="45" t="s">
        <v>23</v>
      </c>
      <c r="F73" s="45" t="str">
        <f t="shared" si="4"/>
        <v/>
      </c>
      <c r="G73" s="32"/>
      <c r="H73" s="33"/>
      <c r="I73" s="124">
        <v>0</v>
      </c>
    </row>
    <row r="74" spans="1:9" ht="27.75" hidden="1" customHeight="1" x14ac:dyDescent="0.25">
      <c r="A74" s="255"/>
      <c r="B74" s="36" t="s">
        <v>23</v>
      </c>
      <c r="C74" s="134"/>
      <c r="D74" s="125"/>
      <c r="E74" s="128" t="s">
        <v>23</v>
      </c>
      <c r="F74" s="129" t="str">
        <f t="shared" si="4"/>
        <v/>
      </c>
      <c r="G74" s="39"/>
      <c r="H74" s="35"/>
      <c r="I74" s="124">
        <v>0</v>
      </c>
    </row>
    <row r="75" spans="1:9" ht="27.75" hidden="1" customHeight="1" x14ac:dyDescent="0.25">
      <c r="A75" s="255"/>
      <c r="B75" s="40" t="s">
        <v>4149</v>
      </c>
      <c r="C75" s="40" t="s">
        <v>291</v>
      </c>
      <c r="D75" s="41">
        <v>2.8159999999999998</v>
      </c>
      <c r="E75" s="38">
        <v>0.20899999999999999</v>
      </c>
      <c r="F75" s="38">
        <f t="shared" si="4"/>
        <v>0.59</v>
      </c>
      <c r="G75" s="48">
        <f>SUM(F75:F79)</f>
        <v>17.47</v>
      </c>
      <c r="H75" s="49"/>
      <c r="I75" s="124">
        <v>0</v>
      </c>
    </row>
    <row r="76" spans="1:9" ht="25.5" hidden="1" x14ac:dyDescent="0.25">
      <c r="A76" s="255"/>
      <c r="B76" s="40" t="s">
        <v>4033</v>
      </c>
      <c r="C76" s="40" t="s">
        <v>1035</v>
      </c>
      <c r="D76" s="41">
        <v>2.5000000000000001E-2</v>
      </c>
      <c r="E76" s="38">
        <v>18.249500000000001</v>
      </c>
      <c r="F76" s="38">
        <f t="shared" si="4"/>
        <v>0.46</v>
      </c>
      <c r="G76" s="48"/>
      <c r="H76" s="49"/>
      <c r="I76" s="124">
        <v>0</v>
      </c>
    </row>
    <row r="77" spans="1:9" hidden="1" x14ac:dyDescent="0.25">
      <c r="A77" s="255"/>
      <c r="B77" s="40" t="s">
        <v>4167</v>
      </c>
      <c r="C77" s="40" t="s">
        <v>3752</v>
      </c>
      <c r="D77" s="41">
        <v>1.72E-2</v>
      </c>
      <c r="E77" s="35">
        <v>20.785999999999998</v>
      </c>
      <c r="F77" s="38">
        <f t="shared" si="4"/>
        <v>0.36</v>
      </c>
      <c r="G77" s="48"/>
      <c r="H77" s="49"/>
      <c r="I77" s="124">
        <v>0</v>
      </c>
    </row>
    <row r="78" spans="1:9" hidden="1" x14ac:dyDescent="0.25">
      <c r="A78" s="255"/>
      <c r="B78" s="40" t="s">
        <v>3977</v>
      </c>
      <c r="C78" s="40" t="s">
        <v>3752</v>
      </c>
      <c r="D78" s="41">
        <v>0.1055</v>
      </c>
      <c r="E78" s="35">
        <v>27.853999999999999</v>
      </c>
      <c r="F78" s="38">
        <f t="shared" si="4"/>
        <v>2.94</v>
      </c>
      <c r="G78" s="48"/>
      <c r="H78" s="49"/>
      <c r="I78" s="124">
        <v>0</v>
      </c>
    </row>
    <row r="79" spans="1:9" hidden="1" x14ac:dyDescent="0.25">
      <c r="A79" s="255"/>
      <c r="B79" s="40" t="s">
        <v>4689</v>
      </c>
      <c r="C79" s="40" t="s">
        <v>1035</v>
      </c>
      <c r="D79" s="41">
        <v>1</v>
      </c>
      <c r="E79" s="35">
        <v>13.117394800000001</v>
      </c>
      <c r="F79" s="38">
        <f t="shared" si="4"/>
        <v>13.12</v>
      </c>
      <c r="G79" s="48"/>
      <c r="H79" s="49"/>
      <c r="I79" s="124">
        <v>0</v>
      </c>
    </row>
    <row r="80" spans="1:9" ht="27.75" hidden="1" customHeight="1" thickBot="1" x14ac:dyDescent="0.3">
      <c r="A80" s="269"/>
      <c r="B80" s="135"/>
      <c r="C80" s="136"/>
      <c r="D80" s="130"/>
      <c r="E80" s="87" t="s">
        <v>23</v>
      </c>
      <c r="F80" s="87" t="str">
        <f t="shared" si="4"/>
        <v/>
      </c>
      <c r="G80" s="89"/>
      <c r="H80" s="35"/>
      <c r="I80" s="124">
        <v>0</v>
      </c>
    </row>
    <row r="81" spans="1:9" ht="15.75" hidden="1" thickBot="1" x14ac:dyDescent="0.3">
      <c r="A81" s="268" t="s">
        <v>4706</v>
      </c>
      <c r="B81" s="28" t="s">
        <v>23</v>
      </c>
      <c r="C81" s="29" t="s">
        <v>3764</v>
      </c>
      <c r="D81" s="127"/>
      <c r="E81" s="45" t="s">
        <v>23</v>
      </c>
      <c r="F81" s="45" t="str">
        <f t="shared" si="4"/>
        <v/>
      </c>
      <c r="G81" s="32"/>
      <c r="H81" s="33"/>
      <c r="I81" s="124">
        <v>0</v>
      </c>
    </row>
    <row r="82" spans="1:9" hidden="1" x14ac:dyDescent="0.25">
      <c r="A82" s="255"/>
      <c r="B82" s="36" t="s">
        <v>23</v>
      </c>
      <c r="C82" s="134"/>
      <c r="D82" s="125"/>
      <c r="E82" s="128" t="s">
        <v>23</v>
      </c>
      <c r="F82" s="129" t="str">
        <f t="shared" si="4"/>
        <v/>
      </c>
      <c r="G82" s="39"/>
      <c r="H82" s="35"/>
      <c r="I82" s="124">
        <v>0</v>
      </c>
    </row>
    <row r="83" spans="1:9" ht="25.5" hidden="1" x14ac:dyDescent="0.25">
      <c r="A83" s="255"/>
      <c r="B83" s="40" t="s">
        <v>3763</v>
      </c>
      <c r="C83" s="40" t="s">
        <v>3764</v>
      </c>
      <c r="D83" s="41">
        <v>0.71189999999999998</v>
      </c>
      <c r="E83" s="38">
        <v>204.23099999999999</v>
      </c>
      <c r="F83" s="38">
        <f t="shared" si="4"/>
        <v>145.38999999999999</v>
      </c>
      <c r="G83" s="48">
        <f>SUM(F83:F91)</f>
        <v>640.11431171334993</v>
      </c>
      <c r="H83" s="49"/>
      <c r="I83" s="124">
        <v>0</v>
      </c>
    </row>
    <row r="84" spans="1:9" hidden="1" x14ac:dyDescent="0.25">
      <c r="A84" s="255"/>
      <c r="B84" s="40" t="s">
        <v>3759</v>
      </c>
      <c r="C84" s="40" t="s">
        <v>1035</v>
      </c>
      <c r="D84" s="41">
        <v>391.16629999999998</v>
      </c>
      <c r="E84" s="38">
        <v>0.627</v>
      </c>
      <c r="F84" s="38">
        <f t="shared" si="4"/>
        <v>245.26</v>
      </c>
      <c r="G84" s="48"/>
      <c r="H84" s="49"/>
      <c r="I84" s="124">
        <v>0</v>
      </c>
    </row>
    <row r="85" spans="1:9" ht="25.5" hidden="1" x14ac:dyDescent="0.25">
      <c r="A85" s="255"/>
      <c r="B85" s="40" t="s">
        <v>4016</v>
      </c>
      <c r="C85" s="40" t="s">
        <v>3764</v>
      </c>
      <c r="D85" s="41">
        <v>0.5927</v>
      </c>
      <c r="E85" s="35">
        <v>170.107</v>
      </c>
      <c r="F85" s="38">
        <f t="shared" si="4"/>
        <v>100.82</v>
      </c>
      <c r="G85" s="48"/>
      <c r="H85" s="49"/>
      <c r="I85" s="124">
        <v>0</v>
      </c>
    </row>
    <row r="86" spans="1:9" hidden="1" x14ac:dyDescent="0.25">
      <c r="A86" s="255"/>
      <c r="B86" s="40" t="s">
        <v>3754</v>
      </c>
      <c r="C86" s="40" t="s">
        <v>3752</v>
      </c>
      <c r="D86" s="41">
        <v>1.9633</v>
      </c>
      <c r="E86" s="35">
        <v>20.814499999999999</v>
      </c>
      <c r="F86" s="38">
        <f t="shared" si="4"/>
        <v>40.869999999999997</v>
      </c>
      <c r="G86" s="48"/>
      <c r="H86" s="49"/>
      <c r="I86" s="124">
        <v>0</v>
      </c>
    </row>
    <row r="87" spans="1:9" ht="25.5" hidden="1" x14ac:dyDescent="0.25">
      <c r="A87" s="255"/>
      <c r="B87" s="40" t="s">
        <v>3805</v>
      </c>
      <c r="C87" s="40" t="s">
        <v>3752</v>
      </c>
      <c r="D87" s="41">
        <v>1.24</v>
      </c>
      <c r="E87" s="35">
        <v>20.918999999999997</v>
      </c>
      <c r="F87" s="38">
        <f t="shared" si="4"/>
        <v>25.94</v>
      </c>
      <c r="G87" s="48"/>
      <c r="H87" s="49"/>
      <c r="I87" s="124">
        <v>0</v>
      </c>
    </row>
    <row r="88" spans="1:9" ht="38.25" hidden="1" x14ac:dyDescent="0.25">
      <c r="A88" s="255"/>
      <c r="B88" s="40" t="s">
        <v>4182</v>
      </c>
      <c r="C88" s="40" t="s">
        <v>1041</v>
      </c>
      <c r="D88" s="41">
        <v>0.63819999999999999</v>
      </c>
      <c r="E88" s="35">
        <v>4.75</v>
      </c>
      <c r="F88" s="38">
        <f>IF(ISNUMBER(E88),E88*$D88,"")</f>
        <v>3.03145</v>
      </c>
      <c r="G88" s="48"/>
      <c r="H88" s="49"/>
      <c r="I88" s="124">
        <v>0</v>
      </c>
    </row>
    <row r="89" spans="1:9" ht="38.25" hidden="1" x14ac:dyDescent="0.25">
      <c r="A89" s="255"/>
      <c r="B89" s="40" t="s">
        <v>4650</v>
      </c>
      <c r="C89" s="40" t="s">
        <v>1052</v>
      </c>
      <c r="D89" s="41">
        <v>0.6018</v>
      </c>
      <c r="E89" s="35">
        <v>1.577</v>
      </c>
      <c r="F89" s="38">
        <f>IF(ISNUMBER(E89),E89*$D89,"")</f>
        <v>0.94903859999999995</v>
      </c>
      <c r="G89" s="48"/>
      <c r="H89" s="49"/>
      <c r="I89" s="124">
        <v>0</v>
      </c>
    </row>
    <row r="90" spans="1:9" ht="51" hidden="1" x14ac:dyDescent="0.25">
      <c r="A90" s="255"/>
      <c r="B90" s="40" t="s">
        <v>4752</v>
      </c>
      <c r="C90" s="40" t="s">
        <v>3764</v>
      </c>
      <c r="D90" s="41">
        <f>D83+D85</f>
        <v>1.3046</v>
      </c>
      <c r="E90" s="35">
        <v>7.75243225</v>
      </c>
      <c r="F90" s="38">
        <f>IF(ISNUMBER(E90),E90*$D90,"")</f>
        <v>10.11382311335</v>
      </c>
      <c r="G90" s="48"/>
      <c r="H90" s="49"/>
      <c r="I90" s="124">
        <v>0</v>
      </c>
    </row>
    <row r="91" spans="1:9" ht="38.25" hidden="1" x14ac:dyDescent="0.25">
      <c r="A91" s="255"/>
      <c r="B91" s="40" t="s">
        <v>4749</v>
      </c>
      <c r="C91" s="40" t="s">
        <v>4744</v>
      </c>
      <c r="D91" s="41">
        <f>20*(D83+D85)</f>
        <v>26.091999999999999</v>
      </c>
      <c r="E91" s="38">
        <v>2.5960374499999999</v>
      </c>
      <c r="F91" s="38">
        <f t="shared" ref="F91:F101" si="5">IF(ISNUMBER(E91),ROUND(E91*$D91,2),"")</f>
        <v>67.739999999999995</v>
      </c>
      <c r="G91" s="48"/>
      <c r="H91" s="49"/>
      <c r="I91" s="124">
        <v>0</v>
      </c>
    </row>
    <row r="92" spans="1:9" hidden="1" x14ac:dyDescent="0.25">
      <c r="A92" s="255"/>
      <c r="B92" s="52"/>
      <c r="C92" s="137"/>
      <c r="D92" s="41"/>
      <c r="E92" s="35" t="s">
        <v>23</v>
      </c>
      <c r="F92" s="38" t="str">
        <f t="shared" si="5"/>
        <v/>
      </c>
      <c r="G92" s="48"/>
      <c r="H92" s="49"/>
      <c r="I92" s="124">
        <v>0</v>
      </c>
    </row>
    <row r="93" spans="1:9" hidden="1" x14ac:dyDescent="0.25">
      <c r="A93" s="255"/>
      <c r="B93" s="50" t="s">
        <v>646</v>
      </c>
      <c r="C93" s="137"/>
      <c r="D93" s="41"/>
      <c r="E93" s="35" t="s">
        <v>23</v>
      </c>
      <c r="F93" s="38" t="str">
        <f t="shared" si="5"/>
        <v/>
      </c>
      <c r="G93" s="48"/>
      <c r="H93" s="49"/>
      <c r="I93" s="124">
        <v>0</v>
      </c>
    </row>
    <row r="94" spans="1:9" ht="15.75" hidden="1" thickBot="1" x14ac:dyDescent="0.3">
      <c r="A94" s="269"/>
      <c r="B94" s="135"/>
      <c r="C94" s="136"/>
      <c r="D94" s="130"/>
      <c r="E94" s="87" t="s">
        <v>23</v>
      </c>
      <c r="F94" s="87" t="str">
        <f t="shared" si="5"/>
        <v/>
      </c>
      <c r="G94" s="89"/>
      <c r="H94" s="35"/>
      <c r="I94" s="124">
        <v>0</v>
      </c>
    </row>
    <row r="95" spans="1:9" ht="15.75" hidden="1" thickBot="1" x14ac:dyDescent="0.3">
      <c r="A95" s="268" t="s">
        <v>4705</v>
      </c>
      <c r="B95" s="28" t="s">
        <v>23</v>
      </c>
      <c r="C95" s="29" t="s">
        <v>3764</v>
      </c>
      <c r="D95" s="127"/>
      <c r="E95" s="45" t="s">
        <v>23</v>
      </c>
      <c r="F95" s="45" t="str">
        <f t="shared" si="5"/>
        <v/>
      </c>
      <c r="G95" s="32"/>
      <c r="H95" s="33"/>
      <c r="I95" s="124">
        <v>0</v>
      </c>
    </row>
    <row r="96" spans="1:9" hidden="1" x14ac:dyDescent="0.25">
      <c r="A96" s="255"/>
      <c r="B96" s="36" t="s">
        <v>23</v>
      </c>
      <c r="C96" s="134"/>
      <c r="D96" s="125"/>
      <c r="E96" s="128" t="s">
        <v>23</v>
      </c>
      <c r="F96" s="129" t="str">
        <f t="shared" si="5"/>
        <v/>
      </c>
      <c r="G96" s="39"/>
      <c r="H96" s="35"/>
      <c r="I96" s="124">
        <v>0</v>
      </c>
    </row>
    <row r="97" spans="1:9" ht="25.5" hidden="1" x14ac:dyDescent="0.25">
      <c r="A97" s="255"/>
      <c r="B97" s="40" t="s">
        <v>3763</v>
      </c>
      <c r="C97" s="40" t="s">
        <v>3764</v>
      </c>
      <c r="D97" s="41">
        <v>0.72750000000000004</v>
      </c>
      <c r="E97" s="38">
        <v>204.23099999999999</v>
      </c>
      <c r="F97" s="38">
        <f t="shared" si="5"/>
        <v>148.58000000000001</v>
      </c>
      <c r="G97" s="48">
        <f>SUM(F97:F105)</f>
        <v>629.40256290157504</v>
      </c>
      <c r="H97" s="49"/>
      <c r="I97" s="124">
        <v>0</v>
      </c>
    </row>
    <row r="98" spans="1:9" hidden="1" x14ac:dyDescent="0.25">
      <c r="A98" s="255"/>
      <c r="B98" s="40" t="s">
        <v>3759</v>
      </c>
      <c r="C98" s="40" t="s">
        <v>1035</v>
      </c>
      <c r="D98" s="41">
        <v>364.94330000000002</v>
      </c>
      <c r="E98" s="38">
        <v>0.627</v>
      </c>
      <c r="F98" s="38">
        <f t="shared" si="5"/>
        <v>228.82</v>
      </c>
      <c r="G98" s="48"/>
      <c r="H98" s="49"/>
      <c r="I98" s="124">
        <v>0</v>
      </c>
    </row>
    <row r="99" spans="1:9" ht="25.5" hidden="1" x14ac:dyDescent="0.25">
      <c r="A99" s="255"/>
      <c r="B99" s="40" t="s">
        <v>4016</v>
      </c>
      <c r="C99" s="40" t="s">
        <v>3764</v>
      </c>
      <c r="D99" s="41">
        <v>0.59719999999999995</v>
      </c>
      <c r="E99" s="35">
        <v>170.107</v>
      </c>
      <c r="F99" s="38">
        <f t="shared" si="5"/>
        <v>101.59</v>
      </c>
      <c r="G99" s="48"/>
      <c r="H99" s="49"/>
      <c r="I99" s="124">
        <v>0</v>
      </c>
    </row>
    <row r="100" spans="1:9" hidden="1" x14ac:dyDescent="0.25">
      <c r="A100" s="255"/>
      <c r="B100" s="40" t="s">
        <v>3754</v>
      </c>
      <c r="C100" s="40" t="s">
        <v>3752</v>
      </c>
      <c r="D100" s="41">
        <v>1.9792000000000001</v>
      </c>
      <c r="E100" s="35">
        <v>20.814499999999999</v>
      </c>
      <c r="F100" s="38">
        <f t="shared" si="5"/>
        <v>41.2</v>
      </c>
      <c r="G100" s="48"/>
      <c r="H100" s="49"/>
      <c r="I100" s="124">
        <v>0</v>
      </c>
    </row>
    <row r="101" spans="1:9" ht="25.5" hidden="1" x14ac:dyDescent="0.25">
      <c r="A101" s="255"/>
      <c r="B101" s="40" t="s">
        <v>3805</v>
      </c>
      <c r="C101" s="40" t="s">
        <v>3752</v>
      </c>
      <c r="D101" s="41">
        <v>1.2501</v>
      </c>
      <c r="E101" s="35">
        <v>20.918999999999997</v>
      </c>
      <c r="F101" s="38">
        <f t="shared" si="5"/>
        <v>26.15</v>
      </c>
      <c r="G101" s="48"/>
      <c r="H101" s="49"/>
      <c r="I101" s="124">
        <v>0</v>
      </c>
    </row>
    <row r="102" spans="1:9" ht="38.25" hidden="1" x14ac:dyDescent="0.25">
      <c r="A102" s="255"/>
      <c r="B102" s="40" t="s">
        <v>4182</v>
      </c>
      <c r="C102" s="40" t="s">
        <v>1041</v>
      </c>
      <c r="D102" s="41">
        <v>0.64339999999999997</v>
      </c>
      <c r="E102" s="35">
        <v>4.75</v>
      </c>
      <c r="F102" s="38">
        <f>IF(ISNUMBER(E102),E102*$D102,"")</f>
        <v>3.0561499999999997</v>
      </c>
      <c r="G102" s="48"/>
      <c r="H102" s="49"/>
      <c r="I102" s="124">
        <v>0</v>
      </c>
    </row>
    <row r="103" spans="1:9" ht="38.25" hidden="1" x14ac:dyDescent="0.25">
      <c r="A103" s="255"/>
      <c r="B103" s="40" t="s">
        <v>4650</v>
      </c>
      <c r="C103" s="40" t="s">
        <v>1052</v>
      </c>
      <c r="D103" s="41">
        <v>0.60670000000000002</v>
      </c>
      <c r="E103" s="35">
        <v>1.577</v>
      </c>
      <c r="F103" s="38">
        <f>IF(ISNUMBER(E103),E103*$D103,"")</f>
        <v>0.95676589999999995</v>
      </c>
      <c r="G103" s="48"/>
      <c r="H103" s="49"/>
      <c r="I103" s="124">
        <v>0</v>
      </c>
    </row>
    <row r="104" spans="1:9" ht="51" hidden="1" x14ac:dyDescent="0.25">
      <c r="A104" s="255"/>
      <c r="B104" s="40" t="s">
        <v>4752</v>
      </c>
      <c r="C104" s="40" t="s">
        <v>3764</v>
      </c>
      <c r="D104" s="41">
        <f>D97+D99</f>
        <v>1.3247</v>
      </c>
      <c r="E104" s="35">
        <v>7.75243225</v>
      </c>
      <c r="F104" s="38">
        <f>IF(ISNUMBER(E104),E104*$D104,"")</f>
        <v>10.269647001575001</v>
      </c>
      <c r="G104" s="48"/>
      <c r="H104" s="49"/>
      <c r="I104" s="124">
        <v>0</v>
      </c>
    </row>
    <row r="105" spans="1:9" ht="38.25" hidden="1" x14ac:dyDescent="0.25">
      <c r="A105" s="255"/>
      <c r="B105" s="40" t="s">
        <v>4749</v>
      </c>
      <c r="C105" s="40" t="s">
        <v>4744</v>
      </c>
      <c r="D105" s="41">
        <f>20*(D97+D99)</f>
        <v>26.494</v>
      </c>
      <c r="E105" s="38">
        <v>2.5960374499999999</v>
      </c>
      <c r="F105" s="38">
        <f t="shared" ref="F105:F115" si="6">IF(ISNUMBER(E105),ROUND(E105*$D105,2),"")</f>
        <v>68.78</v>
      </c>
      <c r="G105" s="48"/>
      <c r="H105" s="49"/>
      <c r="I105" s="124">
        <v>0</v>
      </c>
    </row>
    <row r="106" spans="1:9" hidden="1" x14ac:dyDescent="0.25">
      <c r="A106" s="255"/>
      <c r="B106" s="52"/>
      <c r="C106" s="137"/>
      <c r="D106" s="41"/>
      <c r="E106" s="35" t="s">
        <v>23</v>
      </c>
      <c r="F106" s="38" t="str">
        <f t="shared" si="6"/>
        <v/>
      </c>
      <c r="G106" s="48"/>
      <c r="H106" s="49"/>
      <c r="I106" s="124">
        <v>0</v>
      </c>
    </row>
    <row r="107" spans="1:9" hidden="1" x14ac:dyDescent="0.25">
      <c r="A107" s="255"/>
      <c r="B107" s="50" t="s">
        <v>646</v>
      </c>
      <c r="C107" s="137"/>
      <c r="D107" s="41"/>
      <c r="E107" s="35" t="s">
        <v>23</v>
      </c>
      <c r="F107" s="38" t="str">
        <f t="shared" si="6"/>
        <v/>
      </c>
      <c r="G107" s="48"/>
      <c r="H107" s="49"/>
      <c r="I107" s="124">
        <v>0</v>
      </c>
    </row>
    <row r="108" spans="1:9" ht="15.75" hidden="1" thickBot="1" x14ac:dyDescent="0.3">
      <c r="A108" s="269"/>
      <c r="B108" s="135"/>
      <c r="C108" s="136"/>
      <c r="D108" s="130"/>
      <c r="E108" s="87" t="s">
        <v>23</v>
      </c>
      <c r="F108" s="87" t="str">
        <f t="shared" si="6"/>
        <v/>
      </c>
      <c r="G108" s="89"/>
      <c r="H108" s="35"/>
      <c r="I108" s="124">
        <v>0</v>
      </c>
    </row>
    <row r="109" spans="1:9" ht="15.75" hidden="1" thickBot="1" x14ac:dyDescent="0.3">
      <c r="A109" s="268" t="s">
        <v>4698</v>
      </c>
      <c r="B109" s="28" t="s">
        <v>23</v>
      </c>
      <c r="C109" s="29" t="s">
        <v>3764</v>
      </c>
      <c r="D109" s="127"/>
      <c r="E109" s="45" t="s">
        <v>23</v>
      </c>
      <c r="F109" s="45" t="str">
        <f t="shared" si="6"/>
        <v/>
      </c>
      <c r="G109" s="32"/>
      <c r="H109" s="33"/>
      <c r="I109" s="124">
        <v>0</v>
      </c>
    </row>
    <row r="110" spans="1:9" hidden="1" x14ac:dyDescent="0.25">
      <c r="A110" s="255"/>
      <c r="B110" s="36" t="s">
        <v>23</v>
      </c>
      <c r="C110" s="134"/>
      <c r="D110" s="125"/>
      <c r="E110" s="128" t="s">
        <v>23</v>
      </c>
      <c r="F110" s="129" t="str">
        <f t="shared" si="6"/>
        <v/>
      </c>
      <c r="G110" s="39"/>
      <c r="H110" s="35"/>
      <c r="I110" s="124">
        <v>0</v>
      </c>
    </row>
    <row r="111" spans="1:9" ht="25.5" hidden="1" x14ac:dyDescent="0.25">
      <c r="A111" s="255"/>
      <c r="B111" s="40" t="s">
        <v>3845</v>
      </c>
      <c r="C111" s="40" t="s">
        <v>3764</v>
      </c>
      <c r="D111" s="41">
        <v>0.63019999999999998</v>
      </c>
      <c r="E111" s="38">
        <v>206.90049999999999</v>
      </c>
      <c r="F111" s="38">
        <f t="shared" si="6"/>
        <v>130.38999999999999</v>
      </c>
      <c r="G111" s="48">
        <f>SUM(F111:F120)</f>
        <v>690.04298295339993</v>
      </c>
      <c r="H111" s="49"/>
      <c r="I111" s="124">
        <v>0</v>
      </c>
    </row>
    <row r="112" spans="1:9" hidden="1" x14ac:dyDescent="0.25">
      <c r="A112" s="255"/>
      <c r="B112" s="40" t="s">
        <v>3811</v>
      </c>
      <c r="C112" s="40" t="s">
        <v>1035</v>
      </c>
      <c r="D112" s="41">
        <v>15.125500000000001</v>
      </c>
      <c r="E112" s="38">
        <v>1.2825</v>
      </c>
      <c r="F112" s="38">
        <f t="shared" si="6"/>
        <v>19.399999999999999</v>
      </c>
      <c r="G112" s="48"/>
      <c r="H112" s="49"/>
      <c r="I112" s="124">
        <v>0</v>
      </c>
    </row>
    <row r="113" spans="1:9" hidden="1" x14ac:dyDescent="0.25">
      <c r="A113" s="255"/>
      <c r="B113" s="40" t="s">
        <v>3759</v>
      </c>
      <c r="C113" s="40" t="s">
        <v>1035</v>
      </c>
      <c r="D113" s="41">
        <v>420.15269999999998</v>
      </c>
      <c r="E113" s="35">
        <v>0.627</v>
      </c>
      <c r="F113" s="38">
        <f t="shared" si="6"/>
        <v>263.44</v>
      </c>
      <c r="G113" s="48"/>
      <c r="H113" s="49"/>
      <c r="I113" s="124">
        <v>0</v>
      </c>
    </row>
    <row r="114" spans="1:9" ht="25.5" hidden="1" x14ac:dyDescent="0.25">
      <c r="A114" s="255"/>
      <c r="B114" s="40" t="s">
        <v>3841</v>
      </c>
      <c r="C114" s="40" t="s">
        <v>3764</v>
      </c>
      <c r="D114" s="41">
        <v>0.58819999999999995</v>
      </c>
      <c r="E114" s="35">
        <v>196.38399999999999</v>
      </c>
      <c r="F114" s="38">
        <f t="shared" si="6"/>
        <v>115.51</v>
      </c>
      <c r="G114" s="48"/>
      <c r="H114" s="49"/>
      <c r="I114" s="124">
        <v>0</v>
      </c>
    </row>
    <row r="115" spans="1:9" hidden="1" x14ac:dyDescent="0.25">
      <c r="A115" s="255"/>
      <c r="B115" s="40" t="s">
        <v>3754</v>
      </c>
      <c r="C115" s="40" t="s">
        <v>3752</v>
      </c>
      <c r="D115" s="41">
        <v>2.5491999999999999</v>
      </c>
      <c r="E115" s="35">
        <v>20.814499999999999</v>
      </c>
      <c r="F115" s="38">
        <f t="shared" si="6"/>
        <v>53.06</v>
      </c>
      <c r="G115" s="48"/>
      <c r="H115" s="49"/>
      <c r="I115" s="124">
        <v>0</v>
      </c>
    </row>
    <row r="116" spans="1:9" ht="25.5" hidden="1" x14ac:dyDescent="0.25">
      <c r="A116" s="255"/>
      <c r="B116" s="40" t="s">
        <v>3805</v>
      </c>
      <c r="C116" s="40" t="s">
        <v>3752</v>
      </c>
      <c r="D116" s="41">
        <v>1.6069</v>
      </c>
      <c r="E116" s="35">
        <v>20.918999999999997</v>
      </c>
      <c r="F116" s="38">
        <f>IF(ISNUMBER(E116),E116*$D116,"")</f>
        <v>33.614741099999996</v>
      </c>
      <c r="G116" s="48"/>
      <c r="H116" s="49"/>
      <c r="I116" s="124">
        <v>0</v>
      </c>
    </row>
    <row r="117" spans="1:9" ht="38.25" hidden="1" x14ac:dyDescent="0.25">
      <c r="A117" s="255"/>
      <c r="B117" s="40" t="s">
        <v>4115</v>
      </c>
      <c r="C117" s="40" t="s">
        <v>1041</v>
      </c>
      <c r="D117" s="41">
        <v>1.1137999999999999</v>
      </c>
      <c r="E117" s="35">
        <v>1.5579999999999998</v>
      </c>
      <c r="F117" s="38">
        <f>IF(ISNUMBER(E117),E117*$D117,"")</f>
        <v>1.7353003999999996</v>
      </c>
      <c r="G117" s="48"/>
      <c r="H117" s="49"/>
      <c r="I117" s="124">
        <v>0</v>
      </c>
    </row>
    <row r="118" spans="1:9" ht="38.25" hidden="1" x14ac:dyDescent="0.25">
      <c r="A118" s="255"/>
      <c r="B118" s="40" t="s">
        <v>4121</v>
      </c>
      <c r="C118" s="40" t="s">
        <v>1052</v>
      </c>
      <c r="D118" s="41">
        <v>0.49309999999999998</v>
      </c>
      <c r="E118" s="35">
        <v>0.38</v>
      </c>
      <c r="F118" s="38">
        <f>IF(ISNUMBER(E118),E118*$D118,"")</f>
        <v>0.18737799999999999</v>
      </c>
      <c r="G118" s="48"/>
      <c r="H118" s="49"/>
      <c r="I118" s="124">
        <v>0</v>
      </c>
    </row>
    <row r="119" spans="1:9" ht="51" hidden="1" x14ac:dyDescent="0.25">
      <c r="A119" s="255"/>
      <c r="B119" s="40" t="s">
        <v>4752</v>
      </c>
      <c r="C119" s="40" t="s">
        <v>3764</v>
      </c>
      <c r="D119" s="41">
        <f>D111+D114</f>
        <v>1.2183999999999999</v>
      </c>
      <c r="E119" s="35">
        <v>7.75243225</v>
      </c>
      <c r="F119" s="38">
        <f>IF(ISNUMBER(E119),E119*$D119,"")</f>
        <v>9.4455634534000001</v>
      </c>
      <c r="G119" s="48"/>
      <c r="H119" s="49"/>
      <c r="I119" s="124">
        <v>0</v>
      </c>
    </row>
    <row r="120" spans="1:9" ht="38.25" hidden="1" x14ac:dyDescent="0.25">
      <c r="A120" s="255"/>
      <c r="B120" s="40" t="s">
        <v>4749</v>
      </c>
      <c r="C120" s="40" t="s">
        <v>4744</v>
      </c>
      <c r="D120" s="41">
        <f>20*(D111+D114)</f>
        <v>24.367999999999999</v>
      </c>
      <c r="E120" s="38">
        <v>2.5960374499999999</v>
      </c>
      <c r="F120" s="38">
        <f t="shared" ref="F120:F139" si="7">IF(ISNUMBER(E120),ROUND(E120*$D120,2),"")</f>
        <v>63.26</v>
      </c>
      <c r="G120" s="48"/>
      <c r="H120" s="49"/>
      <c r="I120" s="124">
        <v>0</v>
      </c>
    </row>
    <row r="121" spans="1:9" hidden="1" x14ac:dyDescent="0.25">
      <c r="A121" s="255"/>
      <c r="B121" s="52"/>
      <c r="C121" s="137"/>
      <c r="D121" s="41"/>
      <c r="E121" s="35" t="s">
        <v>23</v>
      </c>
      <c r="F121" s="38" t="str">
        <f t="shared" si="7"/>
        <v/>
      </c>
      <c r="G121" s="48"/>
      <c r="H121" s="49"/>
      <c r="I121" s="124">
        <v>0</v>
      </c>
    </row>
    <row r="122" spans="1:9" hidden="1" x14ac:dyDescent="0.25">
      <c r="A122" s="255"/>
      <c r="B122" s="50" t="s">
        <v>646</v>
      </c>
      <c r="C122" s="137"/>
      <c r="D122" s="41"/>
      <c r="E122" s="35" t="s">
        <v>23</v>
      </c>
      <c r="F122" s="38" t="str">
        <f t="shared" si="7"/>
        <v/>
      </c>
      <c r="G122" s="48"/>
      <c r="H122" s="49"/>
      <c r="I122" s="124">
        <v>0</v>
      </c>
    </row>
    <row r="123" spans="1:9" ht="15.75" hidden="1" thickBot="1" x14ac:dyDescent="0.3">
      <c r="A123" s="269"/>
      <c r="B123" s="135"/>
      <c r="C123" s="136"/>
      <c r="D123" s="130"/>
      <c r="E123" s="87" t="s">
        <v>23</v>
      </c>
      <c r="F123" s="87" t="str">
        <f t="shared" si="7"/>
        <v/>
      </c>
      <c r="G123" s="89"/>
      <c r="H123" s="35"/>
      <c r="I123" s="124">
        <v>0</v>
      </c>
    </row>
    <row r="124" spans="1:9" ht="15.75" hidden="1" thickBot="1" x14ac:dyDescent="0.3">
      <c r="A124" s="268" t="s">
        <v>4694</v>
      </c>
      <c r="B124" s="28" t="s">
        <v>23</v>
      </c>
      <c r="C124" s="29" t="s">
        <v>1035</v>
      </c>
      <c r="D124" s="127"/>
      <c r="E124" s="31" t="s">
        <v>23</v>
      </c>
      <c r="F124" s="29" t="str">
        <f t="shared" si="7"/>
        <v/>
      </c>
      <c r="G124" s="32"/>
      <c r="H124" s="33"/>
      <c r="I124" s="124">
        <v>0</v>
      </c>
    </row>
    <row r="125" spans="1:9" hidden="1" x14ac:dyDescent="0.25">
      <c r="A125" s="255"/>
      <c r="B125" s="36" t="s">
        <v>23</v>
      </c>
      <c r="C125" s="134"/>
      <c r="D125" s="125"/>
      <c r="E125" s="35" t="s">
        <v>23</v>
      </c>
      <c r="F125" s="35" t="str">
        <f t="shared" si="7"/>
        <v/>
      </c>
      <c r="G125" s="39"/>
      <c r="H125" s="35"/>
      <c r="I125" s="124">
        <v>0</v>
      </c>
    </row>
    <row r="126" spans="1:9" ht="25.5" hidden="1" x14ac:dyDescent="0.25">
      <c r="A126" s="255"/>
      <c r="B126" s="40" t="s">
        <v>4673</v>
      </c>
      <c r="C126" s="40" t="s">
        <v>1035</v>
      </c>
      <c r="D126" s="41">
        <v>1.1100000000000001</v>
      </c>
      <c r="E126" s="35">
        <v>10.8775</v>
      </c>
      <c r="F126" s="38">
        <f t="shared" si="7"/>
        <v>12.07</v>
      </c>
      <c r="G126" s="48">
        <f>SUM(F126:F127)</f>
        <v>12.17</v>
      </c>
      <c r="H126" s="49"/>
      <c r="I126" s="124">
        <v>0</v>
      </c>
    </row>
    <row r="127" spans="1:9" hidden="1" x14ac:dyDescent="0.25">
      <c r="A127" s="255"/>
      <c r="B127" s="40" t="s">
        <v>3977</v>
      </c>
      <c r="C127" s="40" t="s">
        <v>3752</v>
      </c>
      <c r="D127" s="41">
        <v>3.7000000000000002E-3</v>
      </c>
      <c r="E127" s="35">
        <v>27.853999999999999</v>
      </c>
      <c r="F127" s="38">
        <f t="shared" si="7"/>
        <v>0.1</v>
      </c>
      <c r="G127" s="48"/>
      <c r="H127" s="49"/>
      <c r="I127" s="124">
        <v>0</v>
      </c>
    </row>
    <row r="128" spans="1:9" ht="15.75" hidden="1" thickBot="1" x14ac:dyDescent="0.3">
      <c r="A128" s="269"/>
      <c r="B128" s="60" t="s">
        <v>23</v>
      </c>
      <c r="C128" s="136"/>
      <c r="D128" s="130"/>
      <c r="E128" s="87" t="s">
        <v>23</v>
      </c>
      <c r="F128" s="88" t="str">
        <f t="shared" si="7"/>
        <v/>
      </c>
      <c r="G128" s="89"/>
      <c r="H128" s="35"/>
      <c r="I128" s="124">
        <v>0</v>
      </c>
    </row>
    <row r="129" spans="1:9" ht="15.75" hidden="1" thickBot="1" x14ac:dyDescent="0.3">
      <c r="A129" s="268" t="s">
        <v>4690</v>
      </c>
      <c r="B129" s="28" t="s">
        <v>23</v>
      </c>
      <c r="C129" s="29" t="s">
        <v>1035</v>
      </c>
      <c r="D129" s="127"/>
      <c r="E129" s="31" t="s">
        <v>23</v>
      </c>
      <c r="F129" s="29" t="str">
        <f t="shared" si="7"/>
        <v/>
      </c>
      <c r="G129" s="32"/>
      <c r="H129" s="33"/>
      <c r="I129" s="124">
        <v>0</v>
      </c>
    </row>
    <row r="130" spans="1:9" hidden="1" x14ac:dyDescent="0.25">
      <c r="A130" s="255"/>
      <c r="B130" s="36" t="s">
        <v>23</v>
      </c>
      <c r="C130" s="134"/>
      <c r="D130" s="125"/>
      <c r="E130" s="35" t="s">
        <v>23</v>
      </c>
      <c r="F130" s="35" t="str">
        <f t="shared" si="7"/>
        <v/>
      </c>
      <c r="G130" s="39"/>
      <c r="H130" s="35"/>
      <c r="I130" s="124">
        <v>0</v>
      </c>
    </row>
    <row r="131" spans="1:9" hidden="1" x14ac:dyDescent="0.25">
      <c r="A131" s="255"/>
      <c r="B131" s="40" t="s">
        <v>4138</v>
      </c>
      <c r="C131" s="40" t="s">
        <v>1035</v>
      </c>
      <c r="D131" s="41">
        <v>1.07</v>
      </c>
      <c r="E131" s="35">
        <v>9.5759999999999987</v>
      </c>
      <c r="F131" s="38">
        <f t="shared" si="7"/>
        <v>10.25</v>
      </c>
      <c r="G131" s="48">
        <f>SUM(F131:F133)</f>
        <v>12.04</v>
      </c>
      <c r="H131" s="49"/>
      <c r="I131" s="124">
        <v>0</v>
      </c>
    </row>
    <row r="132" spans="1:9" hidden="1" x14ac:dyDescent="0.25">
      <c r="A132" s="255"/>
      <c r="B132" s="40" t="s">
        <v>4167</v>
      </c>
      <c r="C132" s="40" t="s">
        <v>3752</v>
      </c>
      <c r="D132" s="41">
        <v>8.2000000000000007E-3</v>
      </c>
      <c r="E132" s="38">
        <v>20.785999999999998</v>
      </c>
      <c r="F132" s="38">
        <f t="shared" si="7"/>
        <v>0.17</v>
      </c>
      <c r="G132" s="48"/>
      <c r="H132" s="49"/>
      <c r="I132" s="124">
        <v>0</v>
      </c>
    </row>
    <row r="133" spans="1:9" hidden="1" x14ac:dyDescent="0.25">
      <c r="A133" s="255"/>
      <c r="B133" s="40" t="s">
        <v>3977</v>
      </c>
      <c r="C133" s="40" t="s">
        <v>3752</v>
      </c>
      <c r="D133" s="41">
        <v>5.8099999999999999E-2</v>
      </c>
      <c r="E133" s="35">
        <v>27.853999999999999</v>
      </c>
      <c r="F133" s="38">
        <f t="shared" si="7"/>
        <v>1.62</v>
      </c>
      <c r="G133" s="48"/>
      <c r="H133" s="49"/>
      <c r="I133" s="124">
        <v>0</v>
      </c>
    </row>
    <row r="134" spans="1:9" ht="15.75" hidden="1" thickBot="1" x14ac:dyDescent="0.3">
      <c r="A134" s="269"/>
      <c r="B134" s="60" t="s">
        <v>23</v>
      </c>
      <c r="C134" s="136"/>
      <c r="D134" s="130"/>
      <c r="E134" s="87" t="s">
        <v>23</v>
      </c>
      <c r="F134" s="88" t="str">
        <f t="shared" si="7"/>
        <v/>
      </c>
      <c r="G134" s="89"/>
      <c r="H134" s="35"/>
      <c r="I134" s="124">
        <v>0</v>
      </c>
    </row>
    <row r="135" spans="1:9" ht="15.75" hidden="1" thickBot="1" x14ac:dyDescent="0.3">
      <c r="A135" s="268" t="s">
        <v>4693</v>
      </c>
      <c r="B135" s="28" t="s">
        <v>23</v>
      </c>
      <c r="C135" s="29" t="s">
        <v>1035</v>
      </c>
      <c r="D135" s="127"/>
      <c r="E135" s="31" t="s">
        <v>23</v>
      </c>
      <c r="F135" s="29" t="str">
        <f t="shared" si="7"/>
        <v/>
      </c>
      <c r="G135" s="32"/>
      <c r="H135" s="33"/>
      <c r="I135" s="124">
        <v>0</v>
      </c>
    </row>
    <row r="136" spans="1:9" hidden="1" x14ac:dyDescent="0.25">
      <c r="A136" s="255"/>
      <c r="B136" s="36" t="s">
        <v>23</v>
      </c>
      <c r="C136" s="134"/>
      <c r="D136" s="125"/>
      <c r="E136" s="35" t="s">
        <v>23</v>
      </c>
      <c r="F136" s="35" t="str">
        <f t="shared" si="7"/>
        <v/>
      </c>
      <c r="G136" s="39"/>
      <c r="H136" s="35"/>
      <c r="I136" s="124">
        <v>0</v>
      </c>
    </row>
    <row r="137" spans="1:9" hidden="1" x14ac:dyDescent="0.25">
      <c r="A137" s="255"/>
      <c r="B137" s="40" t="s">
        <v>3984</v>
      </c>
      <c r="C137" s="40" t="s">
        <v>1035</v>
      </c>
      <c r="D137" s="41">
        <v>1.1100000000000001</v>
      </c>
      <c r="E137" s="35">
        <v>8.7684999999999995</v>
      </c>
      <c r="F137" s="38">
        <f t="shared" si="7"/>
        <v>9.73</v>
      </c>
      <c r="G137" s="48">
        <f>SUM(F137:F138)</f>
        <v>9.8000000000000007</v>
      </c>
      <c r="H137" s="49"/>
      <c r="I137" s="124">
        <v>0</v>
      </c>
    </row>
    <row r="138" spans="1:9" hidden="1" x14ac:dyDescent="0.25">
      <c r="A138" s="255"/>
      <c r="B138" s="40" t="s">
        <v>3977</v>
      </c>
      <c r="C138" s="40" t="s">
        <v>3752</v>
      </c>
      <c r="D138" s="41">
        <v>2.5000000000000001E-3</v>
      </c>
      <c r="E138" s="35">
        <v>27.853999999999999</v>
      </c>
      <c r="F138" s="38">
        <f t="shared" si="7"/>
        <v>7.0000000000000007E-2</v>
      </c>
      <c r="G138" s="48"/>
      <c r="H138" s="49"/>
      <c r="I138" s="124">
        <v>0</v>
      </c>
    </row>
    <row r="139" spans="1:9" ht="15.75" hidden="1" thickBot="1" x14ac:dyDescent="0.3">
      <c r="A139" s="269"/>
      <c r="B139" s="60" t="s">
        <v>23</v>
      </c>
      <c r="C139" s="136"/>
      <c r="D139" s="130"/>
      <c r="E139" s="87" t="s">
        <v>23</v>
      </c>
      <c r="F139" s="88" t="str">
        <f t="shared" si="7"/>
        <v/>
      </c>
      <c r="G139" s="89"/>
      <c r="H139" s="35"/>
      <c r="I139" s="124">
        <v>0</v>
      </c>
    </row>
  </sheetData>
  <autoFilter ref="A5:I139">
    <filterColumn colId="8">
      <customFilters>
        <customFilter operator="notEqual" val="0"/>
      </customFilters>
    </filterColumn>
  </autoFilter>
  <mergeCells count="14">
    <mergeCell ref="A129:A134"/>
    <mergeCell ref="A135:A139"/>
    <mergeCell ref="A59:A72"/>
    <mergeCell ref="A73:A80"/>
    <mergeCell ref="A81:A94"/>
    <mergeCell ref="A95:A108"/>
    <mergeCell ref="A109:A123"/>
    <mergeCell ref="A124:A128"/>
    <mergeCell ref="A46:A58"/>
    <mergeCell ref="A6:A10"/>
    <mergeCell ref="A11:A16"/>
    <mergeCell ref="A17:A23"/>
    <mergeCell ref="A24:A35"/>
    <mergeCell ref="A36:A45"/>
  </mergeCells>
  <conditionalFormatting sqref="F4">
    <cfRule type="containsText" dxfId="71" priority="145" operator="containsText" text="Pesquisa">
      <formula>NOT(ISERROR(SEARCH("Pesquisa",F4)))</formula>
    </cfRule>
  </conditionalFormatting>
  <conditionalFormatting sqref="C8">
    <cfRule type="containsText" dxfId="70" priority="29" operator="containsText" text="Pesquisa de Preços">
      <formula>NOT(ISERROR(SEARCH("Pesquisa de Preços",C8)))</formula>
    </cfRule>
  </conditionalFormatting>
  <conditionalFormatting sqref="C9">
    <cfRule type="containsText" dxfId="69" priority="28" operator="containsText" text="Pesquisa de Preços">
      <formula>NOT(ISERROR(SEARCH("Pesquisa de Preços",C9)))</formula>
    </cfRule>
  </conditionalFormatting>
  <conditionalFormatting sqref="C13:C15">
    <cfRule type="containsText" dxfId="68" priority="27" operator="containsText" text="Pesquisa de Preços">
      <formula>NOT(ISERROR(SEARCH("Pesquisa de Preços",C13)))</formula>
    </cfRule>
  </conditionalFormatting>
  <conditionalFormatting sqref="C19:C22">
    <cfRule type="containsText" dxfId="67" priority="26" operator="containsText" text="Pesquisa de Preços">
      <formula>NOT(ISERROR(SEARCH("Pesquisa de Preços",C19)))</formula>
    </cfRule>
  </conditionalFormatting>
  <conditionalFormatting sqref="C26:C32">
    <cfRule type="containsText" dxfId="66" priority="25" operator="containsText" text="Pesquisa de Preços">
      <formula>NOT(ISERROR(SEARCH("Pesquisa de Preços",C26)))</formula>
    </cfRule>
  </conditionalFormatting>
  <conditionalFormatting sqref="C38:C44">
    <cfRule type="containsText" dxfId="65" priority="24" operator="containsText" text="Pesquisa de Preços">
      <formula>NOT(ISERROR(SEARCH("Pesquisa de Preços",C38)))</formula>
    </cfRule>
  </conditionalFormatting>
  <conditionalFormatting sqref="C48:C54">
    <cfRule type="containsText" dxfId="64" priority="23" operator="containsText" text="Pesquisa de Preços">
      <formula>NOT(ISERROR(SEARCH("Pesquisa de Preços",C48)))</formula>
    </cfRule>
  </conditionalFormatting>
  <conditionalFormatting sqref="C61:C68">
    <cfRule type="containsText" dxfId="63" priority="22" operator="containsText" text="Pesquisa de Preços">
      <formula>NOT(ISERROR(SEARCH("Pesquisa de Preços",C61)))</formula>
    </cfRule>
  </conditionalFormatting>
  <conditionalFormatting sqref="C75:C79">
    <cfRule type="containsText" dxfId="62" priority="21" operator="containsText" text="Pesquisa de Preços">
      <formula>NOT(ISERROR(SEARCH("Pesquisa de Preços",C75)))</formula>
    </cfRule>
  </conditionalFormatting>
  <conditionalFormatting sqref="C83:C91">
    <cfRule type="containsText" dxfId="61" priority="20" operator="containsText" text="Pesquisa de Preços">
      <formula>NOT(ISERROR(SEARCH("Pesquisa de Preços",C83)))</formula>
    </cfRule>
  </conditionalFormatting>
  <conditionalFormatting sqref="C97:C105">
    <cfRule type="containsText" dxfId="60" priority="19" operator="containsText" text="Pesquisa de Preços">
      <formula>NOT(ISERROR(SEARCH("Pesquisa de Preços",C97)))</formula>
    </cfRule>
  </conditionalFormatting>
  <conditionalFormatting sqref="C111:C120">
    <cfRule type="containsText" dxfId="59" priority="18" operator="containsText" text="Pesquisa de Preços">
      <formula>NOT(ISERROR(SEARCH("Pesquisa de Preços",C111)))</formula>
    </cfRule>
  </conditionalFormatting>
  <conditionalFormatting sqref="C126:C127">
    <cfRule type="containsText" dxfId="58" priority="17" operator="containsText" text="Pesquisa de Preços">
      <formula>NOT(ISERROR(SEARCH("Pesquisa de Preços",C126)))</formula>
    </cfRule>
  </conditionalFormatting>
  <conditionalFormatting sqref="C131:C133">
    <cfRule type="containsText" dxfId="57" priority="16" operator="containsText" text="Pesquisa de Preços">
      <formula>NOT(ISERROR(SEARCH("Pesquisa de Preços",C131)))</formula>
    </cfRule>
  </conditionalFormatting>
  <conditionalFormatting sqref="C137:C138">
    <cfRule type="containsText" dxfId="56" priority="15" operator="containsText" text="Pesquisa de Preços">
      <formula>NOT(ISERROR(SEARCH("Pesquisa de Preços",C137)))</formula>
    </cfRule>
  </conditionalFormatting>
  <conditionalFormatting sqref="C6">
    <cfRule type="containsText" dxfId="55" priority="14" operator="containsText" text="Pesquisa de Preços">
      <formula>NOT(ISERROR(SEARCH("Pesquisa de Preços",C6)))</formula>
    </cfRule>
  </conditionalFormatting>
  <conditionalFormatting sqref="C11">
    <cfRule type="containsText" dxfId="54" priority="13" operator="containsText" text="Pesquisa de Preços">
      <formula>NOT(ISERROR(SEARCH("Pesquisa de Preços",C11)))</formula>
    </cfRule>
  </conditionalFormatting>
  <conditionalFormatting sqref="C17">
    <cfRule type="containsText" dxfId="53" priority="12" operator="containsText" text="Pesquisa de Preços">
      <formula>NOT(ISERROR(SEARCH("Pesquisa de Preços",C17)))</formula>
    </cfRule>
  </conditionalFormatting>
  <conditionalFormatting sqref="C24">
    <cfRule type="containsText" dxfId="52" priority="11" operator="containsText" text="Pesquisa de Preços">
      <formula>NOT(ISERROR(SEARCH("Pesquisa de Preços",C24)))</formula>
    </cfRule>
  </conditionalFormatting>
  <conditionalFormatting sqref="C36">
    <cfRule type="containsText" dxfId="51" priority="10" operator="containsText" text="Pesquisa de Preços">
      <formula>NOT(ISERROR(SEARCH("Pesquisa de Preços",C36)))</formula>
    </cfRule>
  </conditionalFormatting>
  <conditionalFormatting sqref="C46">
    <cfRule type="containsText" dxfId="50" priority="9" operator="containsText" text="Pesquisa de Preços">
      <formula>NOT(ISERROR(SEARCH("Pesquisa de Preços",C46)))</formula>
    </cfRule>
  </conditionalFormatting>
  <conditionalFormatting sqref="C59">
    <cfRule type="containsText" dxfId="49" priority="8" operator="containsText" text="Pesquisa de Preços">
      <formula>NOT(ISERROR(SEARCH("Pesquisa de Preços",C59)))</formula>
    </cfRule>
  </conditionalFormatting>
  <conditionalFormatting sqref="C73">
    <cfRule type="containsText" dxfId="48" priority="7" operator="containsText" text="Pesquisa de Preços">
      <formula>NOT(ISERROR(SEARCH("Pesquisa de Preços",C73)))</formula>
    </cfRule>
  </conditionalFormatting>
  <conditionalFormatting sqref="C81">
    <cfRule type="containsText" dxfId="47" priority="6" operator="containsText" text="Pesquisa de Preços">
      <formula>NOT(ISERROR(SEARCH("Pesquisa de Preços",C81)))</formula>
    </cfRule>
  </conditionalFormatting>
  <conditionalFormatting sqref="C95">
    <cfRule type="containsText" dxfId="46" priority="5" operator="containsText" text="Pesquisa de Preços">
      <formula>NOT(ISERROR(SEARCH("Pesquisa de Preços",C95)))</formula>
    </cfRule>
  </conditionalFormatting>
  <conditionalFormatting sqref="C109">
    <cfRule type="containsText" dxfId="45" priority="4" operator="containsText" text="Pesquisa de Preços">
      <formula>NOT(ISERROR(SEARCH("Pesquisa de Preços",C109)))</formula>
    </cfRule>
  </conditionalFormatting>
  <conditionalFormatting sqref="C124">
    <cfRule type="containsText" dxfId="44" priority="3" operator="containsText" text="Pesquisa de Preços">
      <formula>NOT(ISERROR(SEARCH("Pesquisa de Preços",C124)))</formula>
    </cfRule>
  </conditionalFormatting>
  <conditionalFormatting sqref="C129">
    <cfRule type="containsText" dxfId="43" priority="2" operator="containsText" text="Pesquisa de Preços">
      <formula>NOT(ISERROR(SEARCH("Pesquisa de Preços",C129)))</formula>
    </cfRule>
  </conditionalFormatting>
  <conditionalFormatting sqref="C135">
    <cfRule type="containsText" dxfId="42" priority="1" operator="containsText" text="Pesquisa de Preços">
      <formula>NOT(ISERROR(SEARCH("Pesquisa de Preços",C135)))</formula>
    </cfRule>
  </conditionalFormatting>
  <printOptions horizontalCentered="1"/>
  <pageMargins left="0.19685039370078741" right="0.19685039370078741" top="0.98425196850393704" bottom="0.59055118110236227" header="0.19685039370078741" footer="0.19685039370078741"/>
  <pageSetup paperSize="9" scale="60"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tabColor rgb="FFFFFF00"/>
    <pageSetUpPr fitToPage="1"/>
  </sheetPr>
  <dimension ref="A1:GF482"/>
  <sheetViews>
    <sheetView tabSelected="1" zoomScale="80" zoomScaleNormal="80" zoomScaleSheetLayoutView="85" workbookViewId="0">
      <pane ySplit="5" topLeftCell="A6" activePane="bottomLeft" state="frozen"/>
      <selection activeCell="B1" sqref="B1"/>
      <selection pane="bottomLeft" activeCell="A6" sqref="A6"/>
    </sheetView>
  </sheetViews>
  <sheetFormatPr defaultColWidth="9.140625" defaultRowHeight="12.75" x14ac:dyDescent="0.2"/>
  <cols>
    <col min="1" max="1" width="8.7109375" style="240" customWidth="1"/>
    <col min="2" max="2" width="15.7109375" style="240" customWidth="1"/>
    <col min="3" max="3" width="80.7109375" style="241" customWidth="1"/>
    <col min="4" max="4" width="15.7109375" style="240" customWidth="1"/>
    <col min="5" max="6" width="15.7109375" style="242" customWidth="1"/>
    <col min="7" max="7" width="15.7109375" style="243" customWidth="1"/>
    <col min="8" max="8" width="15.7109375" style="244" customWidth="1"/>
    <col min="9" max="9" width="20.7109375" style="203" customWidth="1"/>
    <col min="10" max="10" width="20.7109375" style="202" customWidth="1"/>
    <col min="11" max="11" width="15.7109375" style="203" customWidth="1"/>
    <col min="12" max="14" width="20.7109375" style="203" customWidth="1"/>
    <col min="15" max="15" width="20.7109375" style="202" customWidth="1"/>
    <col min="16" max="16" width="9.140625" style="208" customWidth="1"/>
    <col min="17" max="16384" width="9.140625" style="208"/>
  </cols>
  <sheetData>
    <row r="1" spans="1:188" s="209" customFormat="1" ht="24.95" customHeight="1" x14ac:dyDescent="0.2">
      <c r="A1" s="179" t="s">
        <v>2026</v>
      </c>
      <c r="B1" s="179"/>
      <c r="C1" s="179"/>
      <c r="D1" s="179"/>
      <c r="E1" s="179"/>
      <c r="F1" s="179"/>
      <c r="G1" s="205"/>
      <c r="H1" s="206"/>
      <c r="I1" s="179"/>
      <c r="J1" s="179"/>
      <c r="K1" s="179"/>
      <c r="L1" s="179"/>
      <c r="M1" s="179"/>
      <c r="N1" s="179"/>
      <c r="O1" s="179"/>
      <c r="P1" s="207"/>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8"/>
      <c r="CG1" s="208"/>
      <c r="CH1" s="208"/>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c r="DJ1" s="208"/>
      <c r="DK1" s="208"/>
      <c r="DL1" s="208"/>
      <c r="DM1" s="208"/>
      <c r="DN1" s="208"/>
      <c r="DO1" s="208"/>
      <c r="DP1" s="208"/>
      <c r="DQ1" s="208"/>
      <c r="DR1" s="208"/>
      <c r="DS1" s="208"/>
      <c r="DT1" s="208"/>
      <c r="DU1" s="208"/>
      <c r="DV1" s="208"/>
      <c r="DW1" s="208"/>
      <c r="DX1" s="208"/>
      <c r="DY1" s="208"/>
      <c r="DZ1" s="208"/>
      <c r="EA1" s="208"/>
      <c r="EB1" s="208"/>
      <c r="EC1" s="208"/>
      <c r="ED1" s="208"/>
      <c r="EE1" s="208"/>
      <c r="EF1" s="208"/>
      <c r="EG1" s="208"/>
      <c r="EH1" s="208"/>
      <c r="EI1" s="208"/>
      <c r="EJ1" s="208"/>
      <c r="EK1" s="208"/>
      <c r="EL1" s="208"/>
      <c r="EM1" s="208"/>
      <c r="EN1" s="208"/>
      <c r="EO1" s="208"/>
      <c r="EP1" s="208"/>
      <c r="EQ1" s="208"/>
      <c r="ER1" s="208"/>
      <c r="ES1" s="208"/>
      <c r="ET1" s="208"/>
      <c r="EU1" s="208"/>
      <c r="EV1" s="208"/>
      <c r="EW1" s="208"/>
      <c r="EX1" s="208"/>
      <c r="EY1" s="208"/>
      <c r="EZ1" s="208"/>
      <c r="FA1" s="208"/>
      <c r="FB1" s="208"/>
      <c r="FC1" s="208"/>
      <c r="FD1" s="208"/>
      <c r="FE1" s="208"/>
      <c r="FF1" s="208"/>
      <c r="FG1" s="208"/>
      <c r="FH1" s="208"/>
      <c r="FI1" s="208"/>
      <c r="FJ1" s="208"/>
      <c r="FK1" s="208"/>
      <c r="FL1" s="208"/>
      <c r="FM1" s="208"/>
      <c r="FN1" s="208"/>
      <c r="FO1" s="208"/>
      <c r="FP1" s="208"/>
      <c r="FQ1" s="208"/>
      <c r="FR1" s="208"/>
      <c r="FS1" s="208"/>
      <c r="FT1" s="208"/>
      <c r="FU1" s="208"/>
      <c r="FV1" s="208"/>
      <c r="FW1" s="208"/>
      <c r="FX1" s="208"/>
      <c r="FY1" s="208"/>
      <c r="FZ1" s="208"/>
      <c r="GA1" s="208"/>
      <c r="GB1" s="208"/>
      <c r="GC1" s="208"/>
      <c r="GD1" s="208"/>
      <c r="GE1" s="208"/>
      <c r="GF1" s="208"/>
    </row>
    <row r="2" spans="1:188" s="209" customFormat="1" ht="24.95" customHeight="1" x14ac:dyDescent="0.2">
      <c r="A2" s="180" t="s">
        <v>2027</v>
      </c>
      <c r="B2" s="180"/>
      <c r="C2" s="180"/>
      <c r="D2" s="180"/>
      <c r="E2" s="180"/>
      <c r="F2" s="180"/>
      <c r="G2" s="210"/>
      <c r="H2" s="211"/>
      <c r="I2" s="180"/>
      <c r="J2" s="180"/>
      <c r="K2" s="180"/>
      <c r="L2" s="180"/>
      <c r="M2" s="180"/>
      <c r="N2" s="180"/>
      <c r="O2" s="180"/>
      <c r="P2" s="207"/>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8"/>
      <c r="CG2" s="208"/>
      <c r="CH2" s="208"/>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row>
    <row r="3" spans="1:188" s="209" customFormat="1" ht="20.100000000000001" customHeight="1" x14ac:dyDescent="0.2">
      <c r="A3" s="181" t="s">
        <v>0</v>
      </c>
      <c r="B3" s="181"/>
      <c r="C3" s="181"/>
      <c r="D3" s="181"/>
      <c r="E3" s="181"/>
      <c r="F3" s="181"/>
      <c r="G3" s="212"/>
      <c r="H3" s="213"/>
      <c r="I3" s="181"/>
      <c r="J3" s="181"/>
      <c r="K3" s="181"/>
      <c r="L3" s="181"/>
      <c r="M3" s="181"/>
      <c r="N3" s="181"/>
      <c r="O3" s="181"/>
      <c r="P3" s="207"/>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row>
    <row r="4" spans="1:188" s="209" customFormat="1" ht="18" customHeight="1" thickBot="1" x14ac:dyDescent="0.25">
      <c r="A4" s="214"/>
      <c r="B4" s="214"/>
      <c r="C4" s="215"/>
      <c r="D4" s="215"/>
      <c r="E4" s="215"/>
      <c r="F4" s="215"/>
      <c r="G4" s="216"/>
      <c r="H4" s="217"/>
      <c r="I4" s="215"/>
      <c r="J4" s="215"/>
      <c r="K4" s="215"/>
      <c r="L4" s="215"/>
      <c r="M4" s="215"/>
      <c r="N4" s="215"/>
      <c r="O4" s="215"/>
      <c r="P4" s="207"/>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row>
    <row r="5" spans="1:188" s="224" customFormat="1" ht="60" customHeight="1" x14ac:dyDescent="0.2">
      <c r="A5" s="218" t="s">
        <v>13</v>
      </c>
      <c r="B5" s="219" t="s">
        <v>4757</v>
      </c>
      <c r="C5" s="219" t="s">
        <v>14</v>
      </c>
      <c r="D5" s="220" t="s">
        <v>291</v>
      </c>
      <c r="E5" s="221" t="s">
        <v>2028</v>
      </c>
      <c r="F5" s="221" t="s">
        <v>4758</v>
      </c>
      <c r="G5" s="221" t="s">
        <v>4759</v>
      </c>
      <c r="H5" s="221" t="s">
        <v>4760</v>
      </c>
      <c r="I5" s="222" t="s">
        <v>4761</v>
      </c>
      <c r="J5" s="218" t="s">
        <v>3734</v>
      </c>
      <c r="K5" s="219" t="s">
        <v>2029</v>
      </c>
      <c r="L5" s="219" t="s">
        <v>4762</v>
      </c>
      <c r="M5" s="220" t="s">
        <v>4763</v>
      </c>
      <c r="N5" s="221" t="s">
        <v>2030</v>
      </c>
      <c r="O5" s="221" t="s">
        <v>19</v>
      </c>
      <c r="P5" s="223"/>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row>
    <row r="6" spans="1:188" s="225" customFormat="1" ht="15" x14ac:dyDescent="0.25">
      <c r="A6" s="182" t="s">
        <v>4764</v>
      </c>
      <c r="B6" s="183"/>
      <c r="C6" s="184" t="s">
        <v>4765</v>
      </c>
      <c r="D6" s="185"/>
      <c r="E6" s="185"/>
      <c r="F6" s="185"/>
      <c r="G6" s="186"/>
      <c r="H6" s="187"/>
      <c r="I6" s="245"/>
      <c r="J6" s="188">
        <f>SUBTOTAL(109,J7:J305)</f>
        <v>18295647.050000008</v>
      </c>
      <c r="K6" s="185"/>
      <c r="L6" s="185"/>
      <c r="M6" s="185"/>
      <c r="N6" s="185"/>
      <c r="O6" s="188">
        <f>SUBTOTAL(109,O7:O305)</f>
        <v>21790141.690000001</v>
      </c>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row>
    <row r="7" spans="1:188" s="225" customFormat="1" ht="15" x14ac:dyDescent="0.25">
      <c r="A7" s="189" t="s">
        <v>4766</v>
      </c>
      <c r="B7" s="189"/>
      <c r="C7" s="190" t="s">
        <v>4767</v>
      </c>
      <c r="D7" s="191"/>
      <c r="E7" s="191"/>
      <c r="F7" s="191"/>
      <c r="G7" s="192"/>
      <c r="H7" s="193"/>
      <c r="I7" s="246"/>
      <c r="J7" s="194">
        <f>SUBTOTAL(109,J8:J35)</f>
        <v>1168664.9999999998</v>
      </c>
      <c r="K7" s="191"/>
      <c r="L7" s="191"/>
      <c r="M7" s="191"/>
      <c r="N7" s="191"/>
      <c r="O7" s="194">
        <f>SUBTOTAL(109,O8:O35)</f>
        <v>1391879.81</v>
      </c>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row>
    <row r="8" spans="1:188" s="225" customFormat="1" x14ac:dyDescent="0.2">
      <c r="A8" s="195" t="s">
        <v>4768</v>
      </c>
      <c r="B8" s="195" t="s">
        <v>2724</v>
      </c>
      <c r="C8" s="196" t="s">
        <v>2725</v>
      </c>
      <c r="D8" s="154" t="s">
        <v>2620</v>
      </c>
      <c r="E8" s="154">
        <v>960</v>
      </c>
      <c r="F8" s="154">
        <v>0.1</v>
      </c>
      <c r="G8" s="197"/>
      <c r="H8" s="198"/>
      <c r="I8" s="247">
        <v>1310</v>
      </c>
      <c r="J8" s="152">
        <f t="shared" ref="J8:J35" si="0">IF(ISNUMBER(I8),ROUND(F8*E8*I8,2),"")</f>
        <v>125760</v>
      </c>
      <c r="K8" s="198">
        <f>BDI!$B$17</f>
        <v>0.191</v>
      </c>
      <c r="L8" s="198"/>
      <c r="M8" s="198"/>
      <c r="N8" s="153">
        <f t="shared" ref="N8:N35" si="1">IF(ISNUMBER(I8),ROUND(I8*(1+K8),2),"")</f>
        <v>1560.21</v>
      </c>
      <c r="O8" s="152">
        <f t="shared" ref="O8:O35" si="2">IF(ISNUMBER(I8),ROUND(F8*N8*E8,2),"")</f>
        <v>149780.16</v>
      </c>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row>
    <row r="9" spans="1:188" s="225" customFormat="1" x14ac:dyDescent="0.2">
      <c r="A9" s="195" t="s">
        <v>4769</v>
      </c>
      <c r="B9" s="195" t="s">
        <v>2618</v>
      </c>
      <c r="C9" s="196" t="s">
        <v>2619</v>
      </c>
      <c r="D9" s="154" t="s">
        <v>2620</v>
      </c>
      <c r="E9" s="154">
        <v>1400</v>
      </c>
      <c r="F9" s="154">
        <v>0.1</v>
      </c>
      <c r="G9" s="197"/>
      <c r="H9" s="198"/>
      <c r="I9" s="247">
        <v>1782.14</v>
      </c>
      <c r="J9" s="152">
        <f t="shared" si="0"/>
        <v>249499.6</v>
      </c>
      <c r="K9" s="198">
        <f>BDI!$B$17</f>
        <v>0.191</v>
      </c>
      <c r="L9" s="198"/>
      <c r="M9" s="198"/>
      <c r="N9" s="153">
        <f t="shared" si="1"/>
        <v>2122.5300000000002</v>
      </c>
      <c r="O9" s="152">
        <f t="shared" si="2"/>
        <v>297154.2</v>
      </c>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row>
    <row r="10" spans="1:188" s="225" customFormat="1" x14ac:dyDescent="0.2">
      <c r="A10" s="195" t="s">
        <v>4770</v>
      </c>
      <c r="B10" s="195" t="s">
        <v>937</v>
      </c>
      <c r="C10" s="196" t="s">
        <v>2793</v>
      </c>
      <c r="D10" s="154" t="s">
        <v>2787</v>
      </c>
      <c r="E10" s="154">
        <v>1200</v>
      </c>
      <c r="F10" s="154">
        <v>0.1</v>
      </c>
      <c r="G10" s="197"/>
      <c r="H10" s="198"/>
      <c r="I10" s="151">
        <v>927.73</v>
      </c>
      <c r="J10" s="152">
        <f t="shared" si="0"/>
        <v>111327.6</v>
      </c>
      <c r="K10" s="198">
        <f>BDI!$B$17</f>
        <v>0.191</v>
      </c>
      <c r="L10" s="198"/>
      <c r="M10" s="198"/>
      <c r="N10" s="153">
        <f t="shared" si="1"/>
        <v>1104.93</v>
      </c>
      <c r="O10" s="152">
        <f t="shared" si="2"/>
        <v>132591.6</v>
      </c>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row>
    <row r="11" spans="1:188" s="225" customFormat="1" x14ac:dyDescent="0.2">
      <c r="A11" s="195" t="s">
        <v>4771</v>
      </c>
      <c r="B11" s="195" t="s">
        <v>2833</v>
      </c>
      <c r="C11" s="196" t="s">
        <v>2834</v>
      </c>
      <c r="D11" s="154" t="s">
        <v>28</v>
      </c>
      <c r="E11" s="154">
        <v>40</v>
      </c>
      <c r="F11" s="154">
        <v>0.1</v>
      </c>
      <c r="G11" s="197"/>
      <c r="H11" s="198"/>
      <c r="I11" s="247">
        <v>649.44000000000005</v>
      </c>
      <c r="J11" s="152">
        <f t="shared" si="0"/>
        <v>2597.7600000000002</v>
      </c>
      <c r="K11" s="198">
        <f>BDI!$B$17</f>
        <v>0.191</v>
      </c>
      <c r="L11" s="198"/>
      <c r="M11" s="198"/>
      <c r="N11" s="153">
        <f t="shared" si="1"/>
        <v>773.48</v>
      </c>
      <c r="O11" s="152">
        <f t="shared" si="2"/>
        <v>3093.92</v>
      </c>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c r="CJ11" s="208"/>
      <c r="CK11" s="208"/>
      <c r="CL11" s="208"/>
      <c r="CM11" s="208"/>
      <c r="CN11" s="208"/>
      <c r="CO11" s="208"/>
      <c r="CP11" s="208"/>
      <c r="CQ11" s="208"/>
      <c r="CR11" s="208"/>
      <c r="CS11" s="208"/>
      <c r="CT11" s="208"/>
      <c r="CU11" s="208"/>
      <c r="CV11" s="208"/>
      <c r="CW11" s="208"/>
      <c r="CX11" s="208"/>
      <c r="CY11" s="208"/>
      <c r="CZ11" s="208"/>
      <c r="DA11" s="208"/>
      <c r="DB11" s="208"/>
      <c r="DC11" s="208"/>
      <c r="DD11" s="208"/>
      <c r="DE11" s="208"/>
      <c r="DF11" s="208"/>
      <c r="DG11" s="208"/>
      <c r="DH11" s="208"/>
      <c r="DI11" s="208"/>
      <c r="DJ11" s="208"/>
      <c r="DK11" s="208"/>
      <c r="DL11" s="208"/>
      <c r="DM11" s="208"/>
      <c r="DN11" s="208"/>
      <c r="DO11" s="208"/>
      <c r="DP11" s="208"/>
      <c r="DQ11" s="208"/>
      <c r="DR11" s="208"/>
      <c r="DS11" s="208"/>
      <c r="DT11" s="208"/>
      <c r="DU11" s="208"/>
      <c r="DV11" s="208"/>
      <c r="DW11" s="208"/>
      <c r="DX11" s="208"/>
      <c r="DY11" s="208"/>
      <c r="DZ11" s="208"/>
      <c r="EA11" s="208"/>
      <c r="EB11" s="208"/>
      <c r="EC11" s="208"/>
      <c r="ED11" s="208"/>
      <c r="EE11" s="208"/>
      <c r="EF11" s="208"/>
      <c r="EG11" s="208"/>
      <c r="EH11" s="208"/>
      <c r="EI11" s="208"/>
      <c r="EJ11" s="208"/>
      <c r="EK11" s="208"/>
      <c r="EL11" s="208"/>
      <c r="EM11" s="208"/>
      <c r="EN11" s="208"/>
      <c r="EO11" s="208"/>
      <c r="EP11" s="208"/>
      <c r="EQ11" s="208"/>
      <c r="ER11" s="208"/>
      <c r="ES11" s="208"/>
      <c r="ET11" s="208"/>
      <c r="EU11" s="208"/>
      <c r="EV11" s="208"/>
      <c r="EW11" s="208"/>
      <c r="EX11" s="208"/>
      <c r="EY11" s="208"/>
      <c r="EZ11" s="208"/>
      <c r="FA11" s="208"/>
      <c r="FB11" s="208"/>
      <c r="FC11" s="208"/>
      <c r="FD11" s="208"/>
      <c r="FE11" s="208"/>
      <c r="FF11" s="208"/>
      <c r="FG11" s="208"/>
      <c r="FH11" s="208"/>
      <c r="FI11" s="208"/>
      <c r="FJ11" s="208"/>
      <c r="FK11" s="208"/>
      <c r="FL11" s="208"/>
      <c r="FM11" s="208"/>
      <c r="FN11" s="208"/>
      <c r="FO11" s="208"/>
      <c r="FP11" s="208"/>
      <c r="FQ11" s="208"/>
      <c r="FR11" s="208"/>
      <c r="FS11" s="208"/>
      <c r="FT11" s="208"/>
      <c r="FU11" s="208"/>
      <c r="FV11" s="208"/>
      <c r="FW11" s="208"/>
      <c r="FX11" s="208"/>
      <c r="FY11" s="208"/>
      <c r="FZ11" s="208"/>
      <c r="GA11" s="208"/>
      <c r="GB11" s="208"/>
      <c r="GC11" s="208"/>
      <c r="GD11" s="208"/>
      <c r="GE11" s="208"/>
      <c r="GF11" s="208"/>
    </row>
    <row r="12" spans="1:188" s="225" customFormat="1" x14ac:dyDescent="0.2">
      <c r="A12" s="195" t="s">
        <v>4772</v>
      </c>
      <c r="B12" s="195" t="s">
        <v>2845</v>
      </c>
      <c r="C12" s="196" t="s">
        <v>2846</v>
      </c>
      <c r="D12" s="154" t="s">
        <v>2620</v>
      </c>
      <c r="E12" s="154">
        <v>300</v>
      </c>
      <c r="F12" s="154">
        <v>0.1</v>
      </c>
      <c r="G12" s="197"/>
      <c r="H12" s="198"/>
      <c r="I12" s="247">
        <v>1487.82</v>
      </c>
      <c r="J12" s="152">
        <f t="shared" si="0"/>
        <v>44634.6</v>
      </c>
      <c r="K12" s="198">
        <f>BDI!$B$17</f>
        <v>0.191</v>
      </c>
      <c r="L12" s="198"/>
      <c r="M12" s="198"/>
      <c r="N12" s="153">
        <f t="shared" si="1"/>
        <v>1771.99</v>
      </c>
      <c r="O12" s="152">
        <f t="shared" si="2"/>
        <v>53159.7</v>
      </c>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c r="CJ12" s="208"/>
      <c r="CK12" s="208"/>
      <c r="CL12" s="208"/>
      <c r="CM12" s="208"/>
      <c r="CN12" s="208"/>
      <c r="CO12" s="208"/>
      <c r="CP12" s="208"/>
      <c r="CQ12" s="208"/>
      <c r="CR12" s="208"/>
      <c r="CS12" s="208"/>
      <c r="CT12" s="208"/>
      <c r="CU12" s="208"/>
      <c r="CV12" s="208"/>
      <c r="CW12" s="208"/>
      <c r="CX12" s="208"/>
      <c r="CY12" s="208"/>
      <c r="CZ12" s="208"/>
      <c r="DA12" s="208"/>
      <c r="DB12" s="208"/>
      <c r="DC12" s="208"/>
      <c r="DD12" s="208"/>
      <c r="DE12" s="208"/>
      <c r="DF12" s="208"/>
      <c r="DG12" s="208"/>
      <c r="DH12" s="208"/>
      <c r="DI12" s="208"/>
      <c r="DJ12" s="208"/>
      <c r="DK12" s="208"/>
      <c r="DL12" s="208"/>
      <c r="DM12" s="208"/>
      <c r="DN12" s="208"/>
      <c r="DO12" s="208"/>
      <c r="DP12" s="208"/>
      <c r="DQ12" s="208"/>
      <c r="DR12" s="208"/>
      <c r="DS12" s="208"/>
      <c r="DT12" s="208"/>
      <c r="DU12" s="208"/>
      <c r="DV12" s="208"/>
      <c r="DW12" s="208"/>
      <c r="DX12" s="208"/>
      <c r="DY12" s="208"/>
      <c r="DZ12" s="208"/>
      <c r="EA12" s="208"/>
      <c r="EB12" s="208"/>
      <c r="EC12" s="208"/>
      <c r="ED12" s="208"/>
      <c r="EE12" s="208"/>
      <c r="EF12" s="208"/>
      <c r="EG12" s="208"/>
      <c r="EH12" s="208"/>
      <c r="EI12" s="208"/>
      <c r="EJ12" s="208"/>
      <c r="EK12" s="208"/>
      <c r="EL12" s="208"/>
      <c r="EM12" s="208"/>
      <c r="EN12" s="208"/>
      <c r="EO12" s="208"/>
      <c r="EP12" s="208"/>
      <c r="EQ12" s="208"/>
      <c r="ER12" s="208"/>
      <c r="ES12" s="208"/>
      <c r="ET12" s="208"/>
      <c r="EU12" s="208"/>
      <c r="EV12" s="208"/>
      <c r="EW12" s="208"/>
      <c r="EX12" s="208"/>
      <c r="EY12" s="208"/>
      <c r="EZ12" s="208"/>
      <c r="FA12" s="208"/>
      <c r="FB12" s="208"/>
      <c r="FC12" s="208"/>
      <c r="FD12" s="208"/>
      <c r="FE12" s="208"/>
      <c r="FF12" s="208"/>
      <c r="FG12" s="208"/>
      <c r="FH12" s="208"/>
      <c r="FI12" s="208"/>
      <c r="FJ12" s="208"/>
      <c r="FK12" s="208"/>
      <c r="FL12" s="208"/>
      <c r="FM12" s="208"/>
      <c r="FN12" s="208"/>
      <c r="FO12" s="208"/>
      <c r="FP12" s="208"/>
      <c r="FQ12" s="208"/>
      <c r="FR12" s="208"/>
      <c r="FS12" s="208"/>
      <c r="FT12" s="208"/>
      <c r="FU12" s="208"/>
      <c r="FV12" s="208"/>
      <c r="FW12" s="208"/>
      <c r="FX12" s="208"/>
      <c r="FY12" s="208"/>
      <c r="FZ12" s="208"/>
      <c r="GA12" s="208"/>
      <c r="GB12" s="208"/>
      <c r="GC12" s="208"/>
      <c r="GD12" s="208"/>
      <c r="GE12" s="208"/>
      <c r="GF12" s="208"/>
    </row>
    <row r="13" spans="1:188" s="225" customFormat="1" x14ac:dyDescent="0.2">
      <c r="A13" s="195" t="s">
        <v>4773</v>
      </c>
      <c r="B13" s="195" t="s">
        <v>2771</v>
      </c>
      <c r="C13" s="196" t="s">
        <v>2772</v>
      </c>
      <c r="D13" s="154" t="s">
        <v>2620</v>
      </c>
      <c r="E13" s="154">
        <v>180</v>
      </c>
      <c r="F13" s="154">
        <v>0.1</v>
      </c>
      <c r="G13" s="197"/>
      <c r="H13" s="198"/>
      <c r="I13" s="247">
        <v>525</v>
      </c>
      <c r="J13" s="152">
        <f t="shared" si="0"/>
        <v>9450</v>
      </c>
      <c r="K13" s="198">
        <f>BDI!$B$17</f>
        <v>0.191</v>
      </c>
      <c r="L13" s="198"/>
      <c r="M13" s="198"/>
      <c r="N13" s="153">
        <f t="shared" si="1"/>
        <v>625.28</v>
      </c>
      <c r="O13" s="152">
        <f t="shared" si="2"/>
        <v>11255.04</v>
      </c>
      <c r="Q13" s="208"/>
      <c r="R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08"/>
      <c r="CI13" s="208"/>
      <c r="CJ13" s="208"/>
      <c r="CK13" s="208"/>
      <c r="CL13" s="208"/>
      <c r="CM13" s="208"/>
      <c r="CN13" s="208"/>
      <c r="CO13" s="208"/>
      <c r="CP13" s="208"/>
      <c r="CQ13" s="208"/>
      <c r="CR13" s="208"/>
      <c r="CS13" s="208"/>
      <c r="CT13" s="208"/>
      <c r="CU13" s="208"/>
      <c r="CV13" s="208"/>
      <c r="CW13" s="208"/>
      <c r="CX13" s="208"/>
      <c r="CY13" s="208"/>
      <c r="CZ13" s="208"/>
      <c r="DA13" s="208"/>
      <c r="DB13" s="208"/>
      <c r="DC13" s="208"/>
      <c r="DD13" s="208"/>
      <c r="DE13" s="208"/>
      <c r="DF13" s="208"/>
      <c r="DG13" s="208"/>
      <c r="DH13" s="208"/>
      <c r="DI13" s="208"/>
      <c r="DJ13" s="208"/>
      <c r="DK13" s="208"/>
      <c r="DL13" s="208"/>
      <c r="DM13" s="208"/>
      <c r="DN13" s="208"/>
      <c r="DO13" s="208"/>
      <c r="DP13" s="208"/>
      <c r="DQ13" s="208"/>
      <c r="DR13" s="208"/>
      <c r="DS13" s="208"/>
      <c r="DT13" s="208"/>
      <c r="DU13" s="208"/>
      <c r="DV13" s="208"/>
      <c r="DW13" s="208"/>
      <c r="DX13" s="208"/>
      <c r="DY13" s="208"/>
      <c r="DZ13" s="208"/>
      <c r="EA13" s="208"/>
      <c r="EB13" s="208"/>
      <c r="EC13" s="208"/>
      <c r="ED13" s="208"/>
      <c r="EE13" s="208"/>
      <c r="EF13" s="208"/>
      <c r="EG13" s="208"/>
      <c r="EH13" s="208"/>
      <c r="EI13" s="208"/>
      <c r="EJ13" s="208"/>
      <c r="EK13" s="208"/>
      <c r="EL13" s="208"/>
      <c r="EM13" s="208"/>
      <c r="EN13" s="208"/>
      <c r="EO13" s="208"/>
      <c r="EP13" s="208"/>
      <c r="EQ13" s="208"/>
      <c r="ER13" s="208"/>
      <c r="ES13" s="208"/>
      <c r="ET13" s="208"/>
      <c r="EU13" s="208"/>
      <c r="EV13" s="208"/>
      <c r="EW13" s="208"/>
      <c r="EX13" s="208"/>
      <c r="EY13" s="208"/>
      <c r="EZ13" s="208"/>
      <c r="FA13" s="208"/>
      <c r="FB13" s="208"/>
      <c r="FC13" s="208"/>
      <c r="FD13" s="208"/>
      <c r="FE13" s="208"/>
      <c r="FF13" s="208"/>
      <c r="FG13" s="208"/>
      <c r="FH13" s="208"/>
      <c r="FI13" s="208"/>
      <c r="FJ13" s="208"/>
      <c r="FK13" s="208"/>
      <c r="FL13" s="208"/>
      <c r="FM13" s="208"/>
      <c r="FN13" s="208"/>
      <c r="FO13" s="208"/>
      <c r="FP13" s="208"/>
      <c r="FQ13" s="208"/>
      <c r="FR13" s="208"/>
      <c r="FS13" s="208"/>
      <c r="FT13" s="208"/>
      <c r="FU13" s="208"/>
      <c r="FV13" s="208"/>
      <c r="FW13" s="208"/>
      <c r="FX13" s="208"/>
      <c r="FY13" s="208"/>
      <c r="FZ13" s="208"/>
      <c r="GA13" s="208"/>
      <c r="GB13" s="208"/>
      <c r="GC13" s="208"/>
      <c r="GD13" s="208"/>
      <c r="GE13" s="208"/>
      <c r="GF13" s="208"/>
    </row>
    <row r="14" spans="1:188" s="225" customFormat="1" ht="15" x14ac:dyDescent="0.25">
      <c r="A14" s="195" t="s">
        <v>4774</v>
      </c>
      <c r="B14" s="195" t="s">
        <v>3712</v>
      </c>
      <c r="C14" s="196" t="s">
        <v>3713</v>
      </c>
      <c r="D14" s="154" t="s">
        <v>3714</v>
      </c>
      <c r="E14" s="154">
        <v>30</v>
      </c>
      <c r="F14" s="154">
        <v>0.1</v>
      </c>
      <c r="G14" s="197"/>
      <c r="H14" s="198"/>
      <c r="I14" s="247">
        <v>43350</v>
      </c>
      <c r="J14" s="152">
        <f t="shared" si="0"/>
        <v>130050</v>
      </c>
      <c r="K14" s="198">
        <f>BDI!$B$17</f>
        <v>0.191</v>
      </c>
      <c r="L14" s="198"/>
      <c r="M14" s="198"/>
      <c r="N14" s="153">
        <f t="shared" si="1"/>
        <v>51629.85</v>
      </c>
      <c r="O14" s="152">
        <f t="shared" si="2"/>
        <v>154889.54999999999</v>
      </c>
      <c r="Q14" s="208"/>
      <c r="R14" s="208"/>
      <c r="S14"/>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8"/>
      <c r="DL14" s="208"/>
      <c r="DM14" s="208"/>
      <c r="DN14" s="208"/>
      <c r="DO14" s="208"/>
      <c r="DP14" s="208"/>
      <c r="DQ14" s="208"/>
      <c r="DR14" s="208"/>
      <c r="DS14" s="208"/>
      <c r="DT14" s="208"/>
      <c r="DU14" s="208"/>
      <c r="DV14" s="208"/>
      <c r="DW14" s="208"/>
      <c r="DX14" s="208"/>
      <c r="DY14" s="208"/>
      <c r="DZ14" s="208"/>
      <c r="EA14" s="208"/>
      <c r="EB14" s="208"/>
      <c r="EC14" s="208"/>
      <c r="ED14" s="208"/>
      <c r="EE14" s="208"/>
      <c r="EF14" s="208"/>
      <c r="EG14" s="208"/>
      <c r="EH14" s="208"/>
      <c r="EI14" s="208"/>
      <c r="EJ14" s="208"/>
      <c r="EK14" s="208"/>
      <c r="EL14" s="208"/>
      <c r="EM14" s="208"/>
      <c r="EN14" s="208"/>
      <c r="EO14" s="208"/>
      <c r="EP14" s="208"/>
      <c r="EQ14" s="208"/>
      <c r="ER14" s="208"/>
      <c r="ES14" s="208"/>
      <c r="ET14" s="208"/>
      <c r="EU14" s="208"/>
      <c r="EV14" s="208"/>
      <c r="EW14" s="208"/>
      <c r="EX14" s="208"/>
      <c r="EY14" s="208"/>
      <c r="EZ14" s="208"/>
      <c r="FA14" s="208"/>
      <c r="FB14" s="208"/>
      <c r="FC14" s="208"/>
      <c r="FD14" s="208"/>
      <c r="FE14" s="208"/>
      <c r="FF14" s="208"/>
      <c r="FG14" s="208"/>
      <c r="FH14" s="208"/>
      <c r="FI14" s="208"/>
      <c r="FJ14" s="208"/>
      <c r="FK14" s="208"/>
      <c r="FL14" s="208"/>
      <c r="FM14" s="208"/>
      <c r="FN14" s="208"/>
      <c r="FO14" s="208"/>
      <c r="FP14" s="208"/>
      <c r="FQ14" s="208"/>
      <c r="FR14" s="208"/>
      <c r="FS14" s="208"/>
      <c r="FT14" s="208"/>
      <c r="FU14" s="208"/>
      <c r="FV14" s="208"/>
      <c r="FW14" s="208"/>
      <c r="FX14" s="208"/>
      <c r="FY14" s="208"/>
      <c r="FZ14" s="208"/>
      <c r="GA14" s="208"/>
      <c r="GB14" s="208"/>
      <c r="GC14" s="208"/>
      <c r="GD14" s="208"/>
      <c r="GE14" s="208"/>
      <c r="GF14" s="208"/>
    </row>
    <row r="15" spans="1:188" s="225" customFormat="1" ht="15" x14ac:dyDescent="0.25">
      <c r="A15" s="195" t="s">
        <v>4775</v>
      </c>
      <c r="B15" s="195" t="s">
        <v>3715</v>
      </c>
      <c r="C15" s="196" t="s">
        <v>3716</v>
      </c>
      <c r="D15" s="154" t="s">
        <v>3714</v>
      </c>
      <c r="E15" s="154">
        <v>30</v>
      </c>
      <c r="F15" s="154">
        <v>0.1</v>
      </c>
      <c r="G15" s="197"/>
      <c r="H15" s="198"/>
      <c r="I15" s="247">
        <v>18050</v>
      </c>
      <c r="J15" s="152">
        <f t="shared" si="0"/>
        <v>54150</v>
      </c>
      <c r="K15" s="198">
        <f>BDI!$B$17</f>
        <v>0.191</v>
      </c>
      <c r="L15" s="198"/>
      <c r="M15" s="198"/>
      <c r="N15" s="153">
        <f t="shared" si="1"/>
        <v>21497.55</v>
      </c>
      <c r="O15" s="152">
        <f t="shared" si="2"/>
        <v>64492.65</v>
      </c>
      <c r="Q15" s="208"/>
      <c r="R15" s="208"/>
      <c r="S15"/>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8"/>
      <c r="CW15" s="208"/>
      <c r="CX15" s="208"/>
      <c r="CY15" s="208"/>
      <c r="CZ15" s="208"/>
      <c r="DA15" s="208"/>
      <c r="DB15" s="208"/>
      <c r="DC15" s="208"/>
      <c r="DD15" s="208"/>
      <c r="DE15" s="208"/>
      <c r="DF15" s="208"/>
      <c r="DG15" s="208"/>
      <c r="DH15" s="208"/>
      <c r="DI15" s="208"/>
      <c r="DJ15" s="208"/>
      <c r="DK15" s="208"/>
      <c r="DL15" s="208"/>
      <c r="DM15" s="208"/>
      <c r="DN15" s="208"/>
      <c r="DO15" s="208"/>
      <c r="DP15" s="208"/>
      <c r="DQ15" s="208"/>
      <c r="DR15" s="208"/>
      <c r="DS15" s="208"/>
      <c r="DT15" s="208"/>
      <c r="DU15" s="208"/>
      <c r="DV15" s="208"/>
      <c r="DW15" s="208"/>
      <c r="DX15" s="208"/>
      <c r="DY15" s="208"/>
      <c r="DZ15" s="208"/>
      <c r="EA15" s="208"/>
      <c r="EB15" s="208"/>
      <c r="EC15" s="208"/>
      <c r="ED15" s="208"/>
      <c r="EE15" s="208"/>
      <c r="EF15" s="208"/>
      <c r="EG15" s="208"/>
      <c r="EH15" s="208"/>
      <c r="EI15" s="208"/>
      <c r="EJ15" s="208"/>
      <c r="EK15" s="208"/>
      <c r="EL15" s="208"/>
      <c r="EM15" s="208"/>
      <c r="EN15" s="208"/>
      <c r="EO15" s="208"/>
      <c r="EP15" s="208"/>
      <c r="EQ15" s="208"/>
      <c r="ER15" s="208"/>
      <c r="ES15" s="208"/>
      <c r="ET15" s="208"/>
      <c r="EU15" s="208"/>
      <c r="EV15" s="208"/>
      <c r="EW15" s="208"/>
      <c r="EX15" s="208"/>
      <c r="EY15" s="208"/>
      <c r="EZ15" s="208"/>
      <c r="FA15" s="208"/>
      <c r="FB15" s="208"/>
      <c r="FC15" s="208"/>
      <c r="FD15" s="208"/>
      <c r="FE15" s="208"/>
      <c r="FF15" s="208"/>
      <c r="FG15" s="208"/>
      <c r="FH15" s="208"/>
      <c r="FI15" s="208"/>
      <c r="FJ15" s="208"/>
      <c r="FK15" s="208"/>
      <c r="FL15" s="208"/>
      <c r="FM15" s="208"/>
      <c r="FN15" s="208"/>
      <c r="FO15" s="208"/>
      <c r="FP15" s="208"/>
      <c r="FQ15" s="208"/>
      <c r="FR15" s="208"/>
      <c r="FS15" s="208"/>
      <c r="FT15" s="208"/>
      <c r="FU15" s="208"/>
      <c r="FV15" s="208"/>
      <c r="FW15" s="208"/>
      <c r="FX15" s="208"/>
      <c r="FY15" s="208"/>
      <c r="FZ15" s="208"/>
      <c r="GA15" s="208"/>
      <c r="GB15" s="208"/>
      <c r="GC15" s="208"/>
      <c r="GD15" s="208"/>
      <c r="GE15" s="208"/>
      <c r="GF15" s="208"/>
    </row>
    <row r="16" spans="1:188" s="225" customFormat="1" ht="15" x14ac:dyDescent="0.25">
      <c r="A16" s="195" t="s">
        <v>4776</v>
      </c>
      <c r="B16" s="195" t="s">
        <v>3717</v>
      </c>
      <c r="C16" s="196" t="s">
        <v>3718</v>
      </c>
      <c r="D16" s="154" t="s">
        <v>3714</v>
      </c>
      <c r="E16" s="154">
        <v>30</v>
      </c>
      <c r="F16" s="154">
        <v>0.1</v>
      </c>
      <c r="G16" s="197"/>
      <c r="H16" s="198"/>
      <c r="I16" s="247">
        <v>29500</v>
      </c>
      <c r="J16" s="152">
        <f t="shared" si="0"/>
        <v>88500</v>
      </c>
      <c r="K16" s="198">
        <f>BDI!$B$17</f>
        <v>0.191</v>
      </c>
      <c r="L16" s="198"/>
      <c r="M16" s="198"/>
      <c r="N16" s="153">
        <f t="shared" si="1"/>
        <v>35134.5</v>
      </c>
      <c r="O16" s="152">
        <f t="shared" si="2"/>
        <v>105403.5</v>
      </c>
      <c r="Q16" s="208"/>
      <c r="R16" s="208"/>
      <c r="S16"/>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8"/>
      <c r="DD16" s="208"/>
      <c r="DE16" s="208"/>
      <c r="DF16" s="208"/>
      <c r="DG16" s="208"/>
      <c r="DH16" s="208"/>
      <c r="DI16" s="208"/>
      <c r="DJ16" s="208"/>
      <c r="DK16" s="208"/>
      <c r="DL16" s="208"/>
      <c r="DM16" s="208"/>
      <c r="DN16" s="208"/>
      <c r="DO16" s="208"/>
      <c r="DP16" s="208"/>
      <c r="DQ16" s="208"/>
      <c r="DR16" s="208"/>
      <c r="DS16" s="208"/>
      <c r="DT16" s="208"/>
      <c r="DU16" s="208"/>
      <c r="DV16" s="208"/>
      <c r="DW16" s="208"/>
      <c r="DX16" s="208"/>
      <c r="DY16" s="208"/>
      <c r="DZ16" s="208"/>
      <c r="EA16" s="208"/>
      <c r="EB16" s="208"/>
      <c r="EC16" s="208"/>
      <c r="ED16" s="208"/>
      <c r="EE16" s="208"/>
      <c r="EF16" s="208"/>
      <c r="EG16" s="208"/>
      <c r="EH16" s="208"/>
      <c r="EI16" s="208"/>
      <c r="EJ16" s="208"/>
      <c r="EK16" s="208"/>
      <c r="EL16" s="208"/>
      <c r="EM16" s="208"/>
      <c r="EN16" s="208"/>
      <c r="EO16" s="208"/>
      <c r="EP16" s="208"/>
      <c r="EQ16" s="208"/>
      <c r="ER16" s="208"/>
      <c r="ES16" s="208"/>
      <c r="ET16" s="208"/>
      <c r="EU16" s="208"/>
      <c r="EV16" s="208"/>
      <c r="EW16" s="208"/>
      <c r="EX16" s="208"/>
      <c r="EY16" s="208"/>
      <c r="EZ16" s="208"/>
      <c r="FA16" s="208"/>
      <c r="FB16" s="208"/>
      <c r="FC16" s="208"/>
      <c r="FD16" s="208"/>
      <c r="FE16" s="208"/>
      <c r="FF16" s="208"/>
      <c r="FG16" s="208"/>
      <c r="FH16" s="208"/>
      <c r="FI16" s="208"/>
      <c r="FJ16" s="208"/>
      <c r="FK16" s="208"/>
      <c r="FL16" s="208"/>
      <c r="FM16" s="208"/>
      <c r="FN16" s="208"/>
      <c r="FO16" s="208"/>
      <c r="FP16" s="208"/>
      <c r="FQ16" s="208"/>
      <c r="FR16" s="208"/>
      <c r="FS16" s="208"/>
      <c r="FT16" s="208"/>
      <c r="FU16" s="208"/>
      <c r="FV16" s="208"/>
      <c r="FW16" s="208"/>
      <c r="FX16" s="208"/>
      <c r="FY16" s="208"/>
      <c r="FZ16" s="208"/>
      <c r="GA16" s="208"/>
      <c r="GB16" s="208"/>
      <c r="GC16" s="208"/>
      <c r="GD16" s="208"/>
      <c r="GE16" s="208"/>
      <c r="GF16" s="208"/>
    </row>
    <row r="17" spans="1:188" s="225" customFormat="1" ht="15" x14ac:dyDescent="0.25">
      <c r="A17" s="195" t="s">
        <v>4777</v>
      </c>
      <c r="B17" s="195" t="s">
        <v>3719</v>
      </c>
      <c r="C17" s="196" t="s">
        <v>3720</v>
      </c>
      <c r="D17" s="154" t="s">
        <v>3714</v>
      </c>
      <c r="E17" s="154">
        <v>20</v>
      </c>
      <c r="F17" s="154">
        <v>0.1</v>
      </c>
      <c r="G17" s="197"/>
      <c r="H17" s="198"/>
      <c r="I17" s="247">
        <v>25500</v>
      </c>
      <c r="J17" s="152">
        <f t="shared" si="0"/>
        <v>51000</v>
      </c>
      <c r="K17" s="198">
        <f>BDI!$B$17</f>
        <v>0.191</v>
      </c>
      <c r="L17" s="198"/>
      <c r="M17" s="198"/>
      <c r="N17" s="153">
        <f t="shared" si="1"/>
        <v>30370.5</v>
      </c>
      <c r="O17" s="152">
        <f t="shared" si="2"/>
        <v>60741</v>
      </c>
      <c r="Q17" s="208"/>
      <c r="R17" s="208"/>
      <c r="S17"/>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c r="CJ17" s="208"/>
      <c r="CK17" s="208"/>
      <c r="CL17" s="208"/>
      <c r="CM17" s="208"/>
      <c r="CN17" s="208"/>
      <c r="CO17" s="208"/>
      <c r="CP17" s="208"/>
      <c r="CQ17" s="208"/>
      <c r="CR17" s="208"/>
      <c r="CS17" s="208"/>
      <c r="CT17" s="208"/>
      <c r="CU17" s="208"/>
      <c r="CV17" s="208"/>
      <c r="CW17" s="208"/>
      <c r="CX17" s="208"/>
      <c r="CY17" s="208"/>
      <c r="CZ17" s="208"/>
      <c r="DA17" s="208"/>
      <c r="DB17" s="208"/>
      <c r="DC17" s="208"/>
      <c r="DD17" s="208"/>
      <c r="DE17" s="208"/>
      <c r="DF17" s="208"/>
      <c r="DG17" s="208"/>
      <c r="DH17" s="208"/>
      <c r="DI17" s="208"/>
      <c r="DJ17" s="208"/>
      <c r="DK17" s="208"/>
      <c r="DL17" s="208"/>
      <c r="DM17" s="208"/>
      <c r="DN17" s="208"/>
      <c r="DO17" s="208"/>
      <c r="DP17" s="208"/>
      <c r="DQ17" s="208"/>
      <c r="DR17" s="208"/>
      <c r="DS17" s="208"/>
      <c r="DT17" s="208"/>
      <c r="DU17" s="208"/>
      <c r="DV17" s="208"/>
      <c r="DW17" s="208"/>
      <c r="DX17" s="208"/>
      <c r="DY17" s="208"/>
      <c r="DZ17" s="208"/>
      <c r="EA17" s="208"/>
      <c r="EB17" s="208"/>
      <c r="EC17" s="208"/>
      <c r="ED17" s="208"/>
      <c r="EE17" s="208"/>
      <c r="EF17" s="208"/>
      <c r="EG17" s="208"/>
      <c r="EH17" s="208"/>
      <c r="EI17" s="208"/>
      <c r="EJ17" s="208"/>
      <c r="EK17" s="208"/>
      <c r="EL17" s="208"/>
      <c r="EM17" s="208"/>
      <c r="EN17" s="208"/>
      <c r="EO17" s="208"/>
      <c r="EP17" s="208"/>
      <c r="EQ17" s="208"/>
      <c r="ER17" s="208"/>
      <c r="ES17" s="208"/>
      <c r="ET17" s="208"/>
      <c r="EU17" s="208"/>
      <c r="EV17" s="208"/>
      <c r="EW17" s="208"/>
      <c r="EX17" s="208"/>
      <c r="EY17" s="208"/>
      <c r="EZ17" s="208"/>
      <c r="FA17" s="208"/>
      <c r="FB17" s="208"/>
      <c r="FC17" s="208"/>
      <c r="FD17" s="208"/>
      <c r="FE17" s="208"/>
      <c r="FF17" s="208"/>
      <c r="FG17" s="208"/>
      <c r="FH17" s="208"/>
      <c r="FI17" s="208"/>
      <c r="FJ17" s="208"/>
      <c r="FK17" s="208"/>
      <c r="FL17" s="208"/>
      <c r="FM17" s="208"/>
      <c r="FN17" s="208"/>
      <c r="FO17" s="208"/>
      <c r="FP17" s="208"/>
      <c r="FQ17" s="208"/>
      <c r="FR17" s="208"/>
      <c r="FS17" s="208"/>
      <c r="FT17" s="208"/>
      <c r="FU17" s="208"/>
      <c r="FV17" s="208"/>
      <c r="FW17" s="208"/>
      <c r="FX17" s="208"/>
      <c r="FY17" s="208"/>
      <c r="FZ17" s="208"/>
      <c r="GA17" s="208"/>
      <c r="GB17" s="208"/>
      <c r="GC17" s="208"/>
      <c r="GD17" s="208"/>
      <c r="GE17" s="208"/>
      <c r="GF17" s="208"/>
    </row>
    <row r="18" spans="1:188" s="225" customFormat="1" ht="15" x14ac:dyDescent="0.25">
      <c r="A18" s="195" t="s">
        <v>4778</v>
      </c>
      <c r="B18" s="195" t="s">
        <v>3461</v>
      </c>
      <c r="C18" s="196" t="s">
        <v>3462</v>
      </c>
      <c r="D18" s="154" t="s">
        <v>28</v>
      </c>
      <c r="E18" s="154">
        <v>60</v>
      </c>
      <c r="F18" s="154">
        <v>0.1</v>
      </c>
      <c r="G18" s="197"/>
      <c r="H18" s="198"/>
      <c r="I18" s="247">
        <v>495.02</v>
      </c>
      <c r="J18" s="152">
        <f t="shared" si="0"/>
        <v>2970.12</v>
      </c>
      <c r="K18" s="198">
        <f>BDI!$B$17</f>
        <v>0.191</v>
      </c>
      <c r="L18" s="198"/>
      <c r="M18" s="198"/>
      <c r="N18" s="153">
        <f t="shared" si="1"/>
        <v>589.57000000000005</v>
      </c>
      <c r="O18" s="152">
        <f t="shared" si="2"/>
        <v>3537.42</v>
      </c>
      <c r="Q18" s="208"/>
      <c r="R18" s="208"/>
      <c r="S1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8"/>
      <c r="DL18" s="208"/>
      <c r="DM18" s="208"/>
      <c r="DN18" s="208"/>
      <c r="DO18" s="208"/>
      <c r="DP18" s="208"/>
      <c r="DQ18" s="208"/>
      <c r="DR18" s="208"/>
      <c r="DS18" s="208"/>
      <c r="DT18" s="208"/>
      <c r="DU18" s="208"/>
      <c r="DV18" s="208"/>
      <c r="DW18" s="208"/>
      <c r="DX18" s="208"/>
      <c r="DY18" s="208"/>
      <c r="DZ18" s="208"/>
      <c r="EA18" s="208"/>
      <c r="EB18" s="208"/>
      <c r="EC18" s="208"/>
      <c r="ED18" s="208"/>
      <c r="EE18" s="208"/>
      <c r="EF18" s="208"/>
      <c r="EG18" s="208"/>
      <c r="EH18" s="208"/>
      <c r="EI18" s="208"/>
      <c r="EJ18" s="208"/>
      <c r="EK18" s="208"/>
      <c r="EL18" s="208"/>
      <c r="EM18" s="208"/>
      <c r="EN18" s="208"/>
      <c r="EO18" s="208"/>
      <c r="EP18" s="208"/>
      <c r="EQ18" s="208"/>
      <c r="ER18" s="208"/>
      <c r="ES18" s="208"/>
      <c r="ET18" s="208"/>
      <c r="EU18" s="208"/>
      <c r="EV18" s="208"/>
      <c r="EW18" s="208"/>
      <c r="EX18" s="208"/>
      <c r="EY18" s="208"/>
      <c r="EZ18" s="208"/>
      <c r="FA18" s="208"/>
      <c r="FB18" s="208"/>
      <c r="FC18" s="208"/>
      <c r="FD18" s="208"/>
      <c r="FE18" s="208"/>
      <c r="FF18" s="208"/>
      <c r="FG18" s="208"/>
      <c r="FH18" s="208"/>
      <c r="FI18" s="208"/>
      <c r="FJ18" s="208"/>
      <c r="FK18" s="208"/>
      <c r="FL18" s="208"/>
      <c r="FM18" s="208"/>
      <c r="FN18" s="208"/>
      <c r="FO18" s="208"/>
      <c r="FP18" s="208"/>
      <c r="FQ18" s="208"/>
      <c r="FR18" s="208"/>
      <c r="FS18" s="208"/>
      <c r="FT18" s="208"/>
      <c r="FU18" s="208"/>
      <c r="FV18" s="208"/>
      <c r="FW18" s="208"/>
      <c r="FX18" s="208"/>
      <c r="FY18" s="208"/>
      <c r="FZ18" s="208"/>
      <c r="GA18" s="208"/>
      <c r="GB18" s="208"/>
      <c r="GC18" s="208"/>
      <c r="GD18" s="208"/>
      <c r="GE18" s="208"/>
      <c r="GF18" s="208"/>
    </row>
    <row r="19" spans="1:188" s="225" customFormat="1" ht="15" x14ac:dyDescent="0.25">
      <c r="A19" s="195" t="s">
        <v>4779</v>
      </c>
      <c r="B19" s="195" t="s">
        <v>2046</v>
      </c>
      <c r="C19" s="196" t="s">
        <v>2047</v>
      </c>
      <c r="D19" s="154" t="s">
        <v>28</v>
      </c>
      <c r="E19" s="154">
        <v>4000</v>
      </c>
      <c r="F19" s="154">
        <v>0.1</v>
      </c>
      <c r="G19" s="197"/>
      <c r="H19" s="198"/>
      <c r="I19" s="247">
        <v>335.5</v>
      </c>
      <c r="J19" s="152">
        <f t="shared" si="0"/>
        <v>134200</v>
      </c>
      <c r="K19" s="198">
        <f>BDI!$B$17</f>
        <v>0.191</v>
      </c>
      <c r="L19" s="198"/>
      <c r="M19" s="198"/>
      <c r="N19" s="153">
        <f t="shared" si="1"/>
        <v>399.58</v>
      </c>
      <c r="O19" s="152">
        <f t="shared" si="2"/>
        <v>159832</v>
      </c>
      <c r="Q19" s="208"/>
      <c r="R19" s="208"/>
      <c r="S19"/>
      <c r="T19" s="208"/>
      <c r="U19" s="208"/>
      <c r="V19" s="208"/>
      <c r="W19" s="208"/>
      <c r="X19" s="208"/>
      <c r="Y19" s="208"/>
      <c r="Z19" s="208"/>
      <c r="AA19" s="208"/>
      <c r="AB19" s="208"/>
      <c r="AC19" s="208"/>
      <c r="AD19" s="208"/>
      <c r="AE19" s="208"/>
      <c r="AF19" s="208"/>
      <c r="AG19" s="208"/>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8"/>
      <c r="DL19" s="208"/>
      <c r="DM19" s="208"/>
      <c r="DN19" s="208"/>
      <c r="DO19" s="208"/>
      <c r="DP19" s="208"/>
      <c r="DQ19" s="208"/>
      <c r="DR19" s="208"/>
      <c r="DS19" s="208"/>
      <c r="DT19" s="208"/>
      <c r="DU19" s="208"/>
      <c r="DV19" s="208"/>
      <c r="DW19" s="208"/>
      <c r="DX19" s="208"/>
      <c r="DY19" s="208"/>
      <c r="DZ19" s="208"/>
      <c r="EA19" s="208"/>
      <c r="EB19" s="208"/>
      <c r="EC19" s="208"/>
      <c r="ED19" s="208"/>
      <c r="EE19" s="208"/>
      <c r="EF19" s="208"/>
      <c r="EG19" s="208"/>
      <c r="EH19" s="208"/>
      <c r="EI19" s="208"/>
      <c r="EJ19" s="208"/>
      <c r="EK19" s="208"/>
      <c r="EL19" s="208"/>
      <c r="EM19" s="208"/>
      <c r="EN19" s="208"/>
      <c r="EO19" s="208"/>
      <c r="EP19" s="208"/>
      <c r="EQ19" s="208"/>
      <c r="ER19" s="208"/>
      <c r="ES19" s="208"/>
      <c r="ET19" s="208"/>
      <c r="EU19" s="208"/>
      <c r="EV19" s="208"/>
      <c r="EW19" s="208"/>
      <c r="EX19" s="208"/>
      <c r="EY19" s="208"/>
      <c r="EZ19" s="208"/>
      <c r="FA19" s="208"/>
      <c r="FB19" s="208"/>
      <c r="FC19" s="208"/>
      <c r="FD19" s="208"/>
      <c r="FE19" s="208"/>
      <c r="FF19" s="208"/>
      <c r="FG19" s="208"/>
      <c r="FH19" s="208"/>
      <c r="FI19" s="208"/>
      <c r="FJ19" s="208"/>
      <c r="FK19" s="208"/>
      <c r="FL19" s="208"/>
      <c r="FM19" s="208"/>
      <c r="FN19" s="208"/>
      <c r="FO19" s="208"/>
      <c r="FP19" s="208"/>
      <c r="FQ19" s="208"/>
      <c r="FR19" s="208"/>
      <c r="FS19" s="208"/>
      <c r="FT19" s="208"/>
      <c r="FU19" s="208"/>
      <c r="FV19" s="208"/>
      <c r="FW19" s="208"/>
      <c r="FX19" s="208"/>
      <c r="FY19" s="208"/>
      <c r="FZ19" s="208"/>
      <c r="GA19" s="208"/>
      <c r="GB19" s="208"/>
      <c r="GC19" s="208"/>
      <c r="GD19" s="208"/>
      <c r="GE19" s="208"/>
      <c r="GF19" s="208"/>
    </row>
    <row r="20" spans="1:188" s="225" customFormat="1" ht="15" x14ac:dyDescent="0.25">
      <c r="A20" s="195" t="s">
        <v>4780</v>
      </c>
      <c r="B20" s="195" t="s">
        <v>915</v>
      </c>
      <c r="C20" s="196" t="s">
        <v>2769</v>
      </c>
      <c r="D20" s="154" t="s">
        <v>2770</v>
      </c>
      <c r="E20" s="154">
        <v>10000</v>
      </c>
      <c r="F20" s="154">
        <v>0.1</v>
      </c>
      <c r="G20" s="197"/>
      <c r="H20" s="198"/>
      <c r="I20" s="151">
        <f>IFERROR(INDEX(Composições!$A$5:$J$8391,MATCH(B20,Composições!$A$5:$A$8391,0)+2,8),"")</f>
        <v>2.5960374499999999</v>
      </c>
      <c r="J20" s="152">
        <f t="shared" si="0"/>
        <v>2596.04</v>
      </c>
      <c r="K20" s="198">
        <f>BDI!$B$17</f>
        <v>0.191</v>
      </c>
      <c r="L20" s="198"/>
      <c r="M20" s="198"/>
      <c r="N20" s="153">
        <f t="shared" si="1"/>
        <v>3.09</v>
      </c>
      <c r="O20" s="152">
        <f t="shared" si="2"/>
        <v>3090</v>
      </c>
      <c r="Q20" s="208"/>
      <c r="R20" s="208"/>
      <c r="S20"/>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8"/>
      <c r="DL20" s="208"/>
      <c r="DM20" s="208"/>
      <c r="DN20" s="208"/>
      <c r="DO20" s="208"/>
      <c r="DP20" s="208"/>
      <c r="DQ20" s="208"/>
      <c r="DR20" s="208"/>
      <c r="DS20" s="208"/>
      <c r="DT20" s="208"/>
      <c r="DU20" s="208"/>
      <c r="DV20" s="208"/>
      <c r="DW20" s="208"/>
      <c r="DX20" s="208"/>
      <c r="DY20" s="208"/>
      <c r="DZ20" s="208"/>
      <c r="EA20" s="208"/>
      <c r="EB20" s="208"/>
      <c r="EC20" s="208"/>
      <c r="ED20" s="208"/>
      <c r="EE20" s="208"/>
      <c r="EF20" s="208"/>
      <c r="EG20" s="208"/>
      <c r="EH20" s="208"/>
      <c r="EI20" s="208"/>
      <c r="EJ20" s="208"/>
      <c r="EK20" s="208"/>
      <c r="EL20" s="208"/>
      <c r="EM20" s="208"/>
      <c r="EN20" s="208"/>
      <c r="EO20" s="208"/>
      <c r="EP20" s="208"/>
      <c r="EQ20" s="208"/>
      <c r="ER20" s="208"/>
      <c r="ES20" s="208"/>
      <c r="ET20" s="208"/>
      <c r="EU20" s="208"/>
      <c r="EV20" s="208"/>
      <c r="EW20" s="208"/>
      <c r="EX20" s="208"/>
      <c r="EY20" s="208"/>
      <c r="EZ20" s="208"/>
      <c r="FA20" s="208"/>
      <c r="FB20" s="208"/>
      <c r="FC20" s="208"/>
      <c r="FD20" s="208"/>
      <c r="FE20" s="208"/>
      <c r="FF20" s="208"/>
      <c r="FG20" s="208"/>
      <c r="FH20" s="208"/>
      <c r="FI20" s="208"/>
      <c r="FJ20" s="208"/>
      <c r="FK20" s="208"/>
      <c r="FL20" s="208"/>
      <c r="FM20" s="208"/>
      <c r="FN20" s="208"/>
      <c r="FO20" s="208"/>
      <c r="FP20" s="208"/>
      <c r="FQ20" s="208"/>
      <c r="FR20" s="208"/>
      <c r="FS20" s="208"/>
      <c r="FT20" s="208"/>
      <c r="FU20" s="208"/>
      <c r="FV20" s="208"/>
      <c r="FW20" s="208"/>
      <c r="FX20" s="208"/>
      <c r="FY20" s="208"/>
      <c r="FZ20" s="208"/>
      <c r="GA20" s="208"/>
      <c r="GB20" s="208"/>
      <c r="GC20" s="208"/>
      <c r="GD20" s="208"/>
      <c r="GE20" s="208"/>
      <c r="GF20" s="208"/>
    </row>
    <row r="21" spans="1:188" s="225" customFormat="1" ht="15" x14ac:dyDescent="0.25">
      <c r="A21" s="195" t="s">
        <v>4781</v>
      </c>
      <c r="B21" s="195" t="s">
        <v>2733</v>
      </c>
      <c r="C21" s="196" t="s">
        <v>2734</v>
      </c>
      <c r="D21" s="154" t="s">
        <v>2732</v>
      </c>
      <c r="E21" s="154">
        <v>20</v>
      </c>
      <c r="F21" s="154">
        <v>0.1</v>
      </c>
      <c r="G21" s="197"/>
      <c r="H21" s="198"/>
      <c r="I21" s="247">
        <v>933.33</v>
      </c>
      <c r="J21" s="152">
        <f t="shared" si="0"/>
        <v>1866.66</v>
      </c>
      <c r="K21" s="198">
        <f>BDI!$B$17</f>
        <v>0.191</v>
      </c>
      <c r="L21" s="198"/>
      <c r="M21" s="198"/>
      <c r="N21" s="153">
        <f t="shared" si="1"/>
        <v>1111.5999999999999</v>
      </c>
      <c r="O21" s="152">
        <f t="shared" si="2"/>
        <v>2223.1999999999998</v>
      </c>
      <c r="Q21" s="208"/>
      <c r="R21" s="208"/>
      <c r="S21"/>
      <c r="T21" s="208"/>
      <c r="U21" s="208"/>
      <c r="V21" s="208"/>
      <c r="W21" s="208"/>
      <c r="X21" s="208"/>
      <c r="Y21" s="208"/>
      <c r="Z21" s="208"/>
      <c r="AA21" s="208"/>
      <c r="AB21" s="208"/>
      <c r="AC21" s="208"/>
      <c r="AD21" s="208"/>
      <c r="AE21" s="208"/>
      <c r="AF21" s="208"/>
      <c r="AG21" s="208"/>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8"/>
      <c r="DL21" s="208"/>
      <c r="DM21" s="208"/>
      <c r="DN21" s="208"/>
      <c r="DO21" s="208"/>
      <c r="DP21" s="208"/>
      <c r="DQ21" s="208"/>
      <c r="DR21" s="208"/>
      <c r="DS21" s="208"/>
      <c r="DT21" s="208"/>
      <c r="DU21" s="208"/>
      <c r="DV21" s="208"/>
      <c r="DW21" s="208"/>
      <c r="DX21" s="208"/>
      <c r="DY21" s="208"/>
      <c r="DZ21" s="208"/>
      <c r="EA21" s="208"/>
      <c r="EB21" s="208"/>
      <c r="EC21" s="208"/>
      <c r="ED21" s="208"/>
      <c r="EE21" s="208"/>
      <c r="EF21" s="208"/>
      <c r="EG21" s="208"/>
      <c r="EH21" s="208"/>
      <c r="EI21" s="208"/>
      <c r="EJ21" s="208"/>
      <c r="EK21" s="208"/>
      <c r="EL21" s="208"/>
      <c r="EM21" s="208"/>
      <c r="EN21" s="208"/>
      <c r="EO21" s="208"/>
      <c r="EP21" s="208"/>
      <c r="EQ21" s="208"/>
      <c r="ER21" s="208"/>
      <c r="ES21" s="208"/>
      <c r="ET21" s="208"/>
      <c r="EU21" s="208"/>
      <c r="EV21" s="208"/>
      <c r="EW21" s="208"/>
      <c r="EX21" s="208"/>
      <c r="EY21" s="208"/>
      <c r="EZ21" s="208"/>
      <c r="FA21" s="208"/>
      <c r="FB21" s="208"/>
      <c r="FC21" s="208"/>
      <c r="FD21" s="208"/>
      <c r="FE21" s="208"/>
      <c r="FF21" s="208"/>
      <c r="FG21" s="208"/>
      <c r="FH21" s="208"/>
      <c r="FI21" s="208"/>
      <c r="FJ21" s="208"/>
      <c r="FK21" s="208"/>
      <c r="FL21" s="208"/>
      <c r="FM21" s="208"/>
      <c r="FN21" s="208"/>
      <c r="FO21" s="208"/>
      <c r="FP21" s="208"/>
      <c r="FQ21" s="208"/>
      <c r="FR21" s="208"/>
      <c r="FS21" s="208"/>
      <c r="FT21" s="208"/>
      <c r="FU21" s="208"/>
      <c r="FV21" s="208"/>
      <c r="FW21" s="208"/>
      <c r="FX21" s="208"/>
      <c r="FY21" s="208"/>
      <c r="FZ21" s="208"/>
      <c r="GA21" s="208"/>
      <c r="GB21" s="208"/>
      <c r="GC21" s="208"/>
      <c r="GD21" s="208"/>
      <c r="GE21" s="208"/>
      <c r="GF21" s="208"/>
    </row>
    <row r="22" spans="1:188" s="225" customFormat="1" ht="15" x14ac:dyDescent="0.25">
      <c r="A22" s="195" t="s">
        <v>4782</v>
      </c>
      <c r="B22" s="195" t="s">
        <v>3724</v>
      </c>
      <c r="C22" s="196" t="s">
        <v>3725</v>
      </c>
      <c r="D22" s="154" t="s">
        <v>2620</v>
      </c>
      <c r="E22" s="154">
        <v>200</v>
      </c>
      <c r="F22" s="154">
        <v>0.1</v>
      </c>
      <c r="G22" s="197"/>
      <c r="H22" s="198"/>
      <c r="I22" s="247">
        <v>2050</v>
      </c>
      <c r="J22" s="152">
        <f t="shared" si="0"/>
        <v>41000</v>
      </c>
      <c r="K22" s="198">
        <f>BDI!$B$17</f>
        <v>0.191</v>
      </c>
      <c r="L22" s="198"/>
      <c r="M22" s="198"/>
      <c r="N22" s="153">
        <f t="shared" si="1"/>
        <v>2441.5500000000002</v>
      </c>
      <c r="O22" s="152">
        <f t="shared" si="2"/>
        <v>48831</v>
      </c>
      <c r="Q22" s="208"/>
      <c r="R22" s="208"/>
      <c r="S22"/>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8"/>
      <c r="DL22" s="208"/>
      <c r="DM22" s="208"/>
      <c r="DN22" s="208"/>
      <c r="DO22" s="208"/>
      <c r="DP22" s="208"/>
      <c r="DQ22" s="208"/>
      <c r="DR22" s="208"/>
      <c r="DS22" s="208"/>
      <c r="DT22" s="208"/>
      <c r="DU22" s="208"/>
      <c r="DV22" s="208"/>
      <c r="DW22" s="208"/>
      <c r="DX22" s="208"/>
      <c r="DY22" s="208"/>
      <c r="DZ22" s="208"/>
      <c r="EA22" s="208"/>
      <c r="EB22" s="208"/>
      <c r="EC22" s="208"/>
      <c r="ED22" s="208"/>
      <c r="EE22" s="208"/>
      <c r="EF22" s="208"/>
      <c r="EG22" s="208"/>
      <c r="EH22" s="208"/>
      <c r="EI22" s="208"/>
      <c r="EJ22" s="208"/>
      <c r="EK22" s="208"/>
      <c r="EL22" s="208"/>
      <c r="EM22" s="208"/>
      <c r="EN22" s="208"/>
      <c r="EO22" s="208"/>
      <c r="EP22" s="208"/>
      <c r="EQ22" s="208"/>
      <c r="ER22" s="208"/>
      <c r="ES22" s="208"/>
      <c r="ET22" s="208"/>
      <c r="EU22" s="208"/>
      <c r="EV22" s="208"/>
      <c r="EW22" s="208"/>
      <c r="EX22" s="208"/>
      <c r="EY22" s="208"/>
      <c r="EZ22" s="208"/>
      <c r="FA22" s="208"/>
      <c r="FB22" s="208"/>
      <c r="FC22" s="208"/>
      <c r="FD22" s="208"/>
      <c r="FE22" s="208"/>
      <c r="FF22" s="208"/>
      <c r="FG22" s="208"/>
      <c r="FH22" s="208"/>
      <c r="FI22" s="208"/>
      <c r="FJ22" s="208"/>
      <c r="FK22" s="208"/>
      <c r="FL22" s="208"/>
      <c r="FM22" s="208"/>
      <c r="FN22" s="208"/>
      <c r="FO22" s="208"/>
      <c r="FP22" s="208"/>
      <c r="FQ22" s="208"/>
      <c r="FR22" s="208"/>
      <c r="FS22" s="208"/>
      <c r="FT22" s="208"/>
      <c r="FU22" s="208"/>
      <c r="FV22" s="208"/>
      <c r="FW22" s="208"/>
      <c r="FX22" s="208"/>
      <c r="FY22" s="208"/>
      <c r="FZ22" s="208"/>
      <c r="GA22" s="208"/>
      <c r="GB22" s="208"/>
      <c r="GC22" s="208"/>
      <c r="GD22" s="208"/>
      <c r="GE22" s="208"/>
      <c r="GF22" s="208"/>
    </row>
    <row r="23" spans="1:188" s="225" customFormat="1" ht="15" x14ac:dyDescent="0.25">
      <c r="A23" s="195" t="s">
        <v>4783</v>
      </c>
      <c r="B23" s="195" t="s">
        <v>862</v>
      </c>
      <c r="C23" s="196" t="s">
        <v>2731</v>
      </c>
      <c r="D23" s="154" t="s">
        <v>2732</v>
      </c>
      <c r="E23" s="154">
        <v>10</v>
      </c>
      <c r="F23" s="154">
        <v>0.1</v>
      </c>
      <c r="G23" s="197"/>
      <c r="H23" s="198"/>
      <c r="I23" s="151">
        <v>581.49</v>
      </c>
      <c r="J23" s="152">
        <f t="shared" si="0"/>
        <v>581.49</v>
      </c>
      <c r="K23" s="198">
        <f>BDI!$B$17</f>
        <v>0.191</v>
      </c>
      <c r="L23" s="198"/>
      <c r="M23" s="198"/>
      <c r="N23" s="153">
        <f t="shared" si="1"/>
        <v>692.55</v>
      </c>
      <c r="O23" s="152">
        <f t="shared" si="2"/>
        <v>692.55</v>
      </c>
      <c r="Q23" s="208"/>
      <c r="R23" s="208"/>
      <c r="S23"/>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8"/>
      <c r="DL23" s="208"/>
      <c r="DM23" s="208"/>
      <c r="DN23" s="208"/>
      <c r="DO23" s="208"/>
      <c r="DP23" s="208"/>
      <c r="DQ23" s="208"/>
      <c r="DR23" s="208"/>
      <c r="DS23" s="208"/>
      <c r="DT23" s="208"/>
      <c r="DU23" s="208"/>
      <c r="DV23" s="208"/>
      <c r="DW23" s="208"/>
      <c r="DX23" s="208"/>
      <c r="DY23" s="208"/>
      <c r="DZ23" s="208"/>
      <c r="EA23" s="208"/>
      <c r="EB23" s="208"/>
      <c r="EC23" s="208"/>
      <c r="ED23" s="208"/>
      <c r="EE23" s="208"/>
      <c r="EF23" s="208"/>
      <c r="EG23" s="208"/>
      <c r="EH23" s="208"/>
      <c r="EI23" s="208"/>
      <c r="EJ23" s="208"/>
      <c r="EK23" s="208"/>
      <c r="EL23" s="208"/>
      <c r="EM23" s="208"/>
      <c r="EN23" s="208"/>
      <c r="EO23" s="208"/>
      <c r="EP23" s="208"/>
      <c r="EQ23" s="208"/>
      <c r="ER23" s="208"/>
      <c r="ES23" s="208"/>
      <c r="ET23" s="208"/>
      <c r="EU23" s="208"/>
      <c r="EV23" s="208"/>
      <c r="EW23" s="208"/>
      <c r="EX23" s="208"/>
      <c r="EY23" s="208"/>
      <c r="EZ23" s="208"/>
      <c r="FA23" s="208"/>
      <c r="FB23" s="208"/>
      <c r="FC23" s="208"/>
      <c r="FD23" s="208"/>
      <c r="FE23" s="208"/>
      <c r="FF23" s="208"/>
      <c r="FG23" s="208"/>
      <c r="FH23" s="208"/>
      <c r="FI23" s="208"/>
      <c r="FJ23" s="208"/>
      <c r="FK23" s="208"/>
      <c r="FL23" s="208"/>
      <c r="FM23" s="208"/>
      <c r="FN23" s="208"/>
      <c r="FO23" s="208"/>
      <c r="FP23" s="208"/>
      <c r="FQ23" s="208"/>
      <c r="FR23" s="208"/>
      <c r="FS23" s="208"/>
      <c r="FT23" s="208"/>
      <c r="FU23" s="208"/>
      <c r="FV23" s="208"/>
      <c r="FW23" s="208"/>
      <c r="FX23" s="208"/>
      <c r="FY23" s="208"/>
      <c r="FZ23" s="208"/>
      <c r="GA23" s="208"/>
      <c r="GB23" s="208"/>
      <c r="GC23" s="208"/>
      <c r="GD23" s="208"/>
      <c r="GE23" s="208"/>
      <c r="GF23" s="208"/>
    </row>
    <row r="24" spans="1:188" s="225" customFormat="1" ht="15" x14ac:dyDescent="0.25">
      <c r="A24" s="195" t="s">
        <v>4784</v>
      </c>
      <c r="B24" s="195" t="s">
        <v>2782</v>
      </c>
      <c r="C24" s="196" t="s">
        <v>2783</v>
      </c>
      <c r="D24" s="154" t="s">
        <v>28</v>
      </c>
      <c r="E24" s="154">
        <v>30</v>
      </c>
      <c r="F24" s="154">
        <v>0.1</v>
      </c>
      <c r="G24" s="197"/>
      <c r="H24" s="198"/>
      <c r="I24" s="247">
        <v>1280</v>
      </c>
      <c r="J24" s="152">
        <f t="shared" si="0"/>
        <v>3840</v>
      </c>
      <c r="K24" s="198">
        <f>BDI!$B$17</f>
        <v>0.191</v>
      </c>
      <c r="L24" s="198"/>
      <c r="M24" s="198"/>
      <c r="N24" s="153">
        <f t="shared" si="1"/>
        <v>1524.48</v>
      </c>
      <c r="O24" s="152">
        <f t="shared" si="2"/>
        <v>4573.4399999999996</v>
      </c>
      <c r="Q24" s="208"/>
      <c r="R24" s="208"/>
      <c r="S24"/>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8"/>
      <c r="DL24" s="208"/>
      <c r="DM24" s="208"/>
      <c r="DN24" s="208"/>
      <c r="DO24" s="208"/>
      <c r="DP24" s="208"/>
      <c r="DQ24" s="208"/>
      <c r="DR24" s="208"/>
      <c r="DS24" s="208"/>
      <c r="DT24" s="208"/>
      <c r="DU24" s="208"/>
      <c r="DV24" s="208"/>
      <c r="DW24" s="208"/>
      <c r="DX24" s="208"/>
      <c r="DY24" s="208"/>
      <c r="DZ24" s="208"/>
      <c r="EA24" s="208"/>
      <c r="EB24" s="208"/>
      <c r="EC24" s="208"/>
      <c r="ED24" s="208"/>
      <c r="EE24" s="208"/>
      <c r="EF24" s="208"/>
      <c r="EG24" s="208"/>
      <c r="EH24" s="208"/>
      <c r="EI24" s="208"/>
      <c r="EJ24" s="208"/>
      <c r="EK24" s="208"/>
      <c r="EL24" s="208"/>
      <c r="EM24" s="208"/>
      <c r="EN24" s="208"/>
      <c r="EO24" s="208"/>
      <c r="EP24" s="208"/>
      <c r="EQ24" s="208"/>
      <c r="ER24" s="208"/>
      <c r="ES24" s="208"/>
      <c r="ET24" s="208"/>
      <c r="EU24" s="208"/>
      <c r="EV24" s="208"/>
      <c r="EW24" s="208"/>
      <c r="EX24" s="208"/>
      <c r="EY24" s="208"/>
      <c r="EZ24" s="208"/>
      <c r="FA24" s="208"/>
      <c r="FB24" s="208"/>
      <c r="FC24" s="208"/>
      <c r="FD24" s="208"/>
      <c r="FE24" s="208"/>
      <c r="FF24" s="208"/>
      <c r="FG24" s="208"/>
      <c r="FH24" s="208"/>
      <c r="FI24" s="208"/>
      <c r="FJ24" s="208"/>
      <c r="FK24" s="208"/>
      <c r="FL24" s="208"/>
      <c r="FM24" s="208"/>
      <c r="FN24" s="208"/>
      <c r="FO24" s="208"/>
      <c r="FP24" s="208"/>
      <c r="FQ24" s="208"/>
      <c r="FR24" s="208"/>
      <c r="FS24" s="208"/>
      <c r="FT24" s="208"/>
      <c r="FU24" s="208"/>
      <c r="FV24" s="208"/>
      <c r="FW24" s="208"/>
      <c r="FX24" s="208"/>
      <c r="FY24" s="208"/>
      <c r="FZ24" s="208"/>
      <c r="GA24" s="208"/>
      <c r="GB24" s="208"/>
      <c r="GC24" s="208"/>
      <c r="GD24" s="208"/>
      <c r="GE24" s="208"/>
      <c r="GF24" s="208"/>
    </row>
    <row r="25" spans="1:188" s="225" customFormat="1" ht="15" x14ac:dyDescent="0.25">
      <c r="A25" s="195" t="s">
        <v>4785</v>
      </c>
      <c r="B25" s="195" t="s">
        <v>2784</v>
      </c>
      <c r="C25" s="196" t="s">
        <v>2785</v>
      </c>
      <c r="D25" s="154" t="s">
        <v>28</v>
      </c>
      <c r="E25" s="154">
        <v>30</v>
      </c>
      <c r="F25" s="154">
        <v>0.1</v>
      </c>
      <c r="G25" s="197"/>
      <c r="H25" s="198"/>
      <c r="I25" s="247">
        <v>900</v>
      </c>
      <c r="J25" s="152">
        <f t="shared" si="0"/>
        <v>2700</v>
      </c>
      <c r="K25" s="198">
        <f>BDI!$B$17</f>
        <v>0.191</v>
      </c>
      <c r="L25" s="198"/>
      <c r="M25" s="198"/>
      <c r="N25" s="153">
        <f t="shared" si="1"/>
        <v>1071.9000000000001</v>
      </c>
      <c r="O25" s="152">
        <f t="shared" si="2"/>
        <v>3215.7</v>
      </c>
      <c r="Q25" s="208"/>
      <c r="R25" s="208"/>
      <c r="S25"/>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8"/>
      <c r="DL25" s="208"/>
      <c r="DM25" s="208"/>
      <c r="DN25" s="208"/>
      <c r="DO25" s="208"/>
      <c r="DP25" s="208"/>
      <c r="DQ25" s="208"/>
      <c r="DR25" s="208"/>
      <c r="DS25" s="208"/>
      <c r="DT25" s="208"/>
      <c r="DU25" s="208"/>
      <c r="DV25" s="208"/>
      <c r="DW25" s="208"/>
      <c r="DX25" s="208"/>
      <c r="DY25" s="208"/>
      <c r="DZ25" s="208"/>
      <c r="EA25" s="208"/>
      <c r="EB25" s="208"/>
      <c r="EC25" s="208"/>
      <c r="ED25" s="208"/>
      <c r="EE25" s="208"/>
      <c r="EF25" s="208"/>
      <c r="EG25" s="208"/>
      <c r="EH25" s="208"/>
      <c r="EI25" s="208"/>
      <c r="EJ25" s="208"/>
      <c r="EK25" s="208"/>
      <c r="EL25" s="208"/>
      <c r="EM25" s="208"/>
      <c r="EN25" s="208"/>
      <c r="EO25" s="208"/>
      <c r="EP25" s="208"/>
      <c r="EQ25" s="208"/>
      <c r="ER25" s="208"/>
      <c r="ES25" s="208"/>
      <c r="ET25" s="208"/>
      <c r="EU25" s="208"/>
      <c r="EV25" s="208"/>
      <c r="EW25" s="208"/>
      <c r="EX25" s="208"/>
      <c r="EY25" s="208"/>
      <c r="EZ25" s="208"/>
      <c r="FA25" s="208"/>
      <c r="FB25" s="208"/>
      <c r="FC25" s="208"/>
      <c r="FD25" s="208"/>
      <c r="FE25" s="208"/>
      <c r="FF25" s="208"/>
      <c r="FG25" s="208"/>
      <c r="FH25" s="208"/>
      <c r="FI25" s="208"/>
      <c r="FJ25" s="208"/>
      <c r="FK25" s="208"/>
      <c r="FL25" s="208"/>
      <c r="FM25" s="208"/>
      <c r="FN25" s="208"/>
      <c r="FO25" s="208"/>
      <c r="FP25" s="208"/>
      <c r="FQ25" s="208"/>
      <c r="FR25" s="208"/>
      <c r="FS25" s="208"/>
      <c r="FT25" s="208"/>
      <c r="FU25" s="208"/>
      <c r="FV25" s="208"/>
      <c r="FW25" s="208"/>
      <c r="FX25" s="208"/>
      <c r="FY25" s="208"/>
      <c r="FZ25" s="208"/>
      <c r="GA25" s="208"/>
      <c r="GB25" s="208"/>
      <c r="GC25" s="208"/>
      <c r="GD25" s="208"/>
      <c r="GE25" s="208"/>
      <c r="GF25" s="208"/>
    </row>
    <row r="26" spans="1:188" s="225" customFormat="1" ht="15" x14ac:dyDescent="0.25">
      <c r="A26" s="195" t="s">
        <v>4786</v>
      </c>
      <c r="B26" s="195" t="s">
        <v>72</v>
      </c>
      <c r="C26" s="196" t="s">
        <v>2081</v>
      </c>
      <c r="D26" s="154" t="s">
        <v>2082</v>
      </c>
      <c r="E26" s="154">
        <v>5000</v>
      </c>
      <c r="F26" s="154">
        <v>0.1</v>
      </c>
      <c r="G26" s="197"/>
      <c r="H26" s="198"/>
      <c r="I26" s="151">
        <v>14.25</v>
      </c>
      <c r="J26" s="152">
        <f t="shared" si="0"/>
        <v>7125</v>
      </c>
      <c r="K26" s="198">
        <f>BDI!$B$17</f>
        <v>0.191</v>
      </c>
      <c r="L26" s="198"/>
      <c r="M26" s="198"/>
      <c r="N26" s="153">
        <f t="shared" si="1"/>
        <v>16.97</v>
      </c>
      <c r="O26" s="152">
        <f t="shared" si="2"/>
        <v>8485</v>
      </c>
      <c r="Q26" s="208"/>
      <c r="R26" s="208"/>
      <c r="S26"/>
      <c r="T26" s="208"/>
      <c r="U26" s="208"/>
      <c r="V26" s="208"/>
      <c r="W26" s="208"/>
      <c r="X26" s="208"/>
      <c r="Y26" s="208"/>
      <c r="Z26" s="208"/>
      <c r="AA26" s="208"/>
      <c r="AB26" s="208"/>
      <c r="AC26" s="208"/>
      <c r="AD26" s="208"/>
      <c r="AE26" s="208"/>
      <c r="AF26" s="208"/>
      <c r="AG26" s="208"/>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8"/>
      <c r="DL26" s="208"/>
      <c r="DM26" s="208"/>
      <c r="DN26" s="208"/>
      <c r="DO26" s="208"/>
      <c r="DP26" s="208"/>
      <c r="DQ26" s="208"/>
      <c r="DR26" s="208"/>
      <c r="DS26" s="208"/>
      <c r="DT26" s="208"/>
      <c r="DU26" s="208"/>
      <c r="DV26" s="208"/>
      <c r="DW26" s="208"/>
      <c r="DX26" s="208"/>
      <c r="DY26" s="208"/>
      <c r="DZ26" s="208"/>
      <c r="EA26" s="208"/>
      <c r="EB26" s="208"/>
      <c r="EC26" s="208"/>
      <c r="ED26" s="208"/>
      <c r="EE26" s="208"/>
      <c r="EF26" s="208"/>
      <c r="EG26" s="208"/>
      <c r="EH26" s="208"/>
      <c r="EI26" s="208"/>
      <c r="EJ26" s="208"/>
      <c r="EK26" s="208"/>
      <c r="EL26" s="208"/>
      <c r="EM26" s="208"/>
      <c r="EN26" s="208"/>
      <c r="EO26" s="208"/>
      <c r="EP26" s="208"/>
      <c r="EQ26" s="208"/>
      <c r="ER26" s="208"/>
      <c r="ES26" s="208"/>
      <c r="ET26" s="208"/>
      <c r="EU26" s="208"/>
      <c r="EV26" s="208"/>
      <c r="EW26" s="208"/>
      <c r="EX26" s="208"/>
      <c r="EY26" s="208"/>
      <c r="EZ26" s="208"/>
      <c r="FA26" s="208"/>
      <c r="FB26" s="208"/>
      <c r="FC26" s="208"/>
      <c r="FD26" s="208"/>
      <c r="FE26" s="208"/>
      <c r="FF26" s="208"/>
      <c r="FG26" s="208"/>
      <c r="FH26" s="208"/>
      <c r="FI26" s="208"/>
      <c r="FJ26" s="208"/>
      <c r="FK26" s="208"/>
      <c r="FL26" s="208"/>
      <c r="FM26" s="208"/>
      <c r="FN26" s="208"/>
      <c r="FO26" s="208"/>
      <c r="FP26" s="208"/>
      <c r="FQ26" s="208"/>
      <c r="FR26" s="208"/>
      <c r="FS26" s="208"/>
      <c r="FT26" s="208"/>
      <c r="FU26" s="208"/>
      <c r="FV26" s="208"/>
      <c r="FW26" s="208"/>
      <c r="FX26" s="208"/>
      <c r="FY26" s="208"/>
      <c r="FZ26" s="208"/>
      <c r="GA26" s="208"/>
      <c r="GB26" s="208"/>
      <c r="GC26" s="208"/>
      <c r="GD26" s="208"/>
      <c r="GE26" s="208"/>
      <c r="GF26" s="208"/>
    </row>
    <row r="27" spans="1:188" s="225" customFormat="1" ht="15" x14ac:dyDescent="0.25">
      <c r="A27" s="195" t="s">
        <v>4787</v>
      </c>
      <c r="B27" s="195" t="s">
        <v>851</v>
      </c>
      <c r="C27" s="196" t="s">
        <v>2721</v>
      </c>
      <c r="D27" s="154" t="s">
        <v>78</v>
      </c>
      <c r="E27" s="154">
        <v>5000</v>
      </c>
      <c r="F27" s="154">
        <v>0.1</v>
      </c>
      <c r="G27" s="197"/>
      <c r="H27" s="198"/>
      <c r="I27" s="151">
        <f>IFERROR(INDEX(Composições!$A$5:$J$8391,MATCH(B27,Composições!$A$5:$A$8391,0)+2,8),"")</f>
        <v>9.6635539372076984</v>
      </c>
      <c r="J27" s="152">
        <f t="shared" si="0"/>
        <v>4831.78</v>
      </c>
      <c r="K27" s="198">
        <f>BDI!$B$17</f>
        <v>0.191</v>
      </c>
      <c r="L27" s="198"/>
      <c r="M27" s="198"/>
      <c r="N27" s="153">
        <f t="shared" si="1"/>
        <v>11.51</v>
      </c>
      <c r="O27" s="152">
        <f t="shared" si="2"/>
        <v>5755</v>
      </c>
      <c r="Q27" s="208"/>
      <c r="R27" s="208"/>
      <c r="S27"/>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8"/>
      <c r="DL27" s="208"/>
      <c r="DM27" s="208"/>
      <c r="DN27" s="208"/>
      <c r="DO27" s="208"/>
      <c r="DP27" s="208"/>
      <c r="DQ27" s="208"/>
      <c r="DR27" s="208"/>
      <c r="DS27" s="208"/>
      <c r="DT27" s="208"/>
      <c r="DU27" s="208"/>
      <c r="DV27" s="208"/>
      <c r="DW27" s="208"/>
      <c r="DX27" s="208"/>
      <c r="DY27" s="208"/>
      <c r="DZ27" s="208"/>
      <c r="EA27" s="208"/>
      <c r="EB27" s="208"/>
      <c r="EC27" s="208"/>
      <c r="ED27" s="208"/>
      <c r="EE27" s="208"/>
      <c r="EF27" s="208"/>
      <c r="EG27" s="208"/>
      <c r="EH27" s="208"/>
      <c r="EI27" s="208"/>
      <c r="EJ27" s="208"/>
      <c r="EK27" s="208"/>
      <c r="EL27" s="208"/>
      <c r="EM27" s="208"/>
      <c r="EN27" s="208"/>
      <c r="EO27" s="208"/>
      <c r="EP27" s="208"/>
      <c r="EQ27" s="208"/>
      <c r="ER27" s="208"/>
      <c r="ES27" s="208"/>
      <c r="ET27" s="208"/>
      <c r="EU27" s="208"/>
      <c r="EV27" s="208"/>
      <c r="EW27" s="208"/>
      <c r="EX27" s="208"/>
      <c r="EY27" s="208"/>
      <c r="EZ27" s="208"/>
      <c r="FA27" s="208"/>
      <c r="FB27" s="208"/>
      <c r="FC27" s="208"/>
      <c r="FD27" s="208"/>
      <c r="FE27" s="208"/>
      <c r="FF27" s="208"/>
      <c r="FG27" s="208"/>
      <c r="FH27" s="208"/>
      <c r="FI27" s="208"/>
      <c r="FJ27" s="208"/>
      <c r="FK27" s="208"/>
      <c r="FL27" s="208"/>
      <c r="FM27" s="208"/>
      <c r="FN27" s="208"/>
      <c r="FO27" s="208"/>
      <c r="FP27" s="208"/>
      <c r="FQ27" s="208"/>
      <c r="FR27" s="208"/>
      <c r="FS27" s="208"/>
      <c r="FT27" s="208"/>
      <c r="FU27" s="208"/>
      <c r="FV27" s="208"/>
      <c r="FW27" s="208"/>
      <c r="FX27" s="208"/>
      <c r="FY27" s="208"/>
      <c r="FZ27" s="208"/>
      <c r="GA27" s="208"/>
      <c r="GB27" s="208"/>
      <c r="GC27" s="208"/>
      <c r="GD27" s="208"/>
      <c r="GE27" s="208"/>
      <c r="GF27" s="208"/>
    </row>
    <row r="28" spans="1:188" s="225" customFormat="1" ht="15" x14ac:dyDescent="0.25">
      <c r="A28" s="195" t="s">
        <v>4788</v>
      </c>
      <c r="B28" s="195" t="s">
        <v>73</v>
      </c>
      <c r="C28" s="196" t="s">
        <v>2083</v>
      </c>
      <c r="D28" s="154" t="s">
        <v>2084</v>
      </c>
      <c r="E28" s="154">
        <v>2000</v>
      </c>
      <c r="F28" s="154">
        <v>0.1</v>
      </c>
      <c r="G28" s="197"/>
      <c r="H28" s="198"/>
      <c r="I28" s="151">
        <v>19</v>
      </c>
      <c r="J28" s="152">
        <f t="shared" si="0"/>
        <v>3800</v>
      </c>
      <c r="K28" s="198">
        <f>BDI!$B$17</f>
        <v>0.191</v>
      </c>
      <c r="L28" s="198"/>
      <c r="M28" s="198"/>
      <c r="N28" s="153">
        <f t="shared" si="1"/>
        <v>22.63</v>
      </c>
      <c r="O28" s="152">
        <f t="shared" si="2"/>
        <v>4526</v>
      </c>
      <c r="Q28" s="208"/>
      <c r="R28" s="208"/>
      <c r="S2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8"/>
      <c r="DL28" s="208"/>
      <c r="DM28" s="208"/>
      <c r="DN28" s="208"/>
      <c r="DO28" s="208"/>
      <c r="DP28" s="208"/>
      <c r="DQ28" s="208"/>
      <c r="DR28" s="208"/>
      <c r="DS28" s="208"/>
      <c r="DT28" s="208"/>
      <c r="DU28" s="208"/>
      <c r="DV28" s="208"/>
      <c r="DW28" s="208"/>
      <c r="DX28" s="208"/>
      <c r="DY28" s="208"/>
      <c r="DZ28" s="208"/>
      <c r="EA28" s="208"/>
      <c r="EB28" s="208"/>
      <c r="EC28" s="208"/>
      <c r="ED28" s="208"/>
      <c r="EE28" s="208"/>
      <c r="EF28" s="208"/>
      <c r="EG28" s="208"/>
      <c r="EH28" s="208"/>
      <c r="EI28" s="208"/>
      <c r="EJ28" s="208"/>
      <c r="EK28" s="208"/>
      <c r="EL28" s="208"/>
      <c r="EM28" s="208"/>
      <c r="EN28" s="208"/>
      <c r="EO28" s="208"/>
      <c r="EP28" s="208"/>
      <c r="EQ28" s="208"/>
      <c r="ER28" s="208"/>
      <c r="ES28" s="208"/>
      <c r="ET28" s="208"/>
      <c r="EU28" s="208"/>
      <c r="EV28" s="208"/>
      <c r="EW28" s="208"/>
      <c r="EX28" s="208"/>
      <c r="EY28" s="208"/>
      <c r="EZ28" s="208"/>
      <c r="FA28" s="208"/>
      <c r="FB28" s="208"/>
      <c r="FC28" s="208"/>
      <c r="FD28" s="208"/>
      <c r="FE28" s="208"/>
      <c r="FF28" s="208"/>
      <c r="FG28" s="208"/>
      <c r="FH28" s="208"/>
      <c r="FI28" s="208"/>
      <c r="FJ28" s="208"/>
      <c r="FK28" s="208"/>
      <c r="FL28" s="208"/>
      <c r="FM28" s="208"/>
      <c r="FN28" s="208"/>
      <c r="FO28" s="208"/>
      <c r="FP28" s="208"/>
      <c r="FQ28" s="208"/>
      <c r="FR28" s="208"/>
      <c r="FS28" s="208"/>
      <c r="FT28" s="208"/>
      <c r="FU28" s="208"/>
      <c r="FV28" s="208"/>
      <c r="FW28" s="208"/>
      <c r="FX28" s="208"/>
      <c r="FY28" s="208"/>
      <c r="FZ28" s="208"/>
      <c r="GA28" s="208"/>
      <c r="GB28" s="208"/>
      <c r="GC28" s="208"/>
      <c r="GD28" s="208"/>
      <c r="GE28" s="208"/>
      <c r="GF28" s="208"/>
    </row>
    <row r="29" spans="1:188" s="225" customFormat="1" ht="15" x14ac:dyDescent="0.25">
      <c r="A29" s="195" t="s">
        <v>4789</v>
      </c>
      <c r="B29" s="195" t="s">
        <v>852</v>
      </c>
      <c r="C29" s="196" t="s">
        <v>2722</v>
      </c>
      <c r="D29" s="154" t="s">
        <v>121</v>
      </c>
      <c r="E29" s="154">
        <v>2000</v>
      </c>
      <c r="F29" s="154">
        <v>0.1</v>
      </c>
      <c r="G29" s="197"/>
      <c r="H29" s="198"/>
      <c r="I29" s="151">
        <f>IFERROR(INDEX(Composições!$A$5:$J$8391,MATCH(B29,Composições!$A$5:$A$8391,0)+2,8),"")</f>
        <v>17.8833930622</v>
      </c>
      <c r="J29" s="152">
        <f t="shared" si="0"/>
        <v>3576.68</v>
      </c>
      <c r="K29" s="198">
        <f>BDI!$B$17</f>
        <v>0.191</v>
      </c>
      <c r="L29" s="198"/>
      <c r="M29" s="198"/>
      <c r="N29" s="153">
        <f t="shared" si="1"/>
        <v>21.3</v>
      </c>
      <c r="O29" s="152">
        <f t="shared" si="2"/>
        <v>4260</v>
      </c>
      <c r="Q29" s="208"/>
      <c r="R29" s="208"/>
      <c r="S29"/>
      <c r="T29" s="208"/>
      <c r="U29" s="208"/>
      <c r="V29" s="208"/>
      <c r="W29" s="208"/>
      <c r="X29" s="208"/>
      <c r="Y29" s="208"/>
      <c r="Z29" s="208"/>
      <c r="AA29" s="208"/>
      <c r="AB29" s="208"/>
      <c r="AC29" s="208"/>
      <c r="AD29" s="208"/>
      <c r="AE29" s="208"/>
      <c r="AF29" s="208"/>
      <c r="AG29" s="208"/>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8"/>
      <c r="DL29" s="208"/>
      <c r="DM29" s="208"/>
      <c r="DN29" s="208"/>
      <c r="DO29" s="208"/>
      <c r="DP29" s="208"/>
      <c r="DQ29" s="208"/>
      <c r="DR29" s="208"/>
      <c r="DS29" s="208"/>
      <c r="DT29" s="208"/>
      <c r="DU29" s="208"/>
      <c r="DV29" s="208"/>
      <c r="DW29" s="208"/>
      <c r="DX29" s="208"/>
      <c r="DY29" s="208"/>
      <c r="DZ29" s="208"/>
      <c r="EA29" s="208"/>
      <c r="EB29" s="208"/>
      <c r="EC29" s="208"/>
      <c r="ED29" s="208"/>
      <c r="EE29" s="208"/>
      <c r="EF29" s="208"/>
      <c r="EG29" s="208"/>
      <c r="EH29" s="208"/>
      <c r="EI29" s="208"/>
      <c r="EJ29" s="208"/>
      <c r="EK29" s="208"/>
      <c r="EL29" s="208"/>
      <c r="EM29" s="208"/>
      <c r="EN29" s="208"/>
      <c r="EO29" s="208"/>
      <c r="EP29" s="208"/>
      <c r="EQ29" s="208"/>
      <c r="ER29" s="208"/>
      <c r="ES29" s="208"/>
      <c r="ET29" s="208"/>
      <c r="EU29" s="208"/>
      <c r="EV29" s="208"/>
      <c r="EW29" s="208"/>
      <c r="EX29" s="208"/>
      <c r="EY29" s="208"/>
      <c r="EZ29" s="208"/>
      <c r="FA29" s="208"/>
      <c r="FB29" s="208"/>
      <c r="FC29" s="208"/>
      <c r="FD29" s="208"/>
      <c r="FE29" s="208"/>
      <c r="FF29" s="208"/>
      <c r="FG29" s="208"/>
      <c r="FH29" s="208"/>
      <c r="FI29" s="208"/>
      <c r="FJ29" s="208"/>
      <c r="FK29" s="208"/>
      <c r="FL29" s="208"/>
      <c r="FM29" s="208"/>
      <c r="FN29" s="208"/>
      <c r="FO29" s="208"/>
      <c r="FP29" s="208"/>
      <c r="FQ29" s="208"/>
      <c r="FR29" s="208"/>
      <c r="FS29" s="208"/>
      <c r="FT29" s="208"/>
      <c r="FU29" s="208"/>
      <c r="FV29" s="208"/>
      <c r="FW29" s="208"/>
      <c r="FX29" s="208"/>
      <c r="FY29" s="208"/>
      <c r="FZ29" s="208"/>
      <c r="GA29" s="208"/>
      <c r="GB29" s="208"/>
      <c r="GC29" s="208"/>
      <c r="GD29" s="208"/>
      <c r="GE29" s="208"/>
      <c r="GF29" s="208"/>
    </row>
    <row r="30" spans="1:188" s="225" customFormat="1" ht="15" x14ac:dyDescent="0.25">
      <c r="A30" s="195" t="s">
        <v>4790</v>
      </c>
      <c r="B30" s="195" t="s">
        <v>2111</v>
      </c>
      <c r="C30" s="196" t="s">
        <v>2112</v>
      </c>
      <c r="D30" s="154" t="s">
        <v>2084</v>
      </c>
      <c r="E30" s="154">
        <v>2050</v>
      </c>
      <c r="F30" s="154">
        <v>0.1</v>
      </c>
      <c r="G30" s="197"/>
      <c r="H30" s="198"/>
      <c r="I30" s="247">
        <v>14.5</v>
      </c>
      <c r="J30" s="152">
        <f t="shared" si="0"/>
        <v>2972.5</v>
      </c>
      <c r="K30" s="198">
        <f>BDI!$B$17</f>
        <v>0.191</v>
      </c>
      <c r="L30" s="198"/>
      <c r="M30" s="198"/>
      <c r="N30" s="153">
        <f t="shared" si="1"/>
        <v>17.27</v>
      </c>
      <c r="O30" s="152">
        <f t="shared" si="2"/>
        <v>3540.35</v>
      </c>
      <c r="Q30" s="208"/>
      <c r="R30" s="208"/>
      <c r="S30"/>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row>
    <row r="31" spans="1:188" s="225" customFormat="1" ht="15" x14ac:dyDescent="0.25">
      <c r="A31" s="195" t="s">
        <v>4791</v>
      </c>
      <c r="B31" s="195" t="s">
        <v>994</v>
      </c>
      <c r="C31" s="196" t="s">
        <v>2847</v>
      </c>
      <c r="D31" s="154" t="s">
        <v>78</v>
      </c>
      <c r="E31" s="154">
        <v>20000</v>
      </c>
      <c r="F31" s="154">
        <v>0.1</v>
      </c>
      <c r="G31" s="197"/>
      <c r="H31" s="198"/>
      <c r="I31" s="151">
        <f>IFERROR(INDEX(Composições!$A$5:$J$8391,MATCH(B31,Composições!$A$5:$A$8391,0)+2,8),"")</f>
        <v>12.0061</v>
      </c>
      <c r="J31" s="152">
        <f t="shared" si="0"/>
        <v>24012.2</v>
      </c>
      <c r="K31" s="198">
        <f>BDI!$B$17</f>
        <v>0.191</v>
      </c>
      <c r="L31" s="198"/>
      <c r="M31" s="198"/>
      <c r="N31" s="153">
        <f t="shared" si="1"/>
        <v>14.3</v>
      </c>
      <c r="O31" s="152">
        <f t="shared" si="2"/>
        <v>28600</v>
      </c>
      <c r="Q31" s="208"/>
      <c r="R31" s="208"/>
      <c r="S31"/>
      <c r="T31" s="208"/>
      <c r="U31" s="208"/>
      <c r="V31" s="208"/>
      <c r="W31" s="208"/>
      <c r="X31" s="208"/>
      <c r="Y31" s="208"/>
      <c r="Z31" s="208"/>
      <c r="AA31" s="208"/>
      <c r="AB31" s="208"/>
      <c r="AC31" s="208"/>
      <c r="AD31" s="208"/>
      <c r="AE31" s="208"/>
      <c r="AF31" s="208"/>
      <c r="AG31" s="208"/>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208"/>
      <c r="CF31" s="208"/>
      <c r="CG31" s="208"/>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8"/>
      <c r="DJ31" s="208"/>
      <c r="DK31" s="208"/>
      <c r="DL31" s="208"/>
      <c r="DM31" s="208"/>
      <c r="DN31" s="208"/>
      <c r="DO31" s="208"/>
      <c r="DP31" s="208"/>
      <c r="DQ31" s="208"/>
      <c r="DR31" s="208"/>
      <c r="DS31" s="208"/>
      <c r="DT31" s="208"/>
      <c r="DU31" s="208"/>
      <c r="DV31" s="208"/>
      <c r="DW31" s="208"/>
      <c r="DX31" s="208"/>
      <c r="DY31" s="208"/>
      <c r="DZ31" s="208"/>
      <c r="EA31" s="208"/>
      <c r="EB31" s="208"/>
      <c r="EC31" s="208"/>
      <c r="ED31" s="208"/>
      <c r="EE31" s="208"/>
      <c r="EF31" s="208"/>
      <c r="EG31" s="208"/>
      <c r="EH31" s="208"/>
      <c r="EI31" s="208"/>
      <c r="EJ31" s="208"/>
      <c r="EK31" s="208"/>
      <c r="EL31" s="208"/>
      <c r="EM31" s="208"/>
      <c r="EN31" s="208"/>
      <c r="EO31" s="208"/>
      <c r="EP31" s="208"/>
      <c r="EQ31" s="208"/>
      <c r="ER31" s="208"/>
      <c r="ES31" s="208"/>
      <c r="ET31" s="208"/>
      <c r="EU31" s="208"/>
      <c r="EV31" s="208"/>
      <c r="EW31" s="208"/>
      <c r="EX31" s="208"/>
      <c r="EY31" s="208"/>
      <c r="EZ31" s="208"/>
      <c r="FA31" s="208"/>
      <c r="FB31" s="208"/>
      <c r="FC31" s="208"/>
      <c r="FD31" s="208"/>
      <c r="FE31" s="208"/>
      <c r="FF31" s="208"/>
      <c r="FG31" s="208"/>
      <c r="FH31" s="208"/>
      <c r="FI31" s="208"/>
      <c r="FJ31" s="208"/>
      <c r="FK31" s="208"/>
      <c r="FL31" s="208"/>
      <c r="FM31" s="208"/>
      <c r="FN31" s="208"/>
      <c r="FO31" s="208"/>
      <c r="FP31" s="208"/>
      <c r="FQ31" s="208"/>
      <c r="FR31" s="208"/>
      <c r="FS31" s="208"/>
      <c r="FT31" s="208"/>
      <c r="FU31" s="208"/>
      <c r="FV31" s="208"/>
      <c r="FW31" s="208"/>
      <c r="FX31" s="208"/>
      <c r="FY31" s="208"/>
      <c r="FZ31" s="208"/>
      <c r="GA31" s="208"/>
      <c r="GB31" s="208"/>
      <c r="GC31" s="208"/>
      <c r="GD31" s="208"/>
      <c r="GE31" s="208"/>
      <c r="GF31" s="208"/>
    </row>
    <row r="32" spans="1:188" s="225" customFormat="1" ht="15" x14ac:dyDescent="0.25">
      <c r="A32" s="195" t="s">
        <v>4792</v>
      </c>
      <c r="B32" s="195" t="s">
        <v>26</v>
      </c>
      <c r="C32" s="196" t="s">
        <v>2035</v>
      </c>
      <c r="D32" s="154" t="s">
        <v>28</v>
      </c>
      <c r="E32" s="154">
        <v>150</v>
      </c>
      <c r="F32" s="154">
        <v>0.1</v>
      </c>
      <c r="G32" s="197"/>
      <c r="H32" s="198"/>
      <c r="I32" s="151">
        <f>IFERROR(INDEX(Composições!$A$5:$J$8391,MATCH(B32,Composições!$A$5:$A$8391,0)+2,8),"")</f>
        <v>2655.81</v>
      </c>
      <c r="J32" s="152">
        <f t="shared" si="0"/>
        <v>39837.15</v>
      </c>
      <c r="K32" s="198">
        <f>BDI!$B$17</f>
        <v>0.191</v>
      </c>
      <c r="L32" s="198"/>
      <c r="M32" s="198"/>
      <c r="N32" s="153">
        <f t="shared" si="1"/>
        <v>3163.07</v>
      </c>
      <c r="O32" s="152">
        <f t="shared" si="2"/>
        <v>47446.05</v>
      </c>
      <c r="Q32" s="208"/>
      <c r="R32" s="208"/>
      <c r="S32"/>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08"/>
      <c r="CU32" s="208"/>
      <c r="CV32" s="208"/>
      <c r="CW32" s="208"/>
      <c r="CX32" s="208"/>
      <c r="CY32" s="208"/>
      <c r="CZ32" s="208"/>
      <c r="DA32" s="208"/>
      <c r="DB32" s="208"/>
      <c r="DC32" s="208"/>
      <c r="DD32" s="208"/>
      <c r="DE32" s="208"/>
      <c r="DF32" s="208"/>
      <c r="DG32" s="208"/>
      <c r="DH32" s="208"/>
      <c r="DI32" s="208"/>
      <c r="DJ32" s="208"/>
      <c r="DK32" s="208"/>
      <c r="DL32" s="208"/>
      <c r="DM32" s="208"/>
      <c r="DN32" s="208"/>
      <c r="DO32" s="208"/>
      <c r="DP32" s="208"/>
      <c r="DQ32" s="208"/>
      <c r="DR32" s="208"/>
      <c r="DS32" s="208"/>
      <c r="DT32" s="208"/>
      <c r="DU32" s="208"/>
      <c r="DV32" s="208"/>
      <c r="DW32" s="208"/>
      <c r="DX32" s="208"/>
      <c r="DY32" s="208"/>
      <c r="DZ32" s="208"/>
      <c r="EA32" s="208"/>
      <c r="EB32" s="208"/>
      <c r="EC32" s="208"/>
      <c r="ED32" s="208"/>
      <c r="EE32" s="208"/>
      <c r="EF32" s="208"/>
      <c r="EG32" s="208"/>
      <c r="EH32" s="208"/>
      <c r="EI32" s="208"/>
      <c r="EJ32" s="208"/>
      <c r="EK32" s="208"/>
      <c r="EL32" s="208"/>
      <c r="EM32" s="208"/>
      <c r="EN32" s="208"/>
      <c r="EO32" s="208"/>
      <c r="EP32" s="208"/>
      <c r="EQ32" s="208"/>
      <c r="ER32" s="208"/>
      <c r="ES32" s="208"/>
      <c r="ET32" s="208"/>
      <c r="EU32" s="208"/>
      <c r="EV32" s="208"/>
      <c r="EW32" s="208"/>
      <c r="EX32" s="208"/>
      <c r="EY32" s="208"/>
      <c r="EZ32" s="208"/>
      <c r="FA32" s="208"/>
      <c r="FB32" s="208"/>
      <c r="FC32" s="208"/>
      <c r="FD32" s="208"/>
      <c r="FE32" s="208"/>
      <c r="FF32" s="208"/>
      <c r="FG32" s="208"/>
      <c r="FH32" s="208"/>
      <c r="FI32" s="208"/>
      <c r="FJ32" s="208"/>
      <c r="FK32" s="208"/>
      <c r="FL32" s="208"/>
      <c r="FM32" s="208"/>
      <c r="FN32" s="208"/>
      <c r="FO32" s="208"/>
      <c r="FP32" s="208"/>
      <c r="FQ32" s="208"/>
      <c r="FR32" s="208"/>
      <c r="FS32" s="208"/>
      <c r="FT32" s="208"/>
      <c r="FU32" s="208"/>
      <c r="FV32" s="208"/>
      <c r="FW32" s="208"/>
      <c r="FX32" s="208"/>
      <c r="FY32" s="208"/>
      <c r="FZ32" s="208"/>
      <c r="GA32" s="208"/>
      <c r="GB32" s="208"/>
      <c r="GC32" s="208"/>
      <c r="GD32" s="208"/>
      <c r="GE32" s="208"/>
      <c r="GF32" s="208"/>
    </row>
    <row r="33" spans="1:188" s="225" customFormat="1" ht="15" x14ac:dyDescent="0.25">
      <c r="A33" s="195" t="s">
        <v>4793</v>
      </c>
      <c r="B33" s="195" t="s">
        <v>2825</v>
      </c>
      <c r="C33" s="196" t="s">
        <v>2826</v>
      </c>
      <c r="D33" s="154" t="s">
        <v>28</v>
      </c>
      <c r="E33" s="154">
        <v>180</v>
      </c>
      <c r="F33" s="154">
        <v>0.1</v>
      </c>
      <c r="G33" s="197"/>
      <c r="H33" s="198"/>
      <c r="I33" s="247">
        <v>675</v>
      </c>
      <c r="J33" s="152">
        <f t="shared" si="0"/>
        <v>12150</v>
      </c>
      <c r="K33" s="198">
        <f>BDI!$B$17</f>
        <v>0.191</v>
      </c>
      <c r="L33" s="198"/>
      <c r="M33" s="198"/>
      <c r="N33" s="153">
        <f t="shared" si="1"/>
        <v>803.93</v>
      </c>
      <c r="O33" s="152">
        <f t="shared" si="2"/>
        <v>14470.74</v>
      </c>
      <c r="Q33" s="208"/>
      <c r="R33" s="208"/>
      <c r="S33"/>
      <c r="T33" s="208"/>
      <c r="U33" s="208"/>
      <c r="V33" s="208"/>
      <c r="W33" s="208"/>
      <c r="X33" s="208"/>
      <c r="Y33" s="208"/>
      <c r="Z33" s="208"/>
      <c r="AA33" s="208"/>
      <c r="AB33" s="208"/>
      <c r="AC33" s="208"/>
      <c r="AD33" s="208"/>
      <c r="AE33" s="208"/>
      <c r="AF33" s="208"/>
      <c r="AG33" s="208"/>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c r="BI33" s="208"/>
      <c r="BJ33" s="208"/>
      <c r="BK33" s="208"/>
      <c r="BL33" s="208"/>
      <c r="BM33" s="208"/>
      <c r="BN33" s="208"/>
      <c r="BO33" s="208"/>
      <c r="BP33" s="208"/>
      <c r="BQ33" s="208"/>
      <c r="BR33" s="208"/>
      <c r="BS33" s="208"/>
      <c r="BT33" s="208"/>
      <c r="BU33" s="208"/>
      <c r="BV33" s="208"/>
      <c r="BW33" s="208"/>
      <c r="BX33" s="208"/>
      <c r="BY33" s="208"/>
      <c r="BZ33" s="208"/>
      <c r="CA33" s="208"/>
      <c r="CB33" s="208"/>
      <c r="CC33" s="208"/>
      <c r="CD33" s="208"/>
      <c r="CE33" s="208"/>
      <c r="CF33" s="208"/>
      <c r="CG33" s="208"/>
      <c r="CH33" s="208"/>
      <c r="CI33" s="208"/>
      <c r="CJ33" s="208"/>
      <c r="CK33" s="208"/>
      <c r="CL33" s="208"/>
      <c r="CM33" s="208"/>
      <c r="CN33" s="208"/>
      <c r="CO33" s="208"/>
      <c r="CP33" s="208"/>
      <c r="CQ33" s="208"/>
      <c r="CR33" s="208"/>
      <c r="CS33" s="208"/>
      <c r="CT33" s="208"/>
      <c r="CU33" s="208"/>
      <c r="CV33" s="208"/>
      <c r="CW33" s="208"/>
      <c r="CX33" s="208"/>
      <c r="CY33" s="208"/>
      <c r="CZ33" s="208"/>
      <c r="DA33" s="208"/>
      <c r="DB33" s="208"/>
      <c r="DC33" s="208"/>
      <c r="DD33" s="208"/>
      <c r="DE33" s="208"/>
      <c r="DF33" s="208"/>
      <c r="DG33" s="208"/>
      <c r="DH33" s="208"/>
      <c r="DI33" s="208"/>
      <c r="DJ33" s="208"/>
      <c r="DK33" s="208"/>
      <c r="DL33" s="208"/>
      <c r="DM33" s="208"/>
      <c r="DN33" s="208"/>
      <c r="DO33" s="208"/>
      <c r="DP33" s="208"/>
      <c r="DQ33" s="208"/>
      <c r="DR33" s="208"/>
      <c r="DS33" s="208"/>
      <c r="DT33" s="208"/>
      <c r="DU33" s="208"/>
      <c r="DV33" s="208"/>
      <c r="DW33" s="208"/>
      <c r="DX33" s="208"/>
      <c r="DY33" s="208"/>
      <c r="DZ33" s="208"/>
      <c r="EA33" s="208"/>
      <c r="EB33" s="208"/>
      <c r="EC33" s="208"/>
      <c r="ED33" s="208"/>
      <c r="EE33" s="208"/>
      <c r="EF33" s="208"/>
      <c r="EG33" s="208"/>
      <c r="EH33" s="208"/>
      <c r="EI33" s="208"/>
      <c r="EJ33" s="208"/>
      <c r="EK33" s="208"/>
      <c r="EL33" s="208"/>
      <c r="EM33" s="208"/>
      <c r="EN33" s="208"/>
      <c r="EO33" s="208"/>
      <c r="EP33" s="208"/>
      <c r="EQ33" s="208"/>
      <c r="ER33" s="208"/>
      <c r="ES33" s="208"/>
      <c r="ET33" s="208"/>
      <c r="EU33" s="208"/>
      <c r="EV33" s="208"/>
      <c r="EW33" s="208"/>
      <c r="EX33" s="208"/>
      <c r="EY33" s="208"/>
      <c r="EZ33" s="208"/>
      <c r="FA33" s="208"/>
      <c r="FB33" s="208"/>
      <c r="FC33" s="208"/>
      <c r="FD33" s="208"/>
      <c r="FE33" s="208"/>
      <c r="FF33" s="208"/>
      <c r="FG33" s="208"/>
      <c r="FH33" s="208"/>
      <c r="FI33" s="208"/>
      <c r="FJ33" s="208"/>
      <c r="FK33" s="208"/>
      <c r="FL33" s="208"/>
      <c r="FM33" s="208"/>
      <c r="FN33" s="208"/>
      <c r="FO33" s="208"/>
      <c r="FP33" s="208"/>
      <c r="FQ33" s="208"/>
      <c r="FR33" s="208"/>
      <c r="FS33" s="208"/>
      <c r="FT33" s="208"/>
      <c r="FU33" s="208"/>
      <c r="FV33" s="208"/>
      <c r="FW33" s="208"/>
      <c r="FX33" s="208"/>
      <c r="FY33" s="208"/>
      <c r="FZ33" s="208"/>
      <c r="GA33" s="208"/>
      <c r="GB33" s="208"/>
      <c r="GC33" s="208"/>
      <c r="GD33" s="208"/>
      <c r="GE33" s="208"/>
      <c r="GF33" s="208"/>
    </row>
    <row r="34" spans="1:188" s="225" customFormat="1" ht="15" x14ac:dyDescent="0.25">
      <c r="A34" s="195" t="s">
        <v>4794</v>
      </c>
      <c r="B34" s="195" t="s">
        <v>3001</v>
      </c>
      <c r="C34" s="196" t="s">
        <v>3002</v>
      </c>
      <c r="D34" s="154" t="s">
        <v>121</v>
      </c>
      <c r="E34" s="154">
        <v>740</v>
      </c>
      <c r="F34" s="154">
        <v>0.1</v>
      </c>
      <c r="G34" s="197"/>
      <c r="H34" s="198"/>
      <c r="I34" s="247">
        <v>60</v>
      </c>
      <c r="J34" s="152">
        <f t="shared" si="0"/>
        <v>4440</v>
      </c>
      <c r="K34" s="198">
        <f>BDI!$B$17</f>
        <v>0.191</v>
      </c>
      <c r="L34" s="198"/>
      <c r="M34" s="198"/>
      <c r="N34" s="153">
        <f t="shared" si="1"/>
        <v>71.459999999999994</v>
      </c>
      <c r="O34" s="152">
        <f t="shared" si="2"/>
        <v>5288.04</v>
      </c>
      <c r="Q34" s="208"/>
      <c r="R34" s="208"/>
      <c r="S34"/>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c r="CL34" s="208"/>
      <c r="CM34" s="208"/>
      <c r="CN34" s="208"/>
      <c r="CO34" s="208"/>
      <c r="CP34" s="208"/>
      <c r="CQ34" s="208"/>
      <c r="CR34" s="208"/>
      <c r="CS34" s="208"/>
      <c r="CT34" s="208"/>
      <c r="CU34" s="208"/>
      <c r="CV34" s="208"/>
      <c r="CW34" s="208"/>
      <c r="CX34" s="208"/>
      <c r="CY34" s="208"/>
      <c r="CZ34" s="208"/>
      <c r="DA34" s="208"/>
      <c r="DB34" s="208"/>
      <c r="DC34" s="208"/>
      <c r="DD34" s="208"/>
      <c r="DE34" s="208"/>
      <c r="DF34" s="208"/>
      <c r="DG34" s="208"/>
      <c r="DH34" s="208"/>
      <c r="DI34" s="208"/>
      <c r="DJ34" s="208"/>
      <c r="DK34" s="208"/>
      <c r="DL34" s="208"/>
      <c r="DM34" s="208"/>
      <c r="DN34" s="208"/>
      <c r="DO34" s="208"/>
      <c r="DP34" s="208"/>
      <c r="DQ34" s="208"/>
      <c r="DR34" s="208"/>
      <c r="DS34" s="208"/>
      <c r="DT34" s="208"/>
      <c r="DU34" s="208"/>
      <c r="DV34" s="208"/>
      <c r="DW34" s="208"/>
      <c r="DX34" s="208"/>
      <c r="DY34" s="208"/>
      <c r="DZ34" s="208"/>
      <c r="EA34" s="208"/>
      <c r="EB34" s="208"/>
      <c r="EC34" s="208"/>
      <c r="ED34" s="208"/>
      <c r="EE34" s="208"/>
      <c r="EF34" s="208"/>
      <c r="EG34" s="208"/>
      <c r="EH34" s="208"/>
      <c r="EI34" s="208"/>
      <c r="EJ34" s="208"/>
      <c r="EK34" s="208"/>
      <c r="EL34" s="208"/>
      <c r="EM34" s="208"/>
      <c r="EN34" s="208"/>
      <c r="EO34" s="208"/>
      <c r="EP34" s="208"/>
      <c r="EQ34" s="208"/>
      <c r="ER34" s="208"/>
      <c r="ES34" s="208"/>
      <c r="ET34" s="208"/>
      <c r="EU34" s="208"/>
      <c r="EV34" s="208"/>
      <c r="EW34" s="208"/>
      <c r="EX34" s="208"/>
      <c r="EY34" s="208"/>
      <c r="EZ34" s="208"/>
      <c r="FA34" s="208"/>
      <c r="FB34" s="208"/>
      <c r="FC34" s="208"/>
      <c r="FD34" s="208"/>
      <c r="FE34" s="208"/>
      <c r="FF34" s="208"/>
      <c r="FG34" s="208"/>
      <c r="FH34" s="208"/>
      <c r="FI34" s="208"/>
      <c r="FJ34" s="208"/>
      <c r="FK34" s="208"/>
      <c r="FL34" s="208"/>
      <c r="FM34" s="208"/>
      <c r="FN34" s="208"/>
      <c r="FO34" s="208"/>
      <c r="FP34" s="208"/>
      <c r="FQ34" s="208"/>
      <c r="FR34" s="208"/>
      <c r="FS34" s="208"/>
      <c r="FT34" s="208"/>
      <c r="FU34" s="208"/>
      <c r="FV34" s="208"/>
      <c r="FW34" s="208"/>
      <c r="FX34" s="208"/>
      <c r="FY34" s="208"/>
      <c r="FZ34" s="208"/>
      <c r="GA34" s="208"/>
      <c r="GB34" s="208"/>
      <c r="GC34" s="208"/>
      <c r="GD34" s="208"/>
      <c r="GE34" s="208"/>
      <c r="GF34" s="208"/>
    </row>
    <row r="35" spans="1:188" s="225" customFormat="1" ht="15" x14ac:dyDescent="0.25">
      <c r="A35" s="195" t="s">
        <v>4795</v>
      </c>
      <c r="B35" s="195" t="s">
        <v>99</v>
      </c>
      <c r="C35" s="196" t="s">
        <v>2128</v>
      </c>
      <c r="D35" s="154" t="s">
        <v>78</v>
      </c>
      <c r="E35" s="154">
        <v>500</v>
      </c>
      <c r="F35" s="154">
        <v>0.1</v>
      </c>
      <c r="G35" s="197"/>
      <c r="H35" s="198"/>
      <c r="I35" s="151">
        <f>IFERROR(INDEX(Composições!$A$5:$J$8391,MATCH(B35,Composições!$A$5:$A$8391,0)+2,8),"")</f>
        <v>183.91630900299998</v>
      </c>
      <c r="J35" s="152">
        <f t="shared" si="0"/>
        <v>9195.82</v>
      </c>
      <c r="K35" s="198">
        <f>BDI!$B$17</f>
        <v>0.191</v>
      </c>
      <c r="L35" s="198"/>
      <c r="M35" s="198"/>
      <c r="N35" s="153">
        <f t="shared" si="1"/>
        <v>219.04</v>
      </c>
      <c r="O35" s="152">
        <f t="shared" si="2"/>
        <v>10952</v>
      </c>
      <c r="Q35" s="208"/>
      <c r="R35" s="208"/>
      <c r="S35"/>
      <c r="T35" s="208"/>
      <c r="U35" s="208"/>
      <c r="V35" s="208"/>
      <c r="W35" s="208"/>
      <c r="X35" s="208"/>
      <c r="Y35" s="208"/>
      <c r="Z35" s="208"/>
      <c r="AA35" s="208"/>
      <c r="AB35" s="208"/>
      <c r="AC35" s="208"/>
      <c r="AD35" s="208"/>
      <c r="AE35" s="208"/>
      <c r="AF35" s="208"/>
      <c r="AG35" s="208"/>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c r="BI35" s="208"/>
      <c r="BJ35" s="208"/>
      <c r="BK35" s="208"/>
      <c r="BL35" s="208"/>
      <c r="BM35" s="208"/>
      <c r="BN35" s="208"/>
      <c r="BO35" s="208"/>
      <c r="BP35" s="208"/>
      <c r="BQ35" s="208"/>
      <c r="BR35" s="208"/>
      <c r="BS35" s="208"/>
      <c r="BT35" s="208"/>
      <c r="BU35" s="208"/>
      <c r="BV35" s="208"/>
      <c r="BW35" s="208"/>
      <c r="BX35" s="208"/>
      <c r="BY35" s="208"/>
      <c r="BZ35" s="208"/>
      <c r="CA35" s="208"/>
      <c r="CB35" s="208"/>
      <c r="CC35" s="208"/>
      <c r="CD35" s="208"/>
      <c r="CE35" s="208"/>
      <c r="CF35" s="208"/>
      <c r="CG35" s="208"/>
      <c r="CH35" s="208"/>
      <c r="CI35" s="208"/>
      <c r="CJ35" s="208"/>
      <c r="CK35" s="208"/>
      <c r="CL35" s="208"/>
      <c r="CM35" s="208"/>
      <c r="CN35" s="208"/>
      <c r="CO35" s="208"/>
      <c r="CP35" s="208"/>
      <c r="CQ35" s="208"/>
      <c r="CR35" s="208"/>
      <c r="CS35" s="208"/>
      <c r="CT35" s="208"/>
      <c r="CU35" s="208"/>
      <c r="CV35" s="208"/>
      <c r="CW35" s="208"/>
      <c r="CX35" s="208"/>
      <c r="CY35" s="208"/>
      <c r="CZ35" s="208"/>
      <c r="DA35" s="208"/>
      <c r="DB35" s="208"/>
      <c r="DC35" s="208"/>
      <c r="DD35" s="208"/>
      <c r="DE35" s="208"/>
      <c r="DF35" s="208"/>
      <c r="DG35" s="208"/>
      <c r="DH35" s="208"/>
      <c r="DI35" s="208"/>
      <c r="DJ35" s="208"/>
      <c r="DK35" s="208"/>
      <c r="DL35" s="208"/>
      <c r="DM35" s="208"/>
      <c r="DN35" s="208"/>
      <c r="DO35" s="208"/>
      <c r="DP35" s="208"/>
      <c r="DQ35" s="208"/>
      <c r="DR35" s="208"/>
      <c r="DS35" s="208"/>
      <c r="DT35" s="208"/>
      <c r="DU35" s="208"/>
      <c r="DV35" s="208"/>
      <c r="DW35" s="208"/>
      <c r="DX35" s="208"/>
      <c r="DY35" s="208"/>
      <c r="DZ35" s="208"/>
      <c r="EA35" s="208"/>
      <c r="EB35" s="208"/>
      <c r="EC35" s="208"/>
      <c r="ED35" s="208"/>
      <c r="EE35" s="208"/>
      <c r="EF35" s="208"/>
      <c r="EG35" s="208"/>
      <c r="EH35" s="208"/>
      <c r="EI35" s="208"/>
      <c r="EJ35" s="208"/>
      <c r="EK35" s="208"/>
      <c r="EL35" s="208"/>
      <c r="EM35" s="208"/>
      <c r="EN35" s="208"/>
      <c r="EO35" s="208"/>
      <c r="EP35" s="208"/>
      <c r="EQ35" s="208"/>
      <c r="ER35" s="208"/>
      <c r="ES35" s="208"/>
      <c r="ET35" s="208"/>
      <c r="EU35" s="208"/>
      <c r="EV35" s="208"/>
      <c r="EW35" s="208"/>
      <c r="EX35" s="208"/>
      <c r="EY35" s="208"/>
      <c r="EZ35" s="208"/>
      <c r="FA35" s="208"/>
      <c r="FB35" s="208"/>
      <c r="FC35" s="208"/>
      <c r="FD35" s="208"/>
      <c r="FE35" s="208"/>
      <c r="FF35" s="208"/>
      <c r="FG35" s="208"/>
      <c r="FH35" s="208"/>
      <c r="FI35" s="208"/>
      <c r="FJ35" s="208"/>
      <c r="FK35" s="208"/>
      <c r="FL35" s="208"/>
      <c r="FM35" s="208"/>
      <c r="FN35" s="208"/>
      <c r="FO35" s="208"/>
      <c r="FP35" s="208"/>
      <c r="FQ35" s="208"/>
      <c r="FR35" s="208"/>
      <c r="FS35" s="208"/>
      <c r="FT35" s="208"/>
      <c r="FU35" s="208"/>
      <c r="FV35" s="208"/>
      <c r="FW35" s="208"/>
      <c r="FX35" s="208"/>
      <c r="FY35" s="208"/>
      <c r="FZ35" s="208"/>
      <c r="GA35" s="208"/>
      <c r="GB35" s="208"/>
      <c r="GC35" s="208"/>
      <c r="GD35" s="208"/>
      <c r="GE35" s="208"/>
      <c r="GF35" s="208"/>
    </row>
    <row r="36" spans="1:188" s="225" customFormat="1" ht="15" x14ac:dyDescent="0.25">
      <c r="A36" s="189" t="s">
        <v>4796</v>
      </c>
      <c r="B36" s="189"/>
      <c r="C36" s="190" t="s">
        <v>4797</v>
      </c>
      <c r="D36" s="191"/>
      <c r="E36" s="191"/>
      <c r="F36" s="191"/>
      <c r="G36" s="192"/>
      <c r="H36" s="193"/>
      <c r="I36" s="246"/>
      <c r="J36" s="194">
        <f>SUBTOTAL(109,J37:J62)</f>
        <v>367962.20000000007</v>
      </c>
      <c r="K36" s="191"/>
      <c r="L36" s="191"/>
      <c r="M36" s="191"/>
      <c r="N36" s="191"/>
      <c r="O36" s="194">
        <f>SUBTOTAL(109,O37:O62)</f>
        <v>438248.78</v>
      </c>
      <c r="Q36" s="208"/>
      <c r="R36" s="208"/>
      <c r="S36"/>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8"/>
      <c r="CJ36" s="208"/>
      <c r="CK36" s="208"/>
      <c r="CL36" s="208"/>
      <c r="CM36" s="208"/>
      <c r="CN36" s="208"/>
      <c r="CO36" s="208"/>
      <c r="CP36" s="208"/>
      <c r="CQ36" s="208"/>
      <c r="CR36" s="208"/>
      <c r="CS36" s="208"/>
      <c r="CT36" s="208"/>
      <c r="CU36" s="208"/>
      <c r="CV36" s="208"/>
      <c r="CW36" s="208"/>
      <c r="CX36" s="208"/>
      <c r="CY36" s="208"/>
      <c r="CZ36" s="208"/>
      <c r="DA36" s="208"/>
      <c r="DB36" s="208"/>
      <c r="DC36" s="208"/>
      <c r="DD36" s="208"/>
      <c r="DE36" s="208"/>
      <c r="DF36" s="208"/>
      <c r="DG36" s="208"/>
      <c r="DH36" s="208"/>
      <c r="DI36" s="208"/>
      <c r="DJ36" s="208"/>
      <c r="DK36" s="208"/>
      <c r="DL36" s="208"/>
      <c r="DM36" s="208"/>
      <c r="DN36" s="208"/>
      <c r="DO36" s="208"/>
      <c r="DP36" s="208"/>
      <c r="DQ36" s="208"/>
      <c r="DR36" s="208"/>
      <c r="DS36" s="208"/>
      <c r="DT36" s="208"/>
      <c r="DU36" s="208"/>
      <c r="DV36" s="208"/>
      <c r="DW36" s="208"/>
      <c r="DX36" s="208"/>
      <c r="DY36" s="208"/>
      <c r="DZ36" s="208"/>
      <c r="EA36" s="208"/>
      <c r="EB36" s="208"/>
      <c r="EC36" s="208"/>
      <c r="ED36" s="208"/>
      <c r="EE36" s="208"/>
      <c r="EF36" s="208"/>
      <c r="EG36" s="208"/>
      <c r="EH36" s="208"/>
      <c r="EI36" s="208"/>
      <c r="EJ36" s="208"/>
      <c r="EK36" s="208"/>
      <c r="EL36" s="208"/>
      <c r="EM36" s="208"/>
      <c r="EN36" s="208"/>
      <c r="EO36" s="208"/>
      <c r="EP36" s="208"/>
      <c r="EQ36" s="208"/>
      <c r="ER36" s="208"/>
      <c r="ES36" s="208"/>
      <c r="ET36" s="208"/>
      <c r="EU36" s="208"/>
      <c r="EV36" s="208"/>
      <c r="EW36" s="208"/>
      <c r="EX36" s="208"/>
      <c r="EY36" s="208"/>
      <c r="EZ36" s="208"/>
      <c r="FA36" s="208"/>
      <c r="FB36" s="208"/>
      <c r="FC36" s="208"/>
      <c r="FD36" s="208"/>
      <c r="FE36" s="208"/>
      <c r="FF36" s="208"/>
      <c r="FG36" s="208"/>
      <c r="FH36" s="208"/>
      <c r="FI36" s="208"/>
      <c r="FJ36" s="208"/>
      <c r="FK36" s="208"/>
      <c r="FL36" s="208"/>
      <c r="FM36" s="208"/>
      <c r="FN36" s="208"/>
      <c r="FO36" s="208"/>
      <c r="FP36" s="208"/>
      <c r="FQ36" s="208"/>
      <c r="FR36" s="208"/>
      <c r="FS36" s="208"/>
      <c r="FT36" s="208"/>
      <c r="FU36" s="208"/>
      <c r="FV36" s="208"/>
      <c r="FW36" s="208"/>
      <c r="FX36" s="208"/>
      <c r="FY36" s="208"/>
      <c r="FZ36" s="208"/>
      <c r="GA36" s="208"/>
      <c r="GB36" s="208"/>
      <c r="GC36" s="208"/>
      <c r="GD36" s="208"/>
      <c r="GE36" s="208"/>
      <c r="GF36" s="208"/>
    </row>
    <row r="37" spans="1:188" s="225" customFormat="1" ht="15" x14ac:dyDescent="0.25">
      <c r="A37" s="195" t="s">
        <v>4798</v>
      </c>
      <c r="B37" s="195" t="s">
        <v>2003</v>
      </c>
      <c r="C37" s="196" t="s">
        <v>3726</v>
      </c>
      <c r="D37" s="154" t="s">
        <v>78</v>
      </c>
      <c r="E37" s="154">
        <v>3000</v>
      </c>
      <c r="F37" s="154">
        <v>0.1</v>
      </c>
      <c r="G37" s="197"/>
      <c r="H37" s="198"/>
      <c r="I37" s="151">
        <f>IFERROR(INDEX(Composições!$A$5:$J$8391,MATCH(B37,Composições!$A$5:$A$8391,0)+2,8),"")</f>
        <v>48.335772949999999</v>
      </c>
      <c r="J37" s="152">
        <f t="shared" ref="J37:J62" si="3">IF(ISNUMBER(I37),ROUND(F37*E37*I37,2),"")</f>
        <v>14500.73</v>
      </c>
      <c r="K37" s="198">
        <f>BDI!$B$17</f>
        <v>0.191</v>
      </c>
      <c r="L37" s="198"/>
      <c r="M37" s="198"/>
      <c r="N37" s="153">
        <f t="shared" ref="N37:N62" si="4">IF(ISNUMBER(I37),ROUND(I37*(1+K37),2),"")</f>
        <v>57.57</v>
      </c>
      <c r="O37" s="152">
        <f t="shared" ref="O37:O62" si="5">IF(ISNUMBER(I37),ROUND(F37*N37*E37,2),"")</f>
        <v>17271</v>
      </c>
      <c r="Q37" s="208"/>
      <c r="R37" s="208"/>
      <c r="S37"/>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row>
    <row r="38" spans="1:188" s="225" customFormat="1" ht="15" x14ac:dyDescent="0.25">
      <c r="A38" s="195" t="s">
        <v>4799</v>
      </c>
      <c r="B38" s="195" t="s">
        <v>2888</v>
      </c>
      <c r="C38" s="196" t="s">
        <v>2889</v>
      </c>
      <c r="D38" s="154" t="s">
        <v>28</v>
      </c>
      <c r="E38" s="154">
        <v>90</v>
      </c>
      <c r="F38" s="154">
        <v>0.1</v>
      </c>
      <c r="G38" s="197"/>
      <c r="H38" s="198"/>
      <c r="I38" s="247">
        <v>1236.1500000000001</v>
      </c>
      <c r="J38" s="152">
        <f t="shared" si="3"/>
        <v>11125.35</v>
      </c>
      <c r="K38" s="198">
        <f>BDI!$B$17</f>
        <v>0.191</v>
      </c>
      <c r="L38" s="198"/>
      <c r="M38" s="198"/>
      <c r="N38" s="153">
        <f t="shared" si="4"/>
        <v>1472.25</v>
      </c>
      <c r="O38" s="152">
        <f t="shared" si="5"/>
        <v>13250.25</v>
      </c>
      <c r="Q38" s="208"/>
      <c r="R38" s="208"/>
      <c r="S3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8"/>
      <c r="DL38" s="208"/>
      <c r="DM38" s="208"/>
      <c r="DN38" s="208"/>
      <c r="DO38" s="208"/>
      <c r="DP38" s="208"/>
      <c r="DQ38" s="208"/>
      <c r="DR38" s="208"/>
      <c r="DS38" s="208"/>
      <c r="DT38" s="208"/>
      <c r="DU38" s="208"/>
      <c r="DV38" s="208"/>
      <c r="DW38" s="208"/>
      <c r="DX38" s="208"/>
      <c r="DY38" s="208"/>
      <c r="DZ38" s="208"/>
      <c r="EA38" s="208"/>
      <c r="EB38" s="208"/>
      <c r="EC38" s="208"/>
      <c r="ED38" s="208"/>
      <c r="EE38" s="208"/>
      <c r="EF38" s="208"/>
      <c r="EG38" s="208"/>
      <c r="EH38" s="208"/>
      <c r="EI38" s="208"/>
      <c r="EJ38" s="208"/>
      <c r="EK38" s="208"/>
      <c r="EL38" s="208"/>
      <c r="EM38" s="208"/>
      <c r="EN38" s="208"/>
      <c r="EO38" s="208"/>
      <c r="EP38" s="208"/>
      <c r="EQ38" s="208"/>
      <c r="ER38" s="208"/>
      <c r="ES38" s="208"/>
      <c r="ET38" s="208"/>
      <c r="EU38" s="208"/>
      <c r="EV38" s="208"/>
      <c r="EW38" s="208"/>
      <c r="EX38" s="208"/>
      <c r="EY38" s="208"/>
      <c r="EZ38" s="208"/>
      <c r="FA38" s="208"/>
      <c r="FB38" s="208"/>
      <c r="FC38" s="208"/>
      <c r="FD38" s="208"/>
      <c r="FE38" s="208"/>
      <c r="FF38" s="208"/>
      <c r="FG38" s="208"/>
      <c r="FH38" s="208"/>
      <c r="FI38" s="208"/>
      <c r="FJ38" s="208"/>
      <c r="FK38" s="208"/>
      <c r="FL38" s="208"/>
      <c r="FM38" s="208"/>
      <c r="FN38" s="208"/>
      <c r="FO38" s="208"/>
      <c r="FP38" s="208"/>
      <c r="FQ38" s="208"/>
      <c r="FR38" s="208"/>
      <c r="FS38" s="208"/>
      <c r="FT38" s="208"/>
      <c r="FU38" s="208"/>
      <c r="FV38" s="208"/>
      <c r="FW38" s="208"/>
      <c r="FX38" s="208"/>
      <c r="FY38" s="208"/>
      <c r="FZ38" s="208"/>
      <c r="GA38" s="208"/>
      <c r="GB38" s="208"/>
      <c r="GC38" s="208"/>
      <c r="GD38" s="208"/>
      <c r="GE38" s="208"/>
      <c r="GF38" s="208"/>
    </row>
    <row r="39" spans="1:188" s="225" customFormat="1" ht="15" x14ac:dyDescent="0.25">
      <c r="A39" s="195" t="s">
        <v>4800</v>
      </c>
      <c r="B39" s="195" t="s">
        <v>2890</v>
      </c>
      <c r="C39" s="196" t="s">
        <v>2891</v>
      </c>
      <c r="D39" s="154" t="s">
        <v>28</v>
      </c>
      <c r="E39" s="154">
        <v>90</v>
      </c>
      <c r="F39" s="154">
        <v>0.1</v>
      </c>
      <c r="G39" s="197"/>
      <c r="H39" s="198"/>
      <c r="I39" s="247">
        <v>1480</v>
      </c>
      <c r="J39" s="152">
        <f t="shared" si="3"/>
        <v>13320</v>
      </c>
      <c r="K39" s="198">
        <f>BDI!$B$17</f>
        <v>0.191</v>
      </c>
      <c r="L39" s="198"/>
      <c r="M39" s="198"/>
      <c r="N39" s="153">
        <f t="shared" si="4"/>
        <v>1762.68</v>
      </c>
      <c r="O39" s="152">
        <f t="shared" si="5"/>
        <v>15864.12</v>
      </c>
      <c r="Q39" s="208"/>
      <c r="R39" s="208"/>
      <c r="S39"/>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8"/>
      <c r="DL39" s="208"/>
      <c r="DM39" s="208"/>
      <c r="DN39" s="208"/>
      <c r="DO39" s="208"/>
      <c r="DP39" s="208"/>
      <c r="DQ39" s="208"/>
      <c r="DR39" s="208"/>
      <c r="DS39" s="208"/>
      <c r="DT39" s="208"/>
      <c r="DU39" s="208"/>
      <c r="DV39" s="208"/>
      <c r="DW39" s="208"/>
      <c r="DX39" s="208"/>
      <c r="DY39" s="208"/>
      <c r="DZ39" s="208"/>
      <c r="EA39" s="208"/>
      <c r="EB39" s="208"/>
      <c r="EC39" s="208"/>
      <c r="ED39" s="208"/>
      <c r="EE39" s="208"/>
      <c r="EF39" s="208"/>
      <c r="EG39" s="208"/>
      <c r="EH39" s="208"/>
      <c r="EI39" s="208"/>
      <c r="EJ39" s="208"/>
      <c r="EK39" s="208"/>
      <c r="EL39" s="208"/>
      <c r="EM39" s="208"/>
      <c r="EN39" s="208"/>
      <c r="EO39" s="208"/>
      <c r="EP39" s="208"/>
      <c r="EQ39" s="208"/>
      <c r="ER39" s="208"/>
      <c r="ES39" s="208"/>
      <c r="ET39" s="208"/>
      <c r="EU39" s="208"/>
      <c r="EV39" s="208"/>
      <c r="EW39" s="208"/>
      <c r="EX39" s="208"/>
      <c r="EY39" s="208"/>
      <c r="EZ39" s="208"/>
      <c r="FA39" s="208"/>
      <c r="FB39" s="208"/>
      <c r="FC39" s="208"/>
      <c r="FD39" s="208"/>
      <c r="FE39" s="208"/>
      <c r="FF39" s="208"/>
      <c r="FG39" s="208"/>
      <c r="FH39" s="208"/>
      <c r="FI39" s="208"/>
      <c r="FJ39" s="208"/>
      <c r="FK39" s="208"/>
      <c r="FL39" s="208"/>
      <c r="FM39" s="208"/>
      <c r="FN39" s="208"/>
      <c r="FO39" s="208"/>
      <c r="FP39" s="208"/>
      <c r="FQ39" s="208"/>
      <c r="FR39" s="208"/>
      <c r="FS39" s="208"/>
      <c r="FT39" s="208"/>
      <c r="FU39" s="208"/>
      <c r="FV39" s="208"/>
      <c r="FW39" s="208"/>
      <c r="FX39" s="208"/>
      <c r="FY39" s="208"/>
      <c r="FZ39" s="208"/>
      <c r="GA39" s="208"/>
      <c r="GB39" s="208"/>
      <c r="GC39" s="208"/>
      <c r="GD39" s="208"/>
      <c r="GE39" s="208"/>
      <c r="GF39" s="208"/>
    </row>
    <row r="40" spans="1:188" s="225" customFormat="1" ht="15" x14ac:dyDescent="0.25">
      <c r="A40" s="195" t="s">
        <v>4801</v>
      </c>
      <c r="B40" s="195" t="s">
        <v>2109</v>
      </c>
      <c r="C40" s="196" t="s">
        <v>2110</v>
      </c>
      <c r="D40" s="154" t="s">
        <v>28</v>
      </c>
      <c r="E40" s="154">
        <v>2160</v>
      </c>
      <c r="F40" s="154">
        <v>0.1</v>
      </c>
      <c r="G40" s="197"/>
      <c r="H40" s="198"/>
      <c r="I40" s="247">
        <v>221</v>
      </c>
      <c r="J40" s="152">
        <f t="shared" si="3"/>
        <v>47736</v>
      </c>
      <c r="K40" s="198">
        <f>BDI!$B$17</f>
        <v>0.191</v>
      </c>
      <c r="L40" s="198"/>
      <c r="M40" s="198"/>
      <c r="N40" s="153">
        <f t="shared" si="4"/>
        <v>263.20999999999998</v>
      </c>
      <c r="O40" s="152">
        <f t="shared" si="5"/>
        <v>56853.36</v>
      </c>
      <c r="Q40" s="208"/>
      <c r="R40" s="208"/>
      <c r="S40"/>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8"/>
      <c r="DL40" s="208"/>
      <c r="DM40" s="208"/>
      <c r="DN40" s="208"/>
      <c r="DO40" s="208"/>
      <c r="DP40" s="208"/>
      <c r="DQ40" s="208"/>
      <c r="DR40" s="208"/>
      <c r="DS40" s="208"/>
      <c r="DT40" s="208"/>
      <c r="DU40" s="208"/>
      <c r="DV40" s="208"/>
      <c r="DW40" s="208"/>
      <c r="DX40" s="208"/>
      <c r="DY40" s="208"/>
      <c r="DZ40" s="208"/>
      <c r="EA40" s="208"/>
      <c r="EB40" s="208"/>
      <c r="EC40" s="208"/>
      <c r="ED40" s="208"/>
      <c r="EE40" s="208"/>
      <c r="EF40" s="208"/>
      <c r="EG40" s="208"/>
      <c r="EH40" s="208"/>
      <c r="EI40" s="208"/>
      <c r="EJ40" s="208"/>
      <c r="EK40" s="208"/>
      <c r="EL40" s="208"/>
      <c r="EM40" s="208"/>
      <c r="EN40" s="208"/>
      <c r="EO40" s="208"/>
      <c r="EP40" s="208"/>
      <c r="EQ40" s="208"/>
      <c r="ER40" s="208"/>
      <c r="ES40" s="208"/>
      <c r="ET40" s="208"/>
      <c r="EU40" s="208"/>
      <c r="EV40" s="208"/>
      <c r="EW40" s="208"/>
      <c r="EX40" s="208"/>
      <c r="EY40" s="208"/>
      <c r="EZ40" s="208"/>
      <c r="FA40" s="208"/>
      <c r="FB40" s="208"/>
      <c r="FC40" s="208"/>
      <c r="FD40" s="208"/>
      <c r="FE40" s="208"/>
      <c r="FF40" s="208"/>
      <c r="FG40" s="208"/>
      <c r="FH40" s="208"/>
      <c r="FI40" s="208"/>
      <c r="FJ40" s="208"/>
      <c r="FK40" s="208"/>
      <c r="FL40" s="208"/>
      <c r="FM40" s="208"/>
      <c r="FN40" s="208"/>
      <c r="FO40" s="208"/>
      <c r="FP40" s="208"/>
      <c r="FQ40" s="208"/>
      <c r="FR40" s="208"/>
      <c r="FS40" s="208"/>
      <c r="FT40" s="208"/>
      <c r="FU40" s="208"/>
      <c r="FV40" s="208"/>
      <c r="FW40" s="208"/>
      <c r="FX40" s="208"/>
      <c r="FY40" s="208"/>
      <c r="FZ40" s="208"/>
      <c r="GA40" s="208"/>
      <c r="GB40" s="208"/>
      <c r="GC40" s="208"/>
      <c r="GD40" s="208"/>
      <c r="GE40" s="208"/>
      <c r="GF40" s="208"/>
    </row>
    <row r="41" spans="1:188" s="225" customFormat="1" ht="15" x14ac:dyDescent="0.25">
      <c r="A41" s="195" t="s">
        <v>4802</v>
      </c>
      <c r="B41" s="195" t="s">
        <v>2090</v>
      </c>
      <c r="C41" s="196" t="s">
        <v>2091</v>
      </c>
      <c r="D41" s="154" t="s">
        <v>28</v>
      </c>
      <c r="E41" s="154">
        <v>500</v>
      </c>
      <c r="F41" s="154">
        <v>0.1</v>
      </c>
      <c r="G41" s="197"/>
      <c r="H41" s="198"/>
      <c r="I41" s="247">
        <v>153.38</v>
      </c>
      <c r="J41" s="152">
        <f t="shared" si="3"/>
        <v>7669</v>
      </c>
      <c r="K41" s="198">
        <f>BDI!$B$17</f>
        <v>0.191</v>
      </c>
      <c r="L41" s="198"/>
      <c r="M41" s="198"/>
      <c r="N41" s="153">
        <f t="shared" si="4"/>
        <v>182.68</v>
      </c>
      <c r="O41" s="152">
        <f t="shared" si="5"/>
        <v>9134</v>
      </c>
      <c r="Q41" s="208"/>
      <c r="R41" s="208"/>
      <c r="S41"/>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8"/>
      <c r="CJ41" s="208"/>
      <c r="CK41" s="208"/>
      <c r="CL41" s="208"/>
      <c r="CM41" s="208"/>
      <c r="CN41" s="208"/>
      <c r="CO41" s="208"/>
      <c r="CP41" s="208"/>
      <c r="CQ41" s="208"/>
      <c r="CR41" s="208"/>
      <c r="CS41" s="208"/>
      <c r="CT41" s="208"/>
      <c r="CU41" s="208"/>
      <c r="CV41" s="208"/>
      <c r="CW41" s="208"/>
      <c r="CX41" s="208"/>
      <c r="CY41" s="208"/>
      <c r="CZ41" s="208"/>
      <c r="DA41" s="208"/>
      <c r="DB41" s="208"/>
      <c r="DC41" s="208"/>
      <c r="DD41" s="208"/>
      <c r="DE41" s="208"/>
      <c r="DF41" s="208"/>
      <c r="DG41" s="208"/>
      <c r="DH41" s="208"/>
      <c r="DI41" s="208"/>
      <c r="DJ41" s="208"/>
      <c r="DK41" s="208"/>
      <c r="DL41" s="208"/>
      <c r="DM41" s="208"/>
      <c r="DN41" s="208"/>
      <c r="DO41" s="208"/>
      <c r="DP41" s="208"/>
      <c r="DQ41" s="208"/>
      <c r="DR41" s="208"/>
      <c r="DS41" s="208"/>
      <c r="DT41" s="208"/>
      <c r="DU41" s="208"/>
      <c r="DV41" s="208"/>
      <c r="DW41" s="208"/>
      <c r="DX41" s="208"/>
      <c r="DY41" s="208"/>
      <c r="DZ41" s="208"/>
      <c r="EA41" s="208"/>
      <c r="EB41" s="208"/>
      <c r="EC41" s="208"/>
      <c r="ED41" s="208"/>
      <c r="EE41" s="208"/>
      <c r="EF41" s="208"/>
      <c r="EG41" s="208"/>
      <c r="EH41" s="208"/>
      <c r="EI41" s="208"/>
      <c r="EJ41" s="208"/>
      <c r="EK41" s="208"/>
      <c r="EL41" s="208"/>
      <c r="EM41" s="208"/>
      <c r="EN41" s="208"/>
      <c r="EO41" s="208"/>
      <c r="EP41" s="208"/>
      <c r="EQ41" s="208"/>
      <c r="ER41" s="208"/>
      <c r="ES41" s="208"/>
      <c r="ET41" s="208"/>
      <c r="EU41" s="208"/>
      <c r="EV41" s="208"/>
      <c r="EW41" s="208"/>
      <c r="EX41" s="208"/>
      <c r="EY41" s="208"/>
      <c r="EZ41" s="208"/>
      <c r="FA41" s="208"/>
      <c r="FB41" s="208"/>
      <c r="FC41" s="208"/>
      <c r="FD41" s="208"/>
      <c r="FE41" s="208"/>
      <c r="FF41" s="208"/>
      <c r="FG41" s="208"/>
      <c r="FH41" s="208"/>
      <c r="FI41" s="208"/>
      <c r="FJ41" s="208"/>
      <c r="FK41" s="208"/>
      <c r="FL41" s="208"/>
      <c r="FM41" s="208"/>
      <c r="FN41" s="208"/>
      <c r="FO41" s="208"/>
      <c r="FP41" s="208"/>
      <c r="FQ41" s="208"/>
      <c r="FR41" s="208"/>
      <c r="FS41" s="208"/>
      <c r="FT41" s="208"/>
      <c r="FU41" s="208"/>
      <c r="FV41" s="208"/>
      <c r="FW41" s="208"/>
      <c r="FX41" s="208"/>
      <c r="FY41" s="208"/>
      <c r="FZ41" s="208"/>
      <c r="GA41" s="208"/>
      <c r="GB41" s="208"/>
      <c r="GC41" s="208"/>
      <c r="GD41" s="208"/>
      <c r="GE41" s="208"/>
      <c r="GF41" s="208"/>
    </row>
    <row r="42" spans="1:188" s="225" customFormat="1" ht="15" x14ac:dyDescent="0.25">
      <c r="A42" s="195" t="s">
        <v>4803</v>
      </c>
      <c r="B42" s="195" t="s">
        <v>2092</v>
      </c>
      <c r="C42" s="196" t="s">
        <v>2093</v>
      </c>
      <c r="D42" s="154" t="s">
        <v>28</v>
      </c>
      <c r="E42" s="154">
        <v>140</v>
      </c>
      <c r="F42" s="154">
        <v>0.1</v>
      </c>
      <c r="G42" s="197"/>
      <c r="H42" s="198"/>
      <c r="I42" s="247">
        <v>403.44</v>
      </c>
      <c r="J42" s="152">
        <f t="shared" si="3"/>
        <v>5648.16</v>
      </c>
      <c r="K42" s="198">
        <f>BDI!$B$17</f>
        <v>0.191</v>
      </c>
      <c r="L42" s="198"/>
      <c r="M42" s="198"/>
      <c r="N42" s="153">
        <f t="shared" si="4"/>
        <v>480.5</v>
      </c>
      <c r="O42" s="152">
        <f t="shared" si="5"/>
        <v>6727</v>
      </c>
      <c r="Q42" s="208"/>
      <c r="R42" s="208"/>
      <c r="S42"/>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8"/>
      <c r="DL42" s="208"/>
      <c r="DM42" s="208"/>
      <c r="DN42" s="208"/>
      <c r="DO42" s="208"/>
      <c r="DP42" s="208"/>
      <c r="DQ42" s="208"/>
      <c r="DR42" s="208"/>
      <c r="DS42" s="208"/>
      <c r="DT42" s="208"/>
      <c r="DU42" s="208"/>
      <c r="DV42" s="208"/>
      <c r="DW42" s="208"/>
      <c r="DX42" s="208"/>
      <c r="DY42" s="208"/>
      <c r="DZ42" s="208"/>
      <c r="EA42" s="208"/>
      <c r="EB42" s="208"/>
      <c r="EC42" s="208"/>
      <c r="ED42" s="208"/>
      <c r="EE42" s="208"/>
      <c r="EF42" s="208"/>
      <c r="EG42" s="208"/>
      <c r="EH42" s="208"/>
      <c r="EI42" s="208"/>
      <c r="EJ42" s="208"/>
      <c r="EK42" s="208"/>
      <c r="EL42" s="208"/>
      <c r="EM42" s="208"/>
      <c r="EN42" s="208"/>
      <c r="EO42" s="208"/>
      <c r="EP42" s="208"/>
      <c r="EQ42" s="208"/>
      <c r="ER42" s="208"/>
      <c r="ES42" s="208"/>
      <c r="ET42" s="208"/>
      <c r="EU42" s="208"/>
      <c r="EV42" s="208"/>
      <c r="EW42" s="208"/>
      <c r="EX42" s="208"/>
      <c r="EY42" s="208"/>
      <c r="EZ42" s="208"/>
      <c r="FA42" s="208"/>
      <c r="FB42" s="208"/>
      <c r="FC42" s="208"/>
      <c r="FD42" s="208"/>
      <c r="FE42" s="208"/>
      <c r="FF42" s="208"/>
      <c r="FG42" s="208"/>
      <c r="FH42" s="208"/>
      <c r="FI42" s="208"/>
      <c r="FJ42" s="208"/>
      <c r="FK42" s="208"/>
      <c r="FL42" s="208"/>
      <c r="FM42" s="208"/>
      <c r="FN42" s="208"/>
      <c r="FO42" s="208"/>
      <c r="FP42" s="208"/>
      <c r="FQ42" s="208"/>
      <c r="FR42" s="208"/>
      <c r="FS42" s="208"/>
      <c r="FT42" s="208"/>
      <c r="FU42" s="208"/>
      <c r="FV42" s="208"/>
      <c r="FW42" s="208"/>
      <c r="FX42" s="208"/>
      <c r="FY42" s="208"/>
      <c r="FZ42" s="208"/>
      <c r="GA42" s="208"/>
      <c r="GB42" s="208"/>
      <c r="GC42" s="208"/>
      <c r="GD42" s="208"/>
      <c r="GE42" s="208"/>
      <c r="GF42" s="208"/>
    </row>
    <row r="43" spans="1:188" s="225" customFormat="1" ht="15" x14ac:dyDescent="0.25">
      <c r="A43" s="195" t="s">
        <v>4804</v>
      </c>
      <c r="B43" s="195" t="s">
        <v>2079</v>
      </c>
      <c r="C43" s="196" t="s">
        <v>2080</v>
      </c>
      <c r="D43" s="154" t="s">
        <v>28</v>
      </c>
      <c r="E43" s="154">
        <v>140</v>
      </c>
      <c r="F43" s="154">
        <v>0.1</v>
      </c>
      <c r="G43" s="197"/>
      <c r="H43" s="198"/>
      <c r="I43" s="247">
        <v>548.51</v>
      </c>
      <c r="J43" s="152">
        <f t="shared" si="3"/>
        <v>7679.14</v>
      </c>
      <c r="K43" s="198">
        <f>BDI!$B$17</f>
        <v>0.191</v>
      </c>
      <c r="L43" s="198"/>
      <c r="M43" s="198"/>
      <c r="N43" s="153">
        <f t="shared" si="4"/>
        <v>653.28</v>
      </c>
      <c r="O43" s="152">
        <f t="shared" si="5"/>
        <v>9145.92</v>
      </c>
      <c r="Q43" s="208"/>
      <c r="R43" s="208"/>
      <c r="S43"/>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8"/>
      <c r="DL43" s="208"/>
      <c r="DM43" s="208"/>
      <c r="DN43" s="208"/>
      <c r="DO43" s="208"/>
      <c r="DP43" s="208"/>
      <c r="DQ43" s="208"/>
      <c r="DR43" s="208"/>
      <c r="DS43" s="208"/>
      <c r="DT43" s="208"/>
      <c r="DU43" s="208"/>
      <c r="DV43" s="208"/>
      <c r="DW43" s="208"/>
      <c r="DX43" s="208"/>
      <c r="DY43" s="208"/>
      <c r="DZ43" s="208"/>
      <c r="EA43" s="208"/>
      <c r="EB43" s="208"/>
      <c r="EC43" s="208"/>
      <c r="ED43" s="208"/>
      <c r="EE43" s="208"/>
      <c r="EF43" s="208"/>
      <c r="EG43" s="208"/>
      <c r="EH43" s="208"/>
      <c r="EI43" s="208"/>
      <c r="EJ43" s="208"/>
      <c r="EK43" s="208"/>
      <c r="EL43" s="208"/>
      <c r="EM43" s="208"/>
      <c r="EN43" s="208"/>
      <c r="EO43" s="208"/>
      <c r="EP43" s="208"/>
      <c r="EQ43" s="208"/>
      <c r="ER43" s="208"/>
      <c r="ES43" s="208"/>
      <c r="ET43" s="208"/>
      <c r="EU43" s="208"/>
      <c r="EV43" s="208"/>
      <c r="EW43" s="208"/>
      <c r="EX43" s="208"/>
      <c r="EY43" s="208"/>
      <c r="EZ43" s="208"/>
      <c r="FA43" s="208"/>
      <c r="FB43" s="208"/>
      <c r="FC43" s="208"/>
      <c r="FD43" s="208"/>
      <c r="FE43" s="208"/>
      <c r="FF43" s="208"/>
      <c r="FG43" s="208"/>
      <c r="FH43" s="208"/>
      <c r="FI43" s="208"/>
      <c r="FJ43" s="208"/>
      <c r="FK43" s="208"/>
      <c r="FL43" s="208"/>
      <c r="FM43" s="208"/>
      <c r="FN43" s="208"/>
      <c r="FO43" s="208"/>
      <c r="FP43" s="208"/>
      <c r="FQ43" s="208"/>
      <c r="FR43" s="208"/>
      <c r="FS43" s="208"/>
      <c r="FT43" s="208"/>
      <c r="FU43" s="208"/>
      <c r="FV43" s="208"/>
      <c r="FW43" s="208"/>
      <c r="FX43" s="208"/>
      <c r="FY43" s="208"/>
      <c r="FZ43" s="208"/>
      <c r="GA43" s="208"/>
      <c r="GB43" s="208"/>
      <c r="GC43" s="208"/>
      <c r="GD43" s="208"/>
      <c r="GE43" s="208"/>
      <c r="GF43" s="208"/>
    </row>
    <row r="44" spans="1:188" s="225" customFormat="1" ht="15" x14ac:dyDescent="0.25">
      <c r="A44" s="195" t="s">
        <v>4805</v>
      </c>
      <c r="B44" s="195" t="s">
        <v>2113</v>
      </c>
      <c r="C44" s="196" t="s">
        <v>2114</v>
      </c>
      <c r="D44" s="154" t="s">
        <v>28</v>
      </c>
      <c r="E44" s="154">
        <v>360</v>
      </c>
      <c r="F44" s="154">
        <v>0.1</v>
      </c>
      <c r="G44" s="197"/>
      <c r="H44" s="198"/>
      <c r="I44" s="247">
        <v>127.08</v>
      </c>
      <c r="J44" s="152">
        <f t="shared" si="3"/>
        <v>4574.88</v>
      </c>
      <c r="K44" s="198">
        <f>BDI!$B$17</f>
        <v>0.191</v>
      </c>
      <c r="L44" s="198"/>
      <c r="M44" s="198"/>
      <c r="N44" s="153">
        <f t="shared" si="4"/>
        <v>151.35</v>
      </c>
      <c r="O44" s="152">
        <f t="shared" si="5"/>
        <v>5448.6</v>
      </c>
      <c r="Q44" s="208"/>
      <c r="R44" s="208"/>
      <c r="S44"/>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8"/>
      <c r="DL44" s="208"/>
      <c r="DM44" s="208"/>
      <c r="DN44" s="208"/>
      <c r="DO44" s="208"/>
      <c r="DP44" s="208"/>
      <c r="DQ44" s="208"/>
      <c r="DR44" s="208"/>
      <c r="DS44" s="208"/>
      <c r="DT44" s="208"/>
      <c r="DU44" s="208"/>
      <c r="DV44" s="208"/>
      <c r="DW44" s="208"/>
      <c r="DX44" s="208"/>
      <c r="DY44" s="208"/>
      <c r="DZ44" s="208"/>
      <c r="EA44" s="208"/>
      <c r="EB44" s="208"/>
      <c r="EC44" s="208"/>
      <c r="ED44" s="208"/>
      <c r="EE44" s="208"/>
      <c r="EF44" s="208"/>
      <c r="EG44" s="208"/>
      <c r="EH44" s="208"/>
      <c r="EI44" s="208"/>
      <c r="EJ44" s="208"/>
      <c r="EK44" s="208"/>
      <c r="EL44" s="208"/>
      <c r="EM44" s="208"/>
      <c r="EN44" s="208"/>
      <c r="EO44" s="208"/>
      <c r="EP44" s="208"/>
      <c r="EQ44" s="208"/>
      <c r="ER44" s="208"/>
      <c r="ES44" s="208"/>
      <c r="ET44" s="208"/>
      <c r="EU44" s="208"/>
      <c r="EV44" s="208"/>
      <c r="EW44" s="208"/>
      <c r="EX44" s="208"/>
      <c r="EY44" s="208"/>
      <c r="EZ44" s="208"/>
      <c r="FA44" s="208"/>
      <c r="FB44" s="208"/>
      <c r="FC44" s="208"/>
      <c r="FD44" s="208"/>
      <c r="FE44" s="208"/>
      <c r="FF44" s="208"/>
      <c r="FG44" s="208"/>
      <c r="FH44" s="208"/>
      <c r="FI44" s="208"/>
      <c r="FJ44" s="208"/>
      <c r="FK44" s="208"/>
      <c r="FL44" s="208"/>
      <c r="FM44" s="208"/>
      <c r="FN44" s="208"/>
      <c r="FO44" s="208"/>
      <c r="FP44" s="208"/>
      <c r="FQ44" s="208"/>
      <c r="FR44" s="208"/>
      <c r="FS44" s="208"/>
      <c r="FT44" s="208"/>
      <c r="FU44" s="208"/>
      <c r="FV44" s="208"/>
      <c r="FW44" s="208"/>
      <c r="FX44" s="208"/>
      <c r="FY44" s="208"/>
      <c r="FZ44" s="208"/>
      <c r="GA44" s="208"/>
      <c r="GB44" s="208"/>
      <c r="GC44" s="208"/>
      <c r="GD44" s="208"/>
      <c r="GE44" s="208"/>
      <c r="GF44" s="208"/>
    </row>
    <row r="45" spans="1:188" s="225" customFormat="1" ht="15" x14ac:dyDescent="0.25">
      <c r="A45" s="195" t="s">
        <v>4806</v>
      </c>
      <c r="B45" s="195" t="s">
        <v>2095</v>
      </c>
      <c r="C45" s="196" t="s">
        <v>2096</v>
      </c>
      <c r="D45" s="154" t="s">
        <v>28</v>
      </c>
      <c r="E45" s="154">
        <v>110</v>
      </c>
      <c r="F45" s="154">
        <v>0.1</v>
      </c>
      <c r="G45" s="197"/>
      <c r="H45" s="198"/>
      <c r="I45" s="247">
        <v>450.01</v>
      </c>
      <c r="J45" s="152">
        <f t="shared" si="3"/>
        <v>4950.1099999999997</v>
      </c>
      <c r="K45" s="198">
        <f>BDI!$B$17</f>
        <v>0.191</v>
      </c>
      <c r="L45" s="198"/>
      <c r="M45" s="198"/>
      <c r="N45" s="153">
        <f t="shared" si="4"/>
        <v>535.96</v>
      </c>
      <c r="O45" s="152">
        <f t="shared" si="5"/>
        <v>5895.56</v>
      </c>
      <c r="Q45" s="208"/>
      <c r="R45" s="208"/>
      <c r="S45"/>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8"/>
      <c r="DL45" s="208"/>
      <c r="DM45" s="208"/>
      <c r="DN45" s="208"/>
      <c r="DO45" s="208"/>
      <c r="DP45" s="208"/>
      <c r="DQ45" s="208"/>
      <c r="DR45" s="208"/>
      <c r="DS45" s="208"/>
      <c r="DT45" s="208"/>
      <c r="DU45" s="208"/>
      <c r="DV45" s="208"/>
      <c r="DW45" s="208"/>
      <c r="DX45" s="208"/>
      <c r="DY45" s="208"/>
      <c r="DZ45" s="208"/>
      <c r="EA45" s="208"/>
      <c r="EB45" s="208"/>
      <c r="EC45" s="208"/>
      <c r="ED45" s="208"/>
      <c r="EE45" s="208"/>
      <c r="EF45" s="208"/>
      <c r="EG45" s="208"/>
      <c r="EH45" s="208"/>
      <c r="EI45" s="208"/>
      <c r="EJ45" s="208"/>
      <c r="EK45" s="208"/>
      <c r="EL45" s="208"/>
      <c r="EM45" s="208"/>
      <c r="EN45" s="208"/>
      <c r="EO45" s="208"/>
      <c r="EP45" s="208"/>
      <c r="EQ45" s="208"/>
      <c r="ER45" s="208"/>
      <c r="ES45" s="208"/>
      <c r="ET45" s="208"/>
      <c r="EU45" s="208"/>
      <c r="EV45" s="208"/>
      <c r="EW45" s="208"/>
      <c r="EX45" s="208"/>
      <c r="EY45" s="208"/>
      <c r="EZ45" s="208"/>
      <c r="FA45" s="208"/>
      <c r="FB45" s="208"/>
      <c r="FC45" s="208"/>
      <c r="FD45" s="208"/>
      <c r="FE45" s="208"/>
      <c r="FF45" s="208"/>
      <c r="FG45" s="208"/>
      <c r="FH45" s="208"/>
      <c r="FI45" s="208"/>
      <c r="FJ45" s="208"/>
      <c r="FK45" s="208"/>
      <c r="FL45" s="208"/>
      <c r="FM45" s="208"/>
      <c r="FN45" s="208"/>
      <c r="FO45" s="208"/>
      <c r="FP45" s="208"/>
      <c r="FQ45" s="208"/>
      <c r="FR45" s="208"/>
      <c r="FS45" s="208"/>
      <c r="FT45" s="208"/>
      <c r="FU45" s="208"/>
      <c r="FV45" s="208"/>
      <c r="FW45" s="208"/>
      <c r="FX45" s="208"/>
      <c r="FY45" s="208"/>
      <c r="FZ45" s="208"/>
      <c r="GA45" s="208"/>
      <c r="GB45" s="208"/>
      <c r="GC45" s="208"/>
      <c r="GD45" s="208"/>
      <c r="GE45" s="208"/>
      <c r="GF45" s="208"/>
    </row>
    <row r="46" spans="1:188" s="225" customFormat="1" ht="15" x14ac:dyDescent="0.25">
      <c r="A46" s="195" t="s">
        <v>4807</v>
      </c>
      <c r="B46" s="195" t="s">
        <v>2103</v>
      </c>
      <c r="C46" s="196" t="s">
        <v>2104</v>
      </c>
      <c r="D46" s="154" t="s">
        <v>28</v>
      </c>
      <c r="E46" s="154">
        <v>270</v>
      </c>
      <c r="F46" s="154">
        <v>0.1</v>
      </c>
      <c r="G46" s="197"/>
      <c r="H46" s="198"/>
      <c r="I46" s="247">
        <v>498.14</v>
      </c>
      <c r="J46" s="152">
        <f t="shared" si="3"/>
        <v>13449.78</v>
      </c>
      <c r="K46" s="198">
        <f>BDI!$B$17</f>
        <v>0.191</v>
      </c>
      <c r="L46" s="198"/>
      <c r="M46" s="198"/>
      <c r="N46" s="153">
        <f t="shared" si="4"/>
        <v>593.28</v>
      </c>
      <c r="O46" s="152">
        <f t="shared" si="5"/>
        <v>16018.56</v>
      </c>
      <c r="Q46" s="208"/>
      <c r="R46" s="208"/>
      <c r="S46"/>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8"/>
      <c r="DL46" s="208"/>
      <c r="DM46" s="208"/>
      <c r="DN46" s="208"/>
      <c r="DO46" s="208"/>
      <c r="DP46" s="208"/>
      <c r="DQ46" s="208"/>
      <c r="DR46" s="208"/>
      <c r="DS46" s="208"/>
      <c r="DT46" s="208"/>
      <c r="DU46" s="208"/>
      <c r="DV46" s="208"/>
      <c r="DW46" s="208"/>
      <c r="DX46" s="208"/>
      <c r="DY46" s="208"/>
      <c r="DZ46" s="208"/>
      <c r="EA46" s="208"/>
      <c r="EB46" s="208"/>
      <c r="EC46" s="208"/>
      <c r="ED46" s="208"/>
      <c r="EE46" s="208"/>
      <c r="EF46" s="208"/>
      <c r="EG46" s="208"/>
      <c r="EH46" s="208"/>
      <c r="EI46" s="208"/>
      <c r="EJ46" s="208"/>
      <c r="EK46" s="208"/>
      <c r="EL46" s="208"/>
      <c r="EM46" s="208"/>
      <c r="EN46" s="208"/>
      <c r="EO46" s="208"/>
      <c r="EP46" s="208"/>
      <c r="EQ46" s="208"/>
      <c r="ER46" s="208"/>
      <c r="ES46" s="208"/>
      <c r="ET46" s="208"/>
      <c r="EU46" s="208"/>
      <c r="EV46" s="208"/>
      <c r="EW46" s="208"/>
      <c r="EX46" s="208"/>
      <c r="EY46" s="208"/>
      <c r="EZ46" s="208"/>
      <c r="FA46" s="208"/>
      <c r="FB46" s="208"/>
      <c r="FC46" s="208"/>
      <c r="FD46" s="208"/>
      <c r="FE46" s="208"/>
      <c r="FF46" s="208"/>
      <c r="FG46" s="208"/>
      <c r="FH46" s="208"/>
      <c r="FI46" s="208"/>
      <c r="FJ46" s="208"/>
      <c r="FK46" s="208"/>
      <c r="FL46" s="208"/>
      <c r="FM46" s="208"/>
      <c r="FN46" s="208"/>
      <c r="FO46" s="208"/>
      <c r="FP46" s="208"/>
      <c r="FQ46" s="208"/>
      <c r="FR46" s="208"/>
      <c r="FS46" s="208"/>
      <c r="FT46" s="208"/>
      <c r="FU46" s="208"/>
      <c r="FV46" s="208"/>
      <c r="FW46" s="208"/>
      <c r="FX46" s="208"/>
      <c r="FY46" s="208"/>
      <c r="FZ46" s="208"/>
      <c r="GA46" s="208"/>
      <c r="GB46" s="208"/>
      <c r="GC46" s="208"/>
      <c r="GD46" s="208"/>
      <c r="GE46" s="208"/>
      <c r="GF46" s="208"/>
    </row>
    <row r="47" spans="1:188" s="225" customFormat="1" ht="15" x14ac:dyDescent="0.25">
      <c r="A47" s="195" t="s">
        <v>4808</v>
      </c>
      <c r="B47" s="195" t="s">
        <v>2107</v>
      </c>
      <c r="C47" s="196" t="s">
        <v>2108</v>
      </c>
      <c r="D47" s="154" t="s">
        <v>28</v>
      </c>
      <c r="E47" s="154">
        <v>270</v>
      </c>
      <c r="F47" s="154">
        <v>0.1</v>
      </c>
      <c r="G47" s="197"/>
      <c r="H47" s="198"/>
      <c r="I47" s="247">
        <v>105.84</v>
      </c>
      <c r="J47" s="152">
        <f t="shared" si="3"/>
        <v>2857.68</v>
      </c>
      <c r="K47" s="198">
        <f>BDI!$B$17</f>
        <v>0.191</v>
      </c>
      <c r="L47" s="198"/>
      <c r="M47" s="198"/>
      <c r="N47" s="153">
        <f t="shared" si="4"/>
        <v>126.06</v>
      </c>
      <c r="O47" s="152">
        <f t="shared" si="5"/>
        <v>3403.62</v>
      </c>
      <c r="Q47" s="208"/>
      <c r="R47" s="208"/>
      <c r="S47"/>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8"/>
      <c r="DL47" s="208"/>
      <c r="DM47" s="208"/>
      <c r="DN47" s="208"/>
      <c r="DO47" s="208"/>
      <c r="DP47" s="208"/>
      <c r="DQ47" s="208"/>
      <c r="DR47" s="208"/>
      <c r="DS47" s="208"/>
      <c r="DT47" s="208"/>
      <c r="DU47" s="208"/>
      <c r="DV47" s="208"/>
      <c r="DW47" s="208"/>
      <c r="DX47" s="208"/>
      <c r="DY47" s="208"/>
      <c r="DZ47" s="208"/>
      <c r="EA47" s="208"/>
      <c r="EB47" s="208"/>
      <c r="EC47" s="208"/>
      <c r="ED47" s="208"/>
      <c r="EE47" s="208"/>
      <c r="EF47" s="208"/>
      <c r="EG47" s="208"/>
      <c r="EH47" s="208"/>
      <c r="EI47" s="208"/>
      <c r="EJ47" s="208"/>
      <c r="EK47" s="208"/>
      <c r="EL47" s="208"/>
      <c r="EM47" s="208"/>
      <c r="EN47" s="208"/>
      <c r="EO47" s="208"/>
      <c r="EP47" s="208"/>
      <c r="EQ47" s="208"/>
      <c r="ER47" s="208"/>
      <c r="ES47" s="208"/>
      <c r="ET47" s="208"/>
      <c r="EU47" s="208"/>
      <c r="EV47" s="208"/>
      <c r="EW47" s="208"/>
      <c r="EX47" s="208"/>
      <c r="EY47" s="208"/>
      <c r="EZ47" s="208"/>
      <c r="FA47" s="208"/>
      <c r="FB47" s="208"/>
      <c r="FC47" s="208"/>
      <c r="FD47" s="208"/>
      <c r="FE47" s="208"/>
      <c r="FF47" s="208"/>
      <c r="FG47" s="208"/>
      <c r="FH47" s="208"/>
      <c r="FI47" s="208"/>
      <c r="FJ47" s="208"/>
      <c r="FK47" s="208"/>
      <c r="FL47" s="208"/>
      <c r="FM47" s="208"/>
      <c r="FN47" s="208"/>
      <c r="FO47" s="208"/>
      <c r="FP47" s="208"/>
      <c r="FQ47" s="208"/>
      <c r="FR47" s="208"/>
      <c r="FS47" s="208"/>
      <c r="FT47" s="208"/>
      <c r="FU47" s="208"/>
      <c r="FV47" s="208"/>
      <c r="FW47" s="208"/>
      <c r="FX47" s="208"/>
      <c r="FY47" s="208"/>
      <c r="FZ47" s="208"/>
      <c r="GA47" s="208"/>
      <c r="GB47" s="208"/>
      <c r="GC47" s="208"/>
      <c r="GD47" s="208"/>
      <c r="GE47" s="208"/>
      <c r="GF47" s="208"/>
    </row>
    <row r="48" spans="1:188" s="225" customFormat="1" ht="15" x14ac:dyDescent="0.25">
      <c r="A48" s="195" t="s">
        <v>4809</v>
      </c>
      <c r="B48" s="195" t="s">
        <v>2105</v>
      </c>
      <c r="C48" s="196" t="s">
        <v>2106</v>
      </c>
      <c r="D48" s="154" t="s">
        <v>28</v>
      </c>
      <c r="E48" s="154">
        <v>140</v>
      </c>
      <c r="F48" s="154">
        <v>0.1</v>
      </c>
      <c r="G48" s="197"/>
      <c r="H48" s="198"/>
      <c r="I48" s="247">
        <v>197.01</v>
      </c>
      <c r="J48" s="152">
        <f t="shared" si="3"/>
        <v>2758.14</v>
      </c>
      <c r="K48" s="198">
        <f>BDI!$B$17</f>
        <v>0.191</v>
      </c>
      <c r="L48" s="198"/>
      <c r="M48" s="198"/>
      <c r="N48" s="153">
        <f t="shared" si="4"/>
        <v>234.64</v>
      </c>
      <c r="O48" s="152">
        <f t="shared" si="5"/>
        <v>3284.96</v>
      </c>
      <c r="Q48" s="208"/>
      <c r="R48" s="208"/>
      <c r="S4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8"/>
      <c r="DL48" s="208"/>
      <c r="DM48" s="208"/>
      <c r="DN48" s="208"/>
      <c r="DO48" s="208"/>
      <c r="DP48" s="208"/>
      <c r="DQ48" s="208"/>
      <c r="DR48" s="208"/>
      <c r="DS48" s="208"/>
      <c r="DT48" s="208"/>
      <c r="DU48" s="208"/>
      <c r="DV48" s="208"/>
      <c r="DW48" s="208"/>
      <c r="DX48" s="208"/>
      <c r="DY48" s="208"/>
      <c r="DZ48" s="208"/>
      <c r="EA48" s="208"/>
      <c r="EB48" s="208"/>
      <c r="EC48" s="208"/>
      <c r="ED48" s="208"/>
      <c r="EE48" s="208"/>
      <c r="EF48" s="208"/>
      <c r="EG48" s="208"/>
      <c r="EH48" s="208"/>
      <c r="EI48" s="208"/>
      <c r="EJ48" s="208"/>
      <c r="EK48" s="208"/>
      <c r="EL48" s="208"/>
      <c r="EM48" s="208"/>
      <c r="EN48" s="208"/>
      <c r="EO48" s="208"/>
      <c r="EP48" s="208"/>
      <c r="EQ48" s="208"/>
      <c r="ER48" s="208"/>
      <c r="ES48" s="208"/>
      <c r="ET48" s="208"/>
      <c r="EU48" s="208"/>
      <c r="EV48" s="208"/>
      <c r="EW48" s="208"/>
      <c r="EX48" s="208"/>
      <c r="EY48" s="208"/>
      <c r="EZ48" s="208"/>
      <c r="FA48" s="208"/>
      <c r="FB48" s="208"/>
      <c r="FC48" s="208"/>
      <c r="FD48" s="208"/>
      <c r="FE48" s="208"/>
      <c r="FF48" s="208"/>
      <c r="FG48" s="208"/>
      <c r="FH48" s="208"/>
      <c r="FI48" s="208"/>
      <c r="FJ48" s="208"/>
      <c r="FK48" s="208"/>
      <c r="FL48" s="208"/>
      <c r="FM48" s="208"/>
      <c r="FN48" s="208"/>
      <c r="FO48" s="208"/>
      <c r="FP48" s="208"/>
      <c r="FQ48" s="208"/>
      <c r="FR48" s="208"/>
      <c r="FS48" s="208"/>
      <c r="FT48" s="208"/>
      <c r="FU48" s="208"/>
      <c r="FV48" s="208"/>
      <c r="FW48" s="208"/>
      <c r="FX48" s="208"/>
      <c r="FY48" s="208"/>
      <c r="FZ48" s="208"/>
      <c r="GA48" s="208"/>
      <c r="GB48" s="208"/>
      <c r="GC48" s="208"/>
      <c r="GD48" s="208"/>
      <c r="GE48" s="208"/>
      <c r="GF48" s="208"/>
    </row>
    <row r="49" spans="1:188" s="225" customFormat="1" ht="15" x14ac:dyDescent="0.25">
      <c r="A49" s="195" t="s">
        <v>4810</v>
      </c>
      <c r="B49" s="195" t="s">
        <v>2116</v>
      </c>
      <c r="C49" s="196" t="s">
        <v>2117</v>
      </c>
      <c r="D49" s="154" t="s">
        <v>28</v>
      </c>
      <c r="E49" s="154">
        <v>110</v>
      </c>
      <c r="F49" s="154">
        <v>0.1</v>
      </c>
      <c r="G49" s="197"/>
      <c r="H49" s="198"/>
      <c r="I49" s="247">
        <v>460.01</v>
      </c>
      <c r="J49" s="152">
        <f t="shared" si="3"/>
        <v>5060.1099999999997</v>
      </c>
      <c r="K49" s="198">
        <f>BDI!$B$17</f>
        <v>0.191</v>
      </c>
      <c r="L49" s="198"/>
      <c r="M49" s="198"/>
      <c r="N49" s="153">
        <f t="shared" si="4"/>
        <v>547.87</v>
      </c>
      <c r="O49" s="152">
        <f t="shared" si="5"/>
        <v>6026.57</v>
      </c>
      <c r="Q49" s="208"/>
      <c r="R49" s="208"/>
      <c r="S49"/>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8"/>
      <c r="CJ49" s="208"/>
      <c r="CK49" s="208"/>
      <c r="CL49" s="208"/>
      <c r="CM49" s="208"/>
      <c r="CN49" s="208"/>
      <c r="CO49" s="208"/>
      <c r="CP49" s="208"/>
      <c r="CQ49" s="208"/>
      <c r="CR49" s="208"/>
      <c r="CS49" s="208"/>
      <c r="CT49" s="208"/>
      <c r="CU49" s="208"/>
      <c r="CV49" s="208"/>
      <c r="CW49" s="208"/>
      <c r="CX49" s="208"/>
      <c r="CY49" s="208"/>
      <c r="CZ49" s="208"/>
      <c r="DA49" s="208"/>
      <c r="DB49" s="208"/>
      <c r="DC49" s="208"/>
      <c r="DD49" s="208"/>
      <c r="DE49" s="208"/>
      <c r="DF49" s="208"/>
      <c r="DG49" s="208"/>
      <c r="DH49" s="208"/>
      <c r="DI49" s="208"/>
      <c r="DJ49" s="208"/>
      <c r="DK49" s="208"/>
      <c r="DL49" s="208"/>
      <c r="DM49" s="208"/>
      <c r="DN49" s="208"/>
      <c r="DO49" s="208"/>
      <c r="DP49" s="208"/>
      <c r="DQ49" s="208"/>
      <c r="DR49" s="208"/>
      <c r="DS49" s="208"/>
      <c r="DT49" s="208"/>
      <c r="DU49" s="208"/>
      <c r="DV49" s="208"/>
      <c r="DW49" s="208"/>
      <c r="DX49" s="208"/>
      <c r="DY49" s="208"/>
      <c r="DZ49" s="208"/>
      <c r="EA49" s="208"/>
      <c r="EB49" s="208"/>
      <c r="EC49" s="208"/>
      <c r="ED49" s="208"/>
      <c r="EE49" s="208"/>
      <c r="EF49" s="208"/>
      <c r="EG49" s="208"/>
      <c r="EH49" s="208"/>
      <c r="EI49" s="208"/>
      <c r="EJ49" s="208"/>
      <c r="EK49" s="208"/>
      <c r="EL49" s="208"/>
      <c r="EM49" s="208"/>
      <c r="EN49" s="208"/>
      <c r="EO49" s="208"/>
      <c r="EP49" s="208"/>
      <c r="EQ49" s="208"/>
      <c r="ER49" s="208"/>
      <c r="ES49" s="208"/>
      <c r="ET49" s="208"/>
      <c r="EU49" s="208"/>
      <c r="EV49" s="208"/>
      <c r="EW49" s="208"/>
      <c r="EX49" s="208"/>
      <c r="EY49" s="208"/>
      <c r="EZ49" s="208"/>
      <c r="FA49" s="208"/>
      <c r="FB49" s="208"/>
      <c r="FC49" s="208"/>
      <c r="FD49" s="208"/>
      <c r="FE49" s="208"/>
      <c r="FF49" s="208"/>
      <c r="FG49" s="208"/>
      <c r="FH49" s="208"/>
      <c r="FI49" s="208"/>
      <c r="FJ49" s="208"/>
      <c r="FK49" s="208"/>
      <c r="FL49" s="208"/>
      <c r="FM49" s="208"/>
      <c r="FN49" s="208"/>
      <c r="FO49" s="208"/>
      <c r="FP49" s="208"/>
      <c r="FQ49" s="208"/>
      <c r="FR49" s="208"/>
      <c r="FS49" s="208"/>
      <c r="FT49" s="208"/>
      <c r="FU49" s="208"/>
      <c r="FV49" s="208"/>
      <c r="FW49" s="208"/>
      <c r="FX49" s="208"/>
      <c r="FY49" s="208"/>
      <c r="FZ49" s="208"/>
      <c r="GA49" s="208"/>
      <c r="GB49" s="208"/>
      <c r="GC49" s="208"/>
      <c r="GD49" s="208"/>
      <c r="GE49" s="208"/>
      <c r="GF49" s="208"/>
    </row>
    <row r="50" spans="1:188" s="225" customFormat="1" ht="15" x14ac:dyDescent="0.25">
      <c r="A50" s="195" t="s">
        <v>4811</v>
      </c>
      <c r="B50" s="195" t="s">
        <v>2118</v>
      </c>
      <c r="C50" s="196" t="s">
        <v>2119</v>
      </c>
      <c r="D50" s="154" t="s">
        <v>28</v>
      </c>
      <c r="E50" s="154">
        <v>40</v>
      </c>
      <c r="F50" s="154">
        <v>0.1</v>
      </c>
      <c r="G50" s="197"/>
      <c r="H50" s="198"/>
      <c r="I50" s="247">
        <v>1187</v>
      </c>
      <c r="J50" s="152">
        <f t="shared" si="3"/>
        <v>4748</v>
      </c>
      <c r="K50" s="198">
        <f>BDI!$B$17</f>
        <v>0.191</v>
      </c>
      <c r="L50" s="198"/>
      <c r="M50" s="198"/>
      <c r="N50" s="153">
        <f t="shared" si="4"/>
        <v>1413.72</v>
      </c>
      <c r="O50" s="152">
        <f t="shared" si="5"/>
        <v>5654.88</v>
      </c>
      <c r="Q50" s="208"/>
      <c r="R50" s="208"/>
      <c r="S50"/>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8"/>
      <c r="CJ50" s="208"/>
      <c r="CK50" s="208"/>
      <c r="CL50" s="208"/>
      <c r="CM50" s="208"/>
      <c r="CN50" s="208"/>
      <c r="CO50" s="208"/>
      <c r="CP50" s="208"/>
      <c r="CQ50" s="208"/>
      <c r="CR50" s="208"/>
      <c r="CS50" s="208"/>
      <c r="CT50" s="208"/>
      <c r="CU50" s="208"/>
      <c r="CV50" s="208"/>
      <c r="CW50" s="208"/>
      <c r="CX50" s="208"/>
      <c r="CY50" s="208"/>
      <c r="CZ50" s="208"/>
      <c r="DA50" s="208"/>
      <c r="DB50" s="208"/>
      <c r="DC50" s="208"/>
      <c r="DD50" s="208"/>
      <c r="DE50" s="208"/>
      <c r="DF50" s="208"/>
      <c r="DG50" s="208"/>
      <c r="DH50" s="208"/>
      <c r="DI50" s="208"/>
      <c r="DJ50" s="208"/>
      <c r="DK50" s="208"/>
      <c r="DL50" s="208"/>
      <c r="DM50" s="208"/>
      <c r="DN50" s="208"/>
      <c r="DO50" s="208"/>
      <c r="DP50" s="208"/>
      <c r="DQ50" s="208"/>
      <c r="DR50" s="208"/>
      <c r="DS50" s="208"/>
      <c r="DT50" s="208"/>
      <c r="DU50" s="208"/>
      <c r="DV50" s="208"/>
      <c r="DW50" s="208"/>
      <c r="DX50" s="208"/>
      <c r="DY50" s="208"/>
      <c r="DZ50" s="208"/>
      <c r="EA50" s="208"/>
      <c r="EB50" s="208"/>
      <c r="EC50" s="208"/>
      <c r="ED50" s="208"/>
      <c r="EE50" s="208"/>
      <c r="EF50" s="208"/>
      <c r="EG50" s="208"/>
      <c r="EH50" s="208"/>
      <c r="EI50" s="208"/>
      <c r="EJ50" s="208"/>
      <c r="EK50" s="208"/>
      <c r="EL50" s="208"/>
      <c r="EM50" s="208"/>
      <c r="EN50" s="208"/>
      <c r="EO50" s="208"/>
      <c r="EP50" s="208"/>
      <c r="EQ50" s="208"/>
      <c r="ER50" s="208"/>
      <c r="ES50" s="208"/>
      <c r="ET50" s="208"/>
      <c r="EU50" s="208"/>
      <c r="EV50" s="208"/>
      <c r="EW50" s="208"/>
      <c r="EX50" s="208"/>
      <c r="EY50" s="208"/>
      <c r="EZ50" s="208"/>
      <c r="FA50" s="208"/>
      <c r="FB50" s="208"/>
      <c r="FC50" s="208"/>
      <c r="FD50" s="208"/>
      <c r="FE50" s="208"/>
      <c r="FF50" s="208"/>
      <c r="FG50" s="208"/>
      <c r="FH50" s="208"/>
      <c r="FI50" s="208"/>
      <c r="FJ50" s="208"/>
      <c r="FK50" s="208"/>
      <c r="FL50" s="208"/>
      <c r="FM50" s="208"/>
      <c r="FN50" s="208"/>
      <c r="FO50" s="208"/>
      <c r="FP50" s="208"/>
      <c r="FQ50" s="208"/>
      <c r="FR50" s="208"/>
      <c r="FS50" s="208"/>
      <c r="FT50" s="208"/>
      <c r="FU50" s="208"/>
      <c r="FV50" s="208"/>
      <c r="FW50" s="208"/>
      <c r="FX50" s="208"/>
      <c r="FY50" s="208"/>
      <c r="FZ50" s="208"/>
      <c r="GA50" s="208"/>
      <c r="GB50" s="208"/>
      <c r="GC50" s="208"/>
      <c r="GD50" s="208"/>
      <c r="GE50" s="208"/>
      <c r="GF50" s="208"/>
    </row>
    <row r="51" spans="1:188" s="225" customFormat="1" ht="15" x14ac:dyDescent="0.25">
      <c r="A51" s="195" t="s">
        <v>4812</v>
      </c>
      <c r="B51" s="195" t="s">
        <v>2085</v>
      </c>
      <c r="C51" s="196" t="s">
        <v>2086</v>
      </c>
      <c r="D51" s="154" t="s">
        <v>121</v>
      </c>
      <c r="E51" s="154">
        <v>6000</v>
      </c>
      <c r="F51" s="154">
        <v>0.1</v>
      </c>
      <c r="G51" s="197"/>
      <c r="H51" s="198"/>
      <c r="I51" s="247">
        <v>17.18</v>
      </c>
      <c r="J51" s="152">
        <f t="shared" si="3"/>
        <v>10308</v>
      </c>
      <c r="K51" s="198">
        <f>BDI!$B$17</f>
        <v>0.191</v>
      </c>
      <c r="L51" s="198"/>
      <c r="M51" s="198"/>
      <c r="N51" s="153">
        <f t="shared" si="4"/>
        <v>20.46</v>
      </c>
      <c r="O51" s="152">
        <f t="shared" si="5"/>
        <v>12276</v>
      </c>
      <c r="Q51" s="208"/>
      <c r="R51" s="208"/>
      <c r="S51"/>
      <c r="T51" s="208"/>
      <c r="U51" s="208"/>
      <c r="V51" s="208"/>
      <c r="W51" s="208"/>
      <c r="X51" s="208"/>
      <c r="Y51" s="208"/>
      <c r="Z51" s="208"/>
      <c r="AA51" s="208"/>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8"/>
      <c r="BR51" s="208"/>
      <c r="BS51" s="208"/>
      <c r="BT51" s="208"/>
      <c r="BU51" s="208"/>
      <c r="BV51" s="208"/>
      <c r="BW51" s="208"/>
      <c r="BX51" s="208"/>
      <c r="BY51" s="208"/>
      <c r="BZ51" s="208"/>
      <c r="CA51" s="208"/>
      <c r="CB51" s="208"/>
      <c r="CC51" s="208"/>
      <c r="CD51" s="208"/>
      <c r="CE51" s="208"/>
      <c r="CF51" s="208"/>
      <c r="CG51" s="208"/>
      <c r="CH51" s="208"/>
      <c r="CI51" s="208"/>
      <c r="CJ51" s="208"/>
      <c r="CK51" s="208"/>
      <c r="CL51" s="208"/>
      <c r="CM51" s="208"/>
      <c r="CN51" s="208"/>
      <c r="CO51" s="208"/>
      <c r="CP51" s="208"/>
      <c r="CQ51" s="208"/>
      <c r="CR51" s="208"/>
      <c r="CS51" s="208"/>
      <c r="CT51" s="208"/>
      <c r="CU51" s="208"/>
      <c r="CV51" s="208"/>
      <c r="CW51" s="208"/>
      <c r="CX51" s="208"/>
      <c r="CY51" s="208"/>
      <c r="CZ51" s="208"/>
      <c r="DA51" s="208"/>
      <c r="DB51" s="208"/>
      <c r="DC51" s="208"/>
      <c r="DD51" s="208"/>
      <c r="DE51" s="208"/>
      <c r="DF51" s="208"/>
      <c r="DG51" s="208"/>
      <c r="DH51" s="208"/>
      <c r="DI51" s="208"/>
      <c r="DJ51" s="208"/>
      <c r="DK51" s="208"/>
      <c r="DL51" s="208"/>
      <c r="DM51" s="208"/>
      <c r="DN51" s="208"/>
      <c r="DO51" s="208"/>
      <c r="DP51" s="208"/>
      <c r="DQ51" s="208"/>
      <c r="DR51" s="208"/>
      <c r="DS51" s="208"/>
      <c r="DT51" s="208"/>
      <c r="DU51" s="208"/>
      <c r="DV51" s="208"/>
      <c r="DW51" s="208"/>
      <c r="DX51" s="208"/>
      <c r="DY51" s="208"/>
      <c r="DZ51" s="208"/>
      <c r="EA51" s="208"/>
      <c r="EB51" s="208"/>
      <c r="EC51" s="208"/>
      <c r="ED51" s="208"/>
      <c r="EE51" s="208"/>
      <c r="EF51" s="208"/>
      <c r="EG51" s="208"/>
      <c r="EH51" s="208"/>
      <c r="EI51" s="208"/>
      <c r="EJ51" s="208"/>
      <c r="EK51" s="208"/>
      <c r="EL51" s="208"/>
      <c r="EM51" s="208"/>
      <c r="EN51" s="208"/>
      <c r="EO51" s="208"/>
      <c r="EP51" s="208"/>
      <c r="EQ51" s="208"/>
      <c r="ER51" s="208"/>
      <c r="ES51" s="208"/>
      <c r="ET51" s="208"/>
      <c r="EU51" s="208"/>
      <c r="EV51" s="208"/>
      <c r="EW51" s="208"/>
      <c r="EX51" s="208"/>
      <c r="EY51" s="208"/>
      <c r="EZ51" s="208"/>
      <c r="FA51" s="208"/>
      <c r="FB51" s="208"/>
      <c r="FC51" s="208"/>
      <c r="FD51" s="208"/>
      <c r="FE51" s="208"/>
      <c r="FF51" s="208"/>
      <c r="FG51" s="208"/>
      <c r="FH51" s="208"/>
      <c r="FI51" s="208"/>
      <c r="FJ51" s="208"/>
      <c r="FK51" s="208"/>
      <c r="FL51" s="208"/>
      <c r="FM51" s="208"/>
      <c r="FN51" s="208"/>
      <c r="FO51" s="208"/>
      <c r="FP51" s="208"/>
      <c r="FQ51" s="208"/>
      <c r="FR51" s="208"/>
      <c r="FS51" s="208"/>
      <c r="FT51" s="208"/>
      <c r="FU51" s="208"/>
      <c r="FV51" s="208"/>
      <c r="FW51" s="208"/>
      <c r="FX51" s="208"/>
      <c r="FY51" s="208"/>
      <c r="FZ51" s="208"/>
      <c r="GA51" s="208"/>
      <c r="GB51" s="208"/>
      <c r="GC51" s="208"/>
      <c r="GD51" s="208"/>
      <c r="GE51" s="208"/>
      <c r="GF51" s="208"/>
    </row>
    <row r="52" spans="1:188" s="225" customFormat="1" ht="15" x14ac:dyDescent="0.25">
      <c r="A52" s="195" t="s">
        <v>4813</v>
      </c>
      <c r="B52" s="195" t="s">
        <v>74</v>
      </c>
      <c r="C52" s="196" t="s">
        <v>2087</v>
      </c>
      <c r="D52" s="154" t="s">
        <v>121</v>
      </c>
      <c r="E52" s="154">
        <v>4000</v>
      </c>
      <c r="F52" s="154">
        <v>0.1</v>
      </c>
      <c r="G52" s="197"/>
      <c r="H52" s="198"/>
      <c r="I52" s="151">
        <f>IFERROR(INDEX(Composições!$A$5:$J$8391,MATCH(B52,Composições!$A$5:$A$8391,0)+2,8),"")</f>
        <v>6.0579599999999996</v>
      </c>
      <c r="J52" s="152">
        <f t="shared" si="3"/>
        <v>2423.1799999999998</v>
      </c>
      <c r="K52" s="198">
        <f>BDI!$B$17</f>
        <v>0.191</v>
      </c>
      <c r="L52" s="198"/>
      <c r="M52" s="198"/>
      <c r="N52" s="153">
        <f t="shared" si="4"/>
        <v>7.22</v>
      </c>
      <c r="O52" s="152">
        <f t="shared" si="5"/>
        <v>2888</v>
      </c>
      <c r="Q52" s="208"/>
      <c r="R52" s="208"/>
      <c r="S52"/>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c r="CL52" s="208"/>
      <c r="CM52" s="208"/>
      <c r="CN52" s="208"/>
      <c r="CO52" s="208"/>
      <c r="CP52" s="208"/>
      <c r="CQ52" s="208"/>
      <c r="CR52" s="208"/>
      <c r="CS52" s="208"/>
      <c r="CT52" s="208"/>
      <c r="CU52" s="208"/>
      <c r="CV52" s="208"/>
      <c r="CW52" s="208"/>
      <c r="CX52" s="208"/>
      <c r="CY52" s="208"/>
      <c r="CZ52" s="208"/>
      <c r="DA52" s="208"/>
      <c r="DB52" s="208"/>
      <c r="DC52" s="208"/>
      <c r="DD52" s="208"/>
      <c r="DE52" s="208"/>
      <c r="DF52" s="208"/>
      <c r="DG52" s="208"/>
      <c r="DH52" s="208"/>
      <c r="DI52" s="208"/>
      <c r="DJ52" s="208"/>
      <c r="DK52" s="208"/>
      <c r="DL52" s="208"/>
      <c r="DM52" s="208"/>
      <c r="DN52" s="208"/>
      <c r="DO52" s="208"/>
      <c r="DP52" s="208"/>
      <c r="DQ52" s="208"/>
      <c r="DR52" s="208"/>
      <c r="DS52" s="208"/>
      <c r="DT52" s="208"/>
      <c r="DU52" s="208"/>
      <c r="DV52" s="208"/>
      <c r="DW52" s="208"/>
      <c r="DX52" s="208"/>
      <c r="DY52" s="208"/>
      <c r="DZ52" s="208"/>
      <c r="EA52" s="208"/>
      <c r="EB52" s="208"/>
      <c r="EC52" s="208"/>
      <c r="ED52" s="208"/>
      <c r="EE52" s="208"/>
      <c r="EF52" s="208"/>
      <c r="EG52" s="208"/>
      <c r="EH52" s="208"/>
      <c r="EI52" s="208"/>
      <c r="EJ52" s="208"/>
      <c r="EK52" s="208"/>
      <c r="EL52" s="208"/>
      <c r="EM52" s="208"/>
      <c r="EN52" s="208"/>
      <c r="EO52" s="208"/>
      <c r="EP52" s="208"/>
      <c r="EQ52" s="208"/>
      <c r="ER52" s="208"/>
      <c r="ES52" s="208"/>
      <c r="ET52" s="208"/>
      <c r="EU52" s="208"/>
      <c r="EV52" s="208"/>
      <c r="EW52" s="208"/>
      <c r="EX52" s="208"/>
      <c r="EY52" s="208"/>
      <c r="EZ52" s="208"/>
      <c r="FA52" s="208"/>
      <c r="FB52" s="208"/>
      <c r="FC52" s="208"/>
      <c r="FD52" s="208"/>
      <c r="FE52" s="208"/>
      <c r="FF52" s="208"/>
      <c r="FG52" s="208"/>
      <c r="FH52" s="208"/>
      <c r="FI52" s="208"/>
      <c r="FJ52" s="208"/>
      <c r="FK52" s="208"/>
      <c r="FL52" s="208"/>
      <c r="FM52" s="208"/>
      <c r="FN52" s="208"/>
      <c r="FO52" s="208"/>
      <c r="FP52" s="208"/>
      <c r="FQ52" s="208"/>
      <c r="FR52" s="208"/>
      <c r="FS52" s="208"/>
      <c r="FT52" s="208"/>
      <c r="FU52" s="208"/>
      <c r="FV52" s="208"/>
      <c r="FW52" s="208"/>
      <c r="FX52" s="208"/>
      <c r="FY52" s="208"/>
      <c r="FZ52" s="208"/>
      <c r="GA52" s="208"/>
      <c r="GB52" s="208"/>
      <c r="GC52" s="208"/>
      <c r="GD52" s="208"/>
      <c r="GE52" s="208"/>
      <c r="GF52" s="208"/>
    </row>
    <row r="53" spans="1:188" s="225" customFormat="1" ht="15" x14ac:dyDescent="0.25">
      <c r="A53" s="195" t="s">
        <v>4814</v>
      </c>
      <c r="B53" s="195" t="s">
        <v>2099</v>
      </c>
      <c r="C53" s="196" t="s">
        <v>2100</v>
      </c>
      <c r="D53" s="154" t="s">
        <v>28</v>
      </c>
      <c r="E53" s="154">
        <v>1010</v>
      </c>
      <c r="F53" s="154">
        <v>0.1</v>
      </c>
      <c r="G53" s="197"/>
      <c r="H53" s="198"/>
      <c r="I53" s="247">
        <v>176.14</v>
      </c>
      <c r="J53" s="152">
        <f t="shared" si="3"/>
        <v>17790.14</v>
      </c>
      <c r="K53" s="198">
        <f>BDI!$B$17</f>
        <v>0.191</v>
      </c>
      <c r="L53" s="198"/>
      <c r="M53" s="198"/>
      <c r="N53" s="153">
        <f t="shared" si="4"/>
        <v>209.78</v>
      </c>
      <c r="O53" s="152">
        <f t="shared" si="5"/>
        <v>21187.78</v>
      </c>
      <c r="Q53" s="208"/>
      <c r="R53" s="208"/>
      <c r="S53"/>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c r="BI53" s="208"/>
      <c r="BJ53" s="208"/>
      <c r="BK53" s="208"/>
      <c r="BL53" s="208"/>
      <c r="BM53" s="208"/>
      <c r="BN53" s="208"/>
      <c r="BO53" s="208"/>
      <c r="BP53" s="208"/>
      <c r="BQ53" s="208"/>
      <c r="BR53" s="208"/>
      <c r="BS53" s="208"/>
      <c r="BT53" s="208"/>
      <c r="BU53" s="208"/>
      <c r="BV53" s="208"/>
      <c r="BW53" s="208"/>
      <c r="BX53" s="208"/>
      <c r="BY53" s="208"/>
      <c r="BZ53" s="208"/>
      <c r="CA53" s="208"/>
      <c r="CB53" s="208"/>
      <c r="CC53" s="208"/>
      <c r="CD53" s="208"/>
      <c r="CE53" s="208"/>
      <c r="CF53" s="208"/>
      <c r="CG53" s="208"/>
      <c r="CH53" s="208"/>
      <c r="CI53" s="208"/>
      <c r="CJ53" s="208"/>
      <c r="CK53" s="208"/>
      <c r="CL53" s="208"/>
      <c r="CM53" s="208"/>
      <c r="CN53" s="208"/>
      <c r="CO53" s="208"/>
      <c r="CP53" s="208"/>
      <c r="CQ53" s="208"/>
      <c r="CR53" s="208"/>
      <c r="CS53" s="208"/>
      <c r="CT53" s="208"/>
      <c r="CU53" s="208"/>
      <c r="CV53" s="208"/>
      <c r="CW53" s="208"/>
      <c r="CX53" s="208"/>
      <c r="CY53" s="208"/>
      <c r="CZ53" s="208"/>
      <c r="DA53" s="208"/>
      <c r="DB53" s="208"/>
      <c r="DC53" s="208"/>
      <c r="DD53" s="208"/>
      <c r="DE53" s="208"/>
      <c r="DF53" s="208"/>
      <c r="DG53" s="208"/>
      <c r="DH53" s="208"/>
      <c r="DI53" s="208"/>
      <c r="DJ53" s="208"/>
      <c r="DK53" s="208"/>
      <c r="DL53" s="208"/>
      <c r="DM53" s="208"/>
      <c r="DN53" s="208"/>
      <c r="DO53" s="208"/>
      <c r="DP53" s="208"/>
      <c r="DQ53" s="208"/>
      <c r="DR53" s="208"/>
      <c r="DS53" s="208"/>
      <c r="DT53" s="208"/>
      <c r="DU53" s="208"/>
      <c r="DV53" s="208"/>
      <c r="DW53" s="208"/>
      <c r="DX53" s="208"/>
      <c r="DY53" s="208"/>
      <c r="DZ53" s="208"/>
      <c r="EA53" s="208"/>
      <c r="EB53" s="208"/>
      <c r="EC53" s="208"/>
      <c r="ED53" s="208"/>
      <c r="EE53" s="208"/>
      <c r="EF53" s="208"/>
      <c r="EG53" s="208"/>
      <c r="EH53" s="208"/>
      <c r="EI53" s="208"/>
      <c r="EJ53" s="208"/>
      <c r="EK53" s="208"/>
      <c r="EL53" s="208"/>
      <c r="EM53" s="208"/>
      <c r="EN53" s="208"/>
      <c r="EO53" s="208"/>
      <c r="EP53" s="208"/>
      <c r="EQ53" s="208"/>
      <c r="ER53" s="208"/>
      <c r="ES53" s="208"/>
      <c r="ET53" s="208"/>
      <c r="EU53" s="208"/>
      <c r="EV53" s="208"/>
      <c r="EW53" s="208"/>
      <c r="EX53" s="208"/>
      <c r="EY53" s="208"/>
      <c r="EZ53" s="208"/>
      <c r="FA53" s="208"/>
      <c r="FB53" s="208"/>
      <c r="FC53" s="208"/>
      <c r="FD53" s="208"/>
      <c r="FE53" s="208"/>
      <c r="FF53" s="208"/>
      <c r="FG53" s="208"/>
      <c r="FH53" s="208"/>
      <c r="FI53" s="208"/>
      <c r="FJ53" s="208"/>
      <c r="FK53" s="208"/>
      <c r="FL53" s="208"/>
      <c r="FM53" s="208"/>
      <c r="FN53" s="208"/>
      <c r="FO53" s="208"/>
      <c r="FP53" s="208"/>
      <c r="FQ53" s="208"/>
      <c r="FR53" s="208"/>
      <c r="FS53" s="208"/>
      <c r="FT53" s="208"/>
      <c r="FU53" s="208"/>
      <c r="FV53" s="208"/>
      <c r="FW53" s="208"/>
      <c r="FX53" s="208"/>
      <c r="FY53" s="208"/>
      <c r="FZ53" s="208"/>
      <c r="GA53" s="208"/>
      <c r="GB53" s="208"/>
      <c r="GC53" s="208"/>
      <c r="GD53" s="208"/>
      <c r="GE53" s="208"/>
      <c r="GF53" s="208"/>
    </row>
    <row r="54" spans="1:188" s="225" customFormat="1" ht="15" x14ac:dyDescent="0.25">
      <c r="A54" s="195" t="s">
        <v>4815</v>
      </c>
      <c r="B54" s="195" t="s">
        <v>2101</v>
      </c>
      <c r="C54" s="196" t="s">
        <v>2102</v>
      </c>
      <c r="D54" s="154" t="s">
        <v>28</v>
      </c>
      <c r="E54" s="154">
        <v>330</v>
      </c>
      <c r="F54" s="154">
        <v>0.1</v>
      </c>
      <c r="G54" s="197"/>
      <c r="H54" s="198"/>
      <c r="I54" s="247">
        <v>45.89</v>
      </c>
      <c r="J54" s="152">
        <f t="shared" si="3"/>
        <v>1514.37</v>
      </c>
      <c r="K54" s="198">
        <f>BDI!$B$17</f>
        <v>0.191</v>
      </c>
      <c r="L54" s="198"/>
      <c r="M54" s="198"/>
      <c r="N54" s="153">
        <f t="shared" si="4"/>
        <v>54.65</v>
      </c>
      <c r="O54" s="152">
        <f t="shared" si="5"/>
        <v>1803.45</v>
      </c>
      <c r="Q54" s="208"/>
      <c r="R54" s="208"/>
      <c r="S54"/>
      <c r="T54" s="208"/>
      <c r="U54" s="208"/>
      <c r="V54" s="208"/>
      <c r="W54" s="208"/>
      <c r="X54" s="208"/>
      <c r="Y54" s="208"/>
      <c r="Z54" s="208"/>
      <c r="AA54" s="208"/>
      <c r="AB54" s="208"/>
      <c r="AC54" s="208"/>
      <c r="AD54" s="208"/>
      <c r="AE54" s="208"/>
      <c r="AF54" s="208"/>
      <c r="AG54" s="208"/>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8"/>
      <c r="DL54" s="208"/>
      <c r="DM54" s="208"/>
      <c r="DN54" s="208"/>
      <c r="DO54" s="208"/>
      <c r="DP54" s="208"/>
      <c r="DQ54" s="208"/>
      <c r="DR54" s="208"/>
      <c r="DS54" s="208"/>
      <c r="DT54" s="208"/>
      <c r="DU54" s="208"/>
      <c r="DV54" s="208"/>
      <c r="DW54" s="208"/>
      <c r="DX54" s="208"/>
      <c r="DY54" s="208"/>
      <c r="DZ54" s="208"/>
      <c r="EA54" s="208"/>
      <c r="EB54" s="208"/>
      <c r="EC54" s="208"/>
      <c r="ED54" s="208"/>
      <c r="EE54" s="208"/>
      <c r="EF54" s="208"/>
      <c r="EG54" s="208"/>
      <c r="EH54" s="208"/>
      <c r="EI54" s="208"/>
      <c r="EJ54" s="208"/>
      <c r="EK54" s="208"/>
      <c r="EL54" s="208"/>
      <c r="EM54" s="208"/>
      <c r="EN54" s="208"/>
      <c r="EO54" s="208"/>
      <c r="EP54" s="208"/>
      <c r="EQ54" s="208"/>
      <c r="ER54" s="208"/>
      <c r="ES54" s="208"/>
      <c r="ET54" s="208"/>
      <c r="EU54" s="208"/>
      <c r="EV54" s="208"/>
      <c r="EW54" s="208"/>
      <c r="EX54" s="208"/>
      <c r="EY54" s="208"/>
      <c r="EZ54" s="208"/>
      <c r="FA54" s="208"/>
      <c r="FB54" s="208"/>
      <c r="FC54" s="208"/>
      <c r="FD54" s="208"/>
      <c r="FE54" s="208"/>
      <c r="FF54" s="208"/>
      <c r="FG54" s="208"/>
      <c r="FH54" s="208"/>
      <c r="FI54" s="208"/>
      <c r="FJ54" s="208"/>
      <c r="FK54" s="208"/>
      <c r="FL54" s="208"/>
      <c r="FM54" s="208"/>
      <c r="FN54" s="208"/>
      <c r="FO54" s="208"/>
      <c r="FP54" s="208"/>
      <c r="FQ54" s="208"/>
      <c r="FR54" s="208"/>
      <c r="FS54" s="208"/>
      <c r="FT54" s="208"/>
      <c r="FU54" s="208"/>
      <c r="FV54" s="208"/>
      <c r="FW54" s="208"/>
      <c r="FX54" s="208"/>
      <c r="FY54" s="208"/>
      <c r="FZ54" s="208"/>
      <c r="GA54" s="208"/>
      <c r="GB54" s="208"/>
      <c r="GC54" s="208"/>
      <c r="GD54" s="208"/>
      <c r="GE54" s="208"/>
      <c r="GF54" s="208"/>
    </row>
    <row r="55" spans="1:188" s="225" customFormat="1" ht="15" x14ac:dyDescent="0.25">
      <c r="A55" s="195" t="s">
        <v>4816</v>
      </c>
      <c r="B55" s="195" t="s">
        <v>2097</v>
      </c>
      <c r="C55" s="196" t="s">
        <v>2098</v>
      </c>
      <c r="D55" s="154" t="s">
        <v>28</v>
      </c>
      <c r="E55" s="154">
        <v>50</v>
      </c>
      <c r="F55" s="154">
        <v>0.1</v>
      </c>
      <c r="G55" s="197"/>
      <c r="H55" s="198"/>
      <c r="I55" s="247">
        <v>904.78</v>
      </c>
      <c r="J55" s="152">
        <f t="shared" si="3"/>
        <v>4523.8999999999996</v>
      </c>
      <c r="K55" s="198">
        <f>BDI!$B$17</f>
        <v>0.191</v>
      </c>
      <c r="L55" s="198"/>
      <c r="M55" s="198"/>
      <c r="N55" s="153">
        <f t="shared" si="4"/>
        <v>1077.5899999999999</v>
      </c>
      <c r="O55" s="152">
        <f t="shared" si="5"/>
        <v>5387.95</v>
      </c>
      <c r="Q55" s="208"/>
      <c r="R55" s="208"/>
      <c r="S55"/>
      <c r="T55" s="208"/>
      <c r="U55" s="208"/>
      <c r="V55" s="208"/>
      <c r="W55" s="208"/>
      <c r="X55" s="208"/>
      <c r="Y55" s="208"/>
      <c r="Z55" s="208"/>
      <c r="AA55" s="208"/>
      <c r="AB55" s="208"/>
      <c r="AC55" s="208"/>
      <c r="AD55" s="208"/>
      <c r="AE55" s="208"/>
      <c r="AF55" s="208"/>
      <c r="AG55" s="208"/>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c r="BI55" s="208"/>
      <c r="BJ55" s="208"/>
      <c r="BK55" s="208"/>
      <c r="BL55" s="208"/>
      <c r="BM55" s="208"/>
      <c r="BN55" s="208"/>
      <c r="BO55" s="208"/>
      <c r="BP55" s="208"/>
      <c r="BQ55" s="208"/>
      <c r="BR55" s="208"/>
      <c r="BS55" s="208"/>
      <c r="BT55" s="208"/>
      <c r="BU55" s="208"/>
      <c r="BV55" s="208"/>
      <c r="BW55" s="208"/>
      <c r="BX55" s="208"/>
      <c r="BY55" s="208"/>
      <c r="BZ55" s="208"/>
      <c r="CA55" s="208"/>
      <c r="CB55" s="208"/>
      <c r="CC55" s="208"/>
      <c r="CD55" s="208"/>
      <c r="CE55" s="208"/>
      <c r="CF55" s="208"/>
      <c r="CG55" s="208"/>
      <c r="CH55" s="208"/>
      <c r="CI55" s="208"/>
      <c r="CJ55" s="208"/>
      <c r="CK55" s="208"/>
      <c r="CL55" s="208"/>
      <c r="CM55" s="208"/>
      <c r="CN55" s="208"/>
      <c r="CO55" s="208"/>
      <c r="CP55" s="208"/>
      <c r="CQ55" s="208"/>
      <c r="CR55" s="208"/>
      <c r="CS55" s="208"/>
      <c r="CT55" s="208"/>
      <c r="CU55" s="208"/>
      <c r="CV55" s="208"/>
      <c r="CW55" s="208"/>
      <c r="CX55" s="208"/>
      <c r="CY55" s="208"/>
      <c r="CZ55" s="208"/>
      <c r="DA55" s="208"/>
      <c r="DB55" s="208"/>
      <c r="DC55" s="208"/>
      <c r="DD55" s="208"/>
      <c r="DE55" s="208"/>
      <c r="DF55" s="208"/>
      <c r="DG55" s="208"/>
      <c r="DH55" s="208"/>
      <c r="DI55" s="208"/>
      <c r="DJ55" s="208"/>
      <c r="DK55" s="208"/>
      <c r="DL55" s="208"/>
      <c r="DM55" s="208"/>
      <c r="DN55" s="208"/>
      <c r="DO55" s="208"/>
      <c r="DP55" s="208"/>
      <c r="DQ55" s="208"/>
      <c r="DR55" s="208"/>
      <c r="DS55" s="208"/>
      <c r="DT55" s="208"/>
      <c r="DU55" s="208"/>
      <c r="DV55" s="208"/>
      <c r="DW55" s="208"/>
      <c r="DX55" s="208"/>
      <c r="DY55" s="208"/>
      <c r="DZ55" s="208"/>
      <c r="EA55" s="208"/>
      <c r="EB55" s="208"/>
      <c r="EC55" s="208"/>
      <c r="ED55" s="208"/>
      <c r="EE55" s="208"/>
      <c r="EF55" s="208"/>
      <c r="EG55" s="208"/>
      <c r="EH55" s="208"/>
      <c r="EI55" s="208"/>
      <c r="EJ55" s="208"/>
      <c r="EK55" s="208"/>
      <c r="EL55" s="208"/>
      <c r="EM55" s="208"/>
      <c r="EN55" s="208"/>
      <c r="EO55" s="208"/>
      <c r="EP55" s="208"/>
      <c r="EQ55" s="208"/>
      <c r="ER55" s="208"/>
      <c r="ES55" s="208"/>
      <c r="ET55" s="208"/>
      <c r="EU55" s="208"/>
      <c r="EV55" s="208"/>
      <c r="EW55" s="208"/>
      <c r="EX55" s="208"/>
      <c r="EY55" s="208"/>
      <c r="EZ55" s="208"/>
      <c r="FA55" s="208"/>
      <c r="FB55" s="208"/>
      <c r="FC55" s="208"/>
      <c r="FD55" s="208"/>
      <c r="FE55" s="208"/>
      <c r="FF55" s="208"/>
      <c r="FG55" s="208"/>
      <c r="FH55" s="208"/>
      <c r="FI55" s="208"/>
      <c r="FJ55" s="208"/>
      <c r="FK55" s="208"/>
      <c r="FL55" s="208"/>
      <c r="FM55" s="208"/>
      <c r="FN55" s="208"/>
      <c r="FO55" s="208"/>
      <c r="FP55" s="208"/>
      <c r="FQ55" s="208"/>
      <c r="FR55" s="208"/>
      <c r="FS55" s="208"/>
      <c r="FT55" s="208"/>
      <c r="FU55" s="208"/>
      <c r="FV55" s="208"/>
      <c r="FW55" s="208"/>
      <c r="FX55" s="208"/>
      <c r="FY55" s="208"/>
      <c r="FZ55" s="208"/>
      <c r="GA55" s="208"/>
      <c r="GB55" s="208"/>
      <c r="GC55" s="208"/>
      <c r="GD55" s="208"/>
      <c r="GE55" s="208"/>
      <c r="GF55" s="208"/>
    </row>
    <row r="56" spans="1:188" s="225" customFormat="1" ht="15" x14ac:dyDescent="0.25">
      <c r="A56" s="195" t="s">
        <v>4817</v>
      </c>
      <c r="B56" s="195" t="s">
        <v>2892</v>
      </c>
      <c r="C56" s="196" t="s">
        <v>2893</v>
      </c>
      <c r="D56" s="154" t="s">
        <v>2894</v>
      </c>
      <c r="E56" s="154">
        <v>30</v>
      </c>
      <c r="F56" s="154">
        <v>0.1</v>
      </c>
      <c r="G56" s="197"/>
      <c r="H56" s="198"/>
      <c r="I56" s="247">
        <v>547.5</v>
      </c>
      <c r="J56" s="152">
        <f t="shared" si="3"/>
        <v>1642.5</v>
      </c>
      <c r="K56" s="198">
        <f>BDI!$B$17</f>
        <v>0.191</v>
      </c>
      <c r="L56" s="198"/>
      <c r="M56" s="198"/>
      <c r="N56" s="153">
        <f t="shared" si="4"/>
        <v>652.07000000000005</v>
      </c>
      <c r="O56" s="152">
        <f t="shared" si="5"/>
        <v>1956.21</v>
      </c>
      <c r="Q56" s="208"/>
      <c r="R56" s="208"/>
      <c r="S56"/>
      <c r="T56" s="208"/>
      <c r="U56" s="208"/>
      <c r="V56" s="208"/>
      <c r="W56" s="208"/>
      <c r="X56" s="208"/>
      <c r="Y56" s="208"/>
      <c r="Z56" s="208"/>
      <c r="AA56" s="208"/>
      <c r="AB56" s="208"/>
      <c r="AC56" s="208"/>
      <c r="AD56" s="208"/>
      <c r="AE56" s="208"/>
      <c r="AF56" s="208"/>
      <c r="AG56" s="208"/>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8"/>
      <c r="DL56" s="208"/>
      <c r="DM56" s="208"/>
      <c r="DN56" s="208"/>
      <c r="DO56" s="208"/>
      <c r="DP56" s="208"/>
      <c r="DQ56" s="208"/>
      <c r="DR56" s="208"/>
      <c r="DS56" s="208"/>
      <c r="DT56" s="208"/>
      <c r="DU56" s="208"/>
      <c r="DV56" s="208"/>
      <c r="DW56" s="208"/>
      <c r="DX56" s="208"/>
      <c r="DY56" s="208"/>
      <c r="DZ56" s="208"/>
      <c r="EA56" s="208"/>
      <c r="EB56" s="208"/>
      <c r="EC56" s="208"/>
      <c r="ED56" s="208"/>
      <c r="EE56" s="208"/>
      <c r="EF56" s="208"/>
      <c r="EG56" s="208"/>
      <c r="EH56" s="208"/>
      <c r="EI56" s="208"/>
      <c r="EJ56" s="208"/>
      <c r="EK56" s="208"/>
      <c r="EL56" s="208"/>
      <c r="EM56" s="208"/>
      <c r="EN56" s="208"/>
      <c r="EO56" s="208"/>
      <c r="EP56" s="208"/>
      <c r="EQ56" s="208"/>
      <c r="ER56" s="208"/>
      <c r="ES56" s="208"/>
      <c r="ET56" s="208"/>
      <c r="EU56" s="208"/>
      <c r="EV56" s="208"/>
      <c r="EW56" s="208"/>
      <c r="EX56" s="208"/>
      <c r="EY56" s="208"/>
      <c r="EZ56" s="208"/>
      <c r="FA56" s="208"/>
      <c r="FB56" s="208"/>
      <c r="FC56" s="208"/>
      <c r="FD56" s="208"/>
      <c r="FE56" s="208"/>
      <c r="FF56" s="208"/>
      <c r="FG56" s="208"/>
      <c r="FH56" s="208"/>
      <c r="FI56" s="208"/>
      <c r="FJ56" s="208"/>
      <c r="FK56" s="208"/>
      <c r="FL56" s="208"/>
      <c r="FM56" s="208"/>
      <c r="FN56" s="208"/>
      <c r="FO56" s="208"/>
      <c r="FP56" s="208"/>
      <c r="FQ56" s="208"/>
      <c r="FR56" s="208"/>
      <c r="FS56" s="208"/>
      <c r="FT56" s="208"/>
      <c r="FU56" s="208"/>
      <c r="FV56" s="208"/>
      <c r="FW56" s="208"/>
      <c r="FX56" s="208"/>
      <c r="FY56" s="208"/>
      <c r="FZ56" s="208"/>
      <c r="GA56" s="208"/>
      <c r="GB56" s="208"/>
      <c r="GC56" s="208"/>
      <c r="GD56" s="208"/>
      <c r="GE56" s="208"/>
      <c r="GF56" s="208"/>
    </row>
    <row r="57" spans="1:188" s="225" customFormat="1" ht="15" x14ac:dyDescent="0.25">
      <c r="A57" s="195" t="s">
        <v>4818</v>
      </c>
      <c r="B57" s="195" t="s">
        <v>2088</v>
      </c>
      <c r="C57" s="196" t="s">
        <v>2089</v>
      </c>
      <c r="D57" s="154" t="s">
        <v>28</v>
      </c>
      <c r="E57" s="154">
        <v>450</v>
      </c>
      <c r="F57" s="154">
        <v>0.1</v>
      </c>
      <c r="G57" s="197"/>
      <c r="H57" s="198"/>
      <c r="I57" s="247">
        <v>264.64</v>
      </c>
      <c r="J57" s="152">
        <f t="shared" si="3"/>
        <v>11908.8</v>
      </c>
      <c r="K57" s="198">
        <f>BDI!$B$17</f>
        <v>0.191</v>
      </c>
      <c r="L57" s="198"/>
      <c r="M57" s="198"/>
      <c r="N57" s="153">
        <f t="shared" si="4"/>
        <v>315.19</v>
      </c>
      <c r="O57" s="152">
        <f t="shared" si="5"/>
        <v>14183.55</v>
      </c>
      <c r="Q57" s="208"/>
      <c r="R57" s="208"/>
      <c r="S57"/>
      <c r="T57" s="208"/>
      <c r="U57" s="208"/>
      <c r="V57" s="208"/>
      <c r="W57" s="208"/>
      <c r="X57" s="208"/>
      <c r="Y57" s="208"/>
      <c r="Z57" s="208"/>
      <c r="AA57" s="208"/>
      <c r="AB57" s="208"/>
      <c r="AC57" s="208"/>
      <c r="AD57" s="208"/>
      <c r="AE57" s="208"/>
      <c r="AF57" s="208"/>
      <c r="AG57" s="208"/>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8"/>
      <c r="DL57" s="208"/>
      <c r="DM57" s="208"/>
      <c r="DN57" s="208"/>
      <c r="DO57" s="208"/>
      <c r="DP57" s="208"/>
      <c r="DQ57" s="208"/>
      <c r="DR57" s="208"/>
      <c r="DS57" s="208"/>
      <c r="DT57" s="208"/>
      <c r="DU57" s="208"/>
      <c r="DV57" s="208"/>
      <c r="DW57" s="208"/>
      <c r="DX57" s="208"/>
      <c r="DY57" s="208"/>
      <c r="DZ57" s="208"/>
      <c r="EA57" s="208"/>
      <c r="EB57" s="208"/>
      <c r="EC57" s="208"/>
      <c r="ED57" s="208"/>
      <c r="EE57" s="208"/>
      <c r="EF57" s="208"/>
      <c r="EG57" s="208"/>
      <c r="EH57" s="208"/>
      <c r="EI57" s="208"/>
      <c r="EJ57" s="208"/>
      <c r="EK57" s="208"/>
      <c r="EL57" s="208"/>
      <c r="EM57" s="208"/>
      <c r="EN57" s="208"/>
      <c r="EO57" s="208"/>
      <c r="EP57" s="208"/>
      <c r="EQ57" s="208"/>
      <c r="ER57" s="208"/>
      <c r="ES57" s="208"/>
      <c r="ET57" s="208"/>
      <c r="EU57" s="208"/>
      <c r="EV57" s="208"/>
      <c r="EW57" s="208"/>
      <c r="EX57" s="208"/>
      <c r="EY57" s="208"/>
      <c r="EZ57" s="208"/>
      <c r="FA57" s="208"/>
      <c r="FB57" s="208"/>
      <c r="FC57" s="208"/>
      <c r="FD57" s="208"/>
      <c r="FE57" s="208"/>
      <c r="FF57" s="208"/>
      <c r="FG57" s="208"/>
      <c r="FH57" s="208"/>
      <c r="FI57" s="208"/>
      <c r="FJ57" s="208"/>
      <c r="FK57" s="208"/>
      <c r="FL57" s="208"/>
      <c r="FM57" s="208"/>
      <c r="FN57" s="208"/>
      <c r="FO57" s="208"/>
      <c r="FP57" s="208"/>
      <c r="FQ57" s="208"/>
      <c r="FR57" s="208"/>
      <c r="FS57" s="208"/>
      <c r="FT57" s="208"/>
      <c r="FU57" s="208"/>
      <c r="FV57" s="208"/>
      <c r="FW57" s="208"/>
      <c r="FX57" s="208"/>
      <c r="FY57" s="208"/>
      <c r="FZ57" s="208"/>
      <c r="GA57" s="208"/>
      <c r="GB57" s="208"/>
      <c r="GC57" s="208"/>
      <c r="GD57" s="208"/>
      <c r="GE57" s="208"/>
      <c r="GF57" s="208"/>
    </row>
    <row r="58" spans="1:188" s="225" customFormat="1" ht="15" x14ac:dyDescent="0.25">
      <c r="A58" s="195" t="s">
        <v>4819</v>
      </c>
      <c r="B58" s="195" t="s">
        <v>75</v>
      </c>
      <c r="C58" s="196" t="s">
        <v>2094</v>
      </c>
      <c r="D58" s="154" t="s">
        <v>78</v>
      </c>
      <c r="E58" s="154">
        <v>9600</v>
      </c>
      <c r="F58" s="154">
        <v>0.1</v>
      </c>
      <c r="G58" s="197"/>
      <c r="H58" s="198"/>
      <c r="I58" s="151">
        <f>IFERROR(INDEX(Composições!$A$5:$J$8391,MATCH(B58,Composições!$A$5:$A$8391,0)+2,8),"")</f>
        <v>27.833100000000002</v>
      </c>
      <c r="J58" s="152">
        <f t="shared" si="3"/>
        <v>26719.78</v>
      </c>
      <c r="K58" s="198">
        <f>BDI!$B$17</f>
        <v>0.191</v>
      </c>
      <c r="L58" s="198"/>
      <c r="M58" s="198"/>
      <c r="N58" s="153">
        <f t="shared" si="4"/>
        <v>33.15</v>
      </c>
      <c r="O58" s="152">
        <f t="shared" si="5"/>
        <v>31824</v>
      </c>
      <c r="Q58" s="208"/>
      <c r="R58" s="208"/>
      <c r="S58"/>
      <c r="T58" s="208"/>
      <c r="U58" s="208"/>
      <c r="V58" s="208"/>
      <c r="W58" s="208"/>
      <c r="X58" s="208"/>
      <c r="Y58" s="208"/>
      <c r="Z58" s="208"/>
      <c r="AA58" s="208"/>
      <c r="AB58" s="208"/>
      <c r="AC58" s="208"/>
      <c r="AD58" s="208"/>
      <c r="AE58" s="208"/>
      <c r="AF58" s="208"/>
      <c r="AG58" s="208"/>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8"/>
      <c r="DL58" s="208"/>
      <c r="DM58" s="208"/>
      <c r="DN58" s="208"/>
      <c r="DO58" s="208"/>
      <c r="DP58" s="208"/>
      <c r="DQ58" s="208"/>
      <c r="DR58" s="208"/>
      <c r="DS58" s="208"/>
      <c r="DT58" s="208"/>
      <c r="DU58" s="208"/>
      <c r="DV58" s="208"/>
      <c r="DW58" s="208"/>
      <c r="DX58" s="208"/>
      <c r="DY58" s="208"/>
      <c r="DZ58" s="208"/>
      <c r="EA58" s="208"/>
      <c r="EB58" s="208"/>
      <c r="EC58" s="208"/>
      <c r="ED58" s="208"/>
      <c r="EE58" s="208"/>
      <c r="EF58" s="208"/>
      <c r="EG58" s="208"/>
      <c r="EH58" s="208"/>
      <c r="EI58" s="208"/>
      <c r="EJ58" s="208"/>
      <c r="EK58" s="208"/>
      <c r="EL58" s="208"/>
      <c r="EM58" s="208"/>
      <c r="EN58" s="208"/>
      <c r="EO58" s="208"/>
      <c r="EP58" s="208"/>
      <c r="EQ58" s="208"/>
      <c r="ER58" s="208"/>
      <c r="ES58" s="208"/>
      <c r="ET58" s="208"/>
      <c r="EU58" s="208"/>
      <c r="EV58" s="208"/>
      <c r="EW58" s="208"/>
      <c r="EX58" s="208"/>
      <c r="EY58" s="208"/>
      <c r="EZ58" s="208"/>
      <c r="FA58" s="208"/>
      <c r="FB58" s="208"/>
      <c r="FC58" s="208"/>
      <c r="FD58" s="208"/>
      <c r="FE58" s="208"/>
      <c r="FF58" s="208"/>
      <c r="FG58" s="208"/>
      <c r="FH58" s="208"/>
      <c r="FI58" s="208"/>
      <c r="FJ58" s="208"/>
      <c r="FK58" s="208"/>
      <c r="FL58" s="208"/>
      <c r="FM58" s="208"/>
      <c r="FN58" s="208"/>
      <c r="FO58" s="208"/>
      <c r="FP58" s="208"/>
      <c r="FQ58" s="208"/>
      <c r="FR58" s="208"/>
      <c r="FS58" s="208"/>
      <c r="FT58" s="208"/>
      <c r="FU58" s="208"/>
      <c r="FV58" s="208"/>
      <c r="FW58" s="208"/>
      <c r="FX58" s="208"/>
      <c r="FY58" s="208"/>
      <c r="FZ58" s="208"/>
      <c r="GA58" s="208"/>
      <c r="GB58" s="208"/>
      <c r="GC58" s="208"/>
      <c r="GD58" s="208"/>
      <c r="GE58" s="208"/>
      <c r="GF58" s="208"/>
    </row>
    <row r="59" spans="1:188" s="225" customFormat="1" ht="15" x14ac:dyDescent="0.25">
      <c r="A59" s="195" t="s">
        <v>4820</v>
      </c>
      <c r="B59" s="195" t="s">
        <v>76</v>
      </c>
      <c r="C59" s="196" t="s">
        <v>2115</v>
      </c>
      <c r="D59" s="154" t="s">
        <v>78</v>
      </c>
      <c r="E59" s="154">
        <v>8910</v>
      </c>
      <c r="F59" s="154">
        <v>0.1</v>
      </c>
      <c r="G59" s="197"/>
      <c r="H59" s="198"/>
      <c r="I59" s="151">
        <f>IFERROR(INDEX(Composições!$A$5:$J$8391,MATCH(B59,Composições!$A$5:$A$8391,0)+2,8),"")</f>
        <v>108.85594475000001</v>
      </c>
      <c r="J59" s="152">
        <f t="shared" si="3"/>
        <v>96990.65</v>
      </c>
      <c r="K59" s="198">
        <f>BDI!$B$17</f>
        <v>0.191</v>
      </c>
      <c r="L59" s="198"/>
      <c r="M59" s="198"/>
      <c r="N59" s="153">
        <f t="shared" si="4"/>
        <v>129.65</v>
      </c>
      <c r="O59" s="152">
        <f t="shared" si="5"/>
        <v>115518.15</v>
      </c>
      <c r="Q59" s="208"/>
      <c r="R59" s="208"/>
      <c r="S59"/>
      <c r="T59" s="208"/>
      <c r="U59" s="208"/>
      <c r="V59" s="208"/>
      <c r="W59" s="208"/>
      <c r="X59" s="208"/>
      <c r="Y59" s="208"/>
      <c r="Z59" s="208"/>
      <c r="AA59" s="208"/>
      <c r="AB59" s="208"/>
      <c r="AC59" s="208"/>
      <c r="AD59" s="208"/>
      <c r="AE59" s="208"/>
      <c r="AF59" s="208"/>
      <c r="AG59" s="208"/>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c r="BI59" s="208"/>
      <c r="BJ59" s="208"/>
      <c r="BK59" s="208"/>
      <c r="BL59" s="208"/>
      <c r="BM59" s="208"/>
      <c r="BN59" s="208"/>
      <c r="BO59" s="208"/>
      <c r="BP59" s="208"/>
      <c r="BQ59" s="208"/>
      <c r="BR59" s="208"/>
      <c r="BS59" s="208"/>
      <c r="BT59" s="208"/>
      <c r="BU59" s="208"/>
      <c r="BV59" s="208"/>
      <c r="BW59" s="208"/>
      <c r="BX59" s="208"/>
      <c r="BY59" s="208"/>
      <c r="BZ59" s="208"/>
      <c r="CA59" s="208"/>
      <c r="CB59" s="208"/>
      <c r="CC59" s="208"/>
      <c r="CD59" s="208"/>
      <c r="CE59" s="208"/>
      <c r="CF59" s="208"/>
      <c r="CG59" s="208"/>
      <c r="CH59" s="208"/>
      <c r="CI59" s="208"/>
      <c r="CJ59" s="208"/>
      <c r="CK59" s="208"/>
      <c r="CL59" s="208"/>
      <c r="CM59" s="208"/>
      <c r="CN59" s="208"/>
      <c r="CO59" s="208"/>
      <c r="CP59" s="208"/>
      <c r="CQ59" s="208"/>
      <c r="CR59" s="208"/>
      <c r="CS59" s="208"/>
      <c r="CT59" s="208"/>
      <c r="CU59" s="208"/>
      <c r="CV59" s="208"/>
      <c r="CW59" s="208"/>
      <c r="CX59" s="208"/>
      <c r="CY59" s="208"/>
      <c r="CZ59" s="208"/>
      <c r="DA59" s="208"/>
      <c r="DB59" s="208"/>
      <c r="DC59" s="208"/>
      <c r="DD59" s="208"/>
      <c r="DE59" s="208"/>
      <c r="DF59" s="208"/>
      <c r="DG59" s="208"/>
      <c r="DH59" s="208"/>
      <c r="DI59" s="208"/>
      <c r="DJ59" s="208"/>
      <c r="DK59" s="208"/>
      <c r="DL59" s="208"/>
      <c r="DM59" s="208"/>
      <c r="DN59" s="208"/>
      <c r="DO59" s="208"/>
      <c r="DP59" s="208"/>
      <c r="DQ59" s="208"/>
      <c r="DR59" s="208"/>
      <c r="DS59" s="208"/>
      <c r="DT59" s="208"/>
      <c r="DU59" s="208"/>
      <c r="DV59" s="208"/>
      <c r="DW59" s="208"/>
      <c r="DX59" s="208"/>
      <c r="DY59" s="208"/>
      <c r="DZ59" s="208"/>
      <c r="EA59" s="208"/>
      <c r="EB59" s="208"/>
      <c r="EC59" s="208"/>
      <c r="ED59" s="208"/>
      <c r="EE59" s="208"/>
      <c r="EF59" s="208"/>
      <c r="EG59" s="208"/>
      <c r="EH59" s="208"/>
      <c r="EI59" s="208"/>
      <c r="EJ59" s="208"/>
      <c r="EK59" s="208"/>
      <c r="EL59" s="208"/>
      <c r="EM59" s="208"/>
      <c r="EN59" s="208"/>
      <c r="EO59" s="208"/>
      <c r="EP59" s="208"/>
      <c r="EQ59" s="208"/>
      <c r="ER59" s="208"/>
      <c r="ES59" s="208"/>
      <c r="ET59" s="208"/>
      <c r="EU59" s="208"/>
      <c r="EV59" s="208"/>
      <c r="EW59" s="208"/>
      <c r="EX59" s="208"/>
      <c r="EY59" s="208"/>
      <c r="EZ59" s="208"/>
      <c r="FA59" s="208"/>
      <c r="FB59" s="208"/>
      <c r="FC59" s="208"/>
      <c r="FD59" s="208"/>
      <c r="FE59" s="208"/>
      <c r="FF59" s="208"/>
      <c r="FG59" s="208"/>
      <c r="FH59" s="208"/>
      <c r="FI59" s="208"/>
      <c r="FJ59" s="208"/>
      <c r="FK59" s="208"/>
      <c r="FL59" s="208"/>
      <c r="FM59" s="208"/>
      <c r="FN59" s="208"/>
      <c r="FO59" s="208"/>
      <c r="FP59" s="208"/>
      <c r="FQ59" s="208"/>
      <c r="FR59" s="208"/>
      <c r="FS59" s="208"/>
      <c r="FT59" s="208"/>
      <c r="FU59" s="208"/>
      <c r="FV59" s="208"/>
      <c r="FW59" s="208"/>
      <c r="FX59" s="208"/>
      <c r="FY59" s="208"/>
      <c r="FZ59" s="208"/>
      <c r="GA59" s="208"/>
      <c r="GB59" s="208"/>
      <c r="GC59" s="208"/>
      <c r="GD59" s="208"/>
      <c r="GE59" s="208"/>
      <c r="GF59" s="208"/>
    </row>
    <row r="60" spans="1:188" s="225" customFormat="1" ht="15" x14ac:dyDescent="0.25">
      <c r="A60" s="195" t="s">
        <v>4821</v>
      </c>
      <c r="B60" s="195" t="s">
        <v>1982</v>
      </c>
      <c r="C60" s="196" t="s">
        <v>3691</v>
      </c>
      <c r="D60" s="154" t="s">
        <v>78</v>
      </c>
      <c r="E60" s="154">
        <v>2000</v>
      </c>
      <c r="F60" s="154">
        <v>0.1</v>
      </c>
      <c r="G60" s="197"/>
      <c r="H60" s="198"/>
      <c r="I60" s="151">
        <f>IFERROR(INDEX(Composições!$A$5:$J$8391,MATCH(B60,Composições!$A$5:$A$8391,0)+2,8),"")</f>
        <v>133.38817548633074</v>
      </c>
      <c r="J60" s="152">
        <f t="shared" si="3"/>
        <v>26677.64</v>
      </c>
      <c r="K60" s="198">
        <f>BDI!$B$17</f>
        <v>0.191</v>
      </c>
      <c r="L60" s="198"/>
      <c r="M60" s="198"/>
      <c r="N60" s="153">
        <f t="shared" si="4"/>
        <v>158.87</v>
      </c>
      <c r="O60" s="152">
        <f t="shared" si="5"/>
        <v>31774</v>
      </c>
      <c r="Q60" s="208"/>
      <c r="R60" s="208"/>
      <c r="S60"/>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c r="CL60" s="208"/>
      <c r="CM60" s="208"/>
      <c r="CN60" s="208"/>
      <c r="CO60" s="208"/>
      <c r="CP60" s="208"/>
      <c r="CQ60" s="208"/>
      <c r="CR60" s="208"/>
      <c r="CS60" s="208"/>
      <c r="CT60" s="208"/>
      <c r="CU60" s="208"/>
      <c r="CV60" s="208"/>
      <c r="CW60" s="208"/>
      <c r="CX60" s="208"/>
      <c r="CY60" s="208"/>
      <c r="CZ60" s="208"/>
      <c r="DA60" s="208"/>
      <c r="DB60" s="208"/>
      <c r="DC60" s="208"/>
      <c r="DD60" s="208"/>
      <c r="DE60" s="208"/>
      <c r="DF60" s="208"/>
      <c r="DG60" s="208"/>
      <c r="DH60" s="208"/>
      <c r="DI60" s="208"/>
      <c r="DJ60" s="208"/>
      <c r="DK60" s="208"/>
      <c r="DL60" s="208"/>
      <c r="DM60" s="208"/>
      <c r="DN60" s="208"/>
      <c r="DO60" s="208"/>
      <c r="DP60" s="208"/>
      <c r="DQ60" s="208"/>
      <c r="DR60" s="208"/>
      <c r="DS60" s="208"/>
      <c r="DT60" s="208"/>
      <c r="DU60" s="208"/>
      <c r="DV60" s="208"/>
      <c r="DW60" s="208"/>
      <c r="DX60" s="208"/>
      <c r="DY60" s="208"/>
      <c r="DZ60" s="208"/>
      <c r="EA60" s="208"/>
      <c r="EB60" s="208"/>
      <c r="EC60" s="208"/>
      <c r="ED60" s="208"/>
      <c r="EE60" s="208"/>
      <c r="EF60" s="208"/>
      <c r="EG60" s="208"/>
      <c r="EH60" s="208"/>
      <c r="EI60" s="208"/>
      <c r="EJ60" s="208"/>
      <c r="EK60" s="208"/>
      <c r="EL60" s="208"/>
      <c r="EM60" s="208"/>
      <c r="EN60" s="208"/>
      <c r="EO60" s="208"/>
      <c r="EP60" s="208"/>
      <c r="EQ60" s="208"/>
      <c r="ER60" s="208"/>
      <c r="ES60" s="208"/>
      <c r="ET60" s="208"/>
      <c r="EU60" s="208"/>
      <c r="EV60" s="208"/>
      <c r="EW60" s="208"/>
      <c r="EX60" s="208"/>
      <c r="EY60" s="208"/>
      <c r="EZ60" s="208"/>
      <c r="FA60" s="208"/>
      <c r="FB60" s="208"/>
      <c r="FC60" s="208"/>
      <c r="FD60" s="208"/>
      <c r="FE60" s="208"/>
      <c r="FF60" s="208"/>
      <c r="FG60" s="208"/>
      <c r="FH60" s="208"/>
      <c r="FI60" s="208"/>
      <c r="FJ60" s="208"/>
      <c r="FK60" s="208"/>
      <c r="FL60" s="208"/>
      <c r="FM60" s="208"/>
      <c r="FN60" s="208"/>
      <c r="FO60" s="208"/>
      <c r="FP60" s="208"/>
      <c r="FQ60" s="208"/>
      <c r="FR60" s="208"/>
      <c r="FS60" s="208"/>
      <c r="FT60" s="208"/>
      <c r="FU60" s="208"/>
      <c r="FV60" s="208"/>
      <c r="FW60" s="208"/>
      <c r="FX60" s="208"/>
      <c r="FY60" s="208"/>
      <c r="FZ60" s="208"/>
      <c r="GA60" s="208"/>
      <c r="GB60" s="208"/>
      <c r="GC60" s="208"/>
      <c r="GD60" s="208"/>
      <c r="GE60" s="208"/>
      <c r="GF60" s="208"/>
    </row>
    <row r="61" spans="1:188" s="225" customFormat="1" ht="15" x14ac:dyDescent="0.25">
      <c r="A61" s="195" t="s">
        <v>4822</v>
      </c>
      <c r="B61" s="195" t="s">
        <v>1078</v>
      </c>
      <c r="C61" s="196" t="s">
        <v>2895</v>
      </c>
      <c r="D61" s="154" t="s">
        <v>121</v>
      </c>
      <c r="E61" s="154">
        <v>530</v>
      </c>
      <c r="F61" s="154">
        <v>0.1</v>
      </c>
      <c r="G61" s="197"/>
      <c r="H61" s="198"/>
      <c r="I61" s="151">
        <f>IFERROR(INDEX(Composições!$A$5:$J$8391,MATCH(B61,Composições!$A$5:$A$8391,0)+2,8),"")</f>
        <v>356.0249479598437</v>
      </c>
      <c r="J61" s="152">
        <f t="shared" si="3"/>
        <v>18869.32</v>
      </c>
      <c r="K61" s="198">
        <f>BDI!$B$17</f>
        <v>0.191</v>
      </c>
      <c r="L61" s="198"/>
      <c r="M61" s="198"/>
      <c r="N61" s="153">
        <f t="shared" si="4"/>
        <v>424.03</v>
      </c>
      <c r="O61" s="152">
        <f t="shared" si="5"/>
        <v>22473.59</v>
      </c>
      <c r="Q61" s="208"/>
      <c r="R61" s="208"/>
      <c r="S61"/>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8"/>
      <c r="DL61" s="208"/>
      <c r="DM61" s="208"/>
      <c r="DN61" s="208"/>
      <c r="DO61" s="208"/>
      <c r="DP61" s="208"/>
      <c r="DQ61" s="208"/>
      <c r="DR61" s="208"/>
      <c r="DS61" s="208"/>
      <c r="DT61" s="208"/>
      <c r="DU61" s="208"/>
      <c r="DV61" s="208"/>
      <c r="DW61" s="208"/>
      <c r="DX61" s="208"/>
      <c r="DY61" s="208"/>
      <c r="DZ61" s="208"/>
      <c r="EA61" s="208"/>
      <c r="EB61" s="208"/>
      <c r="EC61" s="208"/>
      <c r="ED61" s="208"/>
      <c r="EE61" s="208"/>
      <c r="EF61" s="208"/>
      <c r="EG61" s="208"/>
      <c r="EH61" s="208"/>
      <c r="EI61" s="208"/>
      <c r="EJ61" s="208"/>
      <c r="EK61" s="208"/>
      <c r="EL61" s="208"/>
      <c r="EM61" s="208"/>
      <c r="EN61" s="208"/>
      <c r="EO61" s="208"/>
      <c r="EP61" s="208"/>
      <c r="EQ61" s="208"/>
      <c r="ER61" s="208"/>
      <c r="ES61" s="208"/>
      <c r="ET61" s="208"/>
      <c r="EU61" s="208"/>
      <c r="EV61" s="208"/>
      <c r="EW61" s="208"/>
      <c r="EX61" s="208"/>
      <c r="EY61" s="208"/>
      <c r="EZ61" s="208"/>
      <c r="FA61" s="208"/>
      <c r="FB61" s="208"/>
      <c r="FC61" s="208"/>
      <c r="FD61" s="208"/>
      <c r="FE61" s="208"/>
      <c r="FF61" s="208"/>
      <c r="FG61" s="208"/>
      <c r="FH61" s="208"/>
      <c r="FI61" s="208"/>
      <c r="FJ61" s="208"/>
      <c r="FK61" s="208"/>
      <c r="FL61" s="208"/>
      <c r="FM61" s="208"/>
      <c r="FN61" s="208"/>
      <c r="FO61" s="208"/>
      <c r="FP61" s="208"/>
      <c r="FQ61" s="208"/>
      <c r="FR61" s="208"/>
      <c r="FS61" s="208"/>
      <c r="FT61" s="208"/>
      <c r="FU61" s="208"/>
      <c r="FV61" s="208"/>
      <c r="FW61" s="208"/>
      <c r="FX61" s="208"/>
      <c r="FY61" s="208"/>
      <c r="FZ61" s="208"/>
      <c r="GA61" s="208"/>
      <c r="GB61" s="208"/>
      <c r="GC61" s="208"/>
      <c r="GD61" s="208"/>
      <c r="GE61" s="208"/>
      <c r="GF61" s="208"/>
    </row>
    <row r="62" spans="1:188" s="225" customFormat="1" ht="15" x14ac:dyDescent="0.25">
      <c r="A62" s="195" t="s">
        <v>4823</v>
      </c>
      <c r="B62" s="195" t="s">
        <v>1079</v>
      </c>
      <c r="C62" s="196" t="s">
        <v>2896</v>
      </c>
      <c r="D62" s="154" t="s">
        <v>121</v>
      </c>
      <c r="E62" s="154">
        <v>310</v>
      </c>
      <c r="F62" s="154">
        <v>0.1</v>
      </c>
      <c r="G62" s="197"/>
      <c r="H62" s="198"/>
      <c r="I62" s="151">
        <f>IFERROR(INDEX(Composições!$A$5:$J$8391,MATCH(B62,Composições!$A$5:$A$8391,0)+2,8),"")</f>
        <v>81.188492084843745</v>
      </c>
      <c r="J62" s="152">
        <f t="shared" si="3"/>
        <v>2516.84</v>
      </c>
      <c r="K62" s="198">
        <f>BDI!$B$17</f>
        <v>0.191</v>
      </c>
      <c r="L62" s="198"/>
      <c r="M62" s="198"/>
      <c r="N62" s="153">
        <f t="shared" si="4"/>
        <v>96.7</v>
      </c>
      <c r="O62" s="152">
        <f t="shared" si="5"/>
        <v>2997.7</v>
      </c>
      <c r="Q62" s="208"/>
      <c r="R62" s="208"/>
      <c r="S62"/>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8"/>
      <c r="DL62" s="208"/>
      <c r="DM62" s="208"/>
      <c r="DN62" s="208"/>
      <c r="DO62" s="208"/>
      <c r="DP62" s="208"/>
      <c r="DQ62" s="208"/>
      <c r="DR62" s="208"/>
      <c r="DS62" s="208"/>
      <c r="DT62" s="208"/>
      <c r="DU62" s="208"/>
      <c r="DV62" s="208"/>
      <c r="DW62" s="208"/>
      <c r="DX62" s="208"/>
      <c r="DY62" s="208"/>
      <c r="DZ62" s="208"/>
      <c r="EA62" s="208"/>
      <c r="EB62" s="208"/>
      <c r="EC62" s="208"/>
      <c r="ED62" s="208"/>
      <c r="EE62" s="208"/>
      <c r="EF62" s="208"/>
      <c r="EG62" s="208"/>
      <c r="EH62" s="208"/>
      <c r="EI62" s="208"/>
      <c r="EJ62" s="208"/>
      <c r="EK62" s="208"/>
      <c r="EL62" s="208"/>
      <c r="EM62" s="208"/>
      <c r="EN62" s="208"/>
      <c r="EO62" s="208"/>
      <c r="EP62" s="208"/>
      <c r="EQ62" s="208"/>
      <c r="ER62" s="208"/>
      <c r="ES62" s="208"/>
      <c r="ET62" s="208"/>
      <c r="EU62" s="208"/>
      <c r="EV62" s="208"/>
      <c r="EW62" s="208"/>
      <c r="EX62" s="208"/>
      <c r="EY62" s="208"/>
      <c r="EZ62" s="208"/>
      <c r="FA62" s="208"/>
      <c r="FB62" s="208"/>
      <c r="FC62" s="208"/>
      <c r="FD62" s="208"/>
      <c r="FE62" s="208"/>
      <c r="FF62" s="208"/>
      <c r="FG62" s="208"/>
      <c r="FH62" s="208"/>
      <c r="FI62" s="208"/>
      <c r="FJ62" s="208"/>
      <c r="FK62" s="208"/>
      <c r="FL62" s="208"/>
      <c r="FM62" s="208"/>
      <c r="FN62" s="208"/>
      <c r="FO62" s="208"/>
      <c r="FP62" s="208"/>
      <c r="FQ62" s="208"/>
      <c r="FR62" s="208"/>
      <c r="FS62" s="208"/>
      <c r="FT62" s="208"/>
      <c r="FU62" s="208"/>
      <c r="FV62" s="208"/>
      <c r="FW62" s="208"/>
      <c r="FX62" s="208"/>
      <c r="FY62" s="208"/>
      <c r="FZ62" s="208"/>
      <c r="GA62" s="208"/>
      <c r="GB62" s="208"/>
      <c r="GC62" s="208"/>
      <c r="GD62" s="208"/>
      <c r="GE62" s="208"/>
      <c r="GF62" s="208"/>
    </row>
    <row r="63" spans="1:188" s="225" customFormat="1" ht="15" x14ac:dyDescent="0.25">
      <c r="A63" s="189" t="s">
        <v>4824</v>
      </c>
      <c r="B63" s="189"/>
      <c r="C63" s="190" t="s">
        <v>4825</v>
      </c>
      <c r="D63" s="191"/>
      <c r="E63" s="191"/>
      <c r="F63" s="191"/>
      <c r="G63" s="192"/>
      <c r="H63" s="193"/>
      <c r="I63" s="246"/>
      <c r="J63" s="194">
        <f>SUBTOTAL(109,J64:J69)</f>
        <v>586320.21</v>
      </c>
      <c r="K63" s="191"/>
      <c r="L63" s="191"/>
      <c r="M63" s="191"/>
      <c r="N63" s="191"/>
      <c r="O63" s="194">
        <f>SUBTOTAL(109,O64:O69)</f>
        <v>698259.32000000007</v>
      </c>
      <c r="Q63" s="208"/>
      <c r="R63" s="208"/>
      <c r="S63"/>
      <c r="T63" s="208"/>
      <c r="U63" s="208"/>
      <c r="V63" s="208"/>
      <c r="W63" s="208"/>
      <c r="X63" s="208"/>
      <c r="Y63" s="208"/>
      <c r="Z63" s="208"/>
      <c r="AA63" s="208"/>
      <c r="AB63" s="208"/>
      <c r="AC63" s="208"/>
      <c r="AD63" s="208"/>
      <c r="AE63" s="208"/>
      <c r="AF63" s="208"/>
      <c r="AG63" s="208"/>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8"/>
      <c r="DL63" s="208"/>
      <c r="DM63" s="208"/>
      <c r="DN63" s="208"/>
      <c r="DO63" s="208"/>
      <c r="DP63" s="208"/>
      <c r="DQ63" s="208"/>
      <c r="DR63" s="208"/>
      <c r="DS63" s="208"/>
      <c r="DT63" s="208"/>
      <c r="DU63" s="208"/>
      <c r="DV63" s="208"/>
      <c r="DW63" s="208"/>
      <c r="DX63" s="208"/>
      <c r="DY63" s="208"/>
      <c r="DZ63" s="208"/>
      <c r="EA63" s="208"/>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8"/>
      <c r="FD63" s="208"/>
      <c r="FE63" s="208"/>
      <c r="FF63" s="208"/>
      <c r="FG63" s="208"/>
      <c r="FH63" s="208"/>
      <c r="FI63" s="208"/>
      <c r="FJ63" s="208"/>
      <c r="FK63" s="208"/>
      <c r="FL63" s="208"/>
      <c r="FM63" s="208"/>
      <c r="FN63" s="208"/>
      <c r="FO63" s="208"/>
      <c r="FP63" s="208"/>
      <c r="FQ63" s="208"/>
      <c r="FR63" s="208"/>
      <c r="FS63" s="208"/>
      <c r="FT63" s="208"/>
      <c r="FU63" s="208"/>
      <c r="FV63" s="208"/>
      <c r="FW63" s="208"/>
      <c r="FX63" s="208"/>
      <c r="FY63" s="208"/>
      <c r="FZ63" s="208"/>
      <c r="GA63" s="208"/>
      <c r="GB63" s="208"/>
      <c r="GC63" s="208"/>
      <c r="GD63" s="208"/>
      <c r="GE63" s="208"/>
      <c r="GF63" s="208"/>
    </row>
    <row r="64" spans="1:188" s="225" customFormat="1" ht="15" x14ac:dyDescent="0.25">
      <c r="A64" s="195" t="s">
        <v>4826</v>
      </c>
      <c r="B64" s="195" t="s">
        <v>119</v>
      </c>
      <c r="C64" s="196" t="s">
        <v>2142</v>
      </c>
      <c r="D64" s="154" t="s">
        <v>121</v>
      </c>
      <c r="E64" s="154">
        <v>5430</v>
      </c>
      <c r="F64" s="154">
        <v>0.1</v>
      </c>
      <c r="G64" s="197"/>
      <c r="H64" s="198"/>
      <c r="I64" s="151">
        <f>IFERROR(INDEX(Composições!$A$5:$J$8391,MATCH(B64,Composições!$A$5:$A$8391,0)+2,8),"")</f>
        <v>30.5486091</v>
      </c>
      <c r="J64" s="152">
        <f t="shared" ref="J64:J69" si="6">IF(ISNUMBER(I64),ROUND(F64*E64*I64,2),"")</f>
        <v>16587.89</v>
      </c>
      <c r="K64" s="198">
        <f>BDI!$B$17</f>
        <v>0.191</v>
      </c>
      <c r="L64" s="198"/>
      <c r="M64" s="198"/>
      <c r="N64" s="153">
        <f t="shared" ref="N64:N69" si="7">IF(ISNUMBER(I64),ROUND(I64*(1+K64),2),"")</f>
        <v>36.380000000000003</v>
      </c>
      <c r="O64" s="152">
        <f t="shared" ref="O64:O69" si="8">IF(ISNUMBER(I64),ROUND(F64*N64*E64,2),"")</f>
        <v>19754.34</v>
      </c>
      <c r="Q64" s="208"/>
      <c r="R64" s="208"/>
      <c r="S64"/>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c r="BI64" s="208"/>
      <c r="BJ64" s="208"/>
      <c r="BK64" s="208"/>
      <c r="BL64" s="208"/>
      <c r="BM64" s="208"/>
      <c r="BN64" s="208"/>
      <c r="BO64" s="208"/>
      <c r="BP64" s="208"/>
      <c r="BQ64" s="208"/>
      <c r="BR64" s="208"/>
      <c r="BS64" s="208"/>
      <c r="BT64" s="208"/>
      <c r="BU64" s="208"/>
      <c r="BV64" s="208"/>
      <c r="BW64" s="208"/>
      <c r="BX64" s="208"/>
      <c r="BY64" s="208"/>
      <c r="BZ64" s="208"/>
      <c r="CA64" s="208"/>
      <c r="CB64" s="208"/>
      <c r="CC64" s="208"/>
      <c r="CD64" s="208"/>
      <c r="CE64" s="208"/>
      <c r="CF64" s="208"/>
      <c r="CG64" s="208"/>
      <c r="CH64" s="208"/>
      <c r="CI64" s="208"/>
      <c r="CJ64" s="208"/>
      <c r="CK64" s="208"/>
      <c r="CL64" s="208"/>
      <c r="CM64" s="208"/>
      <c r="CN64" s="208"/>
      <c r="CO64" s="208"/>
      <c r="CP64" s="208"/>
      <c r="CQ64" s="208"/>
      <c r="CR64" s="208"/>
      <c r="CS64" s="208"/>
      <c r="CT64" s="208"/>
      <c r="CU64" s="208"/>
      <c r="CV64" s="208"/>
      <c r="CW64" s="208"/>
      <c r="CX64" s="208"/>
      <c r="CY64" s="208"/>
      <c r="CZ64" s="208"/>
      <c r="DA64" s="208"/>
      <c r="DB64" s="208"/>
      <c r="DC64" s="208"/>
      <c r="DD64" s="208"/>
      <c r="DE64" s="208"/>
      <c r="DF64" s="208"/>
      <c r="DG64" s="208"/>
      <c r="DH64" s="208"/>
      <c r="DI64" s="208"/>
      <c r="DJ64" s="208"/>
      <c r="DK64" s="208"/>
      <c r="DL64" s="208"/>
      <c r="DM64" s="208"/>
      <c r="DN64" s="208"/>
      <c r="DO64" s="208"/>
      <c r="DP64" s="208"/>
      <c r="DQ64" s="208"/>
      <c r="DR64" s="208"/>
      <c r="DS64" s="208"/>
      <c r="DT64" s="208"/>
      <c r="DU64" s="208"/>
      <c r="DV64" s="208"/>
      <c r="DW64" s="208"/>
      <c r="DX64" s="208"/>
      <c r="DY64" s="208"/>
      <c r="DZ64" s="208"/>
      <c r="EA64" s="208"/>
      <c r="EB64" s="208"/>
      <c r="EC64" s="208"/>
      <c r="ED64" s="208"/>
      <c r="EE64" s="208"/>
      <c r="EF64" s="208"/>
      <c r="EG64" s="208"/>
      <c r="EH64" s="208"/>
      <c r="EI64" s="208"/>
      <c r="EJ64" s="208"/>
      <c r="EK64" s="208"/>
      <c r="EL64" s="208"/>
      <c r="EM64" s="208"/>
      <c r="EN64" s="208"/>
      <c r="EO64" s="208"/>
      <c r="EP64" s="208"/>
      <c r="EQ64" s="208"/>
      <c r="ER64" s="208"/>
      <c r="ES64" s="208"/>
      <c r="ET64" s="208"/>
      <c r="EU64" s="208"/>
      <c r="EV64" s="208"/>
      <c r="EW64" s="208"/>
      <c r="EX64" s="208"/>
      <c r="EY64" s="208"/>
      <c r="EZ64" s="208"/>
      <c r="FA64" s="208"/>
      <c r="FB64" s="208"/>
      <c r="FC64" s="208"/>
      <c r="FD64" s="208"/>
      <c r="FE64" s="208"/>
      <c r="FF64" s="208"/>
      <c r="FG64" s="208"/>
      <c r="FH64" s="208"/>
      <c r="FI64" s="208"/>
      <c r="FJ64" s="208"/>
      <c r="FK64" s="208"/>
      <c r="FL64" s="208"/>
      <c r="FM64" s="208"/>
      <c r="FN64" s="208"/>
      <c r="FO64" s="208"/>
      <c r="FP64" s="208"/>
      <c r="FQ64" s="208"/>
      <c r="FR64" s="208"/>
      <c r="FS64" s="208"/>
      <c r="FT64" s="208"/>
      <c r="FU64" s="208"/>
      <c r="FV64" s="208"/>
      <c r="FW64" s="208"/>
      <c r="FX64" s="208"/>
      <c r="FY64" s="208"/>
      <c r="FZ64" s="208"/>
      <c r="GA64" s="208"/>
      <c r="GB64" s="208"/>
      <c r="GC64" s="208"/>
      <c r="GD64" s="208"/>
      <c r="GE64" s="208"/>
      <c r="GF64" s="208"/>
    </row>
    <row r="65" spans="1:188" s="225" customFormat="1" ht="15" x14ac:dyDescent="0.25">
      <c r="A65" s="195" t="s">
        <v>4827</v>
      </c>
      <c r="B65" s="195" t="s">
        <v>111</v>
      </c>
      <c r="C65" s="196" t="s">
        <v>2138</v>
      </c>
      <c r="D65" s="154" t="s">
        <v>78</v>
      </c>
      <c r="E65" s="154">
        <v>3000</v>
      </c>
      <c r="F65" s="154">
        <v>0.1</v>
      </c>
      <c r="G65" s="197"/>
      <c r="H65" s="198"/>
      <c r="I65" s="151">
        <f>IFERROR(INDEX(Composições!$A$5:$J$8391,MATCH(B65,Composições!$A$5:$A$8391,0)+2,8),"")</f>
        <v>5.1975061233875</v>
      </c>
      <c r="J65" s="152">
        <f t="shared" si="6"/>
        <v>1559.25</v>
      </c>
      <c r="K65" s="198">
        <f>BDI!$B$17</f>
        <v>0.191</v>
      </c>
      <c r="L65" s="198"/>
      <c r="M65" s="198"/>
      <c r="N65" s="153">
        <f t="shared" si="7"/>
        <v>6.19</v>
      </c>
      <c r="O65" s="152">
        <f t="shared" si="8"/>
        <v>1857</v>
      </c>
      <c r="Q65" s="208"/>
      <c r="R65" s="208"/>
      <c r="S65"/>
      <c r="T65" s="208"/>
      <c r="U65" s="208"/>
      <c r="V65" s="208"/>
      <c r="W65" s="208"/>
      <c r="X65" s="208"/>
      <c r="Y65" s="208"/>
      <c r="Z65" s="208"/>
      <c r="AA65" s="208"/>
      <c r="AB65" s="208"/>
      <c r="AC65" s="208"/>
      <c r="AD65" s="208"/>
      <c r="AE65" s="208"/>
      <c r="AF65" s="208"/>
      <c r="AG65" s="208"/>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c r="BI65" s="208"/>
      <c r="BJ65" s="208"/>
      <c r="BK65" s="208"/>
      <c r="BL65" s="208"/>
      <c r="BM65" s="208"/>
      <c r="BN65" s="208"/>
      <c r="BO65" s="208"/>
      <c r="BP65" s="208"/>
      <c r="BQ65" s="208"/>
      <c r="BR65" s="208"/>
      <c r="BS65" s="208"/>
      <c r="BT65" s="208"/>
      <c r="BU65" s="208"/>
      <c r="BV65" s="208"/>
      <c r="BW65" s="208"/>
      <c r="BX65" s="208"/>
      <c r="BY65" s="208"/>
      <c r="BZ65" s="208"/>
      <c r="CA65" s="208"/>
      <c r="CB65" s="208"/>
      <c r="CC65" s="208"/>
      <c r="CD65" s="208"/>
      <c r="CE65" s="208"/>
      <c r="CF65" s="208"/>
      <c r="CG65" s="208"/>
      <c r="CH65" s="208"/>
      <c r="CI65" s="208"/>
      <c r="CJ65" s="208"/>
      <c r="CK65" s="208"/>
      <c r="CL65" s="208"/>
      <c r="CM65" s="208"/>
      <c r="CN65" s="208"/>
      <c r="CO65" s="208"/>
      <c r="CP65" s="208"/>
      <c r="CQ65" s="208"/>
      <c r="CR65" s="208"/>
      <c r="CS65" s="208"/>
      <c r="CT65" s="208"/>
      <c r="CU65" s="208"/>
      <c r="CV65" s="208"/>
      <c r="CW65" s="208"/>
      <c r="CX65" s="208"/>
      <c r="CY65" s="208"/>
      <c r="CZ65" s="208"/>
      <c r="DA65" s="208"/>
      <c r="DB65" s="208"/>
      <c r="DC65" s="208"/>
      <c r="DD65" s="208"/>
      <c r="DE65" s="208"/>
      <c r="DF65" s="208"/>
      <c r="DG65" s="208"/>
      <c r="DH65" s="208"/>
      <c r="DI65" s="208"/>
      <c r="DJ65" s="208"/>
      <c r="DK65" s="208"/>
      <c r="DL65" s="208"/>
      <c r="DM65" s="208"/>
      <c r="DN65" s="208"/>
      <c r="DO65" s="208"/>
      <c r="DP65" s="208"/>
      <c r="DQ65" s="208"/>
      <c r="DR65" s="208"/>
      <c r="DS65" s="208"/>
      <c r="DT65" s="208"/>
      <c r="DU65" s="208"/>
      <c r="DV65" s="208"/>
      <c r="DW65" s="208"/>
      <c r="DX65" s="208"/>
      <c r="DY65" s="208"/>
      <c r="DZ65" s="208"/>
      <c r="EA65" s="208"/>
      <c r="EB65" s="208"/>
      <c r="EC65" s="208"/>
      <c r="ED65" s="208"/>
      <c r="EE65" s="208"/>
      <c r="EF65" s="208"/>
      <c r="EG65" s="208"/>
      <c r="EH65" s="208"/>
      <c r="EI65" s="208"/>
      <c r="EJ65" s="208"/>
      <c r="EK65" s="208"/>
      <c r="EL65" s="208"/>
      <c r="EM65" s="208"/>
      <c r="EN65" s="208"/>
      <c r="EO65" s="208"/>
      <c r="EP65" s="208"/>
      <c r="EQ65" s="208"/>
      <c r="ER65" s="208"/>
      <c r="ES65" s="208"/>
      <c r="ET65" s="208"/>
      <c r="EU65" s="208"/>
      <c r="EV65" s="208"/>
      <c r="EW65" s="208"/>
      <c r="EX65" s="208"/>
      <c r="EY65" s="208"/>
      <c r="EZ65" s="208"/>
      <c r="FA65" s="208"/>
      <c r="FB65" s="208"/>
      <c r="FC65" s="208"/>
      <c r="FD65" s="208"/>
      <c r="FE65" s="208"/>
      <c r="FF65" s="208"/>
      <c r="FG65" s="208"/>
      <c r="FH65" s="208"/>
      <c r="FI65" s="208"/>
      <c r="FJ65" s="208"/>
      <c r="FK65" s="208"/>
      <c r="FL65" s="208"/>
      <c r="FM65" s="208"/>
      <c r="FN65" s="208"/>
      <c r="FO65" s="208"/>
      <c r="FP65" s="208"/>
      <c r="FQ65" s="208"/>
      <c r="FR65" s="208"/>
      <c r="FS65" s="208"/>
      <c r="FT65" s="208"/>
      <c r="FU65" s="208"/>
      <c r="FV65" s="208"/>
      <c r="FW65" s="208"/>
      <c r="FX65" s="208"/>
      <c r="FY65" s="208"/>
      <c r="FZ65" s="208"/>
      <c r="GA65" s="208"/>
      <c r="GB65" s="208"/>
      <c r="GC65" s="208"/>
      <c r="GD65" s="208"/>
      <c r="GE65" s="208"/>
      <c r="GF65" s="208"/>
    </row>
    <row r="66" spans="1:188" s="225" customFormat="1" ht="15" x14ac:dyDescent="0.25">
      <c r="A66" s="195" t="s">
        <v>4828</v>
      </c>
      <c r="B66" s="195" t="s">
        <v>115</v>
      </c>
      <c r="C66" s="196" t="s">
        <v>2140</v>
      </c>
      <c r="D66" s="154" t="s">
        <v>78</v>
      </c>
      <c r="E66" s="154">
        <v>79100</v>
      </c>
      <c r="F66" s="154">
        <v>0.1</v>
      </c>
      <c r="G66" s="197"/>
      <c r="H66" s="198"/>
      <c r="I66" s="151">
        <f>IFERROR(INDEX(Composições!$A$5:$J$8391,MATCH(B66,Composições!$A$5:$A$8391,0)+2,8),"")</f>
        <v>46.088887100000008</v>
      </c>
      <c r="J66" s="152">
        <f t="shared" si="6"/>
        <v>364563.1</v>
      </c>
      <c r="K66" s="198">
        <f>BDI!$B$17</f>
        <v>0.191</v>
      </c>
      <c r="L66" s="198"/>
      <c r="M66" s="198"/>
      <c r="N66" s="153">
        <f t="shared" si="7"/>
        <v>54.89</v>
      </c>
      <c r="O66" s="152">
        <f t="shared" si="8"/>
        <v>434179.9</v>
      </c>
      <c r="Q66" s="208"/>
      <c r="R66" s="208"/>
      <c r="S66"/>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c r="BI66" s="208"/>
      <c r="BJ66" s="208"/>
      <c r="BK66" s="208"/>
      <c r="BL66" s="208"/>
      <c r="BM66" s="208"/>
      <c r="BN66" s="208"/>
      <c r="BO66" s="208"/>
      <c r="BP66" s="208"/>
      <c r="BQ66" s="208"/>
      <c r="BR66" s="208"/>
      <c r="BS66" s="208"/>
      <c r="BT66" s="208"/>
      <c r="BU66" s="208"/>
      <c r="BV66" s="208"/>
      <c r="BW66" s="208"/>
      <c r="BX66" s="208"/>
      <c r="BY66" s="208"/>
      <c r="BZ66" s="208"/>
      <c r="CA66" s="208"/>
      <c r="CB66" s="208"/>
      <c r="CC66" s="208"/>
      <c r="CD66" s="208"/>
      <c r="CE66" s="208"/>
      <c r="CF66" s="208"/>
      <c r="CG66" s="208"/>
      <c r="CH66" s="208"/>
      <c r="CI66" s="208"/>
      <c r="CJ66" s="208"/>
      <c r="CK66" s="208"/>
      <c r="CL66" s="208"/>
      <c r="CM66" s="208"/>
      <c r="CN66" s="208"/>
      <c r="CO66" s="208"/>
      <c r="CP66" s="208"/>
      <c r="CQ66" s="208"/>
      <c r="CR66" s="208"/>
      <c r="CS66" s="208"/>
      <c r="CT66" s="208"/>
      <c r="CU66" s="208"/>
      <c r="CV66" s="208"/>
      <c r="CW66" s="208"/>
      <c r="CX66" s="208"/>
      <c r="CY66" s="208"/>
      <c r="CZ66" s="208"/>
      <c r="DA66" s="208"/>
      <c r="DB66" s="208"/>
      <c r="DC66" s="208"/>
      <c r="DD66" s="208"/>
      <c r="DE66" s="208"/>
      <c r="DF66" s="208"/>
      <c r="DG66" s="208"/>
      <c r="DH66" s="208"/>
      <c r="DI66" s="208"/>
      <c r="DJ66" s="208"/>
      <c r="DK66" s="208"/>
      <c r="DL66" s="208"/>
      <c r="DM66" s="208"/>
      <c r="DN66" s="208"/>
      <c r="DO66" s="208"/>
      <c r="DP66" s="208"/>
      <c r="DQ66" s="208"/>
      <c r="DR66" s="208"/>
      <c r="DS66" s="208"/>
      <c r="DT66" s="208"/>
      <c r="DU66" s="208"/>
      <c r="DV66" s="208"/>
      <c r="DW66" s="208"/>
      <c r="DX66" s="208"/>
      <c r="DY66" s="208"/>
      <c r="DZ66" s="208"/>
      <c r="EA66" s="208"/>
      <c r="EB66" s="208"/>
      <c r="EC66" s="208"/>
      <c r="ED66" s="208"/>
      <c r="EE66" s="208"/>
      <c r="EF66" s="208"/>
      <c r="EG66" s="208"/>
      <c r="EH66" s="208"/>
      <c r="EI66" s="208"/>
      <c r="EJ66" s="208"/>
      <c r="EK66" s="208"/>
      <c r="EL66" s="208"/>
      <c r="EM66" s="208"/>
      <c r="EN66" s="208"/>
      <c r="EO66" s="208"/>
      <c r="EP66" s="208"/>
      <c r="EQ66" s="208"/>
      <c r="ER66" s="208"/>
      <c r="ES66" s="208"/>
      <c r="ET66" s="208"/>
      <c r="EU66" s="208"/>
      <c r="EV66" s="208"/>
      <c r="EW66" s="208"/>
      <c r="EX66" s="208"/>
      <c r="EY66" s="208"/>
      <c r="EZ66" s="208"/>
      <c r="FA66" s="208"/>
      <c r="FB66" s="208"/>
      <c r="FC66" s="208"/>
      <c r="FD66" s="208"/>
      <c r="FE66" s="208"/>
      <c r="FF66" s="208"/>
      <c r="FG66" s="208"/>
      <c r="FH66" s="208"/>
      <c r="FI66" s="208"/>
      <c r="FJ66" s="208"/>
      <c r="FK66" s="208"/>
      <c r="FL66" s="208"/>
      <c r="FM66" s="208"/>
      <c r="FN66" s="208"/>
      <c r="FO66" s="208"/>
      <c r="FP66" s="208"/>
      <c r="FQ66" s="208"/>
      <c r="FR66" s="208"/>
      <c r="FS66" s="208"/>
      <c r="FT66" s="208"/>
      <c r="FU66" s="208"/>
      <c r="FV66" s="208"/>
      <c r="FW66" s="208"/>
      <c r="FX66" s="208"/>
      <c r="FY66" s="208"/>
      <c r="FZ66" s="208"/>
      <c r="GA66" s="208"/>
      <c r="GB66" s="208"/>
      <c r="GC66" s="208"/>
      <c r="GD66" s="208"/>
      <c r="GE66" s="208"/>
      <c r="GF66" s="208"/>
    </row>
    <row r="67" spans="1:188" s="225" customFormat="1" ht="15" x14ac:dyDescent="0.25">
      <c r="A67" s="195" t="s">
        <v>4829</v>
      </c>
      <c r="B67" s="195" t="s">
        <v>146</v>
      </c>
      <c r="C67" s="196" t="s">
        <v>2153</v>
      </c>
      <c r="D67" s="154" t="s">
        <v>78</v>
      </c>
      <c r="E67" s="154">
        <v>3340</v>
      </c>
      <c r="F67" s="154">
        <v>0.1</v>
      </c>
      <c r="G67" s="197"/>
      <c r="H67" s="198"/>
      <c r="I67" s="151">
        <f>IFERROR(INDEX(Composições!$A$5:$J$8391,MATCH(B67,Composições!$A$5:$A$8391,0)+2,8),"")</f>
        <v>38.866461435312495</v>
      </c>
      <c r="J67" s="152">
        <f t="shared" si="6"/>
        <v>12981.4</v>
      </c>
      <c r="K67" s="198">
        <f>BDI!$B$17</f>
        <v>0.191</v>
      </c>
      <c r="L67" s="198"/>
      <c r="M67" s="198"/>
      <c r="N67" s="153">
        <f t="shared" si="7"/>
        <v>46.29</v>
      </c>
      <c r="O67" s="152">
        <f t="shared" si="8"/>
        <v>15460.86</v>
      </c>
      <c r="Q67" s="208"/>
      <c r="R67" s="208"/>
      <c r="S67"/>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c r="BI67" s="208"/>
      <c r="BJ67" s="208"/>
      <c r="BK67" s="208"/>
      <c r="BL67" s="208"/>
      <c r="BM67" s="208"/>
      <c r="BN67" s="208"/>
      <c r="BO67" s="208"/>
      <c r="BP67" s="208"/>
      <c r="BQ67" s="208"/>
      <c r="BR67" s="208"/>
      <c r="BS67" s="208"/>
      <c r="BT67" s="208"/>
      <c r="BU67" s="208"/>
      <c r="BV67" s="208"/>
      <c r="BW67" s="208"/>
      <c r="BX67" s="208"/>
      <c r="BY67" s="208"/>
      <c r="BZ67" s="208"/>
      <c r="CA67" s="208"/>
      <c r="CB67" s="208"/>
      <c r="CC67" s="208"/>
      <c r="CD67" s="208"/>
      <c r="CE67" s="208"/>
      <c r="CF67" s="208"/>
      <c r="CG67" s="208"/>
      <c r="CH67" s="208"/>
      <c r="CI67" s="208"/>
      <c r="CJ67" s="208"/>
      <c r="CK67" s="208"/>
      <c r="CL67" s="208"/>
      <c r="CM67" s="208"/>
      <c r="CN67" s="208"/>
      <c r="CO67" s="208"/>
      <c r="CP67" s="208"/>
      <c r="CQ67" s="208"/>
      <c r="CR67" s="208"/>
      <c r="CS67" s="208"/>
      <c r="CT67" s="208"/>
      <c r="CU67" s="208"/>
      <c r="CV67" s="208"/>
      <c r="CW67" s="208"/>
      <c r="CX67" s="208"/>
      <c r="CY67" s="208"/>
      <c r="CZ67" s="208"/>
      <c r="DA67" s="208"/>
      <c r="DB67" s="208"/>
      <c r="DC67" s="208"/>
      <c r="DD67" s="208"/>
      <c r="DE67" s="208"/>
      <c r="DF67" s="208"/>
      <c r="DG67" s="208"/>
      <c r="DH67" s="208"/>
      <c r="DI67" s="208"/>
      <c r="DJ67" s="208"/>
      <c r="DK67" s="208"/>
      <c r="DL67" s="208"/>
      <c r="DM67" s="208"/>
      <c r="DN67" s="208"/>
      <c r="DO67" s="208"/>
      <c r="DP67" s="208"/>
      <c r="DQ67" s="208"/>
      <c r="DR67" s="208"/>
      <c r="DS67" s="208"/>
      <c r="DT67" s="208"/>
      <c r="DU67" s="208"/>
      <c r="DV67" s="208"/>
      <c r="DW67" s="208"/>
      <c r="DX67" s="208"/>
      <c r="DY67" s="208"/>
      <c r="DZ67" s="208"/>
      <c r="EA67" s="208"/>
      <c r="EB67" s="208"/>
      <c r="EC67" s="208"/>
      <c r="ED67" s="208"/>
      <c r="EE67" s="208"/>
      <c r="EF67" s="208"/>
      <c r="EG67" s="208"/>
      <c r="EH67" s="208"/>
      <c r="EI67" s="208"/>
      <c r="EJ67" s="208"/>
      <c r="EK67" s="208"/>
      <c r="EL67" s="208"/>
      <c r="EM67" s="208"/>
      <c r="EN67" s="208"/>
      <c r="EO67" s="208"/>
      <c r="EP67" s="208"/>
      <c r="EQ67" s="208"/>
      <c r="ER67" s="208"/>
      <c r="ES67" s="208"/>
      <c r="ET67" s="208"/>
      <c r="EU67" s="208"/>
      <c r="EV67" s="208"/>
      <c r="EW67" s="208"/>
      <c r="EX67" s="208"/>
      <c r="EY67" s="208"/>
      <c r="EZ67" s="208"/>
      <c r="FA67" s="208"/>
      <c r="FB67" s="208"/>
      <c r="FC67" s="208"/>
      <c r="FD67" s="208"/>
      <c r="FE67" s="208"/>
      <c r="FF67" s="208"/>
      <c r="FG67" s="208"/>
      <c r="FH67" s="208"/>
      <c r="FI67" s="208"/>
      <c r="FJ67" s="208"/>
      <c r="FK67" s="208"/>
      <c r="FL67" s="208"/>
      <c r="FM67" s="208"/>
      <c r="FN67" s="208"/>
      <c r="FO67" s="208"/>
      <c r="FP67" s="208"/>
      <c r="FQ67" s="208"/>
      <c r="FR67" s="208"/>
      <c r="FS67" s="208"/>
      <c r="FT67" s="208"/>
      <c r="FU67" s="208"/>
      <c r="FV67" s="208"/>
      <c r="FW67" s="208"/>
      <c r="FX67" s="208"/>
      <c r="FY67" s="208"/>
      <c r="FZ67" s="208"/>
      <c r="GA67" s="208"/>
      <c r="GB67" s="208"/>
      <c r="GC67" s="208"/>
      <c r="GD67" s="208"/>
      <c r="GE67" s="208"/>
      <c r="GF67" s="208"/>
    </row>
    <row r="68" spans="1:188" s="225" customFormat="1" ht="15" x14ac:dyDescent="0.25">
      <c r="A68" s="195" t="s">
        <v>4830</v>
      </c>
      <c r="B68" s="195" t="s">
        <v>1010</v>
      </c>
      <c r="C68" s="196" t="s">
        <v>2855</v>
      </c>
      <c r="D68" s="154" t="s">
        <v>78</v>
      </c>
      <c r="E68" s="154">
        <v>2180</v>
      </c>
      <c r="F68" s="154">
        <v>0.1</v>
      </c>
      <c r="G68" s="197"/>
      <c r="H68" s="198"/>
      <c r="I68" s="151">
        <f>IFERROR(INDEX(Composições!$A$5:$J$8391,MATCH(B68,Composições!$A$5:$A$8391,0)+2,8),"")</f>
        <v>132.90627499999999</v>
      </c>
      <c r="J68" s="152">
        <f t="shared" si="6"/>
        <v>28973.57</v>
      </c>
      <c r="K68" s="198">
        <f>BDI!$B$17</f>
        <v>0.191</v>
      </c>
      <c r="L68" s="198"/>
      <c r="M68" s="198"/>
      <c r="N68" s="153">
        <f t="shared" si="7"/>
        <v>158.29</v>
      </c>
      <c r="O68" s="152">
        <f t="shared" si="8"/>
        <v>34507.22</v>
      </c>
      <c r="Q68" s="208"/>
      <c r="R68" s="208"/>
      <c r="S6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8"/>
      <c r="DL68" s="208"/>
      <c r="DM68" s="208"/>
      <c r="DN68" s="208"/>
      <c r="DO68" s="208"/>
      <c r="DP68" s="208"/>
      <c r="DQ68" s="208"/>
      <c r="DR68" s="208"/>
      <c r="DS68" s="208"/>
      <c r="DT68" s="208"/>
      <c r="DU68" s="208"/>
      <c r="DV68" s="208"/>
      <c r="DW68" s="208"/>
      <c r="DX68" s="208"/>
      <c r="DY68" s="208"/>
      <c r="DZ68" s="208"/>
      <c r="EA68" s="208"/>
      <c r="EB68" s="208"/>
      <c r="EC68" s="208"/>
      <c r="ED68" s="208"/>
      <c r="EE68" s="208"/>
      <c r="EF68" s="208"/>
      <c r="EG68" s="208"/>
      <c r="EH68" s="208"/>
      <c r="EI68" s="208"/>
      <c r="EJ68" s="208"/>
      <c r="EK68" s="208"/>
      <c r="EL68" s="208"/>
      <c r="EM68" s="208"/>
      <c r="EN68" s="208"/>
      <c r="EO68" s="208"/>
      <c r="EP68" s="208"/>
      <c r="EQ68" s="208"/>
      <c r="ER68" s="208"/>
      <c r="ES68" s="208"/>
      <c r="ET68" s="208"/>
      <c r="EU68" s="208"/>
      <c r="EV68" s="208"/>
      <c r="EW68" s="208"/>
      <c r="EX68" s="208"/>
      <c r="EY68" s="208"/>
      <c r="EZ68" s="208"/>
      <c r="FA68" s="208"/>
      <c r="FB68" s="208"/>
      <c r="FC68" s="208"/>
      <c r="FD68" s="208"/>
      <c r="FE68" s="208"/>
      <c r="FF68" s="208"/>
      <c r="FG68" s="208"/>
      <c r="FH68" s="208"/>
      <c r="FI68" s="208"/>
      <c r="FJ68" s="208"/>
      <c r="FK68" s="208"/>
      <c r="FL68" s="208"/>
      <c r="FM68" s="208"/>
      <c r="FN68" s="208"/>
      <c r="FO68" s="208"/>
      <c r="FP68" s="208"/>
      <c r="FQ68" s="208"/>
      <c r="FR68" s="208"/>
      <c r="FS68" s="208"/>
      <c r="FT68" s="208"/>
      <c r="FU68" s="208"/>
      <c r="FV68" s="208"/>
      <c r="FW68" s="208"/>
      <c r="FX68" s="208"/>
      <c r="FY68" s="208"/>
      <c r="FZ68" s="208"/>
      <c r="GA68" s="208"/>
      <c r="GB68" s="208"/>
      <c r="GC68" s="208"/>
      <c r="GD68" s="208"/>
      <c r="GE68" s="208"/>
      <c r="GF68" s="208"/>
    </row>
    <row r="69" spans="1:188" s="225" customFormat="1" ht="15" x14ac:dyDescent="0.25">
      <c r="A69" s="195" t="s">
        <v>4831</v>
      </c>
      <c r="B69" s="195" t="s">
        <v>1796</v>
      </c>
      <c r="C69" s="196" t="s">
        <v>3521</v>
      </c>
      <c r="D69" s="154" t="s">
        <v>78</v>
      </c>
      <c r="E69" s="154">
        <v>100000</v>
      </c>
      <c r="F69" s="154">
        <v>0.1</v>
      </c>
      <c r="G69" s="197"/>
      <c r="H69" s="198"/>
      <c r="I69" s="151">
        <f>IFERROR(INDEX(Composições!$A$5:$J$8391,MATCH(B69,Composições!$A$5:$A$8391,0)+2,8),"")</f>
        <v>16.165500407812498</v>
      </c>
      <c r="J69" s="152">
        <f t="shared" si="6"/>
        <v>161655</v>
      </c>
      <c r="K69" s="198">
        <f>BDI!$B$17</f>
        <v>0.191</v>
      </c>
      <c r="L69" s="198"/>
      <c r="M69" s="198"/>
      <c r="N69" s="153">
        <f t="shared" si="7"/>
        <v>19.25</v>
      </c>
      <c r="O69" s="152">
        <f t="shared" si="8"/>
        <v>192500</v>
      </c>
      <c r="Q69" s="208"/>
      <c r="R69" s="208"/>
      <c r="S69"/>
      <c r="T69" s="208"/>
      <c r="U69" s="208"/>
      <c r="V69" s="208"/>
      <c r="W69" s="208"/>
      <c r="X69" s="208"/>
      <c r="Y69" s="208"/>
      <c r="Z69" s="208"/>
      <c r="AA69" s="208"/>
      <c r="AB69" s="208"/>
      <c r="AC69" s="208"/>
      <c r="AD69" s="208"/>
      <c r="AE69" s="208"/>
      <c r="AF69" s="208"/>
      <c r="AG69" s="208"/>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208"/>
      <c r="CS69" s="208"/>
      <c r="CT69" s="208"/>
      <c r="CU69" s="208"/>
      <c r="CV69" s="208"/>
      <c r="CW69" s="208"/>
      <c r="CX69" s="208"/>
      <c r="CY69" s="208"/>
      <c r="CZ69" s="208"/>
      <c r="DA69" s="208"/>
      <c r="DB69" s="208"/>
      <c r="DC69" s="208"/>
      <c r="DD69" s="208"/>
      <c r="DE69" s="208"/>
      <c r="DF69" s="208"/>
      <c r="DG69" s="208"/>
      <c r="DH69" s="208"/>
      <c r="DI69" s="208"/>
      <c r="DJ69" s="208"/>
      <c r="DK69" s="208"/>
      <c r="DL69" s="208"/>
      <c r="DM69" s="208"/>
      <c r="DN69" s="208"/>
      <c r="DO69" s="208"/>
      <c r="DP69" s="208"/>
      <c r="DQ69" s="208"/>
      <c r="DR69" s="208"/>
      <c r="DS69" s="208"/>
      <c r="DT69" s="208"/>
      <c r="DU69" s="208"/>
      <c r="DV69" s="208"/>
      <c r="DW69" s="208"/>
      <c r="DX69" s="208"/>
      <c r="DY69" s="208"/>
      <c r="DZ69" s="208"/>
      <c r="EA69" s="208"/>
      <c r="EB69" s="208"/>
      <c r="EC69" s="208"/>
      <c r="ED69" s="208"/>
      <c r="EE69" s="208"/>
      <c r="EF69" s="208"/>
      <c r="EG69" s="208"/>
      <c r="EH69" s="208"/>
      <c r="EI69" s="208"/>
      <c r="EJ69" s="208"/>
      <c r="EK69" s="208"/>
      <c r="EL69" s="208"/>
      <c r="EM69" s="208"/>
      <c r="EN69" s="208"/>
      <c r="EO69" s="208"/>
      <c r="EP69" s="208"/>
      <c r="EQ69" s="208"/>
      <c r="ER69" s="208"/>
      <c r="ES69" s="208"/>
      <c r="ET69" s="208"/>
      <c r="EU69" s="208"/>
      <c r="EV69" s="208"/>
      <c r="EW69" s="208"/>
      <c r="EX69" s="208"/>
      <c r="EY69" s="208"/>
      <c r="EZ69" s="208"/>
      <c r="FA69" s="208"/>
      <c r="FB69" s="208"/>
      <c r="FC69" s="208"/>
      <c r="FD69" s="208"/>
      <c r="FE69" s="208"/>
      <c r="FF69" s="208"/>
      <c r="FG69" s="208"/>
      <c r="FH69" s="208"/>
      <c r="FI69" s="208"/>
      <c r="FJ69" s="208"/>
      <c r="FK69" s="208"/>
      <c r="FL69" s="208"/>
      <c r="FM69" s="208"/>
      <c r="FN69" s="208"/>
      <c r="FO69" s="208"/>
      <c r="FP69" s="208"/>
      <c r="FQ69" s="208"/>
      <c r="FR69" s="208"/>
      <c r="FS69" s="208"/>
      <c r="FT69" s="208"/>
      <c r="FU69" s="208"/>
      <c r="FV69" s="208"/>
      <c r="FW69" s="208"/>
      <c r="FX69" s="208"/>
      <c r="FY69" s="208"/>
      <c r="FZ69" s="208"/>
      <c r="GA69" s="208"/>
      <c r="GB69" s="208"/>
      <c r="GC69" s="208"/>
      <c r="GD69" s="208"/>
      <c r="GE69" s="208"/>
      <c r="GF69" s="208"/>
    </row>
    <row r="70" spans="1:188" s="225" customFormat="1" ht="15" x14ac:dyDescent="0.25">
      <c r="A70" s="189" t="s">
        <v>4832</v>
      </c>
      <c r="B70" s="189"/>
      <c r="C70" s="190" t="s">
        <v>4833</v>
      </c>
      <c r="D70" s="191"/>
      <c r="E70" s="191"/>
      <c r="F70" s="191"/>
      <c r="G70" s="192"/>
      <c r="H70" s="193"/>
      <c r="I70" s="246"/>
      <c r="J70" s="194">
        <f>SUBTOTAL(109,J71:J96)</f>
        <v>928175.99999999988</v>
      </c>
      <c r="K70" s="191"/>
      <c r="L70" s="191"/>
      <c r="M70" s="191"/>
      <c r="N70" s="191"/>
      <c r="O70" s="194">
        <f>SUBTOTAL(109,O71:O96)</f>
        <v>1105465.5900000001</v>
      </c>
      <c r="Q70" s="208"/>
      <c r="R70" s="208"/>
      <c r="S70"/>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8"/>
      <c r="DL70" s="208"/>
      <c r="DM70" s="208"/>
      <c r="DN70" s="208"/>
      <c r="DO70" s="208"/>
      <c r="DP70" s="208"/>
      <c r="DQ70" s="208"/>
      <c r="DR70" s="208"/>
      <c r="DS70" s="208"/>
      <c r="DT70" s="208"/>
      <c r="DU70" s="208"/>
      <c r="DV70" s="208"/>
      <c r="DW70" s="208"/>
      <c r="DX70" s="208"/>
      <c r="DY70" s="208"/>
      <c r="DZ70" s="208"/>
      <c r="EA70" s="208"/>
      <c r="EB70" s="208"/>
      <c r="EC70" s="208"/>
      <c r="ED70" s="208"/>
      <c r="EE70" s="208"/>
      <c r="EF70" s="208"/>
      <c r="EG70" s="208"/>
      <c r="EH70" s="208"/>
      <c r="EI70" s="208"/>
      <c r="EJ70" s="208"/>
      <c r="EK70" s="208"/>
      <c r="EL70" s="208"/>
      <c r="EM70" s="208"/>
      <c r="EN70" s="208"/>
      <c r="EO70" s="208"/>
      <c r="EP70" s="208"/>
      <c r="EQ70" s="208"/>
      <c r="ER70" s="208"/>
      <c r="ES70" s="208"/>
      <c r="ET70" s="208"/>
      <c r="EU70" s="208"/>
      <c r="EV70" s="208"/>
      <c r="EW70" s="208"/>
      <c r="EX70" s="208"/>
      <c r="EY70" s="208"/>
      <c r="EZ70" s="208"/>
      <c r="FA70" s="208"/>
      <c r="FB70" s="208"/>
      <c r="FC70" s="208"/>
      <c r="FD70" s="208"/>
      <c r="FE70" s="208"/>
      <c r="FF70" s="208"/>
      <c r="FG70" s="208"/>
      <c r="FH70" s="208"/>
      <c r="FI70" s="208"/>
      <c r="FJ70" s="208"/>
      <c r="FK70" s="208"/>
      <c r="FL70" s="208"/>
      <c r="FM70" s="208"/>
      <c r="FN70" s="208"/>
      <c r="FO70" s="208"/>
      <c r="FP70" s="208"/>
      <c r="FQ70" s="208"/>
      <c r="FR70" s="208"/>
      <c r="FS70" s="208"/>
      <c r="FT70" s="208"/>
      <c r="FU70" s="208"/>
      <c r="FV70" s="208"/>
      <c r="FW70" s="208"/>
      <c r="FX70" s="208"/>
      <c r="FY70" s="208"/>
      <c r="FZ70" s="208"/>
      <c r="GA70" s="208"/>
      <c r="GB70" s="208"/>
      <c r="GC70" s="208"/>
      <c r="GD70" s="208"/>
      <c r="GE70" s="208"/>
      <c r="GF70" s="208"/>
    </row>
    <row r="71" spans="1:188" s="225" customFormat="1" ht="15" x14ac:dyDescent="0.25">
      <c r="A71" s="195" t="s">
        <v>4834</v>
      </c>
      <c r="B71" s="195" t="s">
        <v>1790</v>
      </c>
      <c r="C71" s="196" t="s">
        <v>3518</v>
      </c>
      <c r="D71" s="154" t="s">
        <v>78</v>
      </c>
      <c r="E71" s="154">
        <v>8000</v>
      </c>
      <c r="F71" s="154">
        <v>0.1</v>
      </c>
      <c r="G71" s="197"/>
      <c r="H71" s="198"/>
      <c r="I71" s="151">
        <f>IFERROR(INDEX(Composições!$A$5:$J$8391,MATCH(B71,Composições!$A$5:$A$8391,0)+2,8),"")</f>
        <v>100.51954560000001</v>
      </c>
      <c r="J71" s="152">
        <f t="shared" ref="J71:J96" si="9">IF(ISNUMBER(I71),ROUND(F71*E71*I71,2),"")</f>
        <v>80415.64</v>
      </c>
      <c r="K71" s="198">
        <f>BDI!$B$17</f>
        <v>0.191</v>
      </c>
      <c r="L71" s="198"/>
      <c r="M71" s="198"/>
      <c r="N71" s="153">
        <f t="shared" ref="N71:N96" si="10">IF(ISNUMBER(I71),ROUND(I71*(1+K71),2),"")</f>
        <v>119.72</v>
      </c>
      <c r="O71" s="152">
        <f t="shared" ref="O71:O96" si="11">IF(ISNUMBER(I71),ROUND(F71*N71*E71,2),"")</f>
        <v>95776</v>
      </c>
      <c r="Q71" s="208"/>
      <c r="R71" s="208"/>
      <c r="S71"/>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c r="BI71" s="208"/>
      <c r="BJ71" s="208"/>
      <c r="BK71" s="208"/>
      <c r="BL71" s="208"/>
      <c r="BM71" s="208"/>
      <c r="BN71" s="208"/>
      <c r="BO71" s="208"/>
      <c r="BP71" s="208"/>
      <c r="BQ71" s="208"/>
      <c r="BR71" s="208"/>
      <c r="BS71" s="208"/>
      <c r="BT71" s="208"/>
      <c r="BU71" s="208"/>
      <c r="BV71" s="208"/>
      <c r="BW71" s="208"/>
      <c r="BX71" s="208"/>
      <c r="BY71" s="208"/>
      <c r="BZ71" s="208"/>
      <c r="CA71" s="208"/>
      <c r="CB71" s="208"/>
      <c r="CC71" s="208"/>
      <c r="CD71" s="208"/>
      <c r="CE71" s="208"/>
      <c r="CF71" s="208"/>
      <c r="CG71" s="208"/>
      <c r="CH71" s="208"/>
      <c r="CI71" s="208"/>
      <c r="CJ71" s="208"/>
      <c r="CK71" s="208"/>
      <c r="CL71" s="208"/>
      <c r="CM71" s="208"/>
      <c r="CN71" s="208"/>
      <c r="CO71" s="208"/>
      <c r="CP71" s="208"/>
      <c r="CQ71" s="208"/>
      <c r="CR71" s="208"/>
      <c r="CS71" s="208"/>
      <c r="CT71" s="208"/>
      <c r="CU71" s="208"/>
      <c r="CV71" s="208"/>
      <c r="CW71" s="208"/>
      <c r="CX71" s="208"/>
      <c r="CY71" s="208"/>
      <c r="CZ71" s="208"/>
      <c r="DA71" s="208"/>
      <c r="DB71" s="208"/>
      <c r="DC71" s="208"/>
      <c r="DD71" s="208"/>
      <c r="DE71" s="208"/>
      <c r="DF71" s="208"/>
      <c r="DG71" s="208"/>
      <c r="DH71" s="208"/>
      <c r="DI71" s="208"/>
      <c r="DJ71" s="208"/>
      <c r="DK71" s="208"/>
      <c r="DL71" s="208"/>
      <c r="DM71" s="208"/>
      <c r="DN71" s="208"/>
      <c r="DO71" s="208"/>
      <c r="DP71" s="208"/>
      <c r="DQ71" s="208"/>
      <c r="DR71" s="208"/>
      <c r="DS71" s="208"/>
      <c r="DT71" s="208"/>
      <c r="DU71" s="208"/>
      <c r="DV71" s="208"/>
      <c r="DW71" s="208"/>
      <c r="DX71" s="208"/>
      <c r="DY71" s="208"/>
      <c r="DZ71" s="208"/>
      <c r="EA71" s="208"/>
      <c r="EB71" s="208"/>
      <c r="EC71" s="208"/>
      <c r="ED71" s="208"/>
      <c r="EE71" s="208"/>
      <c r="EF71" s="208"/>
      <c r="EG71" s="208"/>
      <c r="EH71" s="208"/>
      <c r="EI71" s="208"/>
      <c r="EJ71" s="208"/>
      <c r="EK71" s="208"/>
      <c r="EL71" s="208"/>
      <c r="EM71" s="208"/>
      <c r="EN71" s="208"/>
      <c r="EO71" s="208"/>
      <c r="EP71" s="208"/>
      <c r="EQ71" s="208"/>
      <c r="ER71" s="208"/>
      <c r="ES71" s="208"/>
      <c r="ET71" s="208"/>
      <c r="EU71" s="208"/>
      <c r="EV71" s="208"/>
      <c r="EW71" s="208"/>
      <c r="EX71" s="208"/>
      <c r="EY71" s="208"/>
      <c r="EZ71" s="208"/>
      <c r="FA71" s="208"/>
      <c r="FB71" s="208"/>
      <c r="FC71" s="208"/>
      <c r="FD71" s="208"/>
      <c r="FE71" s="208"/>
      <c r="FF71" s="208"/>
      <c r="FG71" s="208"/>
      <c r="FH71" s="208"/>
      <c r="FI71" s="208"/>
      <c r="FJ71" s="208"/>
      <c r="FK71" s="208"/>
      <c r="FL71" s="208"/>
      <c r="FM71" s="208"/>
      <c r="FN71" s="208"/>
      <c r="FO71" s="208"/>
      <c r="FP71" s="208"/>
      <c r="FQ71" s="208"/>
      <c r="FR71" s="208"/>
      <c r="FS71" s="208"/>
      <c r="FT71" s="208"/>
      <c r="FU71" s="208"/>
      <c r="FV71" s="208"/>
      <c r="FW71" s="208"/>
      <c r="FX71" s="208"/>
      <c r="FY71" s="208"/>
      <c r="FZ71" s="208"/>
      <c r="GA71" s="208"/>
      <c r="GB71" s="208"/>
      <c r="GC71" s="208"/>
      <c r="GD71" s="208"/>
      <c r="GE71" s="208"/>
      <c r="GF71" s="208"/>
    </row>
    <row r="72" spans="1:188" s="225" customFormat="1" ht="15" x14ac:dyDescent="0.25">
      <c r="A72" s="195" t="s">
        <v>4835</v>
      </c>
      <c r="B72" s="195" t="s">
        <v>1792</v>
      </c>
      <c r="C72" s="196" t="s">
        <v>3519</v>
      </c>
      <c r="D72" s="154" t="s">
        <v>78</v>
      </c>
      <c r="E72" s="154">
        <v>8000</v>
      </c>
      <c r="F72" s="154">
        <v>0.1</v>
      </c>
      <c r="G72" s="197"/>
      <c r="H72" s="198"/>
      <c r="I72" s="151">
        <f>IFERROR(INDEX(Composições!$A$5:$J$8391,MATCH(B72,Composições!$A$5:$A$8391,0)+2,8),"")</f>
        <v>90.099475600000005</v>
      </c>
      <c r="J72" s="152">
        <f t="shared" si="9"/>
        <v>72079.58</v>
      </c>
      <c r="K72" s="198">
        <f>BDI!$B$17</f>
        <v>0.191</v>
      </c>
      <c r="L72" s="198"/>
      <c r="M72" s="198"/>
      <c r="N72" s="153">
        <f t="shared" si="10"/>
        <v>107.31</v>
      </c>
      <c r="O72" s="152">
        <f t="shared" si="11"/>
        <v>85848</v>
      </c>
      <c r="Q72" s="208"/>
      <c r="R72" s="208"/>
      <c r="S72"/>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c r="BK72" s="208"/>
      <c r="BL72" s="208"/>
      <c r="BM72" s="208"/>
      <c r="BN72" s="208"/>
      <c r="BO72" s="208"/>
      <c r="BP72" s="208"/>
      <c r="BQ72" s="208"/>
      <c r="BR72" s="208"/>
      <c r="BS72" s="208"/>
      <c r="BT72" s="208"/>
      <c r="BU72" s="208"/>
      <c r="BV72" s="208"/>
      <c r="BW72" s="208"/>
      <c r="BX72" s="208"/>
      <c r="BY72" s="208"/>
      <c r="BZ72" s="208"/>
      <c r="CA72" s="208"/>
      <c r="CB72" s="208"/>
      <c r="CC72" s="208"/>
      <c r="CD72" s="208"/>
      <c r="CE72" s="208"/>
      <c r="CF72" s="208"/>
      <c r="CG72" s="208"/>
      <c r="CH72" s="208"/>
      <c r="CI72" s="208"/>
      <c r="CJ72" s="208"/>
      <c r="CK72" s="208"/>
      <c r="CL72" s="208"/>
      <c r="CM72" s="208"/>
      <c r="CN72" s="208"/>
      <c r="CO72" s="208"/>
      <c r="CP72" s="208"/>
      <c r="CQ72" s="208"/>
      <c r="CR72" s="208"/>
      <c r="CS72" s="208"/>
      <c r="CT72" s="208"/>
      <c r="CU72" s="208"/>
      <c r="CV72" s="208"/>
      <c r="CW72" s="208"/>
      <c r="CX72" s="208"/>
      <c r="CY72" s="208"/>
      <c r="CZ72" s="208"/>
      <c r="DA72" s="208"/>
      <c r="DB72" s="208"/>
      <c r="DC72" s="208"/>
      <c r="DD72" s="208"/>
      <c r="DE72" s="208"/>
      <c r="DF72" s="208"/>
      <c r="DG72" s="208"/>
      <c r="DH72" s="208"/>
      <c r="DI72" s="208"/>
      <c r="DJ72" s="208"/>
      <c r="DK72" s="208"/>
      <c r="DL72" s="208"/>
      <c r="DM72" s="208"/>
      <c r="DN72" s="208"/>
      <c r="DO72" s="208"/>
      <c r="DP72" s="208"/>
      <c r="DQ72" s="208"/>
      <c r="DR72" s="208"/>
      <c r="DS72" s="208"/>
      <c r="DT72" s="208"/>
      <c r="DU72" s="208"/>
      <c r="DV72" s="208"/>
      <c r="DW72" s="208"/>
      <c r="DX72" s="208"/>
      <c r="DY72" s="208"/>
      <c r="DZ72" s="208"/>
      <c r="EA72" s="208"/>
      <c r="EB72" s="208"/>
      <c r="EC72" s="208"/>
      <c r="ED72" s="208"/>
      <c r="EE72" s="208"/>
      <c r="EF72" s="208"/>
      <c r="EG72" s="208"/>
      <c r="EH72" s="208"/>
      <c r="EI72" s="208"/>
      <c r="EJ72" s="208"/>
      <c r="EK72" s="208"/>
      <c r="EL72" s="208"/>
      <c r="EM72" s="208"/>
      <c r="EN72" s="208"/>
      <c r="EO72" s="208"/>
      <c r="EP72" s="208"/>
      <c r="EQ72" s="208"/>
      <c r="ER72" s="208"/>
      <c r="ES72" s="208"/>
      <c r="ET72" s="208"/>
      <c r="EU72" s="208"/>
      <c r="EV72" s="208"/>
      <c r="EW72" s="208"/>
      <c r="EX72" s="208"/>
      <c r="EY72" s="208"/>
      <c r="EZ72" s="208"/>
      <c r="FA72" s="208"/>
      <c r="FB72" s="208"/>
      <c r="FC72" s="208"/>
      <c r="FD72" s="208"/>
      <c r="FE72" s="208"/>
      <c r="FF72" s="208"/>
      <c r="FG72" s="208"/>
      <c r="FH72" s="208"/>
      <c r="FI72" s="208"/>
      <c r="FJ72" s="208"/>
      <c r="FK72" s="208"/>
      <c r="FL72" s="208"/>
      <c r="FM72" s="208"/>
      <c r="FN72" s="208"/>
      <c r="FO72" s="208"/>
      <c r="FP72" s="208"/>
      <c r="FQ72" s="208"/>
      <c r="FR72" s="208"/>
      <c r="FS72" s="208"/>
      <c r="FT72" s="208"/>
      <c r="FU72" s="208"/>
      <c r="FV72" s="208"/>
      <c r="FW72" s="208"/>
      <c r="FX72" s="208"/>
      <c r="FY72" s="208"/>
      <c r="FZ72" s="208"/>
      <c r="GA72" s="208"/>
      <c r="GB72" s="208"/>
      <c r="GC72" s="208"/>
      <c r="GD72" s="208"/>
      <c r="GE72" s="208"/>
      <c r="GF72" s="208"/>
    </row>
    <row r="73" spans="1:188" s="225" customFormat="1" ht="15" x14ac:dyDescent="0.25">
      <c r="A73" s="195" t="s">
        <v>4836</v>
      </c>
      <c r="B73" s="195" t="s">
        <v>1794</v>
      </c>
      <c r="C73" s="196" t="s">
        <v>3520</v>
      </c>
      <c r="D73" s="154" t="s">
        <v>78</v>
      </c>
      <c r="E73" s="154">
        <v>8000</v>
      </c>
      <c r="F73" s="154">
        <v>0.1</v>
      </c>
      <c r="G73" s="197"/>
      <c r="H73" s="198"/>
      <c r="I73" s="151">
        <f>IFERROR(INDEX(Composições!$A$5:$J$8391,MATCH(B73,Composições!$A$5:$A$8391,0)+2,8),"")</f>
        <v>177.85482160000001</v>
      </c>
      <c r="J73" s="152">
        <f t="shared" si="9"/>
        <v>142283.85999999999</v>
      </c>
      <c r="K73" s="198">
        <f>BDI!$B$17</f>
        <v>0.191</v>
      </c>
      <c r="L73" s="198"/>
      <c r="M73" s="198"/>
      <c r="N73" s="153">
        <f t="shared" si="10"/>
        <v>211.83</v>
      </c>
      <c r="O73" s="152">
        <f t="shared" si="11"/>
        <v>169464</v>
      </c>
      <c r="Q73" s="208"/>
      <c r="R73" s="208"/>
      <c r="S73"/>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c r="BK73" s="208"/>
      <c r="BL73" s="208"/>
      <c r="BM73" s="208"/>
      <c r="BN73" s="208"/>
      <c r="BO73" s="208"/>
      <c r="BP73" s="208"/>
      <c r="BQ73" s="208"/>
      <c r="BR73" s="208"/>
      <c r="BS73" s="208"/>
      <c r="BT73" s="208"/>
      <c r="BU73" s="208"/>
      <c r="BV73" s="208"/>
      <c r="BW73" s="208"/>
      <c r="BX73" s="208"/>
      <c r="BY73" s="208"/>
      <c r="BZ73" s="208"/>
      <c r="CA73" s="208"/>
      <c r="CB73" s="208"/>
      <c r="CC73" s="208"/>
      <c r="CD73" s="208"/>
      <c r="CE73" s="208"/>
      <c r="CF73" s="208"/>
      <c r="CG73" s="208"/>
      <c r="CH73" s="208"/>
      <c r="CI73" s="208"/>
      <c r="CJ73" s="208"/>
      <c r="CK73" s="208"/>
      <c r="CL73" s="208"/>
      <c r="CM73" s="208"/>
      <c r="CN73" s="208"/>
      <c r="CO73" s="208"/>
      <c r="CP73" s="208"/>
      <c r="CQ73" s="208"/>
      <c r="CR73" s="208"/>
      <c r="CS73" s="208"/>
      <c r="CT73" s="208"/>
      <c r="CU73" s="208"/>
      <c r="CV73" s="208"/>
      <c r="CW73" s="208"/>
      <c r="CX73" s="208"/>
      <c r="CY73" s="208"/>
      <c r="CZ73" s="208"/>
      <c r="DA73" s="208"/>
      <c r="DB73" s="208"/>
      <c r="DC73" s="208"/>
      <c r="DD73" s="208"/>
      <c r="DE73" s="208"/>
      <c r="DF73" s="208"/>
      <c r="DG73" s="208"/>
      <c r="DH73" s="208"/>
      <c r="DI73" s="208"/>
      <c r="DJ73" s="208"/>
      <c r="DK73" s="208"/>
      <c r="DL73" s="208"/>
      <c r="DM73" s="208"/>
      <c r="DN73" s="208"/>
      <c r="DO73" s="208"/>
      <c r="DP73" s="208"/>
      <c r="DQ73" s="208"/>
      <c r="DR73" s="208"/>
      <c r="DS73" s="208"/>
      <c r="DT73" s="208"/>
      <c r="DU73" s="208"/>
      <c r="DV73" s="208"/>
      <c r="DW73" s="208"/>
      <c r="DX73" s="208"/>
      <c r="DY73" s="208"/>
      <c r="DZ73" s="208"/>
      <c r="EA73" s="208"/>
      <c r="EB73" s="208"/>
      <c r="EC73" s="208"/>
      <c r="ED73" s="208"/>
      <c r="EE73" s="208"/>
      <c r="EF73" s="208"/>
      <c r="EG73" s="208"/>
      <c r="EH73" s="208"/>
      <c r="EI73" s="208"/>
      <c r="EJ73" s="208"/>
      <c r="EK73" s="208"/>
      <c r="EL73" s="208"/>
      <c r="EM73" s="208"/>
      <c r="EN73" s="208"/>
      <c r="EO73" s="208"/>
      <c r="EP73" s="208"/>
      <c r="EQ73" s="208"/>
      <c r="ER73" s="208"/>
      <c r="ES73" s="208"/>
      <c r="ET73" s="208"/>
      <c r="EU73" s="208"/>
      <c r="EV73" s="208"/>
      <c r="EW73" s="208"/>
      <c r="EX73" s="208"/>
      <c r="EY73" s="208"/>
      <c r="EZ73" s="208"/>
      <c r="FA73" s="208"/>
      <c r="FB73" s="208"/>
      <c r="FC73" s="208"/>
      <c r="FD73" s="208"/>
      <c r="FE73" s="208"/>
      <c r="FF73" s="208"/>
      <c r="FG73" s="208"/>
      <c r="FH73" s="208"/>
      <c r="FI73" s="208"/>
      <c r="FJ73" s="208"/>
      <c r="FK73" s="208"/>
      <c r="FL73" s="208"/>
      <c r="FM73" s="208"/>
      <c r="FN73" s="208"/>
      <c r="FO73" s="208"/>
      <c r="FP73" s="208"/>
      <c r="FQ73" s="208"/>
      <c r="FR73" s="208"/>
      <c r="FS73" s="208"/>
      <c r="FT73" s="208"/>
      <c r="FU73" s="208"/>
      <c r="FV73" s="208"/>
      <c r="FW73" s="208"/>
      <c r="FX73" s="208"/>
      <c r="FY73" s="208"/>
      <c r="FZ73" s="208"/>
      <c r="GA73" s="208"/>
      <c r="GB73" s="208"/>
      <c r="GC73" s="208"/>
      <c r="GD73" s="208"/>
      <c r="GE73" s="208"/>
      <c r="GF73" s="208"/>
    </row>
    <row r="74" spans="1:188" s="225" customFormat="1" ht="15" x14ac:dyDescent="0.25">
      <c r="A74" s="195" t="s">
        <v>4837</v>
      </c>
      <c r="B74" s="195" t="s">
        <v>1001</v>
      </c>
      <c r="C74" s="196" t="s">
        <v>2851</v>
      </c>
      <c r="D74" s="154" t="s">
        <v>78</v>
      </c>
      <c r="E74" s="154">
        <v>2000</v>
      </c>
      <c r="F74" s="154">
        <v>0.1</v>
      </c>
      <c r="G74" s="197"/>
      <c r="H74" s="198"/>
      <c r="I74" s="151">
        <f>IFERROR(INDEX(Composições!$A$5:$J$8391,MATCH(B74,Composições!$A$5:$A$8391,0)+2,8),"")</f>
        <v>122.8246583</v>
      </c>
      <c r="J74" s="152">
        <f t="shared" si="9"/>
        <v>24564.93</v>
      </c>
      <c r="K74" s="198">
        <f>BDI!$B$17</f>
        <v>0.191</v>
      </c>
      <c r="L74" s="198"/>
      <c r="M74" s="198"/>
      <c r="N74" s="153">
        <f t="shared" si="10"/>
        <v>146.28</v>
      </c>
      <c r="O74" s="152">
        <f t="shared" si="11"/>
        <v>29256</v>
      </c>
      <c r="Q74" s="208"/>
      <c r="R74" s="208"/>
      <c r="S74"/>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c r="BK74" s="208"/>
      <c r="BL74" s="208"/>
      <c r="BM74" s="208"/>
      <c r="BN74" s="208"/>
      <c r="BO74" s="208"/>
      <c r="BP74" s="208"/>
      <c r="BQ74" s="208"/>
      <c r="BR74" s="208"/>
      <c r="BS74" s="208"/>
      <c r="BT74" s="208"/>
      <c r="BU74" s="208"/>
      <c r="BV74" s="208"/>
      <c r="BW74" s="208"/>
      <c r="BX74" s="208"/>
      <c r="BY74" s="208"/>
      <c r="BZ74" s="208"/>
      <c r="CA74" s="208"/>
      <c r="CB74" s="208"/>
      <c r="CC74" s="208"/>
      <c r="CD74" s="208"/>
      <c r="CE74" s="208"/>
      <c r="CF74" s="208"/>
      <c r="CG74" s="208"/>
      <c r="CH74" s="208"/>
      <c r="CI74" s="208"/>
      <c r="CJ74" s="208"/>
      <c r="CK74" s="208"/>
      <c r="CL74" s="208"/>
      <c r="CM74" s="208"/>
      <c r="CN74" s="208"/>
      <c r="CO74" s="208"/>
      <c r="CP74" s="208"/>
      <c r="CQ74" s="208"/>
      <c r="CR74" s="208"/>
      <c r="CS74" s="208"/>
      <c r="CT74" s="208"/>
      <c r="CU74" s="208"/>
      <c r="CV74" s="208"/>
      <c r="CW74" s="208"/>
      <c r="CX74" s="208"/>
      <c r="CY74" s="208"/>
      <c r="CZ74" s="208"/>
      <c r="DA74" s="208"/>
      <c r="DB74" s="208"/>
      <c r="DC74" s="208"/>
      <c r="DD74" s="208"/>
      <c r="DE74" s="208"/>
      <c r="DF74" s="208"/>
      <c r="DG74" s="208"/>
      <c r="DH74" s="208"/>
      <c r="DI74" s="208"/>
      <c r="DJ74" s="208"/>
      <c r="DK74" s="208"/>
      <c r="DL74" s="208"/>
      <c r="DM74" s="208"/>
      <c r="DN74" s="208"/>
      <c r="DO74" s="208"/>
      <c r="DP74" s="208"/>
      <c r="DQ74" s="208"/>
      <c r="DR74" s="208"/>
      <c r="DS74" s="208"/>
      <c r="DT74" s="208"/>
      <c r="DU74" s="208"/>
      <c r="DV74" s="208"/>
      <c r="DW74" s="208"/>
      <c r="DX74" s="208"/>
      <c r="DY74" s="208"/>
      <c r="DZ74" s="208"/>
      <c r="EA74" s="208"/>
      <c r="EB74" s="208"/>
      <c r="EC74" s="208"/>
      <c r="ED74" s="208"/>
      <c r="EE74" s="208"/>
      <c r="EF74" s="208"/>
      <c r="EG74" s="208"/>
      <c r="EH74" s="208"/>
      <c r="EI74" s="208"/>
      <c r="EJ74" s="208"/>
      <c r="EK74" s="208"/>
      <c r="EL74" s="208"/>
      <c r="EM74" s="208"/>
      <c r="EN74" s="208"/>
      <c r="EO74" s="208"/>
      <c r="EP74" s="208"/>
      <c r="EQ74" s="208"/>
      <c r="ER74" s="208"/>
      <c r="ES74" s="208"/>
      <c r="ET74" s="208"/>
      <c r="EU74" s="208"/>
      <c r="EV74" s="208"/>
      <c r="EW74" s="208"/>
      <c r="EX74" s="208"/>
      <c r="EY74" s="208"/>
      <c r="EZ74" s="208"/>
      <c r="FA74" s="208"/>
      <c r="FB74" s="208"/>
      <c r="FC74" s="208"/>
      <c r="FD74" s="208"/>
      <c r="FE74" s="208"/>
      <c r="FF74" s="208"/>
      <c r="FG74" s="208"/>
      <c r="FH74" s="208"/>
      <c r="FI74" s="208"/>
      <c r="FJ74" s="208"/>
      <c r="FK74" s="208"/>
      <c r="FL74" s="208"/>
      <c r="FM74" s="208"/>
      <c r="FN74" s="208"/>
      <c r="FO74" s="208"/>
      <c r="FP74" s="208"/>
      <c r="FQ74" s="208"/>
      <c r="FR74" s="208"/>
      <c r="FS74" s="208"/>
      <c r="FT74" s="208"/>
      <c r="FU74" s="208"/>
      <c r="FV74" s="208"/>
      <c r="FW74" s="208"/>
      <c r="FX74" s="208"/>
      <c r="FY74" s="208"/>
      <c r="FZ74" s="208"/>
      <c r="GA74" s="208"/>
      <c r="GB74" s="208"/>
      <c r="GC74" s="208"/>
      <c r="GD74" s="208"/>
      <c r="GE74" s="208"/>
      <c r="GF74" s="208"/>
    </row>
    <row r="75" spans="1:188" s="225" customFormat="1" ht="15" x14ac:dyDescent="0.25">
      <c r="A75" s="195" t="s">
        <v>4838</v>
      </c>
      <c r="B75" s="195" t="s">
        <v>1757</v>
      </c>
      <c r="C75" s="196" t="s">
        <v>3501</v>
      </c>
      <c r="D75" s="154" t="s">
        <v>78</v>
      </c>
      <c r="E75" s="154">
        <v>2000</v>
      </c>
      <c r="F75" s="154">
        <v>0.1</v>
      </c>
      <c r="G75" s="197"/>
      <c r="H75" s="198"/>
      <c r="I75" s="151">
        <f>IFERROR(INDEX(Composições!$A$5:$J$8391,MATCH(B75,Composições!$A$5:$A$8391,0)+2,8),"")</f>
        <v>245.203664</v>
      </c>
      <c r="J75" s="152">
        <f t="shared" si="9"/>
        <v>49040.73</v>
      </c>
      <c r="K75" s="198">
        <f>BDI!$B$17</f>
        <v>0.191</v>
      </c>
      <c r="L75" s="198"/>
      <c r="M75" s="198"/>
      <c r="N75" s="153">
        <f t="shared" si="10"/>
        <v>292.04000000000002</v>
      </c>
      <c r="O75" s="152">
        <f t="shared" si="11"/>
        <v>58408</v>
      </c>
      <c r="Q75" s="208"/>
      <c r="R75" s="208"/>
      <c r="S75"/>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c r="BI75" s="208"/>
      <c r="BJ75" s="208"/>
      <c r="BK75" s="208"/>
      <c r="BL75" s="208"/>
      <c r="BM75" s="208"/>
      <c r="BN75" s="208"/>
      <c r="BO75" s="208"/>
      <c r="BP75" s="208"/>
      <c r="BQ75" s="208"/>
      <c r="BR75" s="208"/>
      <c r="BS75" s="208"/>
      <c r="BT75" s="208"/>
      <c r="BU75" s="208"/>
      <c r="BV75" s="208"/>
      <c r="BW75" s="208"/>
      <c r="BX75" s="208"/>
      <c r="BY75" s="208"/>
      <c r="BZ75" s="208"/>
      <c r="CA75" s="208"/>
      <c r="CB75" s="208"/>
      <c r="CC75" s="208"/>
      <c r="CD75" s="208"/>
      <c r="CE75" s="208"/>
      <c r="CF75" s="208"/>
      <c r="CG75" s="208"/>
      <c r="CH75" s="208"/>
      <c r="CI75" s="208"/>
      <c r="CJ75" s="208"/>
      <c r="CK75" s="208"/>
      <c r="CL75" s="208"/>
      <c r="CM75" s="208"/>
      <c r="CN75" s="208"/>
      <c r="CO75" s="208"/>
      <c r="CP75" s="208"/>
      <c r="CQ75" s="208"/>
      <c r="CR75" s="208"/>
      <c r="CS75" s="208"/>
      <c r="CT75" s="208"/>
      <c r="CU75" s="208"/>
      <c r="CV75" s="208"/>
      <c r="CW75" s="208"/>
      <c r="CX75" s="208"/>
      <c r="CY75" s="208"/>
      <c r="CZ75" s="208"/>
      <c r="DA75" s="208"/>
      <c r="DB75" s="208"/>
      <c r="DC75" s="208"/>
      <c r="DD75" s="208"/>
      <c r="DE75" s="208"/>
      <c r="DF75" s="208"/>
      <c r="DG75" s="208"/>
      <c r="DH75" s="208"/>
      <c r="DI75" s="208"/>
      <c r="DJ75" s="208"/>
      <c r="DK75" s="208"/>
      <c r="DL75" s="208"/>
      <c r="DM75" s="208"/>
      <c r="DN75" s="208"/>
      <c r="DO75" s="208"/>
      <c r="DP75" s="208"/>
      <c r="DQ75" s="208"/>
      <c r="DR75" s="208"/>
      <c r="DS75" s="208"/>
      <c r="DT75" s="208"/>
      <c r="DU75" s="208"/>
      <c r="DV75" s="208"/>
      <c r="DW75" s="208"/>
      <c r="DX75" s="208"/>
      <c r="DY75" s="208"/>
      <c r="DZ75" s="208"/>
      <c r="EA75" s="208"/>
      <c r="EB75" s="208"/>
      <c r="EC75" s="208"/>
      <c r="ED75" s="208"/>
      <c r="EE75" s="208"/>
      <c r="EF75" s="208"/>
      <c r="EG75" s="208"/>
      <c r="EH75" s="208"/>
      <c r="EI75" s="208"/>
      <c r="EJ75" s="208"/>
      <c r="EK75" s="208"/>
      <c r="EL75" s="208"/>
      <c r="EM75" s="208"/>
      <c r="EN75" s="208"/>
      <c r="EO75" s="208"/>
      <c r="EP75" s="208"/>
      <c r="EQ75" s="208"/>
      <c r="ER75" s="208"/>
      <c r="ES75" s="208"/>
      <c r="ET75" s="208"/>
      <c r="EU75" s="208"/>
      <c r="EV75" s="208"/>
      <c r="EW75" s="208"/>
      <c r="EX75" s="208"/>
      <c r="EY75" s="208"/>
      <c r="EZ75" s="208"/>
      <c r="FA75" s="208"/>
      <c r="FB75" s="208"/>
      <c r="FC75" s="208"/>
      <c r="FD75" s="208"/>
      <c r="FE75" s="208"/>
      <c r="FF75" s="208"/>
      <c r="FG75" s="208"/>
      <c r="FH75" s="208"/>
      <c r="FI75" s="208"/>
      <c r="FJ75" s="208"/>
      <c r="FK75" s="208"/>
      <c r="FL75" s="208"/>
      <c r="FM75" s="208"/>
      <c r="FN75" s="208"/>
      <c r="FO75" s="208"/>
      <c r="FP75" s="208"/>
      <c r="FQ75" s="208"/>
      <c r="FR75" s="208"/>
      <c r="FS75" s="208"/>
      <c r="FT75" s="208"/>
      <c r="FU75" s="208"/>
      <c r="FV75" s="208"/>
      <c r="FW75" s="208"/>
      <c r="FX75" s="208"/>
      <c r="FY75" s="208"/>
      <c r="FZ75" s="208"/>
      <c r="GA75" s="208"/>
      <c r="GB75" s="208"/>
      <c r="GC75" s="208"/>
      <c r="GD75" s="208"/>
      <c r="GE75" s="208"/>
      <c r="GF75" s="208"/>
    </row>
    <row r="76" spans="1:188" s="225" customFormat="1" ht="15" x14ac:dyDescent="0.25">
      <c r="A76" s="195" t="s">
        <v>4839</v>
      </c>
      <c r="B76" s="195" t="s">
        <v>930</v>
      </c>
      <c r="C76" s="196" t="s">
        <v>2789</v>
      </c>
      <c r="D76" s="154" t="s">
        <v>2774</v>
      </c>
      <c r="E76" s="154">
        <v>1600</v>
      </c>
      <c r="F76" s="154">
        <v>0.1</v>
      </c>
      <c r="G76" s="197"/>
      <c r="H76" s="198"/>
      <c r="I76" s="151">
        <f>IFERROR(INDEX(Composições!$A$5:$J$8391,MATCH(B76,Composições!$A$5:$A$8391,0)+2,8),"")</f>
        <v>13.456220226843099</v>
      </c>
      <c r="J76" s="152">
        <f t="shared" si="9"/>
        <v>2153</v>
      </c>
      <c r="K76" s="198">
        <f>BDI!$B$17</f>
        <v>0.191</v>
      </c>
      <c r="L76" s="198"/>
      <c r="M76" s="198"/>
      <c r="N76" s="153">
        <f t="shared" si="10"/>
        <v>16.03</v>
      </c>
      <c r="O76" s="152">
        <f t="shared" si="11"/>
        <v>2564.8000000000002</v>
      </c>
      <c r="Q76" s="208"/>
      <c r="R76" s="208"/>
      <c r="S76"/>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c r="BJ76" s="208"/>
      <c r="BK76" s="208"/>
      <c r="BL76" s="208"/>
      <c r="BM76" s="208"/>
      <c r="BN76" s="208"/>
      <c r="BO76" s="208"/>
      <c r="BP76" s="208"/>
      <c r="BQ76" s="208"/>
      <c r="BR76" s="208"/>
      <c r="BS76" s="208"/>
      <c r="BT76" s="208"/>
      <c r="BU76" s="208"/>
      <c r="BV76" s="208"/>
      <c r="BW76" s="208"/>
      <c r="BX76" s="208"/>
      <c r="BY76" s="208"/>
      <c r="BZ76" s="208"/>
      <c r="CA76" s="208"/>
      <c r="CB76" s="208"/>
      <c r="CC76" s="208"/>
      <c r="CD76" s="208"/>
      <c r="CE76" s="208"/>
      <c r="CF76" s="208"/>
      <c r="CG76" s="208"/>
      <c r="CH76" s="208"/>
      <c r="CI76" s="208"/>
      <c r="CJ76" s="208"/>
      <c r="CK76" s="208"/>
      <c r="CL76" s="208"/>
      <c r="CM76" s="208"/>
      <c r="CN76" s="208"/>
      <c r="CO76" s="208"/>
      <c r="CP76" s="208"/>
      <c r="CQ76" s="208"/>
      <c r="CR76" s="208"/>
      <c r="CS76" s="208"/>
      <c r="CT76" s="208"/>
      <c r="CU76" s="208"/>
      <c r="CV76" s="208"/>
      <c r="CW76" s="208"/>
      <c r="CX76" s="208"/>
      <c r="CY76" s="208"/>
      <c r="CZ76" s="208"/>
      <c r="DA76" s="208"/>
      <c r="DB76" s="208"/>
      <c r="DC76" s="208"/>
      <c r="DD76" s="208"/>
      <c r="DE76" s="208"/>
      <c r="DF76" s="208"/>
      <c r="DG76" s="208"/>
      <c r="DH76" s="208"/>
      <c r="DI76" s="208"/>
      <c r="DJ76" s="208"/>
      <c r="DK76" s="208"/>
      <c r="DL76" s="208"/>
      <c r="DM76" s="208"/>
      <c r="DN76" s="208"/>
      <c r="DO76" s="208"/>
      <c r="DP76" s="208"/>
      <c r="DQ76" s="208"/>
      <c r="DR76" s="208"/>
      <c r="DS76" s="208"/>
      <c r="DT76" s="208"/>
      <c r="DU76" s="208"/>
      <c r="DV76" s="208"/>
      <c r="DW76" s="208"/>
      <c r="DX76" s="208"/>
      <c r="DY76" s="208"/>
      <c r="DZ76" s="208"/>
      <c r="EA76" s="208"/>
      <c r="EB76" s="208"/>
      <c r="EC76" s="208"/>
      <c r="ED76" s="208"/>
      <c r="EE76" s="208"/>
      <c r="EF76" s="208"/>
      <c r="EG76" s="208"/>
      <c r="EH76" s="208"/>
      <c r="EI76" s="208"/>
      <c r="EJ76" s="208"/>
      <c r="EK76" s="208"/>
      <c r="EL76" s="208"/>
      <c r="EM76" s="208"/>
      <c r="EN76" s="208"/>
      <c r="EO76" s="208"/>
      <c r="EP76" s="208"/>
      <c r="EQ76" s="208"/>
      <c r="ER76" s="208"/>
      <c r="ES76" s="208"/>
      <c r="ET76" s="208"/>
      <c r="EU76" s="208"/>
      <c r="EV76" s="208"/>
      <c r="EW76" s="208"/>
      <c r="EX76" s="208"/>
      <c r="EY76" s="208"/>
      <c r="EZ76" s="208"/>
      <c r="FA76" s="208"/>
      <c r="FB76" s="208"/>
      <c r="FC76" s="208"/>
      <c r="FD76" s="208"/>
      <c r="FE76" s="208"/>
      <c r="FF76" s="208"/>
      <c r="FG76" s="208"/>
      <c r="FH76" s="208"/>
      <c r="FI76" s="208"/>
      <c r="FJ76" s="208"/>
      <c r="FK76" s="208"/>
      <c r="FL76" s="208"/>
      <c r="FM76" s="208"/>
      <c r="FN76" s="208"/>
      <c r="FO76" s="208"/>
      <c r="FP76" s="208"/>
      <c r="FQ76" s="208"/>
      <c r="FR76" s="208"/>
      <c r="FS76" s="208"/>
      <c r="FT76" s="208"/>
      <c r="FU76" s="208"/>
      <c r="FV76" s="208"/>
      <c r="FW76" s="208"/>
      <c r="FX76" s="208"/>
      <c r="FY76" s="208"/>
      <c r="FZ76" s="208"/>
      <c r="GA76" s="208"/>
      <c r="GB76" s="208"/>
      <c r="GC76" s="208"/>
      <c r="GD76" s="208"/>
      <c r="GE76" s="208"/>
      <c r="GF76" s="208"/>
    </row>
    <row r="77" spans="1:188" s="225" customFormat="1" ht="15" x14ac:dyDescent="0.25">
      <c r="A77" s="195" t="s">
        <v>4840</v>
      </c>
      <c r="B77" s="195" t="s">
        <v>1984</v>
      </c>
      <c r="C77" s="196" t="s">
        <v>3697</v>
      </c>
      <c r="D77" s="154" t="s">
        <v>82</v>
      </c>
      <c r="E77" s="154">
        <v>400</v>
      </c>
      <c r="F77" s="154">
        <v>0.1</v>
      </c>
      <c r="G77" s="197"/>
      <c r="H77" s="198"/>
      <c r="I77" s="151">
        <f>IFERROR(INDEX(Composições!$A$5:$J$8391,MATCH(B77,Composições!$A$5:$A$8391,0)+2,8),"")</f>
        <v>46.536720226843101</v>
      </c>
      <c r="J77" s="152">
        <f t="shared" si="9"/>
        <v>1861.47</v>
      </c>
      <c r="K77" s="198">
        <f>BDI!$B$17</f>
        <v>0.191</v>
      </c>
      <c r="L77" s="198"/>
      <c r="M77" s="198"/>
      <c r="N77" s="153">
        <f t="shared" si="10"/>
        <v>55.43</v>
      </c>
      <c r="O77" s="152">
        <f t="shared" si="11"/>
        <v>2217.1999999999998</v>
      </c>
      <c r="Q77" s="208"/>
      <c r="R77" s="208"/>
      <c r="S77"/>
      <c r="T77" s="208"/>
      <c r="U77" s="208"/>
      <c r="V77" s="208"/>
      <c r="W77" s="208"/>
      <c r="X77" s="208"/>
      <c r="Y77" s="208"/>
      <c r="Z77" s="208"/>
      <c r="AA77" s="208"/>
      <c r="AB77" s="208"/>
      <c r="AC77" s="208"/>
      <c r="AD77" s="208"/>
      <c r="AE77" s="208"/>
      <c r="AF77" s="208"/>
      <c r="AG77" s="208"/>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c r="BI77" s="208"/>
      <c r="BJ77" s="208"/>
      <c r="BK77" s="208"/>
      <c r="BL77" s="208"/>
      <c r="BM77" s="208"/>
      <c r="BN77" s="208"/>
      <c r="BO77" s="208"/>
      <c r="BP77" s="208"/>
      <c r="BQ77" s="208"/>
      <c r="BR77" s="208"/>
      <c r="BS77" s="208"/>
      <c r="BT77" s="208"/>
      <c r="BU77" s="208"/>
      <c r="BV77" s="208"/>
      <c r="BW77" s="208"/>
      <c r="BX77" s="208"/>
      <c r="BY77" s="208"/>
      <c r="BZ77" s="208"/>
      <c r="CA77" s="208"/>
      <c r="CB77" s="208"/>
      <c r="CC77" s="208"/>
      <c r="CD77" s="208"/>
      <c r="CE77" s="208"/>
      <c r="CF77" s="208"/>
      <c r="CG77" s="208"/>
      <c r="CH77" s="208"/>
      <c r="CI77" s="208"/>
      <c r="CJ77" s="208"/>
      <c r="CK77" s="208"/>
      <c r="CL77" s="208"/>
      <c r="CM77" s="208"/>
      <c r="CN77" s="208"/>
      <c r="CO77" s="208"/>
      <c r="CP77" s="208"/>
      <c r="CQ77" s="208"/>
      <c r="CR77" s="208"/>
      <c r="CS77" s="208"/>
      <c r="CT77" s="208"/>
      <c r="CU77" s="208"/>
      <c r="CV77" s="208"/>
      <c r="CW77" s="208"/>
      <c r="CX77" s="208"/>
      <c r="CY77" s="208"/>
      <c r="CZ77" s="208"/>
      <c r="DA77" s="208"/>
      <c r="DB77" s="208"/>
      <c r="DC77" s="208"/>
      <c r="DD77" s="208"/>
      <c r="DE77" s="208"/>
      <c r="DF77" s="208"/>
      <c r="DG77" s="208"/>
      <c r="DH77" s="208"/>
      <c r="DI77" s="208"/>
      <c r="DJ77" s="208"/>
      <c r="DK77" s="208"/>
      <c r="DL77" s="208"/>
      <c r="DM77" s="208"/>
      <c r="DN77" s="208"/>
      <c r="DO77" s="208"/>
      <c r="DP77" s="208"/>
      <c r="DQ77" s="208"/>
      <c r="DR77" s="208"/>
      <c r="DS77" s="208"/>
      <c r="DT77" s="208"/>
      <c r="DU77" s="208"/>
      <c r="DV77" s="208"/>
      <c r="DW77" s="208"/>
      <c r="DX77" s="208"/>
      <c r="DY77" s="208"/>
      <c r="DZ77" s="208"/>
      <c r="EA77" s="208"/>
      <c r="EB77" s="208"/>
      <c r="EC77" s="208"/>
      <c r="ED77" s="208"/>
      <c r="EE77" s="208"/>
      <c r="EF77" s="208"/>
      <c r="EG77" s="208"/>
      <c r="EH77" s="208"/>
      <c r="EI77" s="208"/>
      <c r="EJ77" s="208"/>
      <c r="EK77" s="208"/>
      <c r="EL77" s="208"/>
      <c r="EM77" s="208"/>
      <c r="EN77" s="208"/>
      <c r="EO77" s="208"/>
      <c r="EP77" s="208"/>
      <c r="EQ77" s="208"/>
      <c r="ER77" s="208"/>
      <c r="ES77" s="208"/>
      <c r="ET77" s="208"/>
      <c r="EU77" s="208"/>
      <c r="EV77" s="208"/>
      <c r="EW77" s="208"/>
      <c r="EX77" s="208"/>
      <c r="EY77" s="208"/>
      <c r="EZ77" s="208"/>
      <c r="FA77" s="208"/>
      <c r="FB77" s="208"/>
      <c r="FC77" s="208"/>
      <c r="FD77" s="208"/>
      <c r="FE77" s="208"/>
      <c r="FF77" s="208"/>
      <c r="FG77" s="208"/>
      <c r="FH77" s="208"/>
      <c r="FI77" s="208"/>
      <c r="FJ77" s="208"/>
      <c r="FK77" s="208"/>
      <c r="FL77" s="208"/>
      <c r="FM77" s="208"/>
      <c r="FN77" s="208"/>
      <c r="FO77" s="208"/>
      <c r="FP77" s="208"/>
      <c r="FQ77" s="208"/>
      <c r="FR77" s="208"/>
      <c r="FS77" s="208"/>
      <c r="FT77" s="208"/>
      <c r="FU77" s="208"/>
      <c r="FV77" s="208"/>
      <c r="FW77" s="208"/>
      <c r="FX77" s="208"/>
      <c r="FY77" s="208"/>
      <c r="FZ77" s="208"/>
      <c r="GA77" s="208"/>
      <c r="GB77" s="208"/>
      <c r="GC77" s="208"/>
      <c r="GD77" s="208"/>
      <c r="GE77" s="208"/>
      <c r="GF77" s="208"/>
    </row>
    <row r="78" spans="1:188" s="225" customFormat="1" ht="15" x14ac:dyDescent="0.25">
      <c r="A78" s="195" t="s">
        <v>4841</v>
      </c>
      <c r="B78" s="195" t="s">
        <v>1998</v>
      </c>
      <c r="C78" s="196" t="s">
        <v>3722</v>
      </c>
      <c r="D78" s="154" t="s">
        <v>121</v>
      </c>
      <c r="E78" s="154">
        <v>600</v>
      </c>
      <c r="F78" s="154">
        <v>0.1</v>
      </c>
      <c r="G78" s="197"/>
      <c r="H78" s="198"/>
      <c r="I78" s="151">
        <f>IFERROR(INDEX(Composições!$A$5:$J$8391,MATCH(B78,Composições!$A$5:$A$8391,0)+2,8),"")</f>
        <v>41.703099999999999</v>
      </c>
      <c r="J78" s="152">
        <f t="shared" si="9"/>
        <v>2502.19</v>
      </c>
      <c r="K78" s="198">
        <f>BDI!$B$17</f>
        <v>0.191</v>
      </c>
      <c r="L78" s="198"/>
      <c r="M78" s="198"/>
      <c r="N78" s="153">
        <f t="shared" si="10"/>
        <v>49.67</v>
      </c>
      <c r="O78" s="152">
        <f t="shared" si="11"/>
        <v>2980.2</v>
      </c>
      <c r="Q78" s="208"/>
      <c r="R78" s="208"/>
      <c r="S7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c r="BI78" s="208"/>
      <c r="BJ78" s="208"/>
      <c r="BK78" s="208"/>
      <c r="BL78" s="208"/>
      <c r="BM78" s="208"/>
      <c r="BN78" s="208"/>
      <c r="BO78" s="208"/>
      <c r="BP78" s="208"/>
      <c r="BQ78" s="208"/>
      <c r="BR78" s="208"/>
      <c r="BS78" s="208"/>
      <c r="BT78" s="208"/>
      <c r="BU78" s="208"/>
      <c r="BV78" s="208"/>
      <c r="BW78" s="208"/>
      <c r="BX78" s="208"/>
      <c r="BY78" s="208"/>
      <c r="BZ78" s="208"/>
      <c r="CA78" s="208"/>
      <c r="CB78" s="208"/>
      <c r="CC78" s="208"/>
      <c r="CD78" s="208"/>
      <c r="CE78" s="208"/>
      <c r="CF78" s="208"/>
      <c r="CG78" s="208"/>
      <c r="CH78" s="208"/>
      <c r="CI78" s="208"/>
      <c r="CJ78" s="208"/>
      <c r="CK78" s="208"/>
      <c r="CL78" s="208"/>
      <c r="CM78" s="208"/>
      <c r="CN78" s="208"/>
      <c r="CO78" s="208"/>
      <c r="CP78" s="208"/>
      <c r="CQ78" s="208"/>
      <c r="CR78" s="208"/>
      <c r="CS78" s="208"/>
      <c r="CT78" s="208"/>
      <c r="CU78" s="208"/>
      <c r="CV78" s="208"/>
      <c r="CW78" s="208"/>
      <c r="CX78" s="208"/>
      <c r="CY78" s="208"/>
      <c r="CZ78" s="208"/>
      <c r="DA78" s="208"/>
      <c r="DB78" s="208"/>
      <c r="DC78" s="208"/>
      <c r="DD78" s="208"/>
      <c r="DE78" s="208"/>
      <c r="DF78" s="208"/>
      <c r="DG78" s="208"/>
      <c r="DH78" s="208"/>
      <c r="DI78" s="208"/>
      <c r="DJ78" s="208"/>
      <c r="DK78" s="208"/>
      <c r="DL78" s="208"/>
      <c r="DM78" s="208"/>
      <c r="DN78" s="208"/>
      <c r="DO78" s="208"/>
      <c r="DP78" s="208"/>
      <c r="DQ78" s="208"/>
      <c r="DR78" s="208"/>
      <c r="DS78" s="208"/>
      <c r="DT78" s="208"/>
      <c r="DU78" s="208"/>
      <c r="DV78" s="208"/>
      <c r="DW78" s="208"/>
      <c r="DX78" s="208"/>
      <c r="DY78" s="208"/>
      <c r="DZ78" s="208"/>
      <c r="EA78" s="208"/>
      <c r="EB78" s="208"/>
      <c r="EC78" s="208"/>
      <c r="ED78" s="208"/>
      <c r="EE78" s="208"/>
      <c r="EF78" s="208"/>
      <c r="EG78" s="208"/>
      <c r="EH78" s="208"/>
      <c r="EI78" s="208"/>
      <c r="EJ78" s="208"/>
      <c r="EK78" s="208"/>
      <c r="EL78" s="208"/>
      <c r="EM78" s="208"/>
      <c r="EN78" s="208"/>
      <c r="EO78" s="208"/>
      <c r="EP78" s="208"/>
      <c r="EQ78" s="208"/>
      <c r="ER78" s="208"/>
      <c r="ES78" s="208"/>
      <c r="ET78" s="208"/>
      <c r="EU78" s="208"/>
      <c r="EV78" s="208"/>
      <c r="EW78" s="208"/>
      <c r="EX78" s="208"/>
      <c r="EY78" s="208"/>
      <c r="EZ78" s="208"/>
      <c r="FA78" s="208"/>
      <c r="FB78" s="208"/>
      <c r="FC78" s="208"/>
      <c r="FD78" s="208"/>
      <c r="FE78" s="208"/>
      <c r="FF78" s="208"/>
      <c r="FG78" s="208"/>
      <c r="FH78" s="208"/>
      <c r="FI78" s="208"/>
      <c r="FJ78" s="208"/>
      <c r="FK78" s="208"/>
      <c r="FL78" s="208"/>
      <c r="FM78" s="208"/>
      <c r="FN78" s="208"/>
      <c r="FO78" s="208"/>
      <c r="FP78" s="208"/>
      <c r="FQ78" s="208"/>
      <c r="FR78" s="208"/>
      <c r="FS78" s="208"/>
      <c r="FT78" s="208"/>
      <c r="FU78" s="208"/>
      <c r="FV78" s="208"/>
      <c r="FW78" s="208"/>
      <c r="FX78" s="208"/>
      <c r="FY78" s="208"/>
      <c r="FZ78" s="208"/>
      <c r="GA78" s="208"/>
      <c r="GB78" s="208"/>
      <c r="GC78" s="208"/>
      <c r="GD78" s="208"/>
      <c r="GE78" s="208"/>
      <c r="GF78" s="208"/>
    </row>
    <row r="79" spans="1:188" s="225" customFormat="1" ht="15" x14ac:dyDescent="0.25">
      <c r="A79" s="195" t="s">
        <v>4842</v>
      </c>
      <c r="B79" s="195" t="s">
        <v>175</v>
      </c>
      <c r="C79" s="196" t="s">
        <v>2171</v>
      </c>
      <c r="D79" s="154" t="s">
        <v>78</v>
      </c>
      <c r="E79" s="154">
        <v>500</v>
      </c>
      <c r="F79" s="154">
        <v>0.1</v>
      </c>
      <c r="G79" s="197"/>
      <c r="H79" s="198"/>
      <c r="I79" s="151">
        <f>IFERROR(INDEX(Composições!$A$5:$J$8391,MATCH(B79,Composições!$A$5:$A$8391,0)+2,8),"")</f>
        <v>489.14990825000001</v>
      </c>
      <c r="J79" s="152">
        <f t="shared" si="9"/>
        <v>24457.5</v>
      </c>
      <c r="K79" s="198">
        <f>BDI!$B$17</f>
        <v>0.191</v>
      </c>
      <c r="L79" s="198"/>
      <c r="M79" s="198"/>
      <c r="N79" s="153">
        <f t="shared" si="10"/>
        <v>582.58000000000004</v>
      </c>
      <c r="O79" s="152">
        <f t="shared" si="11"/>
        <v>29129</v>
      </c>
      <c r="Q79" s="208"/>
      <c r="R79" s="208"/>
      <c r="S79"/>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c r="BI79" s="208"/>
      <c r="BJ79" s="208"/>
      <c r="BK79" s="208"/>
      <c r="BL79" s="208"/>
      <c r="BM79" s="208"/>
      <c r="BN79" s="208"/>
      <c r="BO79" s="208"/>
      <c r="BP79" s="208"/>
      <c r="BQ79" s="208"/>
      <c r="BR79" s="208"/>
      <c r="BS79" s="208"/>
      <c r="BT79" s="208"/>
      <c r="BU79" s="208"/>
      <c r="BV79" s="208"/>
      <c r="BW79" s="208"/>
      <c r="BX79" s="208"/>
      <c r="BY79" s="208"/>
      <c r="BZ79" s="208"/>
      <c r="CA79" s="208"/>
      <c r="CB79" s="208"/>
      <c r="CC79" s="208"/>
      <c r="CD79" s="208"/>
      <c r="CE79" s="208"/>
      <c r="CF79" s="208"/>
      <c r="CG79" s="208"/>
      <c r="CH79" s="208"/>
      <c r="CI79" s="208"/>
      <c r="CJ79" s="208"/>
      <c r="CK79" s="208"/>
      <c r="CL79" s="208"/>
      <c r="CM79" s="208"/>
      <c r="CN79" s="208"/>
      <c r="CO79" s="208"/>
      <c r="CP79" s="208"/>
      <c r="CQ79" s="208"/>
      <c r="CR79" s="208"/>
      <c r="CS79" s="208"/>
      <c r="CT79" s="208"/>
      <c r="CU79" s="208"/>
      <c r="CV79" s="208"/>
      <c r="CW79" s="208"/>
      <c r="CX79" s="208"/>
      <c r="CY79" s="208"/>
      <c r="CZ79" s="208"/>
      <c r="DA79" s="208"/>
      <c r="DB79" s="208"/>
      <c r="DC79" s="208"/>
      <c r="DD79" s="208"/>
      <c r="DE79" s="208"/>
      <c r="DF79" s="208"/>
      <c r="DG79" s="208"/>
      <c r="DH79" s="208"/>
      <c r="DI79" s="208"/>
      <c r="DJ79" s="208"/>
      <c r="DK79" s="208"/>
      <c r="DL79" s="208"/>
      <c r="DM79" s="208"/>
      <c r="DN79" s="208"/>
      <c r="DO79" s="208"/>
      <c r="DP79" s="208"/>
      <c r="DQ79" s="208"/>
      <c r="DR79" s="208"/>
      <c r="DS79" s="208"/>
      <c r="DT79" s="208"/>
      <c r="DU79" s="208"/>
      <c r="DV79" s="208"/>
      <c r="DW79" s="208"/>
      <c r="DX79" s="208"/>
      <c r="DY79" s="208"/>
      <c r="DZ79" s="208"/>
      <c r="EA79" s="208"/>
      <c r="EB79" s="208"/>
      <c r="EC79" s="208"/>
      <c r="ED79" s="208"/>
      <c r="EE79" s="208"/>
      <c r="EF79" s="208"/>
      <c r="EG79" s="208"/>
      <c r="EH79" s="208"/>
      <c r="EI79" s="208"/>
      <c r="EJ79" s="208"/>
      <c r="EK79" s="208"/>
      <c r="EL79" s="208"/>
      <c r="EM79" s="208"/>
      <c r="EN79" s="208"/>
      <c r="EO79" s="208"/>
      <c r="EP79" s="208"/>
      <c r="EQ79" s="208"/>
      <c r="ER79" s="208"/>
      <c r="ES79" s="208"/>
      <c r="ET79" s="208"/>
      <c r="EU79" s="208"/>
      <c r="EV79" s="208"/>
      <c r="EW79" s="208"/>
      <c r="EX79" s="208"/>
      <c r="EY79" s="208"/>
      <c r="EZ79" s="208"/>
      <c r="FA79" s="208"/>
      <c r="FB79" s="208"/>
      <c r="FC79" s="208"/>
      <c r="FD79" s="208"/>
      <c r="FE79" s="208"/>
      <c r="FF79" s="208"/>
      <c r="FG79" s="208"/>
      <c r="FH79" s="208"/>
      <c r="FI79" s="208"/>
      <c r="FJ79" s="208"/>
      <c r="FK79" s="208"/>
      <c r="FL79" s="208"/>
      <c r="FM79" s="208"/>
      <c r="FN79" s="208"/>
      <c r="FO79" s="208"/>
      <c r="FP79" s="208"/>
      <c r="FQ79" s="208"/>
      <c r="FR79" s="208"/>
      <c r="FS79" s="208"/>
      <c r="FT79" s="208"/>
      <c r="FU79" s="208"/>
      <c r="FV79" s="208"/>
      <c r="FW79" s="208"/>
      <c r="FX79" s="208"/>
      <c r="FY79" s="208"/>
      <c r="FZ79" s="208"/>
      <c r="GA79" s="208"/>
      <c r="GB79" s="208"/>
      <c r="GC79" s="208"/>
      <c r="GD79" s="208"/>
      <c r="GE79" s="208"/>
      <c r="GF79" s="208"/>
    </row>
    <row r="80" spans="1:188" s="225" customFormat="1" ht="15" x14ac:dyDescent="0.25">
      <c r="A80" s="195" t="s">
        <v>4843</v>
      </c>
      <c r="B80" s="195" t="s">
        <v>173</v>
      </c>
      <c r="C80" s="196" t="s">
        <v>2170</v>
      </c>
      <c r="D80" s="154" t="s">
        <v>78</v>
      </c>
      <c r="E80" s="154">
        <v>250</v>
      </c>
      <c r="F80" s="154">
        <v>0.1</v>
      </c>
      <c r="G80" s="197"/>
      <c r="H80" s="198"/>
      <c r="I80" s="151">
        <f>IFERROR(INDEX(Composições!$A$5:$J$8391,MATCH(B80,Composições!$A$5:$A$8391,0)+2,8),"")</f>
        <v>544.00509199999999</v>
      </c>
      <c r="J80" s="152">
        <f t="shared" si="9"/>
        <v>13600.13</v>
      </c>
      <c r="K80" s="198">
        <f>BDI!$B$17</f>
        <v>0.191</v>
      </c>
      <c r="L80" s="198"/>
      <c r="M80" s="198"/>
      <c r="N80" s="153">
        <f t="shared" si="10"/>
        <v>647.91</v>
      </c>
      <c r="O80" s="152">
        <f t="shared" si="11"/>
        <v>16197.75</v>
      </c>
      <c r="Q80" s="208"/>
      <c r="R80" s="208"/>
      <c r="S80"/>
      <c r="T80" s="208"/>
      <c r="U80" s="208"/>
      <c r="V80" s="208"/>
      <c r="W80" s="208"/>
      <c r="X80" s="208"/>
      <c r="Y80" s="208"/>
      <c r="Z80" s="208"/>
      <c r="AA80" s="208"/>
      <c r="AB80" s="208"/>
      <c r="AC80" s="208"/>
      <c r="AD80" s="208"/>
      <c r="AE80" s="208"/>
      <c r="AF80" s="208"/>
      <c r="AG80" s="208"/>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c r="BI80" s="208"/>
      <c r="BJ80" s="208"/>
      <c r="BK80" s="208"/>
      <c r="BL80" s="208"/>
      <c r="BM80" s="208"/>
      <c r="BN80" s="208"/>
      <c r="BO80" s="208"/>
      <c r="BP80" s="208"/>
      <c r="BQ80" s="208"/>
      <c r="BR80" s="208"/>
      <c r="BS80" s="208"/>
      <c r="BT80" s="208"/>
      <c r="BU80" s="208"/>
      <c r="BV80" s="208"/>
      <c r="BW80" s="208"/>
      <c r="BX80" s="208"/>
      <c r="BY80" s="208"/>
      <c r="BZ80" s="208"/>
      <c r="CA80" s="208"/>
      <c r="CB80" s="208"/>
      <c r="CC80" s="208"/>
      <c r="CD80" s="208"/>
      <c r="CE80" s="208"/>
      <c r="CF80" s="208"/>
      <c r="CG80" s="208"/>
      <c r="CH80" s="208"/>
      <c r="CI80" s="208"/>
      <c r="CJ80" s="208"/>
      <c r="CK80" s="208"/>
      <c r="CL80" s="208"/>
      <c r="CM80" s="208"/>
      <c r="CN80" s="208"/>
      <c r="CO80" s="208"/>
      <c r="CP80" s="208"/>
      <c r="CQ80" s="208"/>
      <c r="CR80" s="208"/>
      <c r="CS80" s="208"/>
      <c r="CT80" s="208"/>
      <c r="CU80" s="208"/>
      <c r="CV80" s="208"/>
      <c r="CW80" s="208"/>
      <c r="CX80" s="208"/>
      <c r="CY80" s="208"/>
      <c r="CZ80" s="208"/>
      <c r="DA80" s="208"/>
      <c r="DB80" s="208"/>
      <c r="DC80" s="208"/>
      <c r="DD80" s="208"/>
      <c r="DE80" s="208"/>
      <c r="DF80" s="208"/>
      <c r="DG80" s="208"/>
      <c r="DH80" s="208"/>
      <c r="DI80" s="208"/>
      <c r="DJ80" s="208"/>
      <c r="DK80" s="208"/>
      <c r="DL80" s="208"/>
      <c r="DM80" s="208"/>
      <c r="DN80" s="208"/>
      <c r="DO80" s="208"/>
      <c r="DP80" s="208"/>
      <c r="DQ80" s="208"/>
      <c r="DR80" s="208"/>
      <c r="DS80" s="208"/>
      <c r="DT80" s="208"/>
      <c r="DU80" s="208"/>
      <c r="DV80" s="208"/>
      <c r="DW80" s="208"/>
      <c r="DX80" s="208"/>
      <c r="DY80" s="208"/>
      <c r="DZ80" s="208"/>
      <c r="EA80" s="208"/>
      <c r="EB80" s="208"/>
      <c r="EC80" s="208"/>
      <c r="ED80" s="208"/>
      <c r="EE80" s="208"/>
      <c r="EF80" s="208"/>
      <c r="EG80" s="208"/>
      <c r="EH80" s="208"/>
      <c r="EI80" s="208"/>
      <c r="EJ80" s="208"/>
      <c r="EK80" s="208"/>
      <c r="EL80" s="208"/>
      <c r="EM80" s="208"/>
      <c r="EN80" s="208"/>
      <c r="EO80" s="208"/>
      <c r="EP80" s="208"/>
      <c r="EQ80" s="208"/>
      <c r="ER80" s="208"/>
      <c r="ES80" s="208"/>
      <c r="ET80" s="208"/>
      <c r="EU80" s="208"/>
      <c r="EV80" s="208"/>
      <c r="EW80" s="208"/>
      <c r="EX80" s="208"/>
      <c r="EY80" s="208"/>
      <c r="EZ80" s="208"/>
      <c r="FA80" s="208"/>
      <c r="FB80" s="208"/>
      <c r="FC80" s="208"/>
      <c r="FD80" s="208"/>
      <c r="FE80" s="208"/>
      <c r="FF80" s="208"/>
      <c r="FG80" s="208"/>
      <c r="FH80" s="208"/>
      <c r="FI80" s="208"/>
      <c r="FJ80" s="208"/>
      <c r="FK80" s="208"/>
      <c r="FL80" s="208"/>
      <c r="FM80" s="208"/>
      <c r="FN80" s="208"/>
      <c r="FO80" s="208"/>
      <c r="FP80" s="208"/>
      <c r="FQ80" s="208"/>
      <c r="FR80" s="208"/>
      <c r="FS80" s="208"/>
      <c r="FT80" s="208"/>
      <c r="FU80" s="208"/>
      <c r="FV80" s="208"/>
      <c r="FW80" s="208"/>
      <c r="FX80" s="208"/>
      <c r="FY80" s="208"/>
      <c r="FZ80" s="208"/>
      <c r="GA80" s="208"/>
      <c r="GB80" s="208"/>
      <c r="GC80" s="208"/>
      <c r="GD80" s="208"/>
      <c r="GE80" s="208"/>
      <c r="GF80" s="208"/>
    </row>
    <row r="81" spans="1:188" s="225" customFormat="1" ht="15" x14ac:dyDescent="0.25">
      <c r="A81" s="195" t="s">
        <v>4844</v>
      </c>
      <c r="B81" s="195" t="s">
        <v>178</v>
      </c>
      <c r="C81" s="196" t="s">
        <v>2172</v>
      </c>
      <c r="D81" s="154" t="s">
        <v>78</v>
      </c>
      <c r="E81" s="154">
        <v>200</v>
      </c>
      <c r="F81" s="154">
        <v>0.1</v>
      </c>
      <c r="G81" s="197"/>
      <c r="H81" s="198"/>
      <c r="I81" s="151">
        <f>IFERROR(INDEX(Composições!$A$5:$J$8391,MATCH(B81,Composições!$A$5:$A$8391,0)+2,8),"")</f>
        <v>441.47813249999996</v>
      </c>
      <c r="J81" s="152">
        <f t="shared" si="9"/>
        <v>8829.56</v>
      </c>
      <c r="K81" s="198">
        <f>BDI!$B$17</f>
        <v>0.191</v>
      </c>
      <c r="L81" s="198"/>
      <c r="M81" s="198"/>
      <c r="N81" s="153">
        <f t="shared" si="10"/>
        <v>525.79999999999995</v>
      </c>
      <c r="O81" s="152">
        <f t="shared" si="11"/>
        <v>10516</v>
      </c>
      <c r="Q81" s="208"/>
      <c r="R81" s="208"/>
      <c r="S81"/>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208"/>
      <c r="CZ81" s="208"/>
      <c r="DA81" s="208"/>
      <c r="DB81" s="208"/>
      <c r="DC81" s="208"/>
      <c r="DD81" s="208"/>
      <c r="DE81" s="208"/>
      <c r="DF81" s="208"/>
      <c r="DG81" s="208"/>
      <c r="DH81" s="208"/>
      <c r="DI81" s="208"/>
      <c r="DJ81" s="208"/>
      <c r="DK81" s="208"/>
      <c r="DL81" s="208"/>
      <c r="DM81" s="208"/>
      <c r="DN81" s="208"/>
      <c r="DO81" s="208"/>
      <c r="DP81" s="208"/>
      <c r="DQ81" s="208"/>
      <c r="DR81" s="208"/>
      <c r="DS81" s="208"/>
      <c r="DT81" s="208"/>
      <c r="DU81" s="208"/>
      <c r="DV81" s="208"/>
      <c r="DW81" s="208"/>
      <c r="DX81" s="208"/>
      <c r="DY81" s="208"/>
      <c r="DZ81" s="208"/>
      <c r="EA81" s="208"/>
      <c r="EB81" s="208"/>
      <c r="EC81" s="208"/>
      <c r="ED81" s="208"/>
      <c r="EE81" s="208"/>
      <c r="EF81" s="208"/>
      <c r="EG81" s="208"/>
      <c r="EH81" s="208"/>
      <c r="EI81" s="208"/>
      <c r="EJ81" s="208"/>
      <c r="EK81" s="208"/>
      <c r="EL81" s="208"/>
      <c r="EM81" s="208"/>
      <c r="EN81" s="208"/>
      <c r="EO81" s="208"/>
      <c r="EP81" s="208"/>
      <c r="EQ81" s="208"/>
      <c r="ER81" s="208"/>
      <c r="ES81" s="208"/>
      <c r="ET81" s="208"/>
      <c r="EU81" s="208"/>
      <c r="EV81" s="208"/>
      <c r="EW81" s="208"/>
      <c r="EX81" s="208"/>
      <c r="EY81" s="208"/>
      <c r="EZ81" s="208"/>
      <c r="FA81" s="208"/>
      <c r="FB81" s="208"/>
      <c r="FC81" s="208"/>
      <c r="FD81" s="208"/>
      <c r="FE81" s="208"/>
      <c r="FF81" s="208"/>
      <c r="FG81" s="208"/>
      <c r="FH81" s="208"/>
      <c r="FI81" s="208"/>
      <c r="FJ81" s="208"/>
      <c r="FK81" s="208"/>
      <c r="FL81" s="208"/>
      <c r="FM81" s="208"/>
      <c r="FN81" s="208"/>
      <c r="FO81" s="208"/>
      <c r="FP81" s="208"/>
      <c r="FQ81" s="208"/>
      <c r="FR81" s="208"/>
      <c r="FS81" s="208"/>
      <c r="FT81" s="208"/>
      <c r="FU81" s="208"/>
      <c r="FV81" s="208"/>
      <c r="FW81" s="208"/>
      <c r="FX81" s="208"/>
      <c r="FY81" s="208"/>
      <c r="FZ81" s="208"/>
      <c r="GA81" s="208"/>
      <c r="GB81" s="208"/>
      <c r="GC81" s="208"/>
      <c r="GD81" s="208"/>
      <c r="GE81" s="208"/>
      <c r="GF81" s="208"/>
    </row>
    <row r="82" spans="1:188" s="225" customFormat="1" ht="15" x14ac:dyDescent="0.25">
      <c r="A82" s="195" t="s">
        <v>4845</v>
      </c>
      <c r="B82" s="195" t="s">
        <v>182</v>
      </c>
      <c r="C82" s="196" t="s">
        <v>2174</v>
      </c>
      <c r="D82" s="154" t="s">
        <v>78</v>
      </c>
      <c r="E82" s="154">
        <v>500</v>
      </c>
      <c r="F82" s="154">
        <v>0.1</v>
      </c>
      <c r="G82" s="197"/>
      <c r="H82" s="198"/>
      <c r="I82" s="151">
        <f>IFERROR(INDEX(Composições!$A$5:$J$8391,MATCH(B82,Composições!$A$5:$A$8391,0)+2,8),"")</f>
        <v>671.67452325000011</v>
      </c>
      <c r="J82" s="152">
        <f t="shared" si="9"/>
        <v>33583.730000000003</v>
      </c>
      <c r="K82" s="198">
        <f>BDI!$B$17</f>
        <v>0.191</v>
      </c>
      <c r="L82" s="198"/>
      <c r="M82" s="198"/>
      <c r="N82" s="153">
        <f t="shared" si="10"/>
        <v>799.96</v>
      </c>
      <c r="O82" s="152">
        <f t="shared" si="11"/>
        <v>39998</v>
      </c>
      <c r="Q82" s="208"/>
      <c r="R82" s="208"/>
      <c r="S82"/>
      <c r="T82" s="208"/>
      <c r="U82" s="208"/>
      <c r="V82" s="208"/>
      <c r="W82" s="208"/>
      <c r="X82" s="208"/>
      <c r="Y82" s="208"/>
      <c r="Z82" s="208"/>
      <c r="AA82" s="208"/>
      <c r="AB82" s="208"/>
      <c r="AC82" s="208"/>
      <c r="AD82" s="208"/>
      <c r="AE82" s="208"/>
      <c r="AF82" s="208"/>
      <c r="AG82" s="208"/>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c r="BI82" s="208"/>
      <c r="BJ82" s="208"/>
      <c r="BK82" s="208"/>
      <c r="BL82" s="208"/>
      <c r="BM82" s="208"/>
      <c r="BN82" s="208"/>
      <c r="BO82" s="208"/>
      <c r="BP82" s="208"/>
      <c r="BQ82" s="208"/>
      <c r="BR82" s="208"/>
      <c r="BS82" s="208"/>
      <c r="BT82" s="208"/>
      <c r="BU82" s="208"/>
      <c r="BV82" s="208"/>
      <c r="BW82" s="208"/>
      <c r="BX82" s="208"/>
      <c r="BY82" s="208"/>
      <c r="BZ82" s="208"/>
      <c r="CA82" s="208"/>
      <c r="CB82" s="208"/>
      <c r="CC82" s="208"/>
      <c r="CD82" s="208"/>
      <c r="CE82" s="208"/>
      <c r="CF82" s="208"/>
      <c r="CG82" s="208"/>
      <c r="CH82" s="208"/>
      <c r="CI82" s="208"/>
      <c r="CJ82" s="208"/>
      <c r="CK82" s="208"/>
      <c r="CL82" s="208"/>
      <c r="CM82" s="208"/>
      <c r="CN82" s="208"/>
      <c r="CO82" s="208"/>
      <c r="CP82" s="208"/>
      <c r="CQ82" s="208"/>
      <c r="CR82" s="208"/>
      <c r="CS82" s="208"/>
      <c r="CT82" s="208"/>
      <c r="CU82" s="208"/>
      <c r="CV82" s="208"/>
      <c r="CW82" s="208"/>
      <c r="CX82" s="208"/>
      <c r="CY82" s="208"/>
      <c r="CZ82" s="208"/>
      <c r="DA82" s="208"/>
      <c r="DB82" s="208"/>
      <c r="DC82" s="208"/>
      <c r="DD82" s="208"/>
      <c r="DE82" s="208"/>
      <c r="DF82" s="208"/>
      <c r="DG82" s="208"/>
      <c r="DH82" s="208"/>
      <c r="DI82" s="208"/>
      <c r="DJ82" s="208"/>
      <c r="DK82" s="208"/>
      <c r="DL82" s="208"/>
      <c r="DM82" s="208"/>
      <c r="DN82" s="208"/>
      <c r="DO82" s="208"/>
      <c r="DP82" s="208"/>
      <c r="DQ82" s="208"/>
      <c r="DR82" s="208"/>
      <c r="DS82" s="208"/>
      <c r="DT82" s="208"/>
      <c r="DU82" s="208"/>
      <c r="DV82" s="208"/>
      <c r="DW82" s="208"/>
      <c r="DX82" s="208"/>
      <c r="DY82" s="208"/>
      <c r="DZ82" s="208"/>
      <c r="EA82" s="208"/>
      <c r="EB82" s="208"/>
      <c r="EC82" s="208"/>
      <c r="ED82" s="208"/>
      <c r="EE82" s="208"/>
      <c r="EF82" s="208"/>
      <c r="EG82" s="208"/>
      <c r="EH82" s="208"/>
      <c r="EI82" s="208"/>
      <c r="EJ82" s="208"/>
      <c r="EK82" s="208"/>
      <c r="EL82" s="208"/>
      <c r="EM82" s="208"/>
      <c r="EN82" s="208"/>
      <c r="EO82" s="208"/>
      <c r="EP82" s="208"/>
      <c r="EQ82" s="208"/>
      <c r="ER82" s="208"/>
      <c r="ES82" s="208"/>
      <c r="ET82" s="208"/>
      <c r="EU82" s="208"/>
      <c r="EV82" s="208"/>
      <c r="EW82" s="208"/>
      <c r="EX82" s="208"/>
      <c r="EY82" s="208"/>
      <c r="EZ82" s="208"/>
      <c r="FA82" s="208"/>
      <c r="FB82" s="208"/>
      <c r="FC82" s="208"/>
      <c r="FD82" s="208"/>
      <c r="FE82" s="208"/>
      <c r="FF82" s="208"/>
      <c r="FG82" s="208"/>
      <c r="FH82" s="208"/>
      <c r="FI82" s="208"/>
      <c r="FJ82" s="208"/>
      <c r="FK82" s="208"/>
      <c r="FL82" s="208"/>
      <c r="FM82" s="208"/>
      <c r="FN82" s="208"/>
      <c r="FO82" s="208"/>
      <c r="FP82" s="208"/>
      <c r="FQ82" s="208"/>
      <c r="FR82" s="208"/>
      <c r="FS82" s="208"/>
      <c r="FT82" s="208"/>
      <c r="FU82" s="208"/>
      <c r="FV82" s="208"/>
      <c r="FW82" s="208"/>
      <c r="FX82" s="208"/>
      <c r="FY82" s="208"/>
      <c r="FZ82" s="208"/>
      <c r="GA82" s="208"/>
      <c r="GB82" s="208"/>
      <c r="GC82" s="208"/>
      <c r="GD82" s="208"/>
      <c r="GE82" s="208"/>
      <c r="GF82" s="208"/>
    </row>
    <row r="83" spans="1:188" s="225" customFormat="1" ht="15" x14ac:dyDescent="0.25">
      <c r="A83" s="195" t="s">
        <v>4846</v>
      </c>
      <c r="B83" s="195" t="s">
        <v>180</v>
      </c>
      <c r="C83" s="196" t="s">
        <v>2173</v>
      </c>
      <c r="D83" s="154" t="s">
        <v>78</v>
      </c>
      <c r="E83" s="154">
        <v>250</v>
      </c>
      <c r="F83" s="154">
        <v>0.1</v>
      </c>
      <c r="G83" s="197"/>
      <c r="H83" s="198"/>
      <c r="I83" s="151">
        <f>IFERROR(INDEX(Composições!$A$5:$J$8391,MATCH(B83,Composições!$A$5:$A$8391,0)+2,8),"")</f>
        <v>576.66093499999988</v>
      </c>
      <c r="J83" s="152">
        <f t="shared" si="9"/>
        <v>14416.52</v>
      </c>
      <c r="K83" s="198">
        <f>BDI!$B$17</f>
        <v>0.191</v>
      </c>
      <c r="L83" s="198"/>
      <c r="M83" s="198"/>
      <c r="N83" s="153">
        <f t="shared" si="10"/>
        <v>686.8</v>
      </c>
      <c r="O83" s="152">
        <f t="shared" si="11"/>
        <v>17170</v>
      </c>
      <c r="Q83" s="208"/>
      <c r="R83" s="208"/>
      <c r="S83"/>
      <c r="T83" s="208"/>
      <c r="U83" s="208"/>
      <c r="V83" s="208"/>
      <c r="W83" s="208"/>
      <c r="X83" s="208"/>
      <c r="Y83" s="208"/>
      <c r="Z83" s="208"/>
      <c r="AA83" s="208"/>
      <c r="AB83" s="208"/>
      <c r="AC83" s="208"/>
      <c r="AD83" s="208"/>
      <c r="AE83" s="208"/>
      <c r="AF83" s="208"/>
      <c r="AG83" s="208"/>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c r="BI83" s="208"/>
      <c r="BJ83" s="208"/>
      <c r="BK83" s="208"/>
      <c r="BL83" s="208"/>
      <c r="BM83" s="208"/>
      <c r="BN83" s="208"/>
      <c r="BO83" s="208"/>
      <c r="BP83" s="208"/>
      <c r="BQ83" s="208"/>
      <c r="BR83" s="208"/>
      <c r="BS83" s="208"/>
      <c r="BT83" s="208"/>
      <c r="BU83" s="208"/>
      <c r="BV83" s="208"/>
      <c r="BW83" s="208"/>
      <c r="BX83" s="208"/>
      <c r="BY83" s="208"/>
      <c r="BZ83" s="208"/>
      <c r="CA83" s="208"/>
      <c r="CB83" s="208"/>
      <c r="CC83" s="208"/>
      <c r="CD83" s="208"/>
      <c r="CE83" s="208"/>
      <c r="CF83" s="208"/>
      <c r="CG83" s="208"/>
      <c r="CH83" s="208"/>
      <c r="CI83" s="208"/>
      <c r="CJ83" s="208"/>
      <c r="CK83" s="208"/>
      <c r="CL83" s="208"/>
      <c r="CM83" s="208"/>
      <c r="CN83" s="208"/>
      <c r="CO83" s="208"/>
      <c r="CP83" s="208"/>
      <c r="CQ83" s="208"/>
      <c r="CR83" s="208"/>
      <c r="CS83" s="208"/>
      <c r="CT83" s="208"/>
      <c r="CU83" s="208"/>
      <c r="CV83" s="208"/>
      <c r="CW83" s="208"/>
      <c r="CX83" s="208"/>
      <c r="CY83" s="208"/>
      <c r="CZ83" s="208"/>
      <c r="DA83" s="208"/>
      <c r="DB83" s="208"/>
      <c r="DC83" s="208"/>
      <c r="DD83" s="208"/>
      <c r="DE83" s="208"/>
      <c r="DF83" s="208"/>
      <c r="DG83" s="208"/>
      <c r="DH83" s="208"/>
      <c r="DI83" s="208"/>
      <c r="DJ83" s="208"/>
      <c r="DK83" s="208"/>
      <c r="DL83" s="208"/>
      <c r="DM83" s="208"/>
      <c r="DN83" s="208"/>
      <c r="DO83" s="208"/>
      <c r="DP83" s="208"/>
      <c r="DQ83" s="208"/>
      <c r="DR83" s="208"/>
      <c r="DS83" s="208"/>
      <c r="DT83" s="208"/>
      <c r="DU83" s="208"/>
      <c r="DV83" s="208"/>
      <c r="DW83" s="208"/>
      <c r="DX83" s="208"/>
      <c r="DY83" s="208"/>
      <c r="DZ83" s="208"/>
      <c r="EA83" s="208"/>
      <c r="EB83" s="208"/>
      <c r="EC83" s="208"/>
      <c r="ED83" s="208"/>
      <c r="EE83" s="208"/>
      <c r="EF83" s="208"/>
      <c r="EG83" s="208"/>
      <c r="EH83" s="208"/>
      <c r="EI83" s="208"/>
      <c r="EJ83" s="208"/>
      <c r="EK83" s="208"/>
      <c r="EL83" s="208"/>
      <c r="EM83" s="208"/>
      <c r="EN83" s="208"/>
      <c r="EO83" s="208"/>
      <c r="EP83" s="208"/>
      <c r="EQ83" s="208"/>
      <c r="ER83" s="208"/>
      <c r="ES83" s="208"/>
      <c r="ET83" s="208"/>
      <c r="EU83" s="208"/>
      <c r="EV83" s="208"/>
      <c r="EW83" s="208"/>
      <c r="EX83" s="208"/>
      <c r="EY83" s="208"/>
      <c r="EZ83" s="208"/>
      <c r="FA83" s="208"/>
      <c r="FB83" s="208"/>
      <c r="FC83" s="208"/>
      <c r="FD83" s="208"/>
      <c r="FE83" s="208"/>
      <c r="FF83" s="208"/>
      <c r="FG83" s="208"/>
      <c r="FH83" s="208"/>
      <c r="FI83" s="208"/>
      <c r="FJ83" s="208"/>
      <c r="FK83" s="208"/>
      <c r="FL83" s="208"/>
      <c r="FM83" s="208"/>
      <c r="FN83" s="208"/>
      <c r="FO83" s="208"/>
      <c r="FP83" s="208"/>
      <c r="FQ83" s="208"/>
      <c r="FR83" s="208"/>
      <c r="FS83" s="208"/>
      <c r="FT83" s="208"/>
      <c r="FU83" s="208"/>
      <c r="FV83" s="208"/>
      <c r="FW83" s="208"/>
      <c r="FX83" s="208"/>
      <c r="FY83" s="208"/>
      <c r="FZ83" s="208"/>
      <c r="GA83" s="208"/>
      <c r="GB83" s="208"/>
      <c r="GC83" s="208"/>
      <c r="GD83" s="208"/>
      <c r="GE83" s="208"/>
      <c r="GF83" s="208"/>
    </row>
    <row r="84" spans="1:188" s="225" customFormat="1" ht="15" x14ac:dyDescent="0.25">
      <c r="A84" s="195" t="s">
        <v>4847</v>
      </c>
      <c r="B84" s="195" t="s">
        <v>147</v>
      </c>
      <c r="C84" s="196" t="s">
        <v>2154</v>
      </c>
      <c r="D84" s="154" t="s">
        <v>78</v>
      </c>
      <c r="E84" s="154">
        <v>1520</v>
      </c>
      <c r="F84" s="154">
        <v>0.1</v>
      </c>
      <c r="G84" s="197"/>
      <c r="H84" s="198"/>
      <c r="I84" s="151">
        <f>IFERROR(INDEX(Composições!$A$5:$J$8391,MATCH(B84,Composições!$A$5:$A$8391,0)+2,8),"")</f>
        <v>261.39220699999998</v>
      </c>
      <c r="J84" s="152">
        <f t="shared" si="9"/>
        <v>39731.620000000003</v>
      </c>
      <c r="K84" s="198">
        <f>BDI!$B$17</f>
        <v>0.191</v>
      </c>
      <c r="L84" s="198"/>
      <c r="M84" s="198"/>
      <c r="N84" s="153">
        <f t="shared" si="10"/>
        <v>311.32</v>
      </c>
      <c r="O84" s="152">
        <f t="shared" si="11"/>
        <v>47320.639999999999</v>
      </c>
      <c r="Q84" s="208"/>
      <c r="R84" s="208"/>
      <c r="S84"/>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c r="BI84" s="208"/>
      <c r="BJ84" s="208"/>
      <c r="BK84" s="208"/>
      <c r="BL84" s="208"/>
      <c r="BM84" s="208"/>
      <c r="BN84" s="208"/>
      <c r="BO84" s="208"/>
      <c r="BP84" s="208"/>
      <c r="BQ84" s="208"/>
      <c r="BR84" s="208"/>
      <c r="BS84" s="208"/>
      <c r="BT84" s="208"/>
      <c r="BU84" s="208"/>
      <c r="BV84" s="208"/>
      <c r="BW84" s="208"/>
      <c r="BX84" s="208"/>
      <c r="BY84" s="208"/>
      <c r="BZ84" s="208"/>
      <c r="CA84" s="208"/>
      <c r="CB84" s="208"/>
      <c r="CC84" s="208"/>
      <c r="CD84" s="208"/>
      <c r="CE84" s="208"/>
      <c r="CF84" s="208"/>
      <c r="CG84" s="208"/>
      <c r="CH84" s="208"/>
      <c r="CI84" s="208"/>
      <c r="CJ84" s="208"/>
      <c r="CK84" s="208"/>
      <c r="CL84" s="208"/>
      <c r="CM84" s="208"/>
      <c r="CN84" s="208"/>
      <c r="CO84" s="208"/>
      <c r="CP84" s="208"/>
      <c r="CQ84" s="208"/>
      <c r="CR84" s="208"/>
      <c r="CS84" s="208"/>
      <c r="CT84" s="208"/>
      <c r="CU84" s="208"/>
      <c r="CV84" s="208"/>
      <c r="CW84" s="208"/>
      <c r="CX84" s="208"/>
      <c r="CY84" s="208"/>
      <c r="CZ84" s="208"/>
      <c r="DA84" s="208"/>
      <c r="DB84" s="208"/>
      <c r="DC84" s="208"/>
      <c r="DD84" s="208"/>
      <c r="DE84" s="208"/>
      <c r="DF84" s="208"/>
      <c r="DG84" s="208"/>
      <c r="DH84" s="208"/>
      <c r="DI84" s="208"/>
      <c r="DJ84" s="208"/>
      <c r="DK84" s="208"/>
      <c r="DL84" s="208"/>
      <c r="DM84" s="208"/>
      <c r="DN84" s="208"/>
      <c r="DO84" s="208"/>
      <c r="DP84" s="208"/>
      <c r="DQ84" s="208"/>
      <c r="DR84" s="208"/>
      <c r="DS84" s="208"/>
      <c r="DT84" s="208"/>
      <c r="DU84" s="208"/>
      <c r="DV84" s="208"/>
      <c r="DW84" s="208"/>
      <c r="DX84" s="208"/>
      <c r="DY84" s="208"/>
      <c r="DZ84" s="208"/>
      <c r="EA84" s="208"/>
      <c r="EB84" s="208"/>
      <c r="EC84" s="208"/>
      <c r="ED84" s="208"/>
      <c r="EE84" s="208"/>
      <c r="EF84" s="208"/>
      <c r="EG84" s="208"/>
      <c r="EH84" s="208"/>
      <c r="EI84" s="208"/>
      <c r="EJ84" s="208"/>
      <c r="EK84" s="208"/>
      <c r="EL84" s="208"/>
      <c r="EM84" s="208"/>
      <c r="EN84" s="208"/>
      <c r="EO84" s="208"/>
      <c r="EP84" s="208"/>
      <c r="EQ84" s="208"/>
      <c r="ER84" s="208"/>
      <c r="ES84" s="208"/>
      <c r="ET84" s="208"/>
      <c r="EU84" s="208"/>
      <c r="EV84" s="208"/>
      <c r="EW84" s="208"/>
      <c r="EX84" s="208"/>
      <c r="EY84" s="208"/>
      <c r="EZ84" s="208"/>
      <c r="FA84" s="208"/>
      <c r="FB84" s="208"/>
      <c r="FC84" s="208"/>
      <c r="FD84" s="208"/>
      <c r="FE84" s="208"/>
      <c r="FF84" s="208"/>
      <c r="FG84" s="208"/>
      <c r="FH84" s="208"/>
      <c r="FI84" s="208"/>
      <c r="FJ84" s="208"/>
      <c r="FK84" s="208"/>
      <c r="FL84" s="208"/>
      <c r="FM84" s="208"/>
      <c r="FN84" s="208"/>
      <c r="FO84" s="208"/>
      <c r="FP84" s="208"/>
      <c r="FQ84" s="208"/>
      <c r="FR84" s="208"/>
      <c r="FS84" s="208"/>
      <c r="FT84" s="208"/>
      <c r="FU84" s="208"/>
      <c r="FV84" s="208"/>
      <c r="FW84" s="208"/>
      <c r="FX84" s="208"/>
      <c r="FY84" s="208"/>
      <c r="FZ84" s="208"/>
      <c r="GA84" s="208"/>
      <c r="GB84" s="208"/>
      <c r="GC84" s="208"/>
      <c r="GD84" s="208"/>
      <c r="GE84" s="208"/>
      <c r="GF84" s="208"/>
    </row>
    <row r="85" spans="1:188" s="225" customFormat="1" ht="15" x14ac:dyDescent="0.25">
      <c r="A85" s="195" t="s">
        <v>4848</v>
      </c>
      <c r="B85" s="195" t="s">
        <v>149</v>
      </c>
      <c r="C85" s="196" t="s">
        <v>2155</v>
      </c>
      <c r="D85" s="154" t="s">
        <v>78</v>
      </c>
      <c r="E85" s="154">
        <v>630</v>
      </c>
      <c r="F85" s="154">
        <v>0.1</v>
      </c>
      <c r="G85" s="197"/>
      <c r="H85" s="198"/>
      <c r="I85" s="151">
        <f>IFERROR(INDEX(Composições!$A$5:$J$8391,MATCH(B85,Composições!$A$5:$A$8391,0)+2,8),"")</f>
        <v>879.37578000000008</v>
      </c>
      <c r="J85" s="152">
        <f t="shared" si="9"/>
        <v>55400.67</v>
      </c>
      <c r="K85" s="198">
        <f>BDI!$B$17</f>
        <v>0.191</v>
      </c>
      <c r="L85" s="198"/>
      <c r="M85" s="198"/>
      <c r="N85" s="153">
        <f t="shared" si="10"/>
        <v>1047.3399999999999</v>
      </c>
      <c r="O85" s="152">
        <f t="shared" si="11"/>
        <v>65982.42</v>
      </c>
      <c r="Q85" s="208"/>
      <c r="R85" s="208"/>
      <c r="S85"/>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208"/>
      <c r="BL85" s="208"/>
      <c r="BM85" s="208"/>
      <c r="BN85" s="208"/>
      <c r="BO85" s="208"/>
      <c r="BP85" s="208"/>
      <c r="BQ85" s="208"/>
      <c r="BR85" s="208"/>
      <c r="BS85" s="208"/>
      <c r="BT85" s="208"/>
      <c r="BU85" s="208"/>
      <c r="BV85" s="208"/>
      <c r="BW85" s="208"/>
      <c r="BX85" s="208"/>
      <c r="BY85" s="208"/>
      <c r="BZ85" s="208"/>
      <c r="CA85" s="208"/>
      <c r="CB85" s="208"/>
      <c r="CC85" s="208"/>
      <c r="CD85" s="208"/>
      <c r="CE85" s="208"/>
      <c r="CF85" s="208"/>
      <c r="CG85" s="208"/>
      <c r="CH85" s="208"/>
      <c r="CI85" s="208"/>
      <c r="CJ85" s="208"/>
      <c r="CK85" s="208"/>
      <c r="CL85" s="208"/>
      <c r="CM85" s="208"/>
      <c r="CN85" s="208"/>
      <c r="CO85" s="208"/>
      <c r="CP85" s="208"/>
      <c r="CQ85" s="208"/>
      <c r="CR85" s="208"/>
      <c r="CS85" s="208"/>
      <c r="CT85" s="208"/>
      <c r="CU85" s="208"/>
      <c r="CV85" s="208"/>
      <c r="CW85" s="208"/>
      <c r="CX85" s="208"/>
      <c r="CY85" s="208"/>
      <c r="CZ85" s="208"/>
      <c r="DA85" s="208"/>
      <c r="DB85" s="208"/>
      <c r="DC85" s="208"/>
      <c r="DD85" s="208"/>
      <c r="DE85" s="208"/>
      <c r="DF85" s="208"/>
      <c r="DG85" s="208"/>
      <c r="DH85" s="208"/>
      <c r="DI85" s="208"/>
      <c r="DJ85" s="208"/>
      <c r="DK85" s="208"/>
      <c r="DL85" s="208"/>
      <c r="DM85" s="208"/>
      <c r="DN85" s="208"/>
      <c r="DO85" s="208"/>
      <c r="DP85" s="208"/>
      <c r="DQ85" s="208"/>
      <c r="DR85" s="208"/>
      <c r="DS85" s="208"/>
      <c r="DT85" s="208"/>
      <c r="DU85" s="208"/>
      <c r="DV85" s="208"/>
      <c r="DW85" s="208"/>
      <c r="DX85" s="208"/>
      <c r="DY85" s="208"/>
      <c r="DZ85" s="208"/>
      <c r="EA85" s="208"/>
      <c r="EB85" s="208"/>
      <c r="EC85" s="208"/>
      <c r="ED85" s="208"/>
      <c r="EE85" s="208"/>
      <c r="EF85" s="208"/>
      <c r="EG85" s="208"/>
      <c r="EH85" s="208"/>
      <c r="EI85" s="208"/>
      <c r="EJ85" s="208"/>
      <c r="EK85" s="208"/>
      <c r="EL85" s="208"/>
      <c r="EM85" s="208"/>
      <c r="EN85" s="208"/>
      <c r="EO85" s="208"/>
      <c r="EP85" s="208"/>
      <c r="EQ85" s="208"/>
      <c r="ER85" s="208"/>
      <c r="ES85" s="208"/>
      <c r="ET85" s="208"/>
      <c r="EU85" s="208"/>
      <c r="EV85" s="208"/>
      <c r="EW85" s="208"/>
      <c r="EX85" s="208"/>
      <c r="EY85" s="208"/>
      <c r="EZ85" s="208"/>
      <c r="FA85" s="208"/>
      <c r="FB85" s="208"/>
      <c r="FC85" s="208"/>
      <c r="FD85" s="208"/>
      <c r="FE85" s="208"/>
      <c r="FF85" s="208"/>
      <c r="FG85" s="208"/>
      <c r="FH85" s="208"/>
      <c r="FI85" s="208"/>
      <c r="FJ85" s="208"/>
      <c r="FK85" s="208"/>
      <c r="FL85" s="208"/>
      <c r="FM85" s="208"/>
      <c r="FN85" s="208"/>
      <c r="FO85" s="208"/>
      <c r="FP85" s="208"/>
      <c r="FQ85" s="208"/>
      <c r="FR85" s="208"/>
      <c r="FS85" s="208"/>
      <c r="FT85" s="208"/>
      <c r="FU85" s="208"/>
      <c r="FV85" s="208"/>
      <c r="FW85" s="208"/>
      <c r="FX85" s="208"/>
      <c r="FY85" s="208"/>
      <c r="FZ85" s="208"/>
      <c r="GA85" s="208"/>
      <c r="GB85" s="208"/>
      <c r="GC85" s="208"/>
      <c r="GD85" s="208"/>
      <c r="GE85" s="208"/>
      <c r="GF85" s="208"/>
    </row>
    <row r="86" spans="1:188" s="225" customFormat="1" ht="15" x14ac:dyDescent="0.25">
      <c r="A86" s="195" t="s">
        <v>4849</v>
      </c>
      <c r="B86" s="195" t="s">
        <v>152</v>
      </c>
      <c r="C86" s="196" t="s">
        <v>2156</v>
      </c>
      <c r="D86" s="154" t="s">
        <v>78</v>
      </c>
      <c r="E86" s="154">
        <v>380</v>
      </c>
      <c r="F86" s="154">
        <v>0.1</v>
      </c>
      <c r="G86" s="197"/>
      <c r="H86" s="198"/>
      <c r="I86" s="151">
        <f>IFERROR(INDEX(Composições!$A$5:$J$8391,MATCH(B86,Composições!$A$5:$A$8391,0)+2,8),"")</f>
        <v>601.62727235</v>
      </c>
      <c r="J86" s="152">
        <f t="shared" si="9"/>
        <v>22861.84</v>
      </c>
      <c r="K86" s="198">
        <f>BDI!$B$17</f>
        <v>0.191</v>
      </c>
      <c r="L86" s="198"/>
      <c r="M86" s="198"/>
      <c r="N86" s="153">
        <f t="shared" si="10"/>
        <v>716.54</v>
      </c>
      <c r="O86" s="152">
        <f t="shared" si="11"/>
        <v>27228.52</v>
      </c>
      <c r="Q86" s="208"/>
      <c r="R86" s="208"/>
      <c r="S86"/>
      <c r="T86" s="208"/>
      <c r="U86" s="208"/>
      <c r="V86" s="208"/>
      <c r="W86" s="208"/>
      <c r="X86" s="208"/>
      <c r="Y86" s="208"/>
      <c r="Z86" s="208"/>
      <c r="AA86" s="208"/>
      <c r="AB86" s="208"/>
      <c r="AC86" s="208"/>
      <c r="AD86" s="208"/>
      <c r="AE86" s="208"/>
      <c r="AF86" s="208"/>
      <c r="AG86" s="208"/>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c r="BI86" s="208"/>
      <c r="BJ86" s="208"/>
      <c r="BK86" s="208"/>
      <c r="BL86" s="208"/>
      <c r="BM86" s="208"/>
      <c r="BN86" s="208"/>
      <c r="BO86" s="208"/>
      <c r="BP86" s="208"/>
      <c r="BQ86" s="208"/>
      <c r="BR86" s="208"/>
      <c r="BS86" s="208"/>
      <c r="BT86" s="208"/>
      <c r="BU86" s="208"/>
      <c r="BV86" s="208"/>
      <c r="BW86" s="208"/>
      <c r="BX86" s="208"/>
      <c r="BY86" s="208"/>
      <c r="BZ86" s="208"/>
      <c r="CA86" s="208"/>
      <c r="CB86" s="208"/>
      <c r="CC86" s="208"/>
      <c r="CD86" s="208"/>
      <c r="CE86" s="208"/>
      <c r="CF86" s="208"/>
      <c r="CG86" s="208"/>
      <c r="CH86" s="208"/>
      <c r="CI86" s="208"/>
      <c r="CJ86" s="208"/>
      <c r="CK86" s="208"/>
      <c r="CL86" s="208"/>
      <c r="CM86" s="208"/>
      <c r="CN86" s="208"/>
      <c r="CO86" s="208"/>
      <c r="CP86" s="208"/>
      <c r="CQ86" s="208"/>
      <c r="CR86" s="208"/>
      <c r="CS86" s="208"/>
      <c r="CT86" s="208"/>
      <c r="CU86" s="208"/>
      <c r="CV86" s="208"/>
      <c r="CW86" s="208"/>
      <c r="CX86" s="208"/>
      <c r="CY86" s="208"/>
      <c r="CZ86" s="208"/>
      <c r="DA86" s="208"/>
      <c r="DB86" s="208"/>
      <c r="DC86" s="208"/>
      <c r="DD86" s="208"/>
      <c r="DE86" s="208"/>
      <c r="DF86" s="208"/>
      <c r="DG86" s="208"/>
      <c r="DH86" s="208"/>
      <c r="DI86" s="208"/>
      <c r="DJ86" s="208"/>
      <c r="DK86" s="208"/>
      <c r="DL86" s="208"/>
      <c r="DM86" s="208"/>
      <c r="DN86" s="208"/>
      <c r="DO86" s="208"/>
      <c r="DP86" s="208"/>
      <c r="DQ86" s="208"/>
      <c r="DR86" s="208"/>
      <c r="DS86" s="208"/>
      <c r="DT86" s="208"/>
      <c r="DU86" s="208"/>
      <c r="DV86" s="208"/>
      <c r="DW86" s="208"/>
      <c r="DX86" s="208"/>
      <c r="DY86" s="208"/>
      <c r="DZ86" s="208"/>
      <c r="EA86" s="208"/>
      <c r="EB86" s="208"/>
      <c r="EC86" s="208"/>
      <c r="ED86" s="208"/>
      <c r="EE86" s="208"/>
      <c r="EF86" s="208"/>
      <c r="EG86" s="208"/>
      <c r="EH86" s="208"/>
      <c r="EI86" s="208"/>
      <c r="EJ86" s="208"/>
      <c r="EK86" s="208"/>
      <c r="EL86" s="208"/>
      <c r="EM86" s="208"/>
      <c r="EN86" s="208"/>
      <c r="EO86" s="208"/>
      <c r="EP86" s="208"/>
      <c r="EQ86" s="208"/>
      <c r="ER86" s="208"/>
      <c r="ES86" s="208"/>
      <c r="ET86" s="208"/>
      <c r="EU86" s="208"/>
      <c r="EV86" s="208"/>
      <c r="EW86" s="208"/>
      <c r="EX86" s="208"/>
      <c r="EY86" s="208"/>
      <c r="EZ86" s="208"/>
      <c r="FA86" s="208"/>
      <c r="FB86" s="208"/>
      <c r="FC86" s="208"/>
      <c r="FD86" s="208"/>
      <c r="FE86" s="208"/>
      <c r="FF86" s="208"/>
      <c r="FG86" s="208"/>
      <c r="FH86" s="208"/>
      <c r="FI86" s="208"/>
      <c r="FJ86" s="208"/>
      <c r="FK86" s="208"/>
      <c r="FL86" s="208"/>
      <c r="FM86" s="208"/>
      <c r="FN86" s="208"/>
      <c r="FO86" s="208"/>
      <c r="FP86" s="208"/>
      <c r="FQ86" s="208"/>
      <c r="FR86" s="208"/>
      <c r="FS86" s="208"/>
      <c r="FT86" s="208"/>
      <c r="FU86" s="208"/>
      <c r="FV86" s="208"/>
      <c r="FW86" s="208"/>
      <c r="FX86" s="208"/>
      <c r="FY86" s="208"/>
      <c r="FZ86" s="208"/>
      <c r="GA86" s="208"/>
      <c r="GB86" s="208"/>
      <c r="GC86" s="208"/>
      <c r="GD86" s="208"/>
      <c r="GE86" s="208"/>
      <c r="GF86" s="208"/>
    </row>
    <row r="87" spans="1:188" s="225" customFormat="1" ht="15" x14ac:dyDescent="0.25">
      <c r="A87" s="195" t="s">
        <v>4850</v>
      </c>
      <c r="B87" s="195" t="s">
        <v>155</v>
      </c>
      <c r="C87" s="196" t="s">
        <v>2157</v>
      </c>
      <c r="D87" s="154" t="s">
        <v>78</v>
      </c>
      <c r="E87" s="154">
        <v>190</v>
      </c>
      <c r="F87" s="154">
        <v>0.1</v>
      </c>
      <c r="G87" s="197"/>
      <c r="H87" s="198"/>
      <c r="I87" s="151">
        <f>IFERROR(INDEX(Composições!$A$5:$J$8391,MATCH(B87,Composições!$A$5:$A$8391,0)+2,8),"")</f>
        <v>360.93180699999999</v>
      </c>
      <c r="J87" s="152">
        <f t="shared" si="9"/>
        <v>6857.7</v>
      </c>
      <c r="K87" s="198">
        <f>BDI!$B$17</f>
        <v>0.191</v>
      </c>
      <c r="L87" s="198"/>
      <c r="M87" s="198"/>
      <c r="N87" s="153">
        <f t="shared" si="10"/>
        <v>429.87</v>
      </c>
      <c r="O87" s="152">
        <f t="shared" si="11"/>
        <v>8167.53</v>
      </c>
      <c r="Q87" s="208"/>
      <c r="R87" s="208"/>
      <c r="S87"/>
      <c r="T87" s="208"/>
      <c r="U87" s="208"/>
      <c r="V87" s="208"/>
      <c r="W87" s="208"/>
      <c r="X87" s="208"/>
      <c r="Y87" s="208"/>
      <c r="Z87" s="208"/>
      <c r="AA87" s="208"/>
      <c r="AB87" s="208"/>
      <c r="AC87" s="208"/>
      <c r="AD87" s="208"/>
      <c r="AE87" s="208"/>
      <c r="AF87" s="208"/>
      <c r="AG87" s="208"/>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c r="BI87" s="208"/>
      <c r="BJ87" s="208"/>
      <c r="BK87" s="208"/>
      <c r="BL87" s="208"/>
      <c r="BM87" s="208"/>
      <c r="BN87" s="208"/>
      <c r="BO87" s="208"/>
      <c r="BP87" s="208"/>
      <c r="BQ87" s="208"/>
      <c r="BR87" s="208"/>
      <c r="BS87" s="208"/>
      <c r="BT87" s="208"/>
      <c r="BU87" s="208"/>
      <c r="BV87" s="208"/>
      <c r="BW87" s="208"/>
      <c r="BX87" s="208"/>
      <c r="BY87" s="208"/>
      <c r="BZ87" s="208"/>
      <c r="CA87" s="208"/>
      <c r="CB87" s="208"/>
      <c r="CC87" s="208"/>
      <c r="CD87" s="208"/>
      <c r="CE87" s="208"/>
      <c r="CF87" s="208"/>
      <c r="CG87" s="208"/>
      <c r="CH87" s="208"/>
      <c r="CI87" s="208"/>
      <c r="CJ87" s="208"/>
      <c r="CK87" s="208"/>
      <c r="CL87" s="208"/>
      <c r="CM87" s="208"/>
      <c r="CN87" s="208"/>
      <c r="CO87" s="208"/>
      <c r="CP87" s="208"/>
      <c r="CQ87" s="208"/>
      <c r="CR87" s="208"/>
      <c r="CS87" s="208"/>
      <c r="CT87" s="208"/>
      <c r="CU87" s="208"/>
      <c r="CV87" s="208"/>
      <c r="CW87" s="208"/>
      <c r="CX87" s="208"/>
      <c r="CY87" s="208"/>
      <c r="CZ87" s="208"/>
      <c r="DA87" s="208"/>
      <c r="DB87" s="208"/>
      <c r="DC87" s="208"/>
      <c r="DD87" s="208"/>
      <c r="DE87" s="208"/>
      <c r="DF87" s="208"/>
      <c r="DG87" s="208"/>
      <c r="DH87" s="208"/>
      <c r="DI87" s="208"/>
      <c r="DJ87" s="208"/>
      <c r="DK87" s="208"/>
      <c r="DL87" s="208"/>
      <c r="DM87" s="208"/>
      <c r="DN87" s="208"/>
      <c r="DO87" s="208"/>
      <c r="DP87" s="208"/>
      <c r="DQ87" s="208"/>
      <c r="DR87" s="208"/>
      <c r="DS87" s="208"/>
      <c r="DT87" s="208"/>
      <c r="DU87" s="208"/>
      <c r="DV87" s="208"/>
      <c r="DW87" s="208"/>
      <c r="DX87" s="208"/>
      <c r="DY87" s="208"/>
      <c r="DZ87" s="208"/>
      <c r="EA87" s="208"/>
      <c r="EB87" s="208"/>
      <c r="EC87" s="208"/>
      <c r="ED87" s="208"/>
      <c r="EE87" s="208"/>
      <c r="EF87" s="208"/>
      <c r="EG87" s="208"/>
      <c r="EH87" s="208"/>
      <c r="EI87" s="208"/>
      <c r="EJ87" s="208"/>
      <c r="EK87" s="208"/>
      <c r="EL87" s="208"/>
      <c r="EM87" s="208"/>
      <c r="EN87" s="208"/>
      <c r="EO87" s="208"/>
      <c r="EP87" s="208"/>
      <c r="EQ87" s="208"/>
      <c r="ER87" s="208"/>
      <c r="ES87" s="208"/>
      <c r="ET87" s="208"/>
      <c r="EU87" s="208"/>
      <c r="EV87" s="208"/>
      <c r="EW87" s="208"/>
      <c r="EX87" s="208"/>
      <c r="EY87" s="208"/>
      <c r="EZ87" s="208"/>
      <c r="FA87" s="208"/>
      <c r="FB87" s="208"/>
      <c r="FC87" s="208"/>
      <c r="FD87" s="208"/>
      <c r="FE87" s="208"/>
      <c r="FF87" s="208"/>
      <c r="FG87" s="208"/>
      <c r="FH87" s="208"/>
      <c r="FI87" s="208"/>
      <c r="FJ87" s="208"/>
      <c r="FK87" s="208"/>
      <c r="FL87" s="208"/>
      <c r="FM87" s="208"/>
      <c r="FN87" s="208"/>
      <c r="FO87" s="208"/>
      <c r="FP87" s="208"/>
      <c r="FQ87" s="208"/>
      <c r="FR87" s="208"/>
      <c r="FS87" s="208"/>
      <c r="FT87" s="208"/>
      <c r="FU87" s="208"/>
      <c r="FV87" s="208"/>
      <c r="FW87" s="208"/>
      <c r="FX87" s="208"/>
      <c r="FY87" s="208"/>
      <c r="FZ87" s="208"/>
      <c r="GA87" s="208"/>
      <c r="GB87" s="208"/>
      <c r="GC87" s="208"/>
      <c r="GD87" s="208"/>
      <c r="GE87" s="208"/>
      <c r="GF87" s="208"/>
    </row>
    <row r="88" spans="1:188" s="225" customFormat="1" ht="15" x14ac:dyDescent="0.25">
      <c r="A88" s="195" t="s">
        <v>4851</v>
      </c>
      <c r="B88" s="195" t="s">
        <v>157</v>
      </c>
      <c r="C88" s="196" t="s">
        <v>2158</v>
      </c>
      <c r="D88" s="154" t="s">
        <v>78</v>
      </c>
      <c r="E88" s="154">
        <v>60</v>
      </c>
      <c r="F88" s="154">
        <v>0.1</v>
      </c>
      <c r="G88" s="197"/>
      <c r="H88" s="198"/>
      <c r="I88" s="151">
        <f>IFERROR(INDEX(Composições!$A$5:$J$8391,MATCH(B88,Composições!$A$5:$A$8391,0)+2,8),"")</f>
        <v>886.65381200000002</v>
      </c>
      <c r="J88" s="152">
        <f t="shared" si="9"/>
        <v>5319.92</v>
      </c>
      <c r="K88" s="198">
        <f>BDI!$B$17</f>
        <v>0.191</v>
      </c>
      <c r="L88" s="198"/>
      <c r="M88" s="198"/>
      <c r="N88" s="153">
        <f t="shared" si="10"/>
        <v>1056</v>
      </c>
      <c r="O88" s="152">
        <f t="shared" si="11"/>
        <v>6336</v>
      </c>
      <c r="Q88" s="208"/>
      <c r="R88" s="208"/>
      <c r="S8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208"/>
      <c r="CA88" s="208"/>
      <c r="CB88" s="208"/>
      <c r="CC88" s="208"/>
      <c r="CD88" s="208"/>
      <c r="CE88" s="208"/>
      <c r="CF88" s="208"/>
      <c r="CG88" s="208"/>
      <c r="CH88" s="208"/>
      <c r="CI88" s="208"/>
      <c r="CJ88" s="208"/>
      <c r="CK88" s="208"/>
      <c r="CL88" s="208"/>
      <c r="CM88" s="208"/>
      <c r="CN88" s="208"/>
      <c r="CO88" s="208"/>
      <c r="CP88" s="208"/>
      <c r="CQ88" s="208"/>
      <c r="CR88" s="208"/>
      <c r="CS88" s="208"/>
      <c r="CT88" s="208"/>
      <c r="CU88" s="208"/>
      <c r="CV88" s="208"/>
      <c r="CW88" s="208"/>
      <c r="CX88" s="208"/>
      <c r="CY88" s="208"/>
      <c r="CZ88" s="208"/>
      <c r="DA88" s="208"/>
      <c r="DB88" s="208"/>
      <c r="DC88" s="208"/>
      <c r="DD88" s="208"/>
      <c r="DE88" s="208"/>
      <c r="DF88" s="208"/>
      <c r="DG88" s="208"/>
      <c r="DH88" s="208"/>
      <c r="DI88" s="208"/>
      <c r="DJ88" s="208"/>
      <c r="DK88" s="208"/>
      <c r="DL88" s="208"/>
      <c r="DM88" s="208"/>
      <c r="DN88" s="208"/>
      <c r="DO88" s="208"/>
      <c r="DP88" s="208"/>
      <c r="DQ88" s="208"/>
      <c r="DR88" s="208"/>
      <c r="DS88" s="208"/>
      <c r="DT88" s="208"/>
      <c r="DU88" s="208"/>
      <c r="DV88" s="208"/>
      <c r="DW88" s="208"/>
      <c r="DX88" s="208"/>
      <c r="DY88" s="208"/>
      <c r="DZ88" s="208"/>
      <c r="EA88" s="208"/>
      <c r="EB88" s="208"/>
      <c r="EC88" s="208"/>
      <c r="ED88" s="208"/>
      <c r="EE88" s="208"/>
      <c r="EF88" s="208"/>
      <c r="EG88" s="208"/>
      <c r="EH88" s="208"/>
      <c r="EI88" s="208"/>
      <c r="EJ88" s="208"/>
      <c r="EK88" s="208"/>
      <c r="EL88" s="208"/>
      <c r="EM88" s="208"/>
      <c r="EN88" s="208"/>
      <c r="EO88" s="208"/>
      <c r="EP88" s="208"/>
      <c r="EQ88" s="208"/>
      <c r="ER88" s="208"/>
      <c r="ES88" s="208"/>
      <c r="ET88" s="208"/>
      <c r="EU88" s="208"/>
      <c r="EV88" s="208"/>
      <c r="EW88" s="208"/>
      <c r="EX88" s="208"/>
      <c r="EY88" s="208"/>
      <c r="EZ88" s="208"/>
      <c r="FA88" s="208"/>
      <c r="FB88" s="208"/>
      <c r="FC88" s="208"/>
      <c r="FD88" s="208"/>
      <c r="FE88" s="208"/>
      <c r="FF88" s="208"/>
      <c r="FG88" s="208"/>
      <c r="FH88" s="208"/>
      <c r="FI88" s="208"/>
      <c r="FJ88" s="208"/>
      <c r="FK88" s="208"/>
      <c r="FL88" s="208"/>
      <c r="FM88" s="208"/>
      <c r="FN88" s="208"/>
      <c r="FO88" s="208"/>
      <c r="FP88" s="208"/>
      <c r="FQ88" s="208"/>
      <c r="FR88" s="208"/>
      <c r="FS88" s="208"/>
      <c r="FT88" s="208"/>
      <c r="FU88" s="208"/>
      <c r="FV88" s="208"/>
      <c r="FW88" s="208"/>
      <c r="FX88" s="208"/>
      <c r="FY88" s="208"/>
      <c r="FZ88" s="208"/>
      <c r="GA88" s="208"/>
      <c r="GB88" s="208"/>
      <c r="GC88" s="208"/>
      <c r="GD88" s="208"/>
      <c r="GE88" s="208"/>
      <c r="GF88" s="208"/>
    </row>
    <row r="89" spans="1:188" s="225" customFormat="1" ht="15" x14ac:dyDescent="0.25">
      <c r="A89" s="195" t="s">
        <v>4852</v>
      </c>
      <c r="B89" s="195" t="s">
        <v>159</v>
      </c>
      <c r="C89" s="196" t="s">
        <v>2159</v>
      </c>
      <c r="D89" s="154" t="s">
        <v>78</v>
      </c>
      <c r="E89" s="154">
        <v>60</v>
      </c>
      <c r="F89" s="154">
        <v>0.1</v>
      </c>
      <c r="G89" s="197"/>
      <c r="H89" s="198"/>
      <c r="I89" s="151">
        <f>IFERROR(INDEX(Composições!$A$5:$J$8391,MATCH(B89,Composições!$A$5:$A$8391,0)+2,8),"")</f>
        <v>587.76053634999994</v>
      </c>
      <c r="J89" s="152">
        <f t="shared" si="9"/>
        <v>3526.56</v>
      </c>
      <c r="K89" s="198">
        <f>BDI!$B$17</f>
        <v>0.191</v>
      </c>
      <c r="L89" s="198"/>
      <c r="M89" s="198"/>
      <c r="N89" s="153">
        <f t="shared" si="10"/>
        <v>700.02</v>
      </c>
      <c r="O89" s="152">
        <f t="shared" si="11"/>
        <v>4200.12</v>
      </c>
      <c r="Q89" s="208"/>
      <c r="R89" s="208"/>
      <c r="S89"/>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c r="BJ89" s="208"/>
      <c r="BK89" s="208"/>
      <c r="BL89" s="208"/>
      <c r="BM89" s="208"/>
      <c r="BN89" s="208"/>
      <c r="BO89" s="208"/>
      <c r="BP89" s="208"/>
      <c r="BQ89" s="208"/>
      <c r="BR89" s="208"/>
      <c r="BS89" s="208"/>
      <c r="BT89" s="208"/>
      <c r="BU89" s="208"/>
      <c r="BV89" s="208"/>
      <c r="BW89" s="208"/>
      <c r="BX89" s="208"/>
      <c r="BY89" s="208"/>
      <c r="BZ89" s="208"/>
      <c r="CA89" s="208"/>
      <c r="CB89" s="208"/>
      <c r="CC89" s="208"/>
      <c r="CD89" s="208"/>
      <c r="CE89" s="208"/>
      <c r="CF89" s="208"/>
      <c r="CG89" s="208"/>
      <c r="CH89" s="208"/>
      <c r="CI89" s="208"/>
      <c r="CJ89" s="208"/>
      <c r="CK89" s="208"/>
      <c r="CL89" s="208"/>
      <c r="CM89" s="208"/>
      <c r="CN89" s="208"/>
      <c r="CO89" s="208"/>
      <c r="CP89" s="208"/>
      <c r="CQ89" s="208"/>
      <c r="CR89" s="208"/>
      <c r="CS89" s="208"/>
      <c r="CT89" s="208"/>
      <c r="CU89" s="208"/>
      <c r="CV89" s="208"/>
      <c r="CW89" s="208"/>
      <c r="CX89" s="208"/>
      <c r="CY89" s="208"/>
      <c r="CZ89" s="208"/>
      <c r="DA89" s="208"/>
      <c r="DB89" s="208"/>
      <c r="DC89" s="208"/>
      <c r="DD89" s="208"/>
      <c r="DE89" s="208"/>
      <c r="DF89" s="208"/>
      <c r="DG89" s="208"/>
      <c r="DH89" s="208"/>
      <c r="DI89" s="208"/>
      <c r="DJ89" s="208"/>
      <c r="DK89" s="208"/>
      <c r="DL89" s="208"/>
      <c r="DM89" s="208"/>
      <c r="DN89" s="208"/>
      <c r="DO89" s="208"/>
      <c r="DP89" s="208"/>
      <c r="DQ89" s="208"/>
      <c r="DR89" s="208"/>
      <c r="DS89" s="208"/>
      <c r="DT89" s="208"/>
      <c r="DU89" s="208"/>
      <c r="DV89" s="208"/>
      <c r="DW89" s="208"/>
      <c r="DX89" s="208"/>
      <c r="DY89" s="208"/>
      <c r="DZ89" s="208"/>
      <c r="EA89" s="208"/>
      <c r="EB89" s="208"/>
      <c r="EC89" s="208"/>
      <c r="ED89" s="208"/>
      <c r="EE89" s="208"/>
      <c r="EF89" s="208"/>
      <c r="EG89" s="208"/>
      <c r="EH89" s="208"/>
      <c r="EI89" s="208"/>
      <c r="EJ89" s="208"/>
      <c r="EK89" s="208"/>
      <c r="EL89" s="208"/>
      <c r="EM89" s="208"/>
      <c r="EN89" s="208"/>
      <c r="EO89" s="208"/>
      <c r="EP89" s="208"/>
      <c r="EQ89" s="208"/>
      <c r="ER89" s="208"/>
      <c r="ES89" s="208"/>
      <c r="ET89" s="208"/>
      <c r="EU89" s="208"/>
      <c r="EV89" s="208"/>
      <c r="EW89" s="208"/>
      <c r="EX89" s="208"/>
      <c r="EY89" s="208"/>
      <c r="EZ89" s="208"/>
      <c r="FA89" s="208"/>
      <c r="FB89" s="208"/>
      <c r="FC89" s="208"/>
      <c r="FD89" s="208"/>
      <c r="FE89" s="208"/>
      <c r="FF89" s="208"/>
      <c r="FG89" s="208"/>
      <c r="FH89" s="208"/>
      <c r="FI89" s="208"/>
      <c r="FJ89" s="208"/>
      <c r="FK89" s="208"/>
      <c r="FL89" s="208"/>
      <c r="FM89" s="208"/>
      <c r="FN89" s="208"/>
      <c r="FO89" s="208"/>
      <c r="FP89" s="208"/>
      <c r="FQ89" s="208"/>
      <c r="FR89" s="208"/>
      <c r="FS89" s="208"/>
      <c r="FT89" s="208"/>
      <c r="FU89" s="208"/>
      <c r="FV89" s="208"/>
      <c r="FW89" s="208"/>
      <c r="FX89" s="208"/>
      <c r="FY89" s="208"/>
      <c r="FZ89" s="208"/>
      <c r="GA89" s="208"/>
      <c r="GB89" s="208"/>
      <c r="GC89" s="208"/>
      <c r="GD89" s="208"/>
      <c r="GE89" s="208"/>
      <c r="GF89" s="208"/>
    </row>
    <row r="90" spans="1:188" s="225" customFormat="1" ht="15" x14ac:dyDescent="0.25">
      <c r="A90" s="195" t="s">
        <v>4853</v>
      </c>
      <c r="B90" s="195" t="s">
        <v>997</v>
      </c>
      <c r="C90" s="196" t="s">
        <v>2849</v>
      </c>
      <c r="D90" s="154" t="s">
        <v>78</v>
      </c>
      <c r="E90" s="154">
        <v>400</v>
      </c>
      <c r="F90" s="154">
        <v>0.1</v>
      </c>
      <c r="G90" s="197"/>
      <c r="H90" s="198"/>
      <c r="I90" s="151">
        <f>IFERROR(INDEX(Composições!$A$5:$J$8391,MATCH(B90,Composições!$A$5:$A$8391,0)+2,8),"")</f>
        <v>733.97620699999993</v>
      </c>
      <c r="J90" s="152">
        <f t="shared" si="9"/>
        <v>29359.05</v>
      </c>
      <c r="K90" s="198">
        <f>BDI!$B$17</f>
        <v>0.191</v>
      </c>
      <c r="L90" s="198"/>
      <c r="M90" s="198"/>
      <c r="N90" s="153">
        <f t="shared" si="10"/>
        <v>874.17</v>
      </c>
      <c r="O90" s="152">
        <f t="shared" si="11"/>
        <v>34966.800000000003</v>
      </c>
      <c r="Q90" s="208"/>
      <c r="R90" s="208"/>
      <c r="S90"/>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c r="BI90" s="208"/>
      <c r="BJ90" s="208"/>
      <c r="BK90" s="208"/>
      <c r="BL90" s="208"/>
      <c r="BM90" s="208"/>
      <c r="BN90" s="208"/>
      <c r="BO90" s="208"/>
      <c r="BP90" s="208"/>
      <c r="BQ90" s="208"/>
      <c r="BR90" s="208"/>
      <c r="BS90" s="208"/>
      <c r="BT90" s="208"/>
      <c r="BU90" s="208"/>
      <c r="BV90" s="208"/>
      <c r="BW90" s="208"/>
      <c r="BX90" s="208"/>
      <c r="BY90" s="208"/>
      <c r="BZ90" s="208"/>
      <c r="CA90" s="208"/>
      <c r="CB90" s="208"/>
      <c r="CC90" s="208"/>
      <c r="CD90" s="208"/>
      <c r="CE90" s="208"/>
      <c r="CF90" s="208"/>
      <c r="CG90" s="208"/>
      <c r="CH90" s="208"/>
      <c r="CI90" s="208"/>
      <c r="CJ90" s="208"/>
      <c r="CK90" s="208"/>
      <c r="CL90" s="208"/>
      <c r="CM90" s="208"/>
      <c r="CN90" s="208"/>
      <c r="CO90" s="208"/>
      <c r="CP90" s="208"/>
      <c r="CQ90" s="208"/>
      <c r="CR90" s="208"/>
      <c r="CS90" s="208"/>
      <c r="CT90" s="208"/>
      <c r="CU90" s="208"/>
      <c r="CV90" s="208"/>
      <c r="CW90" s="208"/>
      <c r="CX90" s="208"/>
      <c r="CY90" s="208"/>
      <c r="CZ90" s="208"/>
      <c r="DA90" s="208"/>
      <c r="DB90" s="208"/>
      <c r="DC90" s="208"/>
      <c r="DD90" s="208"/>
      <c r="DE90" s="208"/>
      <c r="DF90" s="208"/>
      <c r="DG90" s="208"/>
      <c r="DH90" s="208"/>
      <c r="DI90" s="208"/>
      <c r="DJ90" s="208"/>
      <c r="DK90" s="208"/>
      <c r="DL90" s="208"/>
      <c r="DM90" s="208"/>
      <c r="DN90" s="208"/>
      <c r="DO90" s="208"/>
      <c r="DP90" s="208"/>
      <c r="DQ90" s="208"/>
      <c r="DR90" s="208"/>
      <c r="DS90" s="208"/>
      <c r="DT90" s="208"/>
      <c r="DU90" s="208"/>
      <c r="DV90" s="208"/>
      <c r="DW90" s="208"/>
      <c r="DX90" s="208"/>
      <c r="DY90" s="208"/>
      <c r="DZ90" s="208"/>
      <c r="EA90" s="208"/>
      <c r="EB90" s="208"/>
      <c r="EC90" s="208"/>
      <c r="ED90" s="208"/>
      <c r="EE90" s="208"/>
      <c r="EF90" s="208"/>
      <c r="EG90" s="208"/>
      <c r="EH90" s="208"/>
      <c r="EI90" s="208"/>
      <c r="EJ90" s="208"/>
      <c r="EK90" s="208"/>
      <c r="EL90" s="208"/>
      <c r="EM90" s="208"/>
      <c r="EN90" s="208"/>
      <c r="EO90" s="208"/>
      <c r="EP90" s="208"/>
      <c r="EQ90" s="208"/>
      <c r="ER90" s="208"/>
      <c r="ES90" s="208"/>
      <c r="ET90" s="208"/>
      <c r="EU90" s="208"/>
      <c r="EV90" s="208"/>
      <c r="EW90" s="208"/>
      <c r="EX90" s="208"/>
      <c r="EY90" s="208"/>
      <c r="EZ90" s="208"/>
      <c r="FA90" s="208"/>
      <c r="FB90" s="208"/>
      <c r="FC90" s="208"/>
      <c r="FD90" s="208"/>
      <c r="FE90" s="208"/>
      <c r="FF90" s="208"/>
      <c r="FG90" s="208"/>
      <c r="FH90" s="208"/>
      <c r="FI90" s="208"/>
      <c r="FJ90" s="208"/>
      <c r="FK90" s="208"/>
      <c r="FL90" s="208"/>
      <c r="FM90" s="208"/>
      <c r="FN90" s="208"/>
      <c r="FO90" s="208"/>
      <c r="FP90" s="208"/>
      <c r="FQ90" s="208"/>
      <c r="FR90" s="208"/>
      <c r="FS90" s="208"/>
      <c r="FT90" s="208"/>
      <c r="FU90" s="208"/>
      <c r="FV90" s="208"/>
      <c r="FW90" s="208"/>
      <c r="FX90" s="208"/>
      <c r="FY90" s="208"/>
      <c r="FZ90" s="208"/>
      <c r="GA90" s="208"/>
      <c r="GB90" s="208"/>
      <c r="GC90" s="208"/>
      <c r="GD90" s="208"/>
      <c r="GE90" s="208"/>
      <c r="GF90" s="208"/>
    </row>
    <row r="91" spans="1:188" s="209" customFormat="1" ht="15" x14ac:dyDescent="0.25">
      <c r="A91" s="195" t="s">
        <v>4854</v>
      </c>
      <c r="B91" s="195" t="s">
        <v>162</v>
      </c>
      <c r="C91" s="196" t="s">
        <v>2161</v>
      </c>
      <c r="D91" s="154" t="s">
        <v>78</v>
      </c>
      <c r="E91" s="154">
        <v>130</v>
      </c>
      <c r="F91" s="154">
        <v>0.1</v>
      </c>
      <c r="G91" s="197"/>
      <c r="H91" s="198"/>
      <c r="I91" s="151">
        <f>IFERROR(INDEX(Composições!$A$5:$J$8391,MATCH(B91,Composições!$A$5:$A$8391,0)+2,8),"")</f>
        <v>317.53620699999999</v>
      </c>
      <c r="J91" s="152">
        <f t="shared" si="9"/>
        <v>4127.97</v>
      </c>
      <c r="K91" s="198">
        <f>BDI!$B$17</f>
        <v>0.191</v>
      </c>
      <c r="L91" s="198"/>
      <c r="M91" s="198"/>
      <c r="N91" s="153">
        <f t="shared" si="10"/>
        <v>378.19</v>
      </c>
      <c r="O91" s="152">
        <f t="shared" si="11"/>
        <v>4916.47</v>
      </c>
      <c r="P91" s="225"/>
      <c r="Q91" s="208"/>
      <c r="R91" s="208"/>
      <c r="S91"/>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c r="BI91" s="208"/>
      <c r="BJ91" s="208"/>
      <c r="BK91" s="208"/>
      <c r="BL91" s="208"/>
      <c r="BM91" s="208"/>
      <c r="BN91" s="208"/>
      <c r="BO91" s="208"/>
      <c r="BP91" s="208"/>
      <c r="BQ91" s="208"/>
      <c r="BR91" s="208"/>
      <c r="BS91" s="208"/>
      <c r="BT91" s="208"/>
      <c r="BU91" s="208"/>
      <c r="BV91" s="208"/>
      <c r="BW91" s="208"/>
      <c r="BX91" s="208"/>
      <c r="BY91" s="208"/>
      <c r="BZ91" s="208"/>
      <c r="CA91" s="208"/>
      <c r="CB91" s="208"/>
      <c r="CC91" s="208"/>
      <c r="CD91" s="208"/>
      <c r="CE91" s="208"/>
      <c r="CF91" s="208"/>
      <c r="CG91" s="208"/>
      <c r="CH91" s="208"/>
      <c r="CI91" s="208"/>
      <c r="CJ91" s="208"/>
      <c r="CK91" s="208"/>
      <c r="CL91" s="208"/>
      <c r="CM91" s="208"/>
      <c r="CN91" s="208"/>
      <c r="CO91" s="208"/>
      <c r="CP91" s="208"/>
      <c r="CQ91" s="208"/>
      <c r="CR91" s="208"/>
      <c r="CS91" s="208"/>
      <c r="CT91" s="208"/>
      <c r="CU91" s="208"/>
      <c r="CV91" s="208"/>
      <c r="CW91" s="208"/>
      <c r="CX91" s="208"/>
      <c r="CY91" s="208"/>
      <c r="CZ91" s="208"/>
      <c r="DA91" s="208"/>
      <c r="DB91" s="208"/>
      <c r="DC91" s="208"/>
      <c r="DD91" s="208"/>
      <c r="DE91" s="208"/>
      <c r="DF91" s="208"/>
      <c r="DG91" s="208"/>
      <c r="DH91" s="208"/>
      <c r="DI91" s="208"/>
      <c r="DJ91" s="208"/>
      <c r="DK91" s="208"/>
      <c r="DL91" s="208"/>
      <c r="DM91" s="208"/>
      <c r="DN91" s="208"/>
      <c r="DO91" s="208"/>
      <c r="DP91" s="208"/>
      <c r="DQ91" s="208"/>
      <c r="DR91" s="208"/>
      <c r="DS91" s="208"/>
      <c r="DT91" s="208"/>
      <c r="DU91" s="208"/>
      <c r="DV91" s="208"/>
      <c r="DW91" s="208"/>
      <c r="DX91" s="208"/>
      <c r="DY91" s="208"/>
      <c r="DZ91" s="208"/>
      <c r="EA91" s="208"/>
      <c r="EB91" s="208"/>
      <c r="EC91" s="208"/>
      <c r="ED91" s="208"/>
      <c r="EE91" s="208"/>
      <c r="EF91" s="208"/>
      <c r="EG91" s="208"/>
      <c r="EH91" s="208"/>
      <c r="EI91" s="208"/>
      <c r="EJ91" s="208"/>
      <c r="EK91" s="208"/>
      <c r="EL91" s="208"/>
      <c r="EM91" s="208"/>
      <c r="EN91" s="208"/>
      <c r="EO91" s="208"/>
      <c r="EP91" s="208"/>
      <c r="EQ91" s="208"/>
      <c r="ER91" s="208"/>
      <c r="ES91" s="208"/>
      <c r="ET91" s="208"/>
      <c r="EU91" s="208"/>
      <c r="EV91" s="208"/>
      <c r="EW91" s="208"/>
      <c r="EX91" s="208"/>
      <c r="EY91" s="208"/>
      <c r="EZ91" s="208"/>
      <c r="FA91" s="208"/>
      <c r="FB91" s="208"/>
      <c r="FC91" s="208"/>
      <c r="FD91" s="208"/>
      <c r="FE91" s="208"/>
      <c r="FF91" s="208"/>
      <c r="FG91" s="208"/>
      <c r="FH91" s="208"/>
      <c r="FI91" s="208"/>
      <c r="FJ91" s="208"/>
      <c r="FK91" s="208"/>
      <c r="FL91" s="208"/>
      <c r="FM91" s="208"/>
      <c r="FN91" s="208"/>
      <c r="FO91" s="208"/>
      <c r="FP91" s="208"/>
      <c r="FQ91" s="208"/>
      <c r="FR91" s="208"/>
      <c r="FS91" s="208"/>
      <c r="FT91" s="208"/>
      <c r="FU91" s="208"/>
      <c r="FV91" s="208"/>
      <c r="FW91" s="208"/>
      <c r="FX91" s="208"/>
      <c r="FY91" s="208"/>
      <c r="FZ91" s="208"/>
      <c r="GA91" s="208"/>
      <c r="GB91" s="208"/>
      <c r="GC91" s="208"/>
      <c r="GD91" s="208"/>
      <c r="GE91" s="208"/>
      <c r="GF91" s="208"/>
    </row>
    <row r="92" spans="1:188" s="209" customFormat="1" ht="15" x14ac:dyDescent="0.25">
      <c r="A92" s="195" t="s">
        <v>4855</v>
      </c>
      <c r="B92" s="195" t="s">
        <v>999</v>
      </c>
      <c r="C92" s="196" t="s">
        <v>2850</v>
      </c>
      <c r="D92" s="154" t="s">
        <v>78</v>
      </c>
      <c r="E92" s="154">
        <v>100</v>
      </c>
      <c r="F92" s="154">
        <v>0.1</v>
      </c>
      <c r="G92" s="197"/>
      <c r="H92" s="198"/>
      <c r="I92" s="151">
        <f>IFERROR(INDEX(Composições!$A$5:$J$8391,MATCH(B92,Composições!$A$5:$A$8391,0)+2,8),"")</f>
        <v>385.97620699999999</v>
      </c>
      <c r="J92" s="152">
        <f t="shared" si="9"/>
        <v>3859.76</v>
      </c>
      <c r="K92" s="198">
        <f>BDI!$B$17</f>
        <v>0.191</v>
      </c>
      <c r="L92" s="198"/>
      <c r="M92" s="198"/>
      <c r="N92" s="153">
        <f t="shared" si="10"/>
        <v>459.7</v>
      </c>
      <c r="O92" s="152">
        <f t="shared" si="11"/>
        <v>4597</v>
      </c>
      <c r="P92" s="225"/>
      <c r="Q92" s="208"/>
      <c r="R92" s="208"/>
      <c r="S92"/>
      <c r="T92" s="208"/>
      <c r="U92" s="208"/>
      <c r="V92" s="208"/>
      <c r="W92" s="208"/>
      <c r="X92" s="208"/>
      <c r="Y92" s="208"/>
      <c r="Z92" s="208"/>
      <c r="AA92" s="208"/>
      <c r="AB92" s="208"/>
      <c r="AC92" s="208"/>
      <c r="AD92" s="208"/>
      <c r="AE92" s="208"/>
      <c r="AF92" s="208"/>
      <c r="AG92" s="208"/>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c r="BI92" s="208"/>
      <c r="BJ92" s="208"/>
      <c r="BK92" s="208"/>
      <c r="BL92" s="208"/>
      <c r="BM92" s="208"/>
      <c r="BN92" s="208"/>
      <c r="BO92" s="208"/>
      <c r="BP92" s="208"/>
      <c r="BQ92" s="208"/>
      <c r="BR92" s="208"/>
      <c r="BS92" s="208"/>
      <c r="BT92" s="208"/>
      <c r="BU92" s="208"/>
      <c r="BV92" s="208"/>
      <c r="BW92" s="208"/>
      <c r="BX92" s="208"/>
      <c r="BY92" s="208"/>
      <c r="BZ92" s="208"/>
      <c r="CA92" s="208"/>
      <c r="CB92" s="208"/>
      <c r="CC92" s="208"/>
      <c r="CD92" s="208"/>
      <c r="CE92" s="208"/>
      <c r="CF92" s="208"/>
      <c r="CG92" s="208"/>
      <c r="CH92" s="208"/>
      <c r="CI92" s="208"/>
      <c r="CJ92" s="208"/>
      <c r="CK92" s="208"/>
      <c r="CL92" s="208"/>
      <c r="CM92" s="208"/>
      <c r="CN92" s="208"/>
      <c r="CO92" s="208"/>
      <c r="CP92" s="208"/>
      <c r="CQ92" s="208"/>
      <c r="CR92" s="208"/>
      <c r="CS92" s="208"/>
      <c r="CT92" s="208"/>
      <c r="CU92" s="208"/>
      <c r="CV92" s="208"/>
      <c r="CW92" s="208"/>
      <c r="CX92" s="208"/>
      <c r="CY92" s="208"/>
      <c r="CZ92" s="208"/>
      <c r="DA92" s="208"/>
      <c r="DB92" s="208"/>
      <c r="DC92" s="208"/>
      <c r="DD92" s="208"/>
      <c r="DE92" s="208"/>
      <c r="DF92" s="208"/>
      <c r="DG92" s="208"/>
      <c r="DH92" s="208"/>
      <c r="DI92" s="208"/>
      <c r="DJ92" s="208"/>
      <c r="DK92" s="208"/>
      <c r="DL92" s="208"/>
      <c r="DM92" s="208"/>
      <c r="DN92" s="208"/>
      <c r="DO92" s="208"/>
      <c r="DP92" s="208"/>
      <c r="DQ92" s="208"/>
      <c r="DR92" s="208"/>
      <c r="DS92" s="208"/>
      <c r="DT92" s="208"/>
      <c r="DU92" s="208"/>
      <c r="DV92" s="208"/>
      <c r="DW92" s="208"/>
      <c r="DX92" s="208"/>
      <c r="DY92" s="208"/>
      <c r="DZ92" s="208"/>
      <c r="EA92" s="208"/>
      <c r="EB92" s="208"/>
      <c r="EC92" s="208"/>
      <c r="ED92" s="208"/>
      <c r="EE92" s="208"/>
      <c r="EF92" s="208"/>
      <c r="EG92" s="208"/>
      <c r="EH92" s="208"/>
      <c r="EI92" s="208"/>
      <c r="EJ92" s="208"/>
      <c r="EK92" s="208"/>
      <c r="EL92" s="208"/>
      <c r="EM92" s="208"/>
      <c r="EN92" s="208"/>
      <c r="EO92" s="208"/>
      <c r="EP92" s="208"/>
      <c r="EQ92" s="208"/>
      <c r="ER92" s="208"/>
      <c r="ES92" s="208"/>
      <c r="ET92" s="208"/>
      <c r="EU92" s="208"/>
      <c r="EV92" s="208"/>
      <c r="EW92" s="208"/>
      <c r="EX92" s="208"/>
      <c r="EY92" s="208"/>
      <c r="EZ92" s="208"/>
      <c r="FA92" s="208"/>
      <c r="FB92" s="208"/>
      <c r="FC92" s="208"/>
      <c r="FD92" s="208"/>
      <c r="FE92" s="208"/>
      <c r="FF92" s="208"/>
      <c r="FG92" s="208"/>
      <c r="FH92" s="208"/>
      <c r="FI92" s="208"/>
      <c r="FJ92" s="208"/>
      <c r="FK92" s="208"/>
      <c r="FL92" s="208"/>
      <c r="FM92" s="208"/>
      <c r="FN92" s="208"/>
      <c r="FO92" s="208"/>
      <c r="FP92" s="208"/>
      <c r="FQ92" s="208"/>
      <c r="FR92" s="208"/>
      <c r="FS92" s="208"/>
      <c r="FT92" s="208"/>
      <c r="FU92" s="208"/>
      <c r="FV92" s="208"/>
      <c r="FW92" s="208"/>
      <c r="FX92" s="208"/>
      <c r="FY92" s="208"/>
      <c r="FZ92" s="208"/>
      <c r="GA92" s="208"/>
      <c r="GB92" s="208"/>
      <c r="GC92" s="208"/>
      <c r="GD92" s="208"/>
      <c r="GE92" s="208"/>
      <c r="GF92" s="208"/>
    </row>
    <row r="93" spans="1:188" s="209" customFormat="1" ht="15" x14ac:dyDescent="0.25">
      <c r="A93" s="195" t="s">
        <v>4856</v>
      </c>
      <c r="B93" s="195" t="s">
        <v>164</v>
      </c>
      <c r="C93" s="196" t="s">
        <v>2162</v>
      </c>
      <c r="D93" s="154" t="s">
        <v>78</v>
      </c>
      <c r="E93" s="154">
        <v>2580</v>
      </c>
      <c r="F93" s="154">
        <v>0.1</v>
      </c>
      <c r="G93" s="197"/>
      <c r="H93" s="198"/>
      <c r="I93" s="151">
        <f>IFERROR(INDEX(Composições!$A$5:$J$8391,MATCH(B93,Composições!$A$5:$A$8391,0)+2,8),"")</f>
        <v>521.68460699999991</v>
      </c>
      <c r="J93" s="152">
        <f t="shared" si="9"/>
        <v>134594.63</v>
      </c>
      <c r="K93" s="198">
        <f>BDI!$B$17</f>
        <v>0.191</v>
      </c>
      <c r="L93" s="198"/>
      <c r="M93" s="198"/>
      <c r="N93" s="153">
        <f t="shared" si="10"/>
        <v>621.33000000000004</v>
      </c>
      <c r="O93" s="152">
        <f t="shared" si="11"/>
        <v>160303.14000000001</v>
      </c>
      <c r="P93" s="225"/>
      <c r="Q93" s="208"/>
      <c r="R93" s="208"/>
      <c r="S93"/>
      <c r="T93" s="208"/>
      <c r="U93" s="208"/>
      <c r="V93" s="208"/>
      <c r="W93" s="208"/>
      <c r="X93" s="208"/>
      <c r="Y93" s="208"/>
      <c r="Z93" s="208"/>
      <c r="AA93" s="208"/>
      <c r="AB93" s="208"/>
      <c r="AC93" s="208"/>
      <c r="AD93" s="208"/>
      <c r="AE93" s="208"/>
      <c r="AF93" s="208"/>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c r="BI93" s="208"/>
      <c r="BJ93" s="208"/>
      <c r="BK93" s="208"/>
      <c r="BL93" s="208"/>
      <c r="BM93" s="208"/>
      <c r="BN93" s="208"/>
      <c r="BO93" s="208"/>
      <c r="BP93" s="208"/>
      <c r="BQ93" s="208"/>
      <c r="BR93" s="208"/>
      <c r="BS93" s="208"/>
      <c r="BT93" s="208"/>
      <c r="BU93" s="208"/>
      <c r="BV93" s="208"/>
      <c r="BW93" s="208"/>
      <c r="BX93" s="208"/>
      <c r="BY93" s="208"/>
      <c r="BZ93" s="208"/>
      <c r="CA93" s="208"/>
      <c r="CB93" s="208"/>
      <c r="CC93" s="208"/>
      <c r="CD93" s="208"/>
      <c r="CE93" s="208"/>
      <c r="CF93" s="208"/>
      <c r="CG93" s="208"/>
      <c r="CH93" s="208"/>
      <c r="CI93" s="208"/>
      <c r="CJ93" s="208"/>
      <c r="CK93" s="208"/>
      <c r="CL93" s="208"/>
      <c r="CM93" s="208"/>
      <c r="CN93" s="208"/>
      <c r="CO93" s="208"/>
      <c r="CP93" s="208"/>
      <c r="CQ93" s="208"/>
      <c r="CR93" s="208"/>
      <c r="CS93" s="208"/>
      <c r="CT93" s="208"/>
      <c r="CU93" s="208"/>
      <c r="CV93" s="208"/>
      <c r="CW93" s="208"/>
      <c r="CX93" s="208"/>
      <c r="CY93" s="208"/>
      <c r="CZ93" s="208"/>
      <c r="DA93" s="208"/>
      <c r="DB93" s="208"/>
      <c r="DC93" s="208"/>
      <c r="DD93" s="208"/>
      <c r="DE93" s="208"/>
      <c r="DF93" s="208"/>
      <c r="DG93" s="208"/>
      <c r="DH93" s="208"/>
      <c r="DI93" s="208"/>
      <c r="DJ93" s="208"/>
      <c r="DK93" s="208"/>
      <c r="DL93" s="208"/>
      <c r="DM93" s="208"/>
      <c r="DN93" s="208"/>
      <c r="DO93" s="208"/>
      <c r="DP93" s="208"/>
      <c r="DQ93" s="208"/>
      <c r="DR93" s="208"/>
      <c r="DS93" s="208"/>
      <c r="DT93" s="208"/>
      <c r="DU93" s="208"/>
      <c r="DV93" s="208"/>
      <c r="DW93" s="208"/>
      <c r="DX93" s="208"/>
      <c r="DY93" s="208"/>
      <c r="DZ93" s="208"/>
      <c r="EA93" s="208"/>
      <c r="EB93" s="208"/>
      <c r="EC93" s="208"/>
      <c r="ED93" s="208"/>
      <c r="EE93" s="208"/>
      <c r="EF93" s="208"/>
      <c r="EG93" s="208"/>
      <c r="EH93" s="208"/>
      <c r="EI93" s="208"/>
      <c r="EJ93" s="208"/>
      <c r="EK93" s="208"/>
      <c r="EL93" s="208"/>
      <c r="EM93" s="208"/>
      <c r="EN93" s="208"/>
      <c r="EO93" s="208"/>
      <c r="EP93" s="208"/>
      <c r="EQ93" s="208"/>
      <c r="ER93" s="208"/>
      <c r="ES93" s="208"/>
      <c r="ET93" s="208"/>
      <c r="EU93" s="208"/>
      <c r="EV93" s="208"/>
      <c r="EW93" s="208"/>
      <c r="EX93" s="208"/>
      <c r="EY93" s="208"/>
      <c r="EZ93" s="208"/>
      <c r="FA93" s="208"/>
      <c r="FB93" s="208"/>
      <c r="FC93" s="208"/>
      <c r="FD93" s="208"/>
      <c r="FE93" s="208"/>
      <c r="FF93" s="208"/>
      <c r="FG93" s="208"/>
      <c r="FH93" s="208"/>
      <c r="FI93" s="208"/>
      <c r="FJ93" s="208"/>
      <c r="FK93" s="208"/>
      <c r="FL93" s="208"/>
      <c r="FM93" s="208"/>
      <c r="FN93" s="208"/>
      <c r="FO93" s="208"/>
      <c r="FP93" s="208"/>
      <c r="FQ93" s="208"/>
      <c r="FR93" s="208"/>
      <c r="FS93" s="208"/>
      <c r="FT93" s="208"/>
      <c r="FU93" s="208"/>
      <c r="FV93" s="208"/>
      <c r="FW93" s="208"/>
      <c r="FX93" s="208"/>
      <c r="FY93" s="208"/>
      <c r="FZ93" s="208"/>
      <c r="GA93" s="208"/>
      <c r="GB93" s="208"/>
      <c r="GC93" s="208"/>
      <c r="GD93" s="208"/>
      <c r="GE93" s="208"/>
      <c r="GF93" s="208"/>
    </row>
    <row r="94" spans="1:188" s="209" customFormat="1" ht="15" x14ac:dyDescent="0.25">
      <c r="A94" s="195" t="s">
        <v>4857</v>
      </c>
      <c r="B94" s="195" t="s">
        <v>1002</v>
      </c>
      <c r="C94" s="196" t="s">
        <v>2852</v>
      </c>
      <c r="D94" s="154" t="s">
        <v>78</v>
      </c>
      <c r="E94" s="154">
        <v>1000</v>
      </c>
      <c r="F94" s="154">
        <v>0.1</v>
      </c>
      <c r="G94" s="197"/>
      <c r="H94" s="198"/>
      <c r="I94" s="151">
        <f>IFERROR(INDEX(Composições!$A$5:$J$8391,MATCH(B94,Composições!$A$5:$A$8391,0)+2,8),"")</f>
        <v>114</v>
      </c>
      <c r="J94" s="152">
        <f t="shared" si="9"/>
        <v>11400</v>
      </c>
      <c r="K94" s="198">
        <f>BDI!$B$17</f>
        <v>0.191</v>
      </c>
      <c r="L94" s="198"/>
      <c r="M94" s="198"/>
      <c r="N94" s="153">
        <f t="shared" si="10"/>
        <v>135.77000000000001</v>
      </c>
      <c r="O94" s="152">
        <f t="shared" si="11"/>
        <v>13577</v>
      </c>
      <c r="P94" s="225"/>
      <c r="Q94" s="208"/>
      <c r="R94" s="208"/>
      <c r="S94"/>
      <c r="T94" s="208"/>
      <c r="U94" s="208"/>
      <c r="V94" s="208"/>
      <c r="W94" s="208"/>
      <c r="X94" s="208"/>
      <c r="Y94" s="208"/>
      <c r="Z94" s="208"/>
      <c r="AA94" s="208"/>
      <c r="AB94" s="208"/>
      <c r="AC94" s="208"/>
      <c r="AD94" s="208"/>
      <c r="AE94" s="208"/>
      <c r="AF94" s="208"/>
      <c r="AG94" s="208"/>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c r="BI94" s="208"/>
      <c r="BJ94" s="208"/>
      <c r="BK94" s="208"/>
      <c r="BL94" s="208"/>
      <c r="BM94" s="208"/>
      <c r="BN94" s="208"/>
      <c r="BO94" s="208"/>
      <c r="BP94" s="208"/>
      <c r="BQ94" s="208"/>
      <c r="BR94" s="208"/>
      <c r="BS94" s="208"/>
      <c r="BT94" s="208"/>
      <c r="BU94" s="208"/>
      <c r="BV94" s="208"/>
      <c r="BW94" s="208"/>
      <c r="BX94" s="208"/>
      <c r="BY94" s="208"/>
      <c r="BZ94" s="208"/>
      <c r="CA94" s="208"/>
      <c r="CB94" s="208"/>
      <c r="CC94" s="208"/>
      <c r="CD94" s="208"/>
      <c r="CE94" s="208"/>
      <c r="CF94" s="208"/>
      <c r="CG94" s="208"/>
      <c r="CH94" s="208"/>
      <c r="CI94" s="208"/>
      <c r="CJ94" s="208"/>
      <c r="CK94" s="208"/>
      <c r="CL94" s="208"/>
      <c r="CM94" s="208"/>
      <c r="CN94" s="208"/>
      <c r="CO94" s="208"/>
      <c r="CP94" s="208"/>
      <c r="CQ94" s="208"/>
      <c r="CR94" s="208"/>
      <c r="CS94" s="208"/>
      <c r="CT94" s="208"/>
      <c r="CU94" s="208"/>
      <c r="CV94" s="208"/>
      <c r="CW94" s="208"/>
      <c r="CX94" s="208"/>
      <c r="CY94" s="208"/>
      <c r="CZ94" s="208"/>
      <c r="DA94" s="208"/>
      <c r="DB94" s="208"/>
      <c r="DC94" s="208"/>
      <c r="DD94" s="208"/>
      <c r="DE94" s="208"/>
      <c r="DF94" s="208"/>
      <c r="DG94" s="208"/>
      <c r="DH94" s="208"/>
      <c r="DI94" s="208"/>
      <c r="DJ94" s="208"/>
      <c r="DK94" s="208"/>
      <c r="DL94" s="208"/>
      <c r="DM94" s="208"/>
      <c r="DN94" s="208"/>
      <c r="DO94" s="208"/>
      <c r="DP94" s="208"/>
      <c r="DQ94" s="208"/>
      <c r="DR94" s="208"/>
      <c r="DS94" s="208"/>
      <c r="DT94" s="208"/>
      <c r="DU94" s="208"/>
      <c r="DV94" s="208"/>
      <c r="DW94" s="208"/>
      <c r="DX94" s="208"/>
      <c r="DY94" s="208"/>
      <c r="DZ94" s="208"/>
      <c r="EA94" s="208"/>
      <c r="EB94" s="208"/>
      <c r="EC94" s="208"/>
      <c r="ED94" s="208"/>
      <c r="EE94" s="208"/>
      <c r="EF94" s="208"/>
      <c r="EG94" s="208"/>
      <c r="EH94" s="208"/>
      <c r="EI94" s="208"/>
      <c r="EJ94" s="208"/>
      <c r="EK94" s="208"/>
      <c r="EL94" s="208"/>
      <c r="EM94" s="208"/>
      <c r="EN94" s="208"/>
      <c r="EO94" s="208"/>
      <c r="EP94" s="208"/>
      <c r="EQ94" s="208"/>
      <c r="ER94" s="208"/>
      <c r="ES94" s="208"/>
      <c r="ET94" s="208"/>
      <c r="EU94" s="208"/>
      <c r="EV94" s="208"/>
      <c r="EW94" s="208"/>
      <c r="EX94" s="208"/>
      <c r="EY94" s="208"/>
      <c r="EZ94" s="208"/>
      <c r="FA94" s="208"/>
      <c r="FB94" s="208"/>
      <c r="FC94" s="208"/>
      <c r="FD94" s="208"/>
      <c r="FE94" s="208"/>
      <c r="FF94" s="208"/>
      <c r="FG94" s="208"/>
      <c r="FH94" s="208"/>
      <c r="FI94" s="208"/>
      <c r="FJ94" s="208"/>
      <c r="FK94" s="208"/>
      <c r="FL94" s="208"/>
      <c r="FM94" s="208"/>
      <c r="FN94" s="208"/>
      <c r="FO94" s="208"/>
      <c r="FP94" s="208"/>
      <c r="FQ94" s="208"/>
      <c r="FR94" s="208"/>
      <c r="FS94" s="208"/>
      <c r="FT94" s="208"/>
      <c r="FU94" s="208"/>
      <c r="FV94" s="208"/>
      <c r="FW94" s="208"/>
      <c r="FX94" s="208"/>
      <c r="FY94" s="208"/>
      <c r="FZ94" s="208"/>
      <c r="GA94" s="208"/>
      <c r="GB94" s="208"/>
      <c r="GC94" s="208"/>
      <c r="GD94" s="208"/>
      <c r="GE94" s="208"/>
      <c r="GF94" s="208"/>
    </row>
    <row r="95" spans="1:188" s="209" customFormat="1" ht="15" x14ac:dyDescent="0.25">
      <c r="A95" s="195" t="s">
        <v>4858</v>
      </c>
      <c r="B95" s="195" t="s">
        <v>1995</v>
      </c>
      <c r="C95" s="196" t="s">
        <v>3710</v>
      </c>
      <c r="D95" s="154" t="s">
        <v>78</v>
      </c>
      <c r="E95" s="154">
        <v>5000</v>
      </c>
      <c r="F95" s="154">
        <v>0.1</v>
      </c>
      <c r="G95" s="197"/>
      <c r="H95" s="198"/>
      <c r="I95" s="151">
        <f>IFERROR(INDEX(Composições!$A$5:$J$8391,MATCH(B95,Composições!$A$5:$A$8391,0)+2,8),"")</f>
        <v>210.24143149999998</v>
      </c>
      <c r="J95" s="152">
        <f t="shared" si="9"/>
        <v>105120.72</v>
      </c>
      <c r="K95" s="198">
        <f>BDI!$B$17</f>
        <v>0.191</v>
      </c>
      <c r="L95" s="198"/>
      <c r="M95" s="198"/>
      <c r="N95" s="153">
        <f t="shared" si="10"/>
        <v>250.4</v>
      </c>
      <c r="O95" s="152">
        <f t="shared" si="11"/>
        <v>125200</v>
      </c>
      <c r="P95" s="225"/>
      <c r="Q95" s="208"/>
      <c r="R95" s="208"/>
      <c r="S95"/>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c r="BJ95" s="208"/>
      <c r="BK95" s="208"/>
      <c r="BL95" s="208"/>
      <c r="BM95" s="208"/>
      <c r="BN95" s="208"/>
      <c r="BO95" s="208"/>
      <c r="BP95" s="208"/>
      <c r="BQ95" s="208"/>
      <c r="BR95" s="208"/>
      <c r="BS95" s="208"/>
      <c r="BT95" s="208"/>
      <c r="BU95" s="208"/>
      <c r="BV95" s="208"/>
      <c r="BW95" s="208"/>
      <c r="BX95" s="208"/>
      <c r="BY95" s="208"/>
      <c r="BZ95" s="208"/>
      <c r="CA95" s="208"/>
      <c r="CB95" s="208"/>
      <c r="CC95" s="208"/>
      <c r="CD95" s="208"/>
      <c r="CE95" s="208"/>
      <c r="CF95" s="208"/>
      <c r="CG95" s="208"/>
      <c r="CH95" s="208"/>
      <c r="CI95" s="208"/>
      <c r="CJ95" s="208"/>
      <c r="CK95" s="208"/>
      <c r="CL95" s="208"/>
      <c r="CM95" s="208"/>
      <c r="CN95" s="208"/>
      <c r="CO95" s="208"/>
      <c r="CP95" s="208"/>
      <c r="CQ95" s="208"/>
      <c r="CR95" s="208"/>
      <c r="CS95" s="208"/>
      <c r="CT95" s="208"/>
      <c r="CU95" s="208"/>
      <c r="CV95" s="208"/>
      <c r="CW95" s="208"/>
      <c r="CX95" s="208"/>
      <c r="CY95" s="208"/>
      <c r="CZ95" s="208"/>
      <c r="DA95" s="208"/>
      <c r="DB95" s="208"/>
      <c r="DC95" s="208"/>
      <c r="DD95" s="208"/>
      <c r="DE95" s="208"/>
      <c r="DF95" s="208"/>
      <c r="DG95" s="208"/>
      <c r="DH95" s="208"/>
      <c r="DI95" s="208"/>
      <c r="DJ95" s="208"/>
      <c r="DK95" s="208"/>
      <c r="DL95" s="208"/>
      <c r="DM95" s="208"/>
      <c r="DN95" s="208"/>
      <c r="DO95" s="208"/>
      <c r="DP95" s="208"/>
      <c r="DQ95" s="208"/>
      <c r="DR95" s="208"/>
      <c r="DS95" s="208"/>
      <c r="DT95" s="208"/>
      <c r="DU95" s="208"/>
      <c r="DV95" s="208"/>
      <c r="DW95" s="208"/>
      <c r="DX95" s="208"/>
      <c r="DY95" s="208"/>
      <c r="DZ95" s="208"/>
      <c r="EA95" s="208"/>
      <c r="EB95" s="208"/>
      <c r="EC95" s="208"/>
      <c r="ED95" s="208"/>
      <c r="EE95" s="208"/>
      <c r="EF95" s="208"/>
      <c r="EG95" s="208"/>
      <c r="EH95" s="208"/>
      <c r="EI95" s="208"/>
      <c r="EJ95" s="208"/>
      <c r="EK95" s="208"/>
      <c r="EL95" s="208"/>
      <c r="EM95" s="208"/>
      <c r="EN95" s="208"/>
      <c r="EO95" s="208"/>
      <c r="EP95" s="208"/>
      <c r="EQ95" s="208"/>
      <c r="ER95" s="208"/>
      <c r="ES95" s="208"/>
      <c r="ET95" s="208"/>
      <c r="EU95" s="208"/>
      <c r="EV95" s="208"/>
      <c r="EW95" s="208"/>
      <c r="EX95" s="208"/>
      <c r="EY95" s="208"/>
      <c r="EZ95" s="208"/>
      <c r="FA95" s="208"/>
      <c r="FB95" s="208"/>
      <c r="FC95" s="208"/>
      <c r="FD95" s="208"/>
      <c r="FE95" s="208"/>
      <c r="FF95" s="208"/>
      <c r="FG95" s="208"/>
      <c r="FH95" s="208"/>
      <c r="FI95" s="208"/>
      <c r="FJ95" s="208"/>
      <c r="FK95" s="208"/>
      <c r="FL95" s="208"/>
      <c r="FM95" s="208"/>
      <c r="FN95" s="208"/>
      <c r="FO95" s="208"/>
      <c r="FP95" s="208"/>
      <c r="FQ95" s="208"/>
      <c r="FR95" s="208"/>
      <c r="FS95" s="208"/>
      <c r="FT95" s="208"/>
      <c r="FU95" s="208"/>
      <c r="FV95" s="208"/>
      <c r="FW95" s="208"/>
      <c r="FX95" s="208"/>
      <c r="FY95" s="208"/>
      <c r="FZ95" s="208"/>
      <c r="GA95" s="208"/>
      <c r="GB95" s="208"/>
      <c r="GC95" s="208"/>
      <c r="GD95" s="208"/>
      <c r="GE95" s="208"/>
      <c r="GF95" s="208"/>
    </row>
    <row r="96" spans="1:188" s="209" customFormat="1" ht="15" x14ac:dyDescent="0.25">
      <c r="A96" s="195" t="s">
        <v>4859</v>
      </c>
      <c r="B96" s="195" t="s">
        <v>1996</v>
      </c>
      <c r="C96" s="196" t="s">
        <v>3711</v>
      </c>
      <c r="D96" s="154" t="s">
        <v>78</v>
      </c>
      <c r="E96" s="154">
        <v>5000</v>
      </c>
      <c r="F96" s="154">
        <v>0.1</v>
      </c>
      <c r="G96" s="197"/>
      <c r="H96" s="198"/>
      <c r="I96" s="151">
        <f>IFERROR(INDEX(Composições!$A$5:$J$8391,MATCH(B96,Composições!$A$5:$A$8391,0)+2,8),"")</f>
        <v>72.453431499999994</v>
      </c>
      <c r="J96" s="152">
        <f t="shared" si="9"/>
        <v>36226.720000000001</v>
      </c>
      <c r="K96" s="198">
        <f>BDI!$B$17</f>
        <v>0.191</v>
      </c>
      <c r="L96" s="198"/>
      <c r="M96" s="198"/>
      <c r="N96" s="153">
        <f t="shared" si="10"/>
        <v>86.29</v>
      </c>
      <c r="O96" s="152">
        <f t="shared" si="11"/>
        <v>43145</v>
      </c>
      <c r="P96" s="225"/>
      <c r="Q96" s="208"/>
      <c r="R96" s="208"/>
      <c r="S96"/>
      <c r="T96" s="208"/>
      <c r="U96" s="208"/>
      <c r="V96" s="208"/>
      <c r="W96" s="208"/>
      <c r="X96" s="208"/>
      <c r="Y96" s="208"/>
      <c r="Z96" s="208"/>
      <c r="AA96" s="208"/>
      <c r="AB96" s="208"/>
      <c r="AC96" s="208"/>
      <c r="AD96" s="208"/>
      <c r="AE96" s="208"/>
      <c r="AF96" s="208"/>
      <c r="AG96" s="208"/>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c r="BI96" s="208"/>
      <c r="BJ96" s="208"/>
      <c r="BK96" s="208"/>
      <c r="BL96" s="208"/>
      <c r="BM96" s="208"/>
      <c r="BN96" s="208"/>
      <c r="BO96" s="208"/>
      <c r="BP96" s="208"/>
      <c r="BQ96" s="208"/>
      <c r="BR96" s="208"/>
      <c r="BS96" s="208"/>
      <c r="BT96" s="208"/>
      <c r="BU96" s="208"/>
      <c r="BV96" s="208"/>
      <c r="BW96" s="208"/>
      <c r="BX96" s="208"/>
      <c r="BY96" s="208"/>
      <c r="BZ96" s="208"/>
      <c r="CA96" s="208"/>
      <c r="CB96" s="208"/>
      <c r="CC96" s="208"/>
      <c r="CD96" s="208"/>
      <c r="CE96" s="208"/>
      <c r="CF96" s="208"/>
      <c r="CG96" s="208"/>
      <c r="CH96" s="208"/>
      <c r="CI96" s="208"/>
      <c r="CJ96" s="208"/>
      <c r="CK96" s="208"/>
      <c r="CL96" s="208"/>
      <c r="CM96" s="208"/>
      <c r="CN96" s="208"/>
      <c r="CO96" s="208"/>
      <c r="CP96" s="208"/>
      <c r="CQ96" s="208"/>
      <c r="CR96" s="208"/>
      <c r="CS96" s="208"/>
      <c r="CT96" s="208"/>
      <c r="CU96" s="208"/>
      <c r="CV96" s="208"/>
      <c r="CW96" s="208"/>
      <c r="CX96" s="208"/>
      <c r="CY96" s="208"/>
      <c r="CZ96" s="208"/>
      <c r="DA96" s="208"/>
      <c r="DB96" s="208"/>
      <c r="DC96" s="208"/>
      <c r="DD96" s="208"/>
      <c r="DE96" s="208"/>
      <c r="DF96" s="208"/>
      <c r="DG96" s="208"/>
      <c r="DH96" s="208"/>
      <c r="DI96" s="208"/>
      <c r="DJ96" s="208"/>
      <c r="DK96" s="208"/>
      <c r="DL96" s="208"/>
      <c r="DM96" s="208"/>
      <c r="DN96" s="208"/>
      <c r="DO96" s="208"/>
      <c r="DP96" s="208"/>
      <c r="DQ96" s="208"/>
      <c r="DR96" s="208"/>
      <c r="DS96" s="208"/>
      <c r="DT96" s="208"/>
      <c r="DU96" s="208"/>
      <c r="DV96" s="208"/>
      <c r="DW96" s="208"/>
      <c r="DX96" s="208"/>
      <c r="DY96" s="208"/>
      <c r="DZ96" s="208"/>
      <c r="EA96" s="208"/>
      <c r="EB96" s="208"/>
      <c r="EC96" s="208"/>
      <c r="ED96" s="208"/>
      <c r="EE96" s="208"/>
      <c r="EF96" s="208"/>
      <c r="EG96" s="208"/>
      <c r="EH96" s="208"/>
      <c r="EI96" s="208"/>
      <c r="EJ96" s="208"/>
      <c r="EK96" s="208"/>
      <c r="EL96" s="208"/>
      <c r="EM96" s="208"/>
      <c r="EN96" s="208"/>
      <c r="EO96" s="208"/>
      <c r="EP96" s="208"/>
      <c r="EQ96" s="208"/>
      <c r="ER96" s="208"/>
      <c r="ES96" s="208"/>
      <c r="ET96" s="208"/>
      <c r="EU96" s="208"/>
      <c r="EV96" s="208"/>
      <c r="EW96" s="208"/>
      <c r="EX96" s="208"/>
      <c r="EY96" s="208"/>
      <c r="EZ96" s="208"/>
      <c r="FA96" s="208"/>
      <c r="FB96" s="208"/>
      <c r="FC96" s="208"/>
      <c r="FD96" s="208"/>
      <c r="FE96" s="208"/>
      <c r="FF96" s="208"/>
      <c r="FG96" s="208"/>
      <c r="FH96" s="208"/>
      <c r="FI96" s="208"/>
      <c r="FJ96" s="208"/>
      <c r="FK96" s="208"/>
      <c r="FL96" s="208"/>
      <c r="FM96" s="208"/>
      <c r="FN96" s="208"/>
      <c r="FO96" s="208"/>
      <c r="FP96" s="208"/>
      <c r="FQ96" s="208"/>
      <c r="FR96" s="208"/>
      <c r="FS96" s="208"/>
      <c r="FT96" s="208"/>
      <c r="FU96" s="208"/>
      <c r="FV96" s="208"/>
      <c r="FW96" s="208"/>
      <c r="FX96" s="208"/>
      <c r="FY96" s="208"/>
      <c r="FZ96" s="208"/>
      <c r="GA96" s="208"/>
      <c r="GB96" s="208"/>
      <c r="GC96" s="208"/>
      <c r="GD96" s="208"/>
      <c r="GE96" s="208"/>
      <c r="GF96" s="208"/>
    </row>
    <row r="97" spans="1:188" s="225" customFormat="1" ht="15" x14ac:dyDescent="0.25">
      <c r="A97" s="189" t="s">
        <v>4860</v>
      </c>
      <c r="B97" s="189"/>
      <c r="C97" s="190" t="s">
        <v>4861</v>
      </c>
      <c r="D97" s="191"/>
      <c r="E97" s="191"/>
      <c r="F97" s="191"/>
      <c r="G97" s="192"/>
      <c r="H97" s="193"/>
      <c r="I97" s="246"/>
      <c r="J97" s="194">
        <f>SUBTOTAL(109,J98:J100)</f>
        <v>83997.93</v>
      </c>
      <c r="K97" s="191"/>
      <c r="L97" s="191"/>
      <c r="M97" s="191"/>
      <c r="N97" s="191"/>
      <c r="O97" s="194">
        <f>SUBTOTAL(109,O98:O100)</f>
        <v>100038.16</v>
      </c>
      <c r="Q97" s="208"/>
      <c r="R97" s="208"/>
      <c r="S97"/>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c r="BI97" s="208"/>
      <c r="BJ97" s="208"/>
      <c r="BK97" s="208"/>
      <c r="BL97" s="208"/>
      <c r="BM97" s="208"/>
      <c r="BN97" s="208"/>
      <c r="BO97" s="208"/>
      <c r="BP97" s="208"/>
      <c r="BQ97" s="208"/>
      <c r="BR97" s="208"/>
      <c r="BS97" s="208"/>
      <c r="BT97" s="208"/>
      <c r="BU97" s="208"/>
      <c r="BV97" s="208"/>
      <c r="BW97" s="208"/>
      <c r="BX97" s="208"/>
      <c r="BY97" s="208"/>
      <c r="BZ97" s="208"/>
      <c r="CA97" s="208"/>
      <c r="CB97" s="208"/>
      <c r="CC97" s="208"/>
      <c r="CD97" s="208"/>
      <c r="CE97" s="208"/>
      <c r="CF97" s="208"/>
      <c r="CG97" s="208"/>
      <c r="CH97" s="208"/>
      <c r="CI97" s="208"/>
      <c r="CJ97" s="208"/>
      <c r="CK97" s="208"/>
      <c r="CL97" s="208"/>
      <c r="CM97" s="208"/>
      <c r="CN97" s="208"/>
      <c r="CO97" s="208"/>
      <c r="CP97" s="208"/>
      <c r="CQ97" s="208"/>
      <c r="CR97" s="208"/>
      <c r="CS97" s="208"/>
      <c r="CT97" s="208"/>
      <c r="CU97" s="208"/>
      <c r="CV97" s="208"/>
      <c r="CW97" s="208"/>
      <c r="CX97" s="208"/>
      <c r="CY97" s="208"/>
      <c r="CZ97" s="208"/>
      <c r="DA97" s="208"/>
      <c r="DB97" s="208"/>
      <c r="DC97" s="208"/>
      <c r="DD97" s="208"/>
      <c r="DE97" s="208"/>
      <c r="DF97" s="208"/>
      <c r="DG97" s="208"/>
      <c r="DH97" s="208"/>
      <c r="DI97" s="208"/>
      <c r="DJ97" s="208"/>
      <c r="DK97" s="208"/>
      <c r="DL97" s="208"/>
      <c r="DM97" s="208"/>
      <c r="DN97" s="208"/>
      <c r="DO97" s="208"/>
      <c r="DP97" s="208"/>
      <c r="DQ97" s="208"/>
      <c r="DR97" s="208"/>
      <c r="DS97" s="208"/>
      <c r="DT97" s="208"/>
      <c r="DU97" s="208"/>
      <c r="DV97" s="208"/>
      <c r="DW97" s="208"/>
      <c r="DX97" s="208"/>
      <c r="DY97" s="208"/>
      <c r="DZ97" s="208"/>
      <c r="EA97" s="208"/>
      <c r="EB97" s="208"/>
      <c r="EC97" s="208"/>
      <c r="ED97" s="208"/>
      <c r="EE97" s="208"/>
      <c r="EF97" s="208"/>
      <c r="EG97" s="208"/>
      <c r="EH97" s="208"/>
      <c r="EI97" s="208"/>
      <c r="EJ97" s="208"/>
      <c r="EK97" s="208"/>
      <c r="EL97" s="208"/>
      <c r="EM97" s="208"/>
      <c r="EN97" s="208"/>
      <c r="EO97" s="208"/>
      <c r="EP97" s="208"/>
      <c r="EQ97" s="208"/>
      <c r="ER97" s="208"/>
      <c r="ES97" s="208"/>
      <c r="ET97" s="208"/>
      <c r="EU97" s="208"/>
      <c r="EV97" s="208"/>
      <c r="EW97" s="208"/>
      <c r="EX97" s="208"/>
      <c r="EY97" s="208"/>
      <c r="EZ97" s="208"/>
      <c r="FA97" s="208"/>
      <c r="FB97" s="208"/>
      <c r="FC97" s="208"/>
      <c r="FD97" s="208"/>
      <c r="FE97" s="208"/>
      <c r="FF97" s="208"/>
      <c r="FG97" s="208"/>
      <c r="FH97" s="208"/>
      <c r="FI97" s="208"/>
      <c r="FJ97" s="208"/>
      <c r="FK97" s="208"/>
      <c r="FL97" s="208"/>
      <c r="FM97" s="208"/>
      <c r="FN97" s="208"/>
      <c r="FO97" s="208"/>
      <c r="FP97" s="208"/>
      <c r="FQ97" s="208"/>
      <c r="FR97" s="208"/>
      <c r="FS97" s="208"/>
      <c r="FT97" s="208"/>
      <c r="FU97" s="208"/>
      <c r="FV97" s="208"/>
      <c r="FW97" s="208"/>
      <c r="FX97" s="208"/>
      <c r="FY97" s="208"/>
      <c r="FZ97" s="208"/>
      <c r="GA97" s="208"/>
      <c r="GB97" s="208"/>
      <c r="GC97" s="208"/>
      <c r="GD97" s="208"/>
      <c r="GE97" s="208"/>
      <c r="GF97" s="208"/>
    </row>
    <row r="98" spans="1:188" s="209" customFormat="1" ht="15" x14ac:dyDescent="0.25">
      <c r="A98" s="195" t="s">
        <v>4862</v>
      </c>
      <c r="B98" s="195" t="s">
        <v>1016</v>
      </c>
      <c r="C98" s="196" t="s">
        <v>2856</v>
      </c>
      <c r="D98" s="154" t="s">
        <v>78</v>
      </c>
      <c r="E98" s="154">
        <v>10610</v>
      </c>
      <c r="F98" s="154">
        <v>0.1</v>
      </c>
      <c r="G98" s="197"/>
      <c r="H98" s="198"/>
      <c r="I98" s="151">
        <f>IFERROR(INDEX(Composições!$A$5:$J$8391,MATCH(B98,Composições!$A$5:$A$8391,0)+2,8),"")</f>
        <v>49.523499999999999</v>
      </c>
      <c r="J98" s="152">
        <f>IF(ISNUMBER(I98),ROUND(F98*E98*I98,2),"")</f>
        <v>52544.43</v>
      </c>
      <c r="K98" s="198">
        <f>BDI!$B$17</f>
        <v>0.191</v>
      </c>
      <c r="L98" s="198"/>
      <c r="M98" s="198"/>
      <c r="N98" s="153">
        <f>IF(ISNUMBER(I98),ROUND(I98*(1+K98),2),"")</f>
        <v>58.98</v>
      </c>
      <c r="O98" s="152">
        <f>IF(ISNUMBER(I98),ROUND(F98*N98*E98,2),"")</f>
        <v>62577.78</v>
      </c>
      <c r="P98" s="225"/>
      <c r="Q98" s="208"/>
      <c r="R98" s="208"/>
      <c r="S9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208"/>
      <c r="BV98" s="208"/>
      <c r="BW98" s="208"/>
      <c r="BX98" s="208"/>
      <c r="BY98" s="208"/>
      <c r="BZ98" s="208"/>
      <c r="CA98" s="208"/>
      <c r="CB98" s="208"/>
      <c r="CC98" s="208"/>
      <c r="CD98" s="208"/>
      <c r="CE98" s="208"/>
      <c r="CF98" s="208"/>
      <c r="CG98" s="208"/>
      <c r="CH98" s="208"/>
      <c r="CI98" s="208"/>
      <c r="CJ98" s="208"/>
      <c r="CK98" s="208"/>
      <c r="CL98" s="208"/>
      <c r="CM98" s="208"/>
      <c r="CN98" s="208"/>
      <c r="CO98" s="208"/>
      <c r="CP98" s="208"/>
      <c r="CQ98" s="208"/>
      <c r="CR98" s="208"/>
      <c r="CS98" s="208"/>
      <c r="CT98" s="208"/>
      <c r="CU98" s="208"/>
      <c r="CV98" s="208"/>
      <c r="CW98" s="208"/>
      <c r="CX98" s="208"/>
      <c r="CY98" s="208"/>
      <c r="CZ98" s="208"/>
      <c r="DA98" s="208"/>
      <c r="DB98" s="208"/>
      <c r="DC98" s="208"/>
      <c r="DD98" s="208"/>
      <c r="DE98" s="208"/>
      <c r="DF98" s="208"/>
      <c r="DG98" s="208"/>
      <c r="DH98" s="208"/>
      <c r="DI98" s="208"/>
      <c r="DJ98" s="208"/>
      <c r="DK98" s="208"/>
      <c r="DL98" s="208"/>
      <c r="DM98" s="208"/>
      <c r="DN98" s="208"/>
      <c r="DO98" s="208"/>
      <c r="DP98" s="208"/>
      <c r="DQ98" s="208"/>
      <c r="DR98" s="208"/>
      <c r="DS98" s="208"/>
      <c r="DT98" s="208"/>
      <c r="DU98" s="208"/>
      <c r="DV98" s="208"/>
      <c r="DW98" s="208"/>
      <c r="DX98" s="208"/>
      <c r="DY98" s="208"/>
      <c r="DZ98" s="208"/>
      <c r="EA98" s="208"/>
      <c r="EB98" s="208"/>
      <c r="EC98" s="208"/>
      <c r="ED98" s="208"/>
      <c r="EE98" s="208"/>
      <c r="EF98" s="208"/>
      <c r="EG98" s="208"/>
      <c r="EH98" s="208"/>
      <c r="EI98" s="208"/>
      <c r="EJ98" s="208"/>
      <c r="EK98" s="208"/>
      <c r="EL98" s="208"/>
      <c r="EM98" s="208"/>
      <c r="EN98" s="208"/>
      <c r="EO98" s="208"/>
      <c r="EP98" s="208"/>
      <c r="EQ98" s="208"/>
      <c r="ER98" s="208"/>
      <c r="ES98" s="208"/>
      <c r="ET98" s="208"/>
      <c r="EU98" s="208"/>
      <c r="EV98" s="208"/>
      <c r="EW98" s="208"/>
      <c r="EX98" s="208"/>
      <c r="EY98" s="208"/>
      <c r="EZ98" s="208"/>
      <c r="FA98" s="208"/>
      <c r="FB98" s="208"/>
      <c r="FC98" s="208"/>
      <c r="FD98" s="208"/>
      <c r="FE98" s="208"/>
      <c r="FF98" s="208"/>
      <c r="FG98" s="208"/>
      <c r="FH98" s="208"/>
      <c r="FI98" s="208"/>
      <c r="FJ98" s="208"/>
      <c r="FK98" s="208"/>
      <c r="FL98" s="208"/>
      <c r="FM98" s="208"/>
      <c r="FN98" s="208"/>
      <c r="FO98" s="208"/>
      <c r="FP98" s="208"/>
      <c r="FQ98" s="208"/>
      <c r="FR98" s="208"/>
      <c r="FS98" s="208"/>
      <c r="FT98" s="208"/>
      <c r="FU98" s="208"/>
      <c r="FV98" s="208"/>
      <c r="FW98" s="208"/>
      <c r="FX98" s="208"/>
      <c r="FY98" s="208"/>
      <c r="FZ98" s="208"/>
      <c r="GA98" s="208"/>
      <c r="GB98" s="208"/>
      <c r="GC98" s="208"/>
      <c r="GD98" s="208"/>
      <c r="GE98" s="208"/>
      <c r="GF98" s="208"/>
    </row>
    <row r="99" spans="1:188" s="209" customFormat="1" ht="15" x14ac:dyDescent="0.25">
      <c r="A99" s="195" t="s">
        <v>4863</v>
      </c>
      <c r="B99" s="195" t="s">
        <v>166</v>
      </c>
      <c r="C99" s="196" t="s">
        <v>2163</v>
      </c>
      <c r="D99" s="154" t="s">
        <v>121</v>
      </c>
      <c r="E99" s="154">
        <v>2370</v>
      </c>
      <c r="F99" s="154">
        <v>0.1</v>
      </c>
      <c r="G99" s="197"/>
      <c r="H99" s="198"/>
      <c r="I99" s="151">
        <f>IFERROR(INDEX(Composições!$A$5:$J$8391,MATCH(B99,Composições!$A$5:$A$8391,0)+2,8),"")</f>
        <v>32.747743549999996</v>
      </c>
      <c r="J99" s="152">
        <f>IF(ISNUMBER(I99),ROUND(F99*E99*I99,2),"")</f>
        <v>7761.22</v>
      </c>
      <c r="K99" s="198">
        <f>BDI!$B$17</f>
        <v>0.191</v>
      </c>
      <c r="L99" s="198"/>
      <c r="M99" s="198"/>
      <c r="N99" s="153">
        <f>IF(ISNUMBER(I99),ROUND(I99*(1+K99),2),"")</f>
        <v>39</v>
      </c>
      <c r="O99" s="152">
        <f>IF(ISNUMBER(I99),ROUND(F99*N99*E99,2),"")</f>
        <v>9243</v>
      </c>
      <c r="P99" s="225"/>
      <c r="Q99" s="208"/>
      <c r="R99" s="208"/>
      <c r="S99"/>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c r="BI99" s="208"/>
      <c r="BJ99" s="208"/>
      <c r="BK99" s="208"/>
      <c r="BL99" s="208"/>
      <c r="BM99" s="208"/>
      <c r="BN99" s="208"/>
      <c r="BO99" s="208"/>
      <c r="BP99" s="208"/>
      <c r="BQ99" s="208"/>
      <c r="BR99" s="208"/>
      <c r="BS99" s="208"/>
      <c r="BT99" s="208"/>
      <c r="BU99" s="208"/>
      <c r="BV99" s="208"/>
      <c r="BW99" s="208"/>
      <c r="BX99" s="208"/>
      <c r="BY99" s="208"/>
      <c r="BZ99" s="208"/>
      <c r="CA99" s="208"/>
      <c r="CB99" s="208"/>
      <c r="CC99" s="208"/>
      <c r="CD99" s="208"/>
      <c r="CE99" s="208"/>
      <c r="CF99" s="208"/>
      <c r="CG99" s="208"/>
      <c r="CH99" s="208"/>
      <c r="CI99" s="208"/>
      <c r="CJ99" s="208"/>
      <c r="CK99" s="208"/>
      <c r="CL99" s="208"/>
      <c r="CM99" s="208"/>
      <c r="CN99" s="208"/>
      <c r="CO99" s="208"/>
      <c r="CP99" s="208"/>
      <c r="CQ99" s="208"/>
      <c r="CR99" s="208"/>
      <c r="CS99" s="208"/>
      <c r="CT99" s="208"/>
      <c r="CU99" s="208"/>
      <c r="CV99" s="208"/>
      <c r="CW99" s="208"/>
      <c r="CX99" s="208"/>
      <c r="CY99" s="208"/>
      <c r="CZ99" s="208"/>
      <c r="DA99" s="208"/>
      <c r="DB99" s="208"/>
      <c r="DC99" s="208"/>
      <c r="DD99" s="208"/>
      <c r="DE99" s="208"/>
      <c r="DF99" s="208"/>
      <c r="DG99" s="208"/>
      <c r="DH99" s="208"/>
      <c r="DI99" s="208"/>
      <c r="DJ99" s="208"/>
      <c r="DK99" s="208"/>
      <c r="DL99" s="208"/>
      <c r="DM99" s="208"/>
      <c r="DN99" s="208"/>
      <c r="DO99" s="208"/>
      <c r="DP99" s="208"/>
      <c r="DQ99" s="208"/>
      <c r="DR99" s="208"/>
      <c r="DS99" s="208"/>
      <c r="DT99" s="208"/>
      <c r="DU99" s="208"/>
      <c r="DV99" s="208"/>
      <c r="DW99" s="208"/>
      <c r="DX99" s="208"/>
      <c r="DY99" s="208"/>
      <c r="DZ99" s="208"/>
      <c r="EA99" s="208"/>
      <c r="EB99" s="208"/>
      <c r="EC99" s="208"/>
      <c r="ED99" s="208"/>
      <c r="EE99" s="208"/>
      <c r="EF99" s="208"/>
      <c r="EG99" s="208"/>
      <c r="EH99" s="208"/>
      <c r="EI99" s="208"/>
      <c r="EJ99" s="208"/>
      <c r="EK99" s="208"/>
      <c r="EL99" s="208"/>
      <c r="EM99" s="208"/>
      <c r="EN99" s="208"/>
      <c r="EO99" s="208"/>
      <c r="EP99" s="208"/>
      <c r="EQ99" s="208"/>
      <c r="ER99" s="208"/>
      <c r="ES99" s="208"/>
      <c r="ET99" s="208"/>
      <c r="EU99" s="208"/>
      <c r="EV99" s="208"/>
      <c r="EW99" s="208"/>
      <c r="EX99" s="208"/>
      <c r="EY99" s="208"/>
      <c r="EZ99" s="208"/>
      <c r="FA99" s="208"/>
      <c r="FB99" s="208"/>
      <c r="FC99" s="208"/>
      <c r="FD99" s="208"/>
      <c r="FE99" s="208"/>
      <c r="FF99" s="208"/>
      <c r="FG99" s="208"/>
      <c r="FH99" s="208"/>
      <c r="FI99" s="208"/>
      <c r="FJ99" s="208"/>
      <c r="FK99" s="208"/>
      <c r="FL99" s="208"/>
      <c r="FM99" s="208"/>
      <c r="FN99" s="208"/>
      <c r="FO99" s="208"/>
      <c r="FP99" s="208"/>
      <c r="FQ99" s="208"/>
      <c r="FR99" s="208"/>
      <c r="FS99" s="208"/>
      <c r="FT99" s="208"/>
      <c r="FU99" s="208"/>
      <c r="FV99" s="208"/>
      <c r="FW99" s="208"/>
      <c r="FX99" s="208"/>
      <c r="FY99" s="208"/>
      <c r="FZ99" s="208"/>
      <c r="GA99" s="208"/>
      <c r="GB99" s="208"/>
      <c r="GC99" s="208"/>
      <c r="GD99" s="208"/>
      <c r="GE99" s="208"/>
      <c r="GF99" s="208"/>
    </row>
    <row r="100" spans="1:188" s="209" customFormat="1" ht="15" x14ac:dyDescent="0.25">
      <c r="A100" s="195" t="s">
        <v>4864</v>
      </c>
      <c r="B100" s="195" t="s">
        <v>1018</v>
      </c>
      <c r="C100" s="196" t="s">
        <v>2857</v>
      </c>
      <c r="D100" s="154" t="s">
        <v>78</v>
      </c>
      <c r="E100" s="154">
        <v>1010</v>
      </c>
      <c r="F100" s="154">
        <v>0.1</v>
      </c>
      <c r="G100" s="197"/>
      <c r="H100" s="198"/>
      <c r="I100" s="151">
        <f>IFERROR(INDEX(Composições!$A$5:$J$8391,MATCH(B100,Composições!$A$5:$A$8391,0)+2,8),"")</f>
        <v>234.57702574999999</v>
      </c>
      <c r="J100" s="152">
        <f>IF(ISNUMBER(I100),ROUND(F100*E100*I100,2),"")</f>
        <v>23692.28</v>
      </c>
      <c r="K100" s="198">
        <f>BDI!$B$17</f>
        <v>0.191</v>
      </c>
      <c r="L100" s="198"/>
      <c r="M100" s="198"/>
      <c r="N100" s="153">
        <f>IF(ISNUMBER(I100),ROUND(I100*(1+K100),2),"")</f>
        <v>279.38</v>
      </c>
      <c r="O100" s="152">
        <f>IF(ISNUMBER(I100),ROUND(F100*N100*E100,2),"")</f>
        <v>28217.38</v>
      </c>
      <c r="P100" s="225"/>
      <c r="Q100" s="208"/>
      <c r="R100" s="208"/>
      <c r="S100"/>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08"/>
      <c r="BU100" s="208"/>
      <c r="BV100" s="208"/>
      <c r="BW100" s="208"/>
      <c r="BX100" s="208"/>
      <c r="BY100" s="208"/>
      <c r="BZ100" s="208"/>
      <c r="CA100" s="208"/>
      <c r="CB100" s="208"/>
      <c r="CC100" s="208"/>
      <c r="CD100" s="208"/>
      <c r="CE100" s="208"/>
      <c r="CF100" s="208"/>
      <c r="CG100" s="208"/>
      <c r="CH100" s="208"/>
      <c r="CI100" s="208"/>
      <c r="CJ100" s="208"/>
      <c r="CK100" s="208"/>
      <c r="CL100" s="208"/>
      <c r="CM100" s="208"/>
      <c r="CN100" s="208"/>
      <c r="CO100" s="208"/>
      <c r="CP100" s="208"/>
      <c r="CQ100" s="208"/>
      <c r="CR100" s="208"/>
      <c r="CS100" s="208"/>
      <c r="CT100" s="208"/>
      <c r="CU100" s="208"/>
      <c r="CV100" s="208"/>
      <c r="CW100" s="208"/>
      <c r="CX100" s="208"/>
      <c r="CY100" s="208"/>
      <c r="CZ100" s="208"/>
      <c r="DA100" s="208"/>
      <c r="DB100" s="208"/>
      <c r="DC100" s="208"/>
      <c r="DD100" s="208"/>
      <c r="DE100" s="208"/>
      <c r="DF100" s="208"/>
      <c r="DG100" s="208"/>
      <c r="DH100" s="208"/>
      <c r="DI100" s="208"/>
      <c r="DJ100" s="208"/>
      <c r="DK100" s="208"/>
      <c r="DL100" s="208"/>
      <c r="DM100" s="208"/>
      <c r="DN100" s="208"/>
      <c r="DO100" s="208"/>
      <c r="DP100" s="208"/>
      <c r="DQ100" s="208"/>
      <c r="DR100" s="208"/>
      <c r="DS100" s="208"/>
      <c r="DT100" s="208"/>
      <c r="DU100" s="208"/>
      <c r="DV100" s="208"/>
      <c r="DW100" s="208"/>
      <c r="DX100" s="208"/>
      <c r="DY100" s="208"/>
      <c r="DZ100" s="208"/>
      <c r="EA100" s="208"/>
      <c r="EB100" s="208"/>
      <c r="EC100" s="208"/>
      <c r="ED100" s="208"/>
      <c r="EE100" s="208"/>
      <c r="EF100" s="208"/>
      <c r="EG100" s="208"/>
      <c r="EH100" s="208"/>
      <c r="EI100" s="208"/>
      <c r="EJ100" s="208"/>
      <c r="EK100" s="208"/>
      <c r="EL100" s="208"/>
      <c r="EM100" s="208"/>
      <c r="EN100" s="208"/>
      <c r="EO100" s="208"/>
      <c r="EP100" s="208"/>
      <c r="EQ100" s="208"/>
      <c r="ER100" s="208"/>
      <c r="ES100" s="208"/>
      <c r="ET100" s="208"/>
      <c r="EU100" s="208"/>
      <c r="EV100" s="208"/>
      <c r="EW100" s="208"/>
      <c r="EX100" s="208"/>
      <c r="EY100" s="208"/>
      <c r="EZ100" s="208"/>
      <c r="FA100" s="208"/>
      <c r="FB100" s="208"/>
      <c r="FC100" s="208"/>
      <c r="FD100" s="208"/>
      <c r="FE100" s="208"/>
      <c r="FF100" s="208"/>
      <c r="FG100" s="208"/>
      <c r="FH100" s="208"/>
      <c r="FI100" s="208"/>
      <c r="FJ100" s="208"/>
      <c r="FK100" s="208"/>
      <c r="FL100" s="208"/>
      <c r="FM100" s="208"/>
      <c r="FN100" s="208"/>
      <c r="FO100" s="208"/>
      <c r="FP100" s="208"/>
      <c r="FQ100" s="208"/>
      <c r="FR100" s="208"/>
      <c r="FS100" s="208"/>
      <c r="FT100" s="208"/>
      <c r="FU100" s="208"/>
      <c r="FV100" s="208"/>
      <c r="FW100" s="208"/>
      <c r="FX100" s="208"/>
      <c r="FY100" s="208"/>
      <c r="FZ100" s="208"/>
      <c r="GA100" s="208"/>
      <c r="GB100" s="208"/>
      <c r="GC100" s="208"/>
      <c r="GD100" s="208"/>
      <c r="GE100" s="208"/>
      <c r="GF100" s="208"/>
    </row>
    <row r="101" spans="1:188" s="225" customFormat="1" ht="15" x14ac:dyDescent="0.25">
      <c r="A101" s="189" t="s">
        <v>4865</v>
      </c>
      <c r="B101" s="189"/>
      <c r="C101" s="190" t="s">
        <v>4866</v>
      </c>
      <c r="D101" s="191"/>
      <c r="E101" s="191"/>
      <c r="F101" s="191"/>
      <c r="G101" s="192"/>
      <c r="H101" s="193"/>
      <c r="I101" s="246"/>
      <c r="J101" s="194">
        <f>SUBTOTAL(109,J102:J104)</f>
        <v>284069.17</v>
      </c>
      <c r="K101" s="191"/>
      <c r="L101" s="191"/>
      <c r="M101" s="191"/>
      <c r="N101" s="191"/>
      <c r="O101" s="194">
        <f>SUBTOTAL(109,O102:O104)</f>
        <v>338330.4</v>
      </c>
      <c r="Q101" s="208"/>
      <c r="R101" s="208"/>
      <c r="S101"/>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208"/>
      <c r="BV101" s="208"/>
      <c r="BW101" s="208"/>
      <c r="BX101" s="208"/>
      <c r="BY101" s="208"/>
      <c r="BZ101" s="208"/>
      <c r="CA101" s="208"/>
      <c r="CB101" s="208"/>
      <c r="CC101" s="208"/>
      <c r="CD101" s="208"/>
      <c r="CE101" s="208"/>
      <c r="CF101" s="208"/>
      <c r="CG101" s="208"/>
      <c r="CH101" s="208"/>
      <c r="CI101" s="208"/>
      <c r="CJ101" s="208"/>
      <c r="CK101" s="208"/>
      <c r="CL101" s="208"/>
      <c r="CM101" s="208"/>
      <c r="CN101" s="208"/>
      <c r="CO101" s="208"/>
      <c r="CP101" s="208"/>
      <c r="CQ101" s="208"/>
      <c r="CR101" s="208"/>
      <c r="CS101" s="208"/>
      <c r="CT101" s="208"/>
      <c r="CU101" s="208"/>
      <c r="CV101" s="208"/>
      <c r="CW101" s="208"/>
      <c r="CX101" s="208"/>
      <c r="CY101" s="208"/>
      <c r="CZ101" s="208"/>
      <c r="DA101" s="208"/>
      <c r="DB101" s="208"/>
      <c r="DC101" s="208"/>
      <c r="DD101" s="208"/>
      <c r="DE101" s="208"/>
      <c r="DF101" s="208"/>
      <c r="DG101" s="208"/>
      <c r="DH101" s="208"/>
      <c r="DI101" s="208"/>
      <c r="DJ101" s="208"/>
      <c r="DK101" s="208"/>
      <c r="DL101" s="208"/>
      <c r="DM101" s="208"/>
      <c r="DN101" s="208"/>
      <c r="DO101" s="208"/>
      <c r="DP101" s="208"/>
      <c r="DQ101" s="208"/>
      <c r="DR101" s="208"/>
      <c r="DS101" s="208"/>
      <c r="DT101" s="208"/>
      <c r="DU101" s="208"/>
      <c r="DV101" s="208"/>
      <c r="DW101" s="208"/>
      <c r="DX101" s="208"/>
      <c r="DY101" s="208"/>
      <c r="DZ101" s="208"/>
      <c r="EA101" s="208"/>
      <c r="EB101" s="208"/>
      <c r="EC101" s="208"/>
      <c r="ED101" s="208"/>
      <c r="EE101" s="208"/>
      <c r="EF101" s="208"/>
      <c r="EG101" s="208"/>
      <c r="EH101" s="208"/>
      <c r="EI101" s="208"/>
      <c r="EJ101" s="208"/>
      <c r="EK101" s="208"/>
      <c r="EL101" s="208"/>
      <c r="EM101" s="208"/>
      <c r="EN101" s="208"/>
      <c r="EO101" s="208"/>
      <c r="EP101" s="208"/>
      <c r="EQ101" s="208"/>
      <c r="ER101" s="208"/>
      <c r="ES101" s="208"/>
      <c r="ET101" s="208"/>
      <c r="EU101" s="208"/>
      <c r="EV101" s="208"/>
      <c r="EW101" s="208"/>
      <c r="EX101" s="208"/>
      <c r="EY101" s="208"/>
      <c r="EZ101" s="208"/>
      <c r="FA101" s="208"/>
      <c r="FB101" s="208"/>
      <c r="FC101" s="208"/>
      <c r="FD101" s="208"/>
      <c r="FE101" s="208"/>
      <c r="FF101" s="208"/>
      <c r="FG101" s="208"/>
      <c r="FH101" s="208"/>
      <c r="FI101" s="208"/>
      <c r="FJ101" s="208"/>
      <c r="FK101" s="208"/>
      <c r="FL101" s="208"/>
      <c r="FM101" s="208"/>
      <c r="FN101" s="208"/>
      <c r="FO101" s="208"/>
      <c r="FP101" s="208"/>
      <c r="FQ101" s="208"/>
      <c r="FR101" s="208"/>
      <c r="FS101" s="208"/>
      <c r="FT101" s="208"/>
      <c r="FU101" s="208"/>
      <c r="FV101" s="208"/>
      <c r="FW101" s="208"/>
      <c r="FX101" s="208"/>
      <c r="FY101" s="208"/>
      <c r="FZ101" s="208"/>
      <c r="GA101" s="208"/>
      <c r="GB101" s="208"/>
      <c r="GC101" s="208"/>
      <c r="GD101" s="208"/>
      <c r="GE101" s="208"/>
      <c r="GF101" s="208"/>
    </row>
    <row r="102" spans="1:188" s="209" customFormat="1" ht="15" x14ac:dyDescent="0.25">
      <c r="A102" s="195" t="s">
        <v>4867</v>
      </c>
      <c r="B102" s="195" t="s">
        <v>207</v>
      </c>
      <c r="C102" s="196" t="s">
        <v>2192</v>
      </c>
      <c r="D102" s="154" t="s">
        <v>78</v>
      </c>
      <c r="E102" s="154">
        <v>5400</v>
      </c>
      <c r="F102" s="154">
        <v>0.1</v>
      </c>
      <c r="G102" s="197"/>
      <c r="H102" s="198"/>
      <c r="I102" s="151">
        <f>IFERROR(INDEX(Composições!$A$5:$J$8391,MATCH(B102,Composições!$A$5:$A$8391,0)+2,8),"")</f>
        <v>9.7897500000000015</v>
      </c>
      <c r="J102" s="152">
        <f>IF(ISNUMBER(I102),ROUND(F102*E102*I102,2),"")</f>
        <v>5286.47</v>
      </c>
      <c r="K102" s="198">
        <f>BDI!$B$17</f>
        <v>0.191</v>
      </c>
      <c r="L102" s="198"/>
      <c r="M102" s="198"/>
      <c r="N102" s="153">
        <f>IF(ISNUMBER(I102),ROUND(I102*(1+K102),2),"")</f>
        <v>11.66</v>
      </c>
      <c r="O102" s="152">
        <f>IF(ISNUMBER(I102),ROUND(F102*N102*E102,2),"")</f>
        <v>6296.4</v>
      </c>
      <c r="P102" s="225"/>
      <c r="Q102" s="208"/>
      <c r="R102" s="208"/>
      <c r="S102"/>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c r="BN102" s="208"/>
      <c r="BO102" s="208"/>
      <c r="BP102" s="208"/>
      <c r="BQ102" s="208"/>
      <c r="BR102" s="208"/>
      <c r="BS102" s="208"/>
      <c r="BT102" s="208"/>
      <c r="BU102" s="208"/>
      <c r="BV102" s="208"/>
      <c r="BW102" s="208"/>
      <c r="BX102" s="208"/>
      <c r="BY102" s="208"/>
      <c r="BZ102" s="208"/>
      <c r="CA102" s="208"/>
      <c r="CB102" s="208"/>
      <c r="CC102" s="208"/>
      <c r="CD102" s="208"/>
      <c r="CE102" s="208"/>
      <c r="CF102" s="208"/>
      <c r="CG102" s="208"/>
      <c r="CH102" s="208"/>
      <c r="CI102" s="208"/>
      <c r="CJ102" s="208"/>
      <c r="CK102" s="208"/>
      <c r="CL102" s="208"/>
      <c r="CM102" s="208"/>
      <c r="CN102" s="208"/>
      <c r="CO102" s="208"/>
      <c r="CP102" s="208"/>
      <c r="CQ102" s="208"/>
      <c r="CR102" s="208"/>
      <c r="CS102" s="208"/>
      <c r="CT102" s="208"/>
      <c r="CU102" s="208"/>
      <c r="CV102" s="208"/>
      <c r="CW102" s="208"/>
      <c r="CX102" s="208"/>
      <c r="CY102" s="208"/>
      <c r="CZ102" s="208"/>
      <c r="DA102" s="208"/>
      <c r="DB102" s="208"/>
      <c r="DC102" s="208"/>
      <c r="DD102" s="208"/>
      <c r="DE102" s="208"/>
      <c r="DF102" s="208"/>
      <c r="DG102" s="208"/>
      <c r="DH102" s="208"/>
      <c r="DI102" s="208"/>
      <c r="DJ102" s="208"/>
      <c r="DK102" s="208"/>
      <c r="DL102" s="208"/>
      <c r="DM102" s="208"/>
      <c r="DN102" s="208"/>
      <c r="DO102" s="208"/>
      <c r="DP102" s="208"/>
      <c r="DQ102" s="208"/>
      <c r="DR102" s="208"/>
      <c r="DS102" s="208"/>
      <c r="DT102" s="208"/>
      <c r="DU102" s="208"/>
      <c r="DV102" s="208"/>
      <c r="DW102" s="208"/>
      <c r="DX102" s="208"/>
      <c r="DY102" s="208"/>
      <c r="DZ102" s="208"/>
      <c r="EA102" s="208"/>
      <c r="EB102" s="208"/>
      <c r="EC102" s="208"/>
      <c r="ED102" s="208"/>
      <c r="EE102" s="208"/>
      <c r="EF102" s="208"/>
      <c r="EG102" s="208"/>
      <c r="EH102" s="208"/>
      <c r="EI102" s="208"/>
      <c r="EJ102" s="208"/>
      <c r="EK102" s="208"/>
      <c r="EL102" s="208"/>
      <c r="EM102" s="208"/>
      <c r="EN102" s="208"/>
      <c r="EO102" s="208"/>
      <c r="EP102" s="208"/>
      <c r="EQ102" s="208"/>
      <c r="ER102" s="208"/>
      <c r="ES102" s="208"/>
      <c r="ET102" s="208"/>
      <c r="EU102" s="208"/>
      <c r="EV102" s="208"/>
      <c r="EW102" s="208"/>
      <c r="EX102" s="208"/>
      <c r="EY102" s="208"/>
      <c r="EZ102" s="208"/>
      <c r="FA102" s="208"/>
      <c r="FB102" s="208"/>
      <c r="FC102" s="208"/>
      <c r="FD102" s="208"/>
      <c r="FE102" s="208"/>
      <c r="FF102" s="208"/>
      <c r="FG102" s="208"/>
      <c r="FH102" s="208"/>
      <c r="FI102" s="208"/>
      <c r="FJ102" s="208"/>
      <c r="FK102" s="208"/>
      <c r="FL102" s="208"/>
      <c r="FM102" s="208"/>
      <c r="FN102" s="208"/>
      <c r="FO102" s="208"/>
      <c r="FP102" s="208"/>
      <c r="FQ102" s="208"/>
      <c r="FR102" s="208"/>
      <c r="FS102" s="208"/>
      <c r="FT102" s="208"/>
      <c r="FU102" s="208"/>
      <c r="FV102" s="208"/>
      <c r="FW102" s="208"/>
      <c r="FX102" s="208"/>
      <c r="FY102" s="208"/>
      <c r="FZ102" s="208"/>
      <c r="GA102" s="208"/>
      <c r="GB102" s="208"/>
      <c r="GC102" s="208"/>
      <c r="GD102" s="208"/>
      <c r="GE102" s="208"/>
      <c r="GF102" s="208"/>
    </row>
    <row r="103" spans="1:188" s="209" customFormat="1" ht="15" x14ac:dyDescent="0.25">
      <c r="A103" s="195" t="s">
        <v>4868</v>
      </c>
      <c r="B103" s="195" t="s">
        <v>1491</v>
      </c>
      <c r="C103" s="196" t="s">
        <v>3272</v>
      </c>
      <c r="D103" s="154" t="s">
        <v>78</v>
      </c>
      <c r="E103" s="154">
        <v>6000</v>
      </c>
      <c r="F103" s="154">
        <v>0.1</v>
      </c>
      <c r="G103" s="197"/>
      <c r="H103" s="198"/>
      <c r="I103" s="151">
        <f>IFERROR(INDEX(Composições!$A$5:$J$8391,MATCH(B103,Composições!$A$5:$A$8391,0)+2,8),"")</f>
        <v>212.53390000000002</v>
      </c>
      <c r="J103" s="152">
        <f>IF(ISNUMBER(I103),ROUND(F103*E103*I103,2),"")</f>
        <v>127520.34</v>
      </c>
      <c r="K103" s="198">
        <f>BDI!$B$17</f>
        <v>0.191</v>
      </c>
      <c r="L103" s="198"/>
      <c r="M103" s="198"/>
      <c r="N103" s="153">
        <f>IF(ISNUMBER(I103),ROUND(I103*(1+K103),2),"")</f>
        <v>253.13</v>
      </c>
      <c r="O103" s="152">
        <f>IF(ISNUMBER(I103),ROUND(F103*N103*E103,2),"")</f>
        <v>151878</v>
      </c>
      <c r="P103" s="225"/>
      <c r="Q103" s="208"/>
      <c r="R103" s="208"/>
      <c r="S103"/>
      <c r="T103" s="208"/>
      <c r="U103" s="208"/>
      <c r="V103" s="208"/>
      <c r="W103" s="208"/>
      <c r="X103" s="208"/>
      <c r="Y103" s="208"/>
      <c r="Z103" s="208"/>
      <c r="AA103" s="208"/>
      <c r="AB103" s="208"/>
      <c r="AC103" s="208"/>
      <c r="AD103" s="208"/>
      <c r="AE103" s="208"/>
      <c r="AF103" s="208"/>
      <c r="AG103" s="208"/>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c r="BI103" s="208"/>
      <c r="BJ103" s="208"/>
      <c r="BK103" s="208"/>
      <c r="BL103" s="208"/>
      <c r="BM103" s="208"/>
      <c r="BN103" s="208"/>
      <c r="BO103" s="208"/>
      <c r="BP103" s="208"/>
      <c r="BQ103" s="208"/>
      <c r="BR103" s="208"/>
      <c r="BS103" s="208"/>
      <c r="BT103" s="208"/>
      <c r="BU103" s="208"/>
      <c r="BV103" s="208"/>
      <c r="BW103" s="208"/>
      <c r="BX103" s="208"/>
      <c r="BY103" s="208"/>
      <c r="BZ103" s="208"/>
      <c r="CA103" s="208"/>
      <c r="CB103" s="208"/>
      <c r="CC103" s="208"/>
      <c r="CD103" s="208"/>
      <c r="CE103" s="208"/>
      <c r="CF103" s="208"/>
      <c r="CG103" s="208"/>
      <c r="CH103" s="208"/>
      <c r="CI103" s="208"/>
      <c r="CJ103" s="208"/>
      <c r="CK103" s="208"/>
      <c r="CL103" s="208"/>
      <c r="CM103" s="208"/>
      <c r="CN103" s="208"/>
      <c r="CO103" s="208"/>
      <c r="CP103" s="208"/>
      <c r="CQ103" s="208"/>
      <c r="CR103" s="208"/>
      <c r="CS103" s="208"/>
      <c r="CT103" s="208"/>
      <c r="CU103" s="208"/>
      <c r="CV103" s="208"/>
      <c r="CW103" s="208"/>
      <c r="CX103" s="208"/>
      <c r="CY103" s="208"/>
      <c r="CZ103" s="208"/>
      <c r="DA103" s="208"/>
      <c r="DB103" s="208"/>
      <c r="DC103" s="208"/>
      <c r="DD103" s="208"/>
      <c r="DE103" s="208"/>
      <c r="DF103" s="208"/>
      <c r="DG103" s="208"/>
      <c r="DH103" s="208"/>
      <c r="DI103" s="208"/>
      <c r="DJ103" s="208"/>
      <c r="DK103" s="208"/>
      <c r="DL103" s="208"/>
      <c r="DM103" s="208"/>
      <c r="DN103" s="208"/>
      <c r="DO103" s="208"/>
      <c r="DP103" s="208"/>
      <c r="DQ103" s="208"/>
      <c r="DR103" s="208"/>
      <c r="DS103" s="208"/>
      <c r="DT103" s="208"/>
      <c r="DU103" s="208"/>
      <c r="DV103" s="208"/>
      <c r="DW103" s="208"/>
      <c r="DX103" s="208"/>
      <c r="DY103" s="208"/>
      <c r="DZ103" s="208"/>
      <c r="EA103" s="208"/>
      <c r="EB103" s="208"/>
      <c r="EC103" s="208"/>
      <c r="ED103" s="208"/>
      <c r="EE103" s="208"/>
      <c r="EF103" s="208"/>
      <c r="EG103" s="208"/>
      <c r="EH103" s="208"/>
      <c r="EI103" s="208"/>
      <c r="EJ103" s="208"/>
      <c r="EK103" s="208"/>
      <c r="EL103" s="208"/>
      <c r="EM103" s="208"/>
      <c r="EN103" s="208"/>
      <c r="EO103" s="208"/>
      <c r="EP103" s="208"/>
      <c r="EQ103" s="208"/>
      <c r="ER103" s="208"/>
      <c r="ES103" s="208"/>
      <c r="ET103" s="208"/>
      <c r="EU103" s="208"/>
      <c r="EV103" s="208"/>
      <c r="EW103" s="208"/>
      <c r="EX103" s="208"/>
      <c r="EY103" s="208"/>
      <c r="EZ103" s="208"/>
      <c r="FA103" s="208"/>
      <c r="FB103" s="208"/>
      <c r="FC103" s="208"/>
      <c r="FD103" s="208"/>
      <c r="FE103" s="208"/>
      <c r="FF103" s="208"/>
      <c r="FG103" s="208"/>
      <c r="FH103" s="208"/>
      <c r="FI103" s="208"/>
      <c r="FJ103" s="208"/>
      <c r="FK103" s="208"/>
      <c r="FL103" s="208"/>
      <c r="FM103" s="208"/>
      <c r="FN103" s="208"/>
      <c r="FO103" s="208"/>
      <c r="FP103" s="208"/>
      <c r="FQ103" s="208"/>
      <c r="FR103" s="208"/>
      <c r="FS103" s="208"/>
      <c r="FT103" s="208"/>
      <c r="FU103" s="208"/>
      <c r="FV103" s="208"/>
      <c r="FW103" s="208"/>
      <c r="FX103" s="208"/>
      <c r="FY103" s="208"/>
      <c r="FZ103" s="208"/>
      <c r="GA103" s="208"/>
      <c r="GB103" s="208"/>
      <c r="GC103" s="208"/>
      <c r="GD103" s="208"/>
      <c r="GE103" s="208"/>
      <c r="GF103" s="208"/>
    </row>
    <row r="104" spans="1:188" s="209" customFormat="1" ht="15" x14ac:dyDescent="0.25">
      <c r="A104" s="195" t="s">
        <v>4869</v>
      </c>
      <c r="B104" s="195" t="s">
        <v>1489</v>
      </c>
      <c r="C104" s="196" t="s">
        <v>3271</v>
      </c>
      <c r="D104" s="154" t="s">
        <v>78</v>
      </c>
      <c r="E104" s="154">
        <v>6000</v>
      </c>
      <c r="F104" s="154">
        <v>0.1</v>
      </c>
      <c r="G104" s="197"/>
      <c r="H104" s="198"/>
      <c r="I104" s="151">
        <f>IFERROR(INDEX(Composições!$A$5:$J$8391,MATCH(B104,Composições!$A$5:$A$8391,0)+2,8),"")</f>
        <v>252.10394000000002</v>
      </c>
      <c r="J104" s="152">
        <f>IF(ISNUMBER(I104),ROUND(F104*E104*I104,2),"")</f>
        <v>151262.35999999999</v>
      </c>
      <c r="K104" s="198">
        <f>BDI!$B$17</f>
        <v>0.191</v>
      </c>
      <c r="L104" s="198"/>
      <c r="M104" s="198"/>
      <c r="N104" s="153">
        <f>IF(ISNUMBER(I104),ROUND(I104*(1+K104),2),"")</f>
        <v>300.26</v>
      </c>
      <c r="O104" s="152">
        <f>IF(ISNUMBER(I104),ROUND(F104*N104*E104,2),"")</f>
        <v>180156</v>
      </c>
      <c r="P104" s="225"/>
      <c r="Q104" s="208"/>
      <c r="R104" s="208"/>
      <c r="S104"/>
      <c r="T104" s="208"/>
      <c r="U104" s="208"/>
      <c r="V104" s="208"/>
      <c r="W104" s="208"/>
      <c r="X104" s="208"/>
      <c r="Y104" s="208"/>
      <c r="Z104" s="208"/>
      <c r="AA104" s="208"/>
      <c r="AB104" s="208"/>
      <c r="AC104" s="208"/>
      <c r="AD104" s="208"/>
      <c r="AE104" s="208"/>
      <c r="AF104" s="208"/>
      <c r="AG104" s="208"/>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c r="BI104" s="208"/>
      <c r="BJ104" s="208"/>
      <c r="BK104" s="208"/>
      <c r="BL104" s="208"/>
      <c r="BM104" s="208"/>
      <c r="BN104" s="208"/>
      <c r="BO104" s="208"/>
      <c r="BP104" s="208"/>
      <c r="BQ104" s="208"/>
      <c r="BR104" s="208"/>
      <c r="BS104" s="208"/>
      <c r="BT104" s="208"/>
      <c r="BU104" s="208"/>
      <c r="BV104" s="208"/>
      <c r="BW104" s="208"/>
      <c r="BX104" s="208"/>
      <c r="BY104" s="208"/>
      <c r="BZ104" s="208"/>
      <c r="CA104" s="208"/>
      <c r="CB104" s="208"/>
      <c r="CC104" s="208"/>
      <c r="CD104" s="208"/>
      <c r="CE104" s="208"/>
      <c r="CF104" s="208"/>
      <c r="CG104" s="208"/>
      <c r="CH104" s="208"/>
      <c r="CI104" s="208"/>
      <c r="CJ104" s="208"/>
      <c r="CK104" s="208"/>
      <c r="CL104" s="208"/>
      <c r="CM104" s="208"/>
      <c r="CN104" s="208"/>
      <c r="CO104" s="208"/>
      <c r="CP104" s="208"/>
      <c r="CQ104" s="208"/>
      <c r="CR104" s="208"/>
      <c r="CS104" s="208"/>
      <c r="CT104" s="208"/>
      <c r="CU104" s="208"/>
      <c r="CV104" s="208"/>
      <c r="CW104" s="208"/>
      <c r="CX104" s="208"/>
      <c r="CY104" s="208"/>
      <c r="CZ104" s="208"/>
      <c r="DA104" s="208"/>
      <c r="DB104" s="208"/>
      <c r="DC104" s="208"/>
      <c r="DD104" s="208"/>
      <c r="DE104" s="208"/>
      <c r="DF104" s="208"/>
      <c r="DG104" s="208"/>
      <c r="DH104" s="208"/>
      <c r="DI104" s="208"/>
      <c r="DJ104" s="208"/>
      <c r="DK104" s="208"/>
      <c r="DL104" s="208"/>
      <c r="DM104" s="208"/>
      <c r="DN104" s="208"/>
      <c r="DO104" s="208"/>
      <c r="DP104" s="208"/>
      <c r="DQ104" s="208"/>
      <c r="DR104" s="208"/>
      <c r="DS104" s="208"/>
      <c r="DT104" s="208"/>
      <c r="DU104" s="208"/>
      <c r="DV104" s="208"/>
      <c r="DW104" s="208"/>
      <c r="DX104" s="208"/>
      <c r="DY104" s="208"/>
      <c r="DZ104" s="208"/>
      <c r="EA104" s="208"/>
      <c r="EB104" s="208"/>
      <c r="EC104" s="208"/>
      <c r="ED104" s="208"/>
      <c r="EE104" s="208"/>
      <c r="EF104" s="208"/>
      <c r="EG104" s="208"/>
      <c r="EH104" s="208"/>
      <c r="EI104" s="208"/>
      <c r="EJ104" s="208"/>
      <c r="EK104" s="208"/>
      <c r="EL104" s="208"/>
      <c r="EM104" s="208"/>
      <c r="EN104" s="208"/>
      <c r="EO104" s="208"/>
      <c r="EP104" s="208"/>
      <c r="EQ104" s="208"/>
      <c r="ER104" s="208"/>
      <c r="ES104" s="208"/>
      <c r="ET104" s="208"/>
      <c r="EU104" s="208"/>
      <c r="EV104" s="208"/>
      <c r="EW104" s="208"/>
      <c r="EX104" s="208"/>
      <c r="EY104" s="208"/>
      <c r="EZ104" s="208"/>
      <c r="FA104" s="208"/>
      <c r="FB104" s="208"/>
      <c r="FC104" s="208"/>
      <c r="FD104" s="208"/>
      <c r="FE104" s="208"/>
      <c r="FF104" s="208"/>
      <c r="FG104" s="208"/>
      <c r="FH104" s="208"/>
      <c r="FI104" s="208"/>
      <c r="FJ104" s="208"/>
      <c r="FK104" s="208"/>
      <c r="FL104" s="208"/>
      <c r="FM104" s="208"/>
      <c r="FN104" s="208"/>
      <c r="FO104" s="208"/>
      <c r="FP104" s="208"/>
      <c r="FQ104" s="208"/>
      <c r="FR104" s="208"/>
      <c r="FS104" s="208"/>
      <c r="FT104" s="208"/>
      <c r="FU104" s="208"/>
      <c r="FV104" s="208"/>
      <c r="FW104" s="208"/>
      <c r="FX104" s="208"/>
      <c r="FY104" s="208"/>
      <c r="FZ104" s="208"/>
      <c r="GA104" s="208"/>
      <c r="GB104" s="208"/>
      <c r="GC104" s="208"/>
      <c r="GD104" s="208"/>
      <c r="GE104" s="208"/>
      <c r="GF104" s="208"/>
    </row>
    <row r="105" spans="1:188" s="225" customFormat="1" ht="15" x14ac:dyDescent="0.25">
      <c r="A105" s="189" t="s">
        <v>4870</v>
      </c>
      <c r="B105" s="189"/>
      <c r="C105" s="190" t="s">
        <v>4871</v>
      </c>
      <c r="D105" s="191"/>
      <c r="E105" s="191"/>
      <c r="F105" s="191"/>
      <c r="G105" s="192"/>
      <c r="H105" s="193"/>
      <c r="I105" s="246"/>
      <c r="J105" s="194">
        <f>SUBTOTAL(109,J106:J116)</f>
        <v>328903.87000000005</v>
      </c>
      <c r="K105" s="191"/>
      <c r="L105" s="191"/>
      <c r="M105" s="191"/>
      <c r="N105" s="191"/>
      <c r="O105" s="194">
        <f>SUBTOTAL(109,O106:O116)</f>
        <v>391726.18000000005</v>
      </c>
      <c r="Q105" s="208"/>
      <c r="R105" s="208"/>
      <c r="S105"/>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208"/>
      <c r="BR105" s="208"/>
      <c r="BS105" s="208"/>
      <c r="BT105" s="208"/>
      <c r="BU105" s="208"/>
      <c r="BV105" s="208"/>
      <c r="BW105" s="208"/>
      <c r="BX105" s="208"/>
      <c r="BY105" s="208"/>
      <c r="BZ105" s="208"/>
      <c r="CA105" s="208"/>
      <c r="CB105" s="208"/>
      <c r="CC105" s="208"/>
      <c r="CD105" s="208"/>
      <c r="CE105" s="208"/>
      <c r="CF105" s="208"/>
      <c r="CG105" s="208"/>
      <c r="CH105" s="208"/>
      <c r="CI105" s="208"/>
      <c r="CJ105" s="208"/>
      <c r="CK105" s="208"/>
      <c r="CL105" s="208"/>
      <c r="CM105" s="208"/>
      <c r="CN105" s="208"/>
      <c r="CO105" s="208"/>
      <c r="CP105" s="208"/>
      <c r="CQ105" s="208"/>
      <c r="CR105" s="208"/>
      <c r="CS105" s="208"/>
      <c r="CT105" s="208"/>
      <c r="CU105" s="208"/>
      <c r="CV105" s="208"/>
      <c r="CW105" s="208"/>
      <c r="CX105" s="208"/>
      <c r="CY105" s="208"/>
      <c r="CZ105" s="208"/>
      <c r="DA105" s="208"/>
      <c r="DB105" s="208"/>
      <c r="DC105" s="208"/>
      <c r="DD105" s="208"/>
      <c r="DE105" s="208"/>
      <c r="DF105" s="208"/>
      <c r="DG105" s="208"/>
      <c r="DH105" s="208"/>
      <c r="DI105" s="208"/>
      <c r="DJ105" s="208"/>
      <c r="DK105" s="208"/>
      <c r="DL105" s="208"/>
      <c r="DM105" s="208"/>
      <c r="DN105" s="208"/>
      <c r="DO105" s="208"/>
      <c r="DP105" s="208"/>
      <c r="DQ105" s="208"/>
      <c r="DR105" s="208"/>
      <c r="DS105" s="208"/>
      <c r="DT105" s="208"/>
      <c r="DU105" s="208"/>
      <c r="DV105" s="208"/>
      <c r="DW105" s="208"/>
      <c r="DX105" s="208"/>
      <c r="DY105" s="208"/>
      <c r="DZ105" s="208"/>
      <c r="EA105" s="208"/>
      <c r="EB105" s="208"/>
      <c r="EC105" s="208"/>
      <c r="ED105" s="208"/>
      <c r="EE105" s="208"/>
      <c r="EF105" s="208"/>
      <c r="EG105" s="208"/>
      <c r="EH105" s="208"/>
      <c r="EI105" s="208"/>
      <c r="EJ105" s="208"/>
      <c r="EK105" s="208"/>
      <c r="EL105" s="208"/>
      <c r="EM105" s="208"/>
      <c r="EN105" s="208"/>
      <c r="EO105" s="208"/>
      <c r="EP105" s="208"/>
      <c r="EQ105" s="208"/>
      <c r="ER105" s="208"/>
      <c r="ES105" s="208"/>
      <c r="ET105" s="208"/>
      <c r="EU105" s="208"/>
      <c r="EV105" s="208"/>
      <c r="EW105" s="208"/>
      <c r="EX105" s="208"/>
      <c r="EY105" s="208"/>
      <c r="EZ105" s="208"/>
      <c r="FA105" s="208"/>
      <c r="FB105" s="208"/>
      <c r="FC105" s="208"/>
      <c r="FD105" s="208"/>
      <c r="FE105" s="208"/>
      <c r="FF105" s="208"/>
      <c r="FG105" s="208"/>
      <c r="FH105" s="208"/>
      <c r="FI105" s="208"/>
      <c r="FJ105" s="208"/>
      <c r="FK105" s="208"/>
      <c r="FL105" s="208"/>
      <c r="FM105" s="208"/>
      <c r="FN105" s="208"/>
      <c r="FO105" s="208"/>
      <c r="FP105" s="208"/>
      <c r="FQ105" s="208"/>
      <c r="FR105" s="208"/>
      <c r="FS105" s="208"/>
      <c r="FT105" s="208"/>
      <c r="FU105" s="208"/>
      <c r="FV105" s="208"/>
      <c r="FW105" s="208"/>
      <c r="FX105" s="208"/>
      <c r="FY105" s="208"/>
      <c r="FZ105" s="208"/>
      <c r="GA105" s="208"/>
      <c r="GB105" s="208"/>
      <c r="GC105" s="208"/>
      <c r="GD105" s="208"/>
      <c r="GE105" s="208"/>
      <c r="GF105" s="208"/>
    </row>
    <row r="106" spans="1:188" s="209" customFormat="1" ht="15" x14ac:dyDescent="0.25">
      <c r="A106" s="195" t="s">
        <v>4872</v>
      </c>
      <c r="B106" s="195" t="s">
        <v>53</v>
      </c>
      <c r="C106" s="196" t="s">
        <v>2062</v>
      </c>
      <c r="D106" s="154" t="s">
        <v>78</v>
      </c>
      <c r="E106" s="154">
        <v>16740</v>
      </c>
      <c r="F106" s="154">
        <v>0.1</v>
      </c>
      <c r="G106" s="197"/>
      <c r="H106" s="198"/>
      <c r="I106" s="151">
        <f>IFERROR(INDEX(Composições!$A$5:$J$8391,MATCH(B106,Composições!$A$5:$A$8391,0)+2,8),"")</f>
        <v>21.257864999999999</v>
      </c>
      <c r="J106" s="152">
        <f t="shared" ref="J106:J116" si="12">IF(ISNUMBER(I106),ROUND(F106*E106*I106,2),"")</f>
        <v>35585.67</v>
      </c>
      <c r="K106" s="198">
        <f>BDI!$B$17</f>
        <v>0.191</v>
      </c>
      <c r="L106" s="198"/>
      <c r="M106" s="198"/>
      <c r="N106" s="153">
        <f t="shared" ref="N106:N116" si="13">IF(ISNUMBER(I106),ROUND(I106*(1+K106),2),"")</f>
        <v>25.32</v>
      </c>
      <c r="O106" s="152">
        <f t="shared" ref="O106:O116" si="14">IF(ISNUMBER(I106),ROUND(F106*N106*E106,2),"")</f>
        <v>42385.68</v>
      </c>
      <c r="P106" s="225"/>
      <c r="Q106" s="208"/>
      <c r="R106" s="208"/>
      <c r="S106"/>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c r="BI106" s="208"/>
      <c r="BJ106" s="208"/>
      <c r="BK106" s="208"/>
      <c r="BL106" s="208"/>
      <c r="BM106" s="208"/>
      <c r="BN106" s="208"/>
      <c r="BO106" s="208"/>
      <c r="BP106" s="208"/>
      <c r="BQ106" s="208"/>
      <c r="BR106" s="208"/>
      <c r="BS106" s="208"/>
      <c r="BT106" s="208"/>
      <c r="BU106" s="208"/>
      <c r="BV106" s="208"/>
      <c r="BW106" s="208"/>
      <c r="BX106" s="208"/>
      <c r="BY106" s="208"/>
      <c r="BZ106" s="208"/>
      <c r="CA106" s="208"/>
      <c r="CB106" s="208"/>
      <c r="CC106" s="208"/>
      <c r="CD106" s="208"/>
      <c r="CE106" s="208"/>
      <c r="CF106" s="208"/>
      <c r="CG106" s="208"/>
      <c r="CH106" s="208"/>
      <c r="CI106" s="208"/>
      <c r="CJ106" s="208"/>
      <c r="CK106" s="208"/>
      <c r="CL106" s="208"/>
      <c r="CM106" s="208"/>
      <c r="CN106" s="208"/>
      <c r="CO106" s="208"/>
      <c r="CP106" s="208"/>
      <c r="CQ106" s="208"/>
      <c r="CR106" s="208"/>
      <c r="CS106" s="208"/>
      <c r="CT106" s="208"/>
      <c r="CU106" s="208"/>
      <c r="CV106" s="208"/>
      <c r="CW106" s="208"/>
      <c r="CX106" s="208"/>
      <c r="CY106" s="208"/>
      <c r="CZ106" s="208"/>
      <c r="DA106" s="208"/>
      <c r="DB106" s="208"/>
      <c r="DC106" s="208"/>
      <c r="DD106" s="208"/>
      <c r="DE106" s="208"/>
      <c r="DF106" s="208"/>
      <c r="DG106" s="208"/>
      <c r="DH106" s="208"/>
      <c r="DI106" s="208"/>
      <c r="DJ106" s="208"/>
      <c r="DK106" s="208"/>
      <c r="DL106" s="208"/>
      <c r="DM106" s="208"/>
      <c r="DN106" s="208"/>
      <c r="DO106" s="208"/>
      <c r="DP106" s="208"/>
      <c r="DQ106" s="208"/>
      <c r="DR106" s="208"/>
      <c r="DS106" s="208"/>
      <c r="DT106" s="208"/>
      <c r="DU106" s="208"/>
      <c r="DV106" s="208"/>
      <c r="DW106" s="208"/>
      <c r="DX106" s="208"/>
      <c r="DY106" s="208"/>
      <c r="DZ106" s="208"/>
      <c r="EA106" s="208"/>
      <c r="EB106" s="208"/>
      <c r="EC106" s="208"/>
      <c r="ED106" s="208"/>
      <c r="EE106" s="208"/>
      <c r="EF106" s="208"/>
      <c r="EG106" s="208"/>
      <c r="EH106" s="208"/>
      <c r="EI106" s="208"/>
      <c r="EJ106" s="208"/>
      <c r="EK106" s="208"/>
      <c r="EL106" s="208"/>
      <c r="EM106" s="208"/>
      <c r="EN106" s="208"/>
      <c r="EO106" s="208"/>
      <c r="EP106" s="208"/>
      <c r="EQ106" s="208"/>
      <c r="ER106" s="208"/>
      <c r="ES106" s="208"/>
      <c r="ET106" s="208"/>
      <c r="EU106" s="208"/>
      <c r="EV106" s="208"/>
      <c r="EW106" s="208"/>
      <c r="EX106" s="208"/>
      <c r="EY106" s="208"/>
      <c r="EZ106" s="208"/>
      <c r="FA106" s="208"/>
      <c r="FB106" s="208"/>
      <c r="FC106" s="208"/>
      <c r="FD106" s="208"/>
      <c r="FE106" s="208"/>
      <c r="FF106" s="208"/>
      <c r="FG106" s="208"/>
      <c r="FH106" s="208"/>
      <c r="FI106" s="208"/>
      <c r="FJ106" s="208"/>
      <c r="FK106" s="208"/>
      <c r="FL106" s="208"/>
      <c r="FM106" s="208"/>
      <c r="FN106" s="208"/>
      <c r="FO106" s="208"/>
      <c r="FP106" s="208"/>
      <c r="FQ106" s="208"/>
      <c r="FR106" s="208"/>
      <c r="FS106" s="208"/>
      <c r="FT106" s="208"/>
      <c r="FU106" s="208"/>
      <c r="FV106" s="208"/>
      <c r="FW106" s="208"/>
      <c r="FX106" s="208"/>
      <c r="FY106" s="208"/>
      <c r="FZ106" s="208"/>
      <c r="GA106" s="208"/>
      <c r="GB106" s="208"/>
      <c r="GC106" s="208"/>
      <c r="GD106" s="208"/>
      <c r="GE106" s="208"/>
      <c r="GF106" s="208"/>
    </row>
    <row r="107" spans="1:188" s="209" customFormat="1" ht="15" x14ac:dyDescent="0.25">
      <c r="A107" s="195" t="s">
        <v>4873</v>
      </c>
      <c r="B107" s="195" t="s">
        <v>1981</v>
      </c>
      <c r="C107" s="196" t="s">
        <v>3690</v>
      </c>
      <c r="D107" s="154" t="s">
        <v>78</v>
      </c>
      <c r="E107" s="154">
        <v>2970</v>
      </c>
      <c r="F107" s="154">
        <v>0.1</v>
      </c>
      <c r="G107" s="197"/>
      <c r="H107" s="198"/>
      <c r="I107" s="151">
        <f>IFERROR(INDEX(Composições!$A$5:$J$8391,MATCH(B107,Composições!$A$5:$A$8391,0)+2,8),"")</f>
        <v>14.8805055</v>
      </c>
      <c r="J107" s="152">
        <f t="shared" si="12"/>
        <v>4419.51</v>
      </c>
      <c r="K107" s="198">
        <f>BDI!$B$17</f>
        <v>0.191</v>
      </c>
      <c r="L107" s="198"/>
      <c r="M107" s="198"/>
      <c r="N107" s="153">
        <f t="shared" si="13"/>
        <v>17.72</v>
      </c>
      <c r="O107" s="152">
        <f t="shared" si="14"/>
        <v>5262.84</v>
      </c>
      <c r="P107" s="225"/>
      <c r="Q107" s="208"/>
      <c r="R107" s="208"/>
      <c r="S107"/>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c r="BI107" s="208"/>
      <c r="BJ107" s="208"/>
      <c r="BK107" s="208"/>
      <c r="BL107" s="208"/>
      <c r="BM107" s="208"/>
      <c r="BN107" s="208"/>
      <c r="BO107" s="208"/>
      <c r="BP107" s="208"/>
      <c r="BQ107" s="208"/>
      <c r="BR107" s="208"/>
      <c r="BS107" s="208"/>
      <c r="BT107" s="208"/>
      <c r="BU107" s="208"/>
      <c r="BV107" s="208"/>
      <c r="BW107" s="208"/>
      <c r="BX107" s="208"/>
      <c r="BY107" s="208"/>
      <c r="BZ107" s="208"/>
      <c r="CA107" s="208"/>
      <c r="CB107" s="208"/>
      <c r="CC107" s="208"/>
      <c r="CD107" s="208"/>
      <c r="CE107" s="208"/>
      <c r="CF107" s="208"/>
      <c r="CG107" s="208"/>
      <c r="CH107" s="208"/>
      <c r="CI107" s="208"/>
      <c r="CJ107" s="208"/>
      <c r="CK107" s="208"/>
      <c r="CL107" s="208"/>
      <c r="CM107" s="208"/>
      <c r="CN107" s="208"/>
      <c r="CO107" s="208"/>
      <c r="CP107" s="208"/>
      <c r="CQ107" s="208"/>
      <c r="CR107" s="208"/>
      <c r="CS107" s="208"/>
      <c r="CT107" s="208"/>
      <c r="CU107" s="208"/>
      <c r="CV107" s="208"/>
      <c r="CW107" s="208"/>
      <c r="CX107" s="208"/>
      <c r="CY107" s="208"/>
      <c r="CZ107" s="208"/>
      <c r="DA107" s="208"/>
      <c r="DB107" s="208"/>
      <c r="DC107" s="208"/>
      <c r="DD107" s="208"/>
      <c r="DE107" s="208"/>
      <c r="DF107" s="208"/>
      <c r="DG107" s="208"/>
      <c r="DH107" s="208"/>
      <c r="DI107" s="208"/>
      <c r="DJ107" s="208"/>
      <c r="DK107" s="208"/>
      <c r="DL107" s="208"/>
      <c r="DM107" s="208"/>
      <c r="DN107" s="208"/>
      <c r="DO107" s="208"/>
      <c r="DP107" s="208"/>
      <c r="DQ107" s="208"/>
      <c r="DR107" s="208"/>
      <c r="DS107" s="208"/>
      <c r="DT107" s="208"/>
      <c r="DU107" s="208"/>
      <c r="DV107" s="208"/>
      <c r="DW107" s="208"/>
      <c r="DX107" s="208"/>
      <c r="DY107" s="208"/>
      <c r="DZ107" s="208"/>
      <c r="EA107" s="208"/>
      <c r="EB107" s="208"/>
      <c r="EC107" s="208"/>
      <c r="ED107" s="208"/>
      <c r="EE107" s="208"/>
      <c r="EF107" s="208"/>
      <c r="EG107" s="208"/>
      <c r="EH107" s="208"/>
      <c r="EI107" s="208"/>
      <c r="EJ107" s="208"/>
      <c r="EK107" s="208"/>
      <c r="EL107" s="208"/>
      <c r="EM107" s="208"/>
      <c r="EN107" s="208"/>
      <c r="EO107" s="208"/>
      <c r="EP107" s="208"/>
      <c r="EQ107" s="208"/>
      <c r="ER107" s="208"/>
      <c r="ES107" s="208"/>
      <c r="ET107" s="208"/>
      <c r="EU107" s="208"/>
      <c r="EV107" s="208"/>
      <c r="EW107" s="208"/>
      <c r="EX107" s="208"/>
      <c r="EY107" s="208"/>
      <c r="EZ107" s="208"/>
      <c r="FA107" s="208"/>
      <c r="FB107" s="208"/>
      <c r="FC107" s="208"/>
      <c r="FD107" s="208"/>
      <c r="FE107" s="208"/>
      <c r="FF107" s="208"/>
      <c r="FG107" s="208"/>
      <c r="FH107" s="208"/>
      <c r="FI107" s="208"/>
      <c r="FJ107" s="208"/>
      <c r="FK107" s="208"/>
      <c r="FL107" s="208"/>
      <c r="FM107" s="208"/>
      <c r="FN107" s="208"/>
      <c r="FO107" s="208"/>
      <c r="FP107" s="208"/>
      <c r="FQ107" s="208"/>
      <c r="FR107" s="208"/>
      <c r="FS107" s="208"/>
      <c r="FT107" s="208"/>
      <c r="FU107" s="208"/>
      <c r="FV107" s="208"/>
      <c r="FW107" s="208"/>
      <c r="FX107" s="208"/>
      <c r="FY107" s="208"/>
      <c r="FZ107" s="208"/>
      <c r="GA107" s="208"/>
      <c r="GB107" s="208"/>
      <c r="GC107" s="208"/>
      <c r="GD107" s="208"/>
      <c r="GE107" s="208"/>
      <c r="GF107" s="208"/>
    </row>
    <row r="108" spans="1:188" s="209" customFormat="1" ht="15" x14ac:dyDescent="0.25">
      <c r="A108" s="195" t="s">
        <v>4874</v>
      </c>
      <c r="B108" s="195" t="s">
        <v>65</v>
      </c>
      <c r="C108" s="196" t="s">
        <v>2072</v>
      </c>
      <c r="D108" s="154" t="s">
        <v>78</v>
      </c>
      <c r="E108" s="154">
        <v>6000</v>
      </c>
      <c r="F108" s="154">
        <v>0.1</v>
      </c>
      <c r="G108" s="197"/>
      <c r="H108" s="198"/>
      <c r="I108" s="151">
        <f>IFERROR(INDEX(Composições!$A$5:$J$8391,MATCH(B108,Composições!$A$5:$A$8391,0)+2,8),"")</f>
        <v>4.1628999999999996</v>
      </c>
      <c r="J108" s="152">
        <f t="shared" si="12"/>
        <v>2497.7399999999998</v>
      </c>
      <c r="K108" s="198">
        <f>BDI!$B$17</f>
        <v>0.191</v>
      </c>
      <c r="L108" s="198"/>
      <c r="M108" s="198"/>
      <c r="N108" s="153">
        <f t="shared" si="13"/>
        <v>4.96</v>
      </c>
      <c r="O108" s="152">
        <f t="shared" si="14"/>
        <v>2976</v>
      </c>
      <c r="P108" s="225"/>
      <c r="Q108" s="208"/>
      <c r="R108" s="208"/>
      <c r="S1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c r="BI108" s="208"/>
      <c r="BJ108" s="208"/>
      <c r="BK108" s="208"/>
      <c r="BL108" s="208"/>
      <c r="BM108" s="208"/>
      <c r="BN108" s="208"/>
      <c r="BO108" s="208"/>
      <c r="BP108" s="208"/>
      <c r="BQ108" s="208"/>
      <c r="BR108" s="208"/>
      <c r="BS108" s="208"/>
      <c r="BT108" s="208"/>
      <c r="BU108" s="208"/>
      <c r="BV108" s="208"/>
      <c r="BW108" s="208"/>
      <c r="BX108" s="208"/>
      <c r="BY108" s="208"/>
      <c r="BZ108" s="208"/>
      <c r="CA108" s="208"/>
      <c r="CB108" s="208"/>
      <c r="CC108" s="208"/>
      <c r="CD108" s="208"/>
      <c r="CE108" s="208"/>
      <c r="CF108" s="208"/>
      <c r="CG108" s="208"/>
      <c r="CH108" s="208"/>
      <c r="CI108" s="208"/>
      <c r="CJ108" s="208"/>
      <c r="CK108" s="208"/>
      <c r="CL108" s="208"/>
      <c r="CM108" s="208"/>
      <c r="CN108" s="208"/>
      <c r="CO108" s="208"/>
      <c r="CP108" s="208"/>
      <c r="CQ108" s="208"/>
      <c r="CR108" s="208"/>
      <c r="CS108" s="208"/>
      <c r="CT108" s="208"/>
      <c r="CU108" s="208"/>
      <c r="CV108" s="208"/>
      <c r="CW108" s="208"/>
      <c r="CX108" s="208"/>
      <c r="CY108" s="208"/>
      <c r="CZ108" s="208"/>
      <c r="DA108" s="208"/>
      <c r="DB108" s="208"/>
      <c r="DC108" s="208"/>
      <c r="DD108" s="208"/>
      <c r="DE108" s="208"/>
      <c r="DF108" s="208"/>
      <c r="DG108" s="208"/>
      <c r="DH108" s="208"/>
      <c r="DI108" s="208"/>
      <c r="DJ108" s="208"/>
      <c r="DK108" s="208"/>
      <c r="DL108" s="208"/>
      <c r="DM108" s="208"/>
      <c r="DN108" s="208"/>
      <c r="DO108" s="208"/>
      <c r="DP108" s="208"/>
      <c r="DQ108" s="208"/>
      <c r="DR108" s="208"/>
      <c r="DS108" s="208"/>
      <c r="DT108" s="208"/>
      <c r="DU108" s="208"/>
      <c r="DV108" s="208"/>
      <c r="DW108" s="208"/>
      <c r="DX108" s="208"/>
      <c r="DY108" s="208"/>
      <c r="DZ108" s="208"/>
      <c r="EA108" s="208"/>
      <c r="EB108" s="208"/>
      <c r="EC108" s="208"/>
      <c r="ED108" s="208"/>
      <c r="EE108" s="208"/>
      <c r="EF108" s="208"/>
      <c r="EG108" s="208"/>
      <c r="EH108" s="208"/>
      <c r="EI108" s="208"/>
      <c r="EJ108" s="208"/>
      <c r="EK108" s="208"/>
      <c r="EL108" s="208"/>
      <c r="EM108" s="208"/>
      <c r="EN108" s="208"/>
      <c r="EO108" s="208"/>
      <c r="EP108" s="208"/>
      <c r="EQ108" s="208"/>
      <c r="ER108" s="208"/>
      <c r="ES108" s="208"/>
      <c r="ET108" s="208"/>
      <c r="EU108" s="208"/>
      <c r="EV108" s="208"/>
      <c r="EW108" s="208"/>
      <c r="EX108" s="208"/>
      <c r="EY108" s="208"/>
      <c r="EZ108" s="208"/>
      <c r="FA108" s="208"/>
      <c r="FB108" s="208"/>
      <c r="FC108" s="208"/>
      <c r="FD108" s="208"/>
      <c r="FE108" s="208"/>
      <c r="FF108" s="208"/>
      <c r="FG108" s="208"/>
      <c r="FH108" s="208"/>
      <c r="FI108" s="208"/>
      <c r="FJ108" s="208"/>
      <c r="FK108" s="208"/>
      <c r="FL108" s="208"/>
      <c r="FM108" s="208"/>
      <c r="FN108" s="208"/>
      <c r="FO108" s="208"/>
      <c r="FP108" s="208"/>
      <c r="FQ108" s="208"/>
      <c r="FR108" s="208"/>
      <c r="FS108" s="208"/>
      <c r="FT108" s="208"/>
      <c r="FU108" s="208"/>
      <c r="FV108" s="208"/>
      <c r="FW108" s="208"/>
      <c r="FX108" s="208"/>
      <c r="FY108" s="208"/>
      <c r="FZ108" s="208"/>
      <c r="GA108" s="208"/>
      <c r="GB108" s="208"/>
      <c r="GC108" s="208"/>
      <c r="GD108" s="208"/>
      <c r="GE108" s="208"/>
      <c r="GF108" s="208"/>
    </row>
    <row r="109" spans="1:188" s="209" customFormat="1" ht="15" x14ac:dyDescent="0.25">
      <c r="A109" s="195" t="s">
        <v>4875</v>
      </c>
      <c r="B109" s="195" t="s">
        <v>935</v>
      </c>
      <c r="C109" s="196" t="s">
        <v>2791</v>
      </c>
      <c r="D109" s="154" t="s">
        <v>78</v>
      </c>
      <c r="E109" s="154">
        <v>13690</v>
      </c>
      <c r="F109" s="154">
        <v>0.1</v>
      </c>
      <c r="G109" s="197"/>
      <c r="H109" s="198"/>
      <c r="I109" s="151">
        <f>IFERROR(INDEX(Composições!$A$5:$J$8391,MATCH(B109,Composições!$A$5:$A$8391,0)+2,8),"")</f>
        <v>105.02195850000001</v>
      </c>
      <c r="J109" s="152">
        <f t="shared" si="12"/>
        <v>143775.06</v>
      </c>
      <c r="K109" s="198">
        <f>BDI!$B$17</f>
        <v>0.191</v>
      </c>
      <c r="L109" s="198"/>
      <c r="M109" s="198"/>
      <c r="N109" s="153">
        <f t="shared" si="13"/>
        <v>125.08</v>
      </c>
      <c r="O109" s="152">
        <f t="shared" si="14"/>
        <v>171234.52</v>
      </c>
      <c r="P109" s="225"/>
      <c r="Q109" s="208"/>
      <c r="R109" s="208"/>
      <c r="S109"/>
      <c r="T109" s="208"/>
      <c r="U109" s="208"/>
      <c r="V109" s="208"/>
      <c r="W109" s="208"/>
      <c r="X109" s="208"/>
      <c r="Y109" s="208"/>
      <c r="Z109" s="208"/>
      <c r="AA109" s="208"/>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c r="BI109" s="208"/>
      <c r="BJ109" s="208"/>
      <c r="BK109" s="208"/>
      <c r="BL109" s="208"/>
      <c r="BM109" s="208"/>
      <c r="BN109" s="208"/>
      <c r="BO109" s="208"/>
      <c r="BP109" s="208"/>
      <c r="BQ109" s="208"/>
      <c r="BR109" s="208"/>
      <c r="BS109" s="208"/>
      <c r="BT109" s="208"/>
      <c r="BU109" s="208"/>
      <c r="BV109" s="208"/>
      <c r="BW109" s="208"/>
      <c r="BX109" s="208"/>
      <c r="BY109" s="208"/>
      <c r="BZ109" s="208"/>
      <c r="CA109" s="208"/>
      <c r="CB109" s="208"/>
      <c r="CC109" s="208"/>
      <c r="CD109" s="208"/>
      <c r="CE109" s="208"/>
      <c r="CF109" s="208"/>
      <c r="CG109" s="208"/>
      <c r="CH109" s="208"/>
      <c r="CI109" s="208"/>
      <c r="CJ109" s="208"/>
      <c r="CK109" s="208"/>
      <c r="CL109" s="208"/>
      <c r="CM109" s="208"/>
      <c r="CN109" s="208"/>
      <c r="CO109" s="208"/>
      <c r="CP109" s="208"/>
      <c r="CQ109" s="208"/>
      <c r="CR109" s="208"/>
      <c r="CS109" s="208"/>
      <c r="CT109" s="208"/>
      <c r="CU109" s="208"/>
      <c r="CV109" s="208"/>
      <c r="CW109" s="208"/>
      <c r="CX109" s="208"/>
      <c r="CY109" s="208"/>
      <c r="CZ109" s="208"/>
      <c r="DA109" s="208"/>
      <c r="DB109" s="208"/>
      <c r="DC109" s="208"/>
      <c r="DD109" s="208"/>
      <c r="DE109" s="208"/>
      <c r="DF109" s="208"/>
      <c r="DG109" s="208"/>
      <c r="DH109" s="208"/>
      <c r="DI109" s="208"/>
      <c r="DJ109" s="208"/>
      <c r="DK109" s="208"/>
      <c r="DL109" s="208"/>
      <c r="DM109" s="208"/>
      <c r="DN109" s="208"/>
      <c r="DO109" s="208"/>
      <c r="DP109" s="208"/>
      <c r="DQ109" s="208"/>
      <c r="DR109" s="208"/>
      <c r="DS109" s="208"/>
      <c r="DT109" s="208"/>
      <c r="DU109" s="208"/>
      <c r="DV109" s="208"/>
      <c r="DW109" s="208"/>
      <c r="DX109" s="208"/>
      <c r="DY109" s="208"/>
      <c r="DZ109" s="208"/>
      <c r="EA109" s="208"/>
      <c r="EB109" s="208"/>
      <c r="EC109" s="208"/>
      <c r="ED109" s="208"/>
      <c r="EE109" s="208"/>
      <c r="EF109" s="208"/>
      <c r="EG109" s="208"/>
      <c r="EH109" s="208"/>
      <c r="EI109" s="208"/>
      <c r="EJ109" s="208"/>
      <c r="EK109" s="208"/>
      <c r="EL109" s="208"/>
      <c r="EM109" s="208"/>
      <c r="EN109" s="208"/>
      <c r="EO109" s="208"/>
      <c r="EP109" s="208"/>
      <c r="EQ109" s="208"/>
      <c r="ER109" s="208"/>
      <c r="ES109" s="208"/>
      <c r="ET109" s="208"/>
      <c r="EU109" s="208"/>
      <c r="EV109" s="208"/>
      <c r="EW109" s="208"/>
      <c r="EX109" s="208"/>
      <c r="EY109" s="208"/>
      <c r="EZ109" s="208"/>
      <c r="FA109" s="208"/>
      <c r="FB109" s="208"/>
      <c r="FC109" s="208"/>
      <c r="FD109" s="208"/>
      <c r="FE109" s="208"/>
      <c r="FF109" s="208"/>
      <c r="FG109" s="208"/>
      <c r="FH109" s="208"/>
      <c r="FI109" s="208"/>
      <c r="FJ109" s="208"/>
      <c r="FK109" s="208"/>
      <c r="FL109" s="208"/>
      <c r="FM109" s="208"/>
      <c r="FN109" s="208"/>
      <c r="FO109" s="208"/>
      <c r="FP109" s="208"/>
      <c r="FQ109" s="208"/>
      <c r="FR109" s="208"/>
      <c r="FS109" s="208"/>
      <c r="FT109" s="208"/>
      <c r="FU109" s="208"/>
      <c r="FV109" s="208"/>
      <c r="FW109" s="208"/>
      <c r="FX109" s="208"/>
      <c r="FY109" s="208"/>
      <c r="FZ109" s="208"/>
      <c r="GA109" s="208"/>
      <c r="GB109" s="208"/>
      <c r="GC109" s="208"/>
      <c r="GD109" s="208"/>
      <c r="GE109" s="208"/>
      <c r="GF109" s="208"/>
    </row>
    <row r="110" spans="1:188" s="209" customFormat="1" ht="15" x14ac:dyDescent="0.25">
      <c r="A110" s="195" t="s">
        <v>4876</v>
      </c>
      <c r="B110" s="195" t="s">
        <v>1003</v>
      </c>
      <c r="C110" s="196" t="s">
        <v>2853</v>
      </c>
      <c r="D110" s="154" t="s">
        <v>78</v>
      </c>
      <c r="E110" s="154">
        <v>430</v>
      </c>
      <c r="F110" s="154">
        <v>0.1</v>
      </c>
      <c r="G110" s="197"/>
      <c r="H110" s="198"/>
      <c r="I110" s="151">
        <f>IFERROR(INDEX(Composições!$A$5:$J$8391,MATCH(B110,Composições!$A$5:$A$8391,0)+2,8),"")</f>
        <v>354.49355000000003</v>
      </c>
      <c r="J110" s="152">
        <f t="shared" si="12"/>
        <v>15243.22</v>
      </c>
      <c r="K110" s="198">
        <f>BDI!$B$17</f>
        <v>0.191</v>
      </c>
      <c r="L110" s="198"/>
      <c r="M110" s="198"/>
      <c r="N110" s="153">
        <f t="shared" si="13"/>
        <v>422.2</v>
      </c>
      <c r="O110" s="152">
        <f t="shared" si="14"/>
        <v>18154.599999999999</v>
      </c>
      <c r="P110" s="225"/>
      <c r="Q110" s="208"/>
      <c r="R110" s="208"/>
      <c r="S110"/>
      <c r="T110" s="208"/>
      <c r="U110" s="208"/>
      <c r="V110" s="208"/>
      <c r="W110" s="208"/>
      <c r="X110" s="208"/>
      <c r="Y110" s="208"/>
      <c r="Z110" s="208"/>
      <c r="AA110" s="208"/>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c r="BI110" s="208"/>
      <c r="BJ110" s="208"/>
      <c r="BK110" s="208"/>
      <c r="BL110" s="208"/>
      <c r="BM110" s="208"/>
      <c r="BN110" s="208"/>
      <c r="BO110" s="208"/>
      <c r="BP110" s="208"/>
      <c r="BQ110" s="208"/>
      <c r="BR110" s="208"/>
      <c r="BS110" s="208"/>
      <c r="BT110" s="208"/>
      <c r="BU110" s="208"/>
      <c r="BV110" s="208"/>
      <c r="BW110" s="208"/>
      <c r="BX110" s="208"/>
      <c r="BY110" s="208"/>
      <c r="BZ110" s="208"/>
      <c r="CA110" s="208"/>
      <c r="CB110" s="208"/>
      <c r="CC110" s="208"/>
      <c r="CD110" s="208"/>
      <c r="CE110" s="208"/>
      <c r="CF110" s="208"/>
      <c r="CG110" s="208"/>
      <c r="CH110" s="208"/>
      <c r="CI110" s="208"/>
      <c r="CJ110" s="208"/>
      <c r="CK110" s="208"/>
      <c r="CL110" s="208"/>
      <c r="CM110" s="208"/>
      <c r="CN110" s="208"/>
      <c r="CO110" s="208"/>
      <c r="CP110" s="208"/>
      <c r="CQ110" s="208"/>
      <c r="CR110" s="208"/>
      <c r="CS110" s="208"/>
      <c r="CT110" s="208"/>
      <c r="CU110" s="208"/>
      <c r="CV110" s="208"/>
      <c r="CW110" s="208"/>
      <c r="CX110" s="208"/>
      <c r="CY110" s="208"/>
      <c r="CZ110" s="208"/>
      <c r="DA110" s="208"/>
      <c r="DB110" s="208"/>
      <c r="DC110" s="208"/>
      <c r="DD110" s="208"/>
      <c r="DE110" s="208"/>
      <c r="DF110" s="208"/>
      <c r="DG110" s="208"/>
      <c r="DH110" s="208"/>
      <c r="DI110" s="208"/>
      <c r="DJ110" s="208"/>
      <c r="DK110" s="208"/>
      <c r="DL110" s="208"/>
      <c r="DM110" s="208"/>
      <c r="DN110" s="208"/>
      <c r="DO110" s="208"/>
      <c r="DP110" s="208"/>
      <c r="DQ110" s="208"/>
      <c r="DR110" s="208"/>
      <c r="DS110" s="208"/>
      <c r="DT110" s="208"/>
      <c r="DU110" s="208"/>
      <c r="DV110" s="208"/>
      <c r="DW110" s="208"/>
      <c r="DX110" s="208"/>
      <c r="DY110" s="208"/>
      <c r="DZ110" s="208"/>
      <c r="EA110" s="208"/>
      <c r="EB110" s="208"/>
      <c r="EC110" s="208"/>
      <c r="ED110" s="208"/>
      <c r="EE110" s="208"/>
      <c r="EF110" s="208"/>
      <c r="EG110" s="208"/>
      <c r="EH110" s="208"/>
      <c r="EI110" s="208"/>
      <c r="EJ110" s="208"/>
      <c r="EK110" s="208"/>
      <c r="EL110" s="208"/>
      <c r="EM110" s="208"/>
      <c r="EN110" s="208"/>
      <c r="EO110" s="208"/>
      <c r="EP110" s="208"/>
      <c r="EQ110" s="208"/>
      <c r="ER110" s="208"/>
      <c r="ES110" s="208"/>
      <c r="ET110" s="208"/>
      <c r="EU110" s="208"/>
      <c r="EV110" s="208"/>
      <c r="EW110" s="208"/>
      <c r="EX110" s="208"/>
      <c r="EY110" s="208"/>
      <c r="EZ110" s="208"/>
      <c r="FA110" s="208"/>
      <c r="FB110" s="208"/>
      <c r="FC110" s="208"/>
      <c r="FD110" s="208"/>
      <c r="FE110" s="208"/>
      <c r="FF110" s="208"/>
      <c r="FG110" s="208"/>
      <c r="FH110" s="208"/>
      <c r="FI110" s="208"/>
      <c r="FJ110" s="208"/>
      <c r="FK110" s="208"/>
      <c r="FL110" s="208"/>
      <c r="FM110" s="208"/>
      <c r="FN110" s="208"/>
      <c r="FO110" s="208"/>
      <c r="FP110" s="208"/>
      <c r="FQ110" s="208"/>
      <c r="FR110" s="208"/>
      <c r="FS110" s="208"/>
      <c r="FT110" s="208"/>
      <c r="FU110" s="208"/>
      <c r="FV110" s="208"/>
      <c r="FW110" s="208"/>
      <c r="FX110" s="208"/>
      <c r="FY110" s="208"/>
      <c r="FZ110" s="208"/>
      <c r="GA110" s="208"/>
      <c r="GB110" s="208"/>
      <c r="GC110" s="208"/>
      <c r="GD110" s="208"/>
      <c r="GE110" s="208"/>
      <c r="GF110" s="208"/>
    </row>
    <row r="111" spans="1:188" s="209" customFormat="1" ht="15" x14ac:dyDescent="0.25">
      <c r="A111" s="195" t="s">
        <v>4877</v>
      </c>
      <c r="B111" s="195" t="s">
        <v>995</v>
      </c>
      <c r="C111" s="196" t="s">
        <v>2848</v>
      </c>
      <c r="D111" s="154" t="s">
        <v>78</v>
      </c>
      <c r="E111" s="154">
        <v>1010</v>
      </c>
      <c r="F111" s="154">
        <v>0.1</v>
      </c>
      <c r="G111" s="197"/>
      <c r="H111" s="198"/>
      <c r="I111" s="151">
        <f>IFERROR(INDEX(Composições!$A$5:$J$8391,MATCH(B111,Composições!$A$5:$A$8391,0)+2,8),"")</f>
        <v>194.52390000000003</v>
      </c>
      <c r="J111" s="152">
        <f t="shared" si="12"/>
        <v>19646.91</v>
      </c>
      <c r="K111" s="198">
        <f>BDI!$B$17</f>
        <v>0.191</v>
      </c>
      <c r="L111" s="198"/>
      <c r="M111" s="198"/>
      <c r="N111" s="153">
        <f t="shared" si="13"/>
        <v>231.68</v>
      </c>
      <c r="O111" s="152">
        <f t="shared" si="14"/>
        <v>23399.68</v>
      </c>
      <c r="P111" s="225"/>
      <c r="Q111" s="208"/>
      <c r="R111" s="208"/>
      <c r="S111"/>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c r="BI111" s="208"/>
      <c r="BJ111" s="208"/>
      <c r="BK111" s="208"/>
      <c r="BL111" s="208"/>
      <c r="BM111" s="208"/>
      <c r="BN111" s="208"/>
      <c r="BO111" s="208"/>
      <c r="BP111" s="208"/>
      <c r="BQ111" s="208"/>
      <c r="BR111" s="208"/>
      <c r="BS111" s="208"/>
      <c r="BT111" s="208"/>
      <c r="BU111" s="208"/>
      <c r="BV111" s="208"/>
      <c r="BW111" s="208"/>
      <c r="BX111" s="208"/>
      <c r="BY111" s="208"/>
      <c r="BZ111" s="208"/>
      <c r="CA111" s="208"/>
      <c r="CB111" s="208"/>
      <c r="CC111" s="208"/>
      <c r="CD111" s="208"/>
      <c r="CE111" s="208"/>
      <c r="CF111" s="208"/>
      <c r="CG111" s="208"/>
      <c r="CH111" s="208"/>
      <c r="CI111" s="208"/>
      <c r="CJ111" s="208"/>
      <c r="CK111" s="208"/>
      <c r="CL111" s="208"/>
      <c r="CM111" s="208"/>
      <c r="CN111" s="208"/>
      <c r="CO111" s="208"/>
      <c r="CP111" s="208"/>
      <c r="CQ111" s="208"/>
      <c r="CR111" s="208"/>
      <c r="CS111" s="208"/>
      <c r="CT111" s="208"/>
      <c r="CU111" s="208"/>
      <c r="CV111" s="208"/>
      <c r="CW111" s="208"/>
      <c r="CX111" s="208"/>
      <c r="CY111" s="208"/>
      <c r="CZ111" s="208"/>
      <c r="DA111" s="208"/>
      <c r="DB111" s="208"/>
      <c r="DC111" s="208"/>
      <c r="DD111" s="208"/>
      <c r="DE111" s="208"/>
      <c r="DF111" s="208"/>
      <c r="DG111" s="208"/>
      <c r="DH111" s="208"/>
      <c r="DI111" s="208"/>
      <c r="DJ111" s="208"/>
      <c r="DK111" s="208"/>
      <c r="DL111" s="208"/>
      <c r="DM111" s="208"/>
      <c r="DN111" s="208"/>
      <c r="DO111" s="208"/>
      <c r="DP111" s="208"/>
      <c r="DQ111" s="208"/>
      <c r="DR111" s="208"/>
      <c r="DS111" s="208"/>
      <c r="DT111" s="208"/>
      <c r="DU111" s="208"/>
      <c r="DV111" s="208"/>
      <c r="DW111" s="208"/>
      <c r="DX111" s="208"/>
      <c r="DY111" s="208"/>
      <c r="DZ111" s="208"/>
      <c r="EA111" s="208"/>
      <c r="EB111" s="208"/>
      <c r="EC111" s="208"/>
      <c r="ED111" s="208"/>
      <c r="EE111" s="208"/>
      <c r="EF111" s="208"/>
      <c r="EG111" s="208"/>
      <c r="EH111" s="208"/>
      <c r="EI111" s="208"/>
      <c r="EJ111" s="208"/>
      <c r="EK111" s="208"/>
      <c r="EL111" s="208"/>
      <c r="EM111" s="208"/>
      <c r="EN111" s="208"/>
      <c r="EO111" s="208"/>
      <c r="EP111" s="208"/>
      <c r="EQ111" s="208"/>
      <c r="ER111" s="208"/>
      <c r="ES111" s="208"/>
      <c r="ET111" s="208"/>
      <c r="EU111" s="208"/>
      <c r="EV111" s="208"/>
      <c r="EW111" s="208"/>
      <c r="EX111" s="208"/>
      <c r="EY111" s="208"/>
      <c r="EZ111" s="208"/>
      <c r="FA111" s="208"/>
      <c r="FB111" s="208"/>
      <c r="FC111" s="208"/>
      <c r="FD111" s="208"/>
      <c r="FE111" s="208"/>
      <c r="FF111" s="208"/>
      <c r="FG111" s="208"/>
      <c r="FH111" s="208"/>
      <c r="FI111" s="208"/>
      <c r="FJ111" s="208"/>
      <c r="FK111" s="208"/>
      <c r="FL111" s="208"/>
      <c r="FM111" s="208"/>
      <c r="FN111" s="208"/>
      <c r="FO111" s="208"/>
      <c r="FP111" s="208"/>
      <c r="FQ111" s="208"/>
      <c r="FR111" s="208"/>
      <c r="FS111" s="208"/>
      <c r="FT111" s="208"/>
      <c r="FU111" s="208"/>
      <c r="FV111" s="208"/>
      <c r="FW111" s="208"/>
      <c r="FX111" s="208"/>
      <c r="FY111" s="208"/>
      <c r="FZ111" s="208"/>
      <c r="GA111" s="208"/>
      <c r="GB111" s="208"/>
      <c r="GC111" s="208"/>
      <c r="GD111" s="208"/>
      <c r="GE111" s="208"/>
      <c r="GF111" s="208"/>
    </row>
    <row r="112" spans="1:188" s="209" customFormat="1" ht="15" x14ac:dyDescent="0.25">
      <c r="A112" s="195" t="s">
        <v>4878</v>
      </c>
      <c r="B112" s="195" t="s">
        <v>1019</v>
      </c>
      <c r="C112" s="196" t="s">
        <v>2858</v>
      </c>
      <c r="D112" s="154" t="s">
        <v>78</v>
      </c>
      <c r="E112" s="154">
        <v>1610</v>
      </c>
      <c r="F112" s="154">
        <v>0.1</v>
      </c>
      <c r="G112" s="197"/>
      <c r="H112" s="198"/>
      <c r="I112" s="151">
        <f>IFERROR(INDEX(Composições!$A$5:$J$8391,MATCH(B112,Composições!$A$5:$A$8391,0)+2,8),"")</f>
        <v>98.407203499999994</v>
      </c>
      <c r="J112" s="152">
        <f t="shared" si="12"/>
        <v>15843.56</v>
      </c>
      <c r="K112" s="198">
        <f>BDI!$B$17</f>
        <v>0.191</v>
      </c>
      <c r="L112" s="198"/>
      <c r="M112" s="198"/>
      <c r="N112" s="153">
        <f t="shared" si="13"/>
        <v>117.2</v>
      </c>
      <c r="O112" s="152">
        <f t="shared" si="14"/>
        <v>18869.2</v>
      </c>
      <c r="P112" s="225"/>
      <c r="Q112" s="208"/>
      <c r="R112" s="208"/>
      <c r="S112"/>
      <c r="T112" s="208"/>
      <c r="U112" s="208"/>
      <c r="V112" s="208"/>
      <c r="W112" s="208"/>
      <c r="X112" s="208"/>
      <c r="Y112" s="208"/>
      <c r="Z112" s="208"/>
      <c r="AA112" s="208"/>
      <c r="AB112" s="208"/>
      <c r="AC112" s="208"/>
      <c r="AD112" s="208"/>
      <c r="AE112" s="208"/>
      <c r="AF112" s="208"/>
      <c r="AG112" s="208"/>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c r="BI112" s="208"/>
      <c r="BJ112" s="208"/>
      <c r="BK112" s="208"/>
      <c r="BL112" s="208"/>
      <c r="BM112" s="208"/>
      <c r="BN112" s="208"/>
      <c r="BO112" s="208"/>
      <c r="BP112" s="208"/>
      <c r="BQ112" s="208"/>
      <c r="BR112" s="208"/>
      <c r="BS112" s="208"/>
      <c r="BT112" s="208"/>
      <c r="BU112" s="208"/>
      <c r="BV112" s="208"/>
      <c r="BW112" s="208"/>
      <c r="BX112" s="208"/>
      <c r="BY112" s="208"/>
      <c r="BZ112" s="208"/>
      <c r="CA112" s="208"/>
      <c r="CB112" s="208"/>
      <c r="CC112" s="208"/>
      <c r="CD112" s="208"/>
      <c r="CE112" s="208"/>
      <c r="CF112" s="208"/>
      <c r="CG112" s="208"/>
      <c r="CH112" s="208"/>
      <c r="CI112" s="208"/>
      <c r="CJ112" s="208"/>
      <c r="CK112" s="208"/>
      <c r="CL112" s="208"/>
      <c r="CM112" s="208"/>
      <c r="CN112" s="208"/>
      <c r="CO112" s="208"/>
      <c r="CP112" s="208"/>
      <c r="CQ112" s="208"/>
      <c r="CR112" s="208"/>
      <c r="CS112" s="208"/>
      <c r="CT112" s="208"/>
      <c r="CU112" s="208"/>
      <c r="CV112" s="208"/>
      <c r="CW112" s="208"/>
      <c r="CX112" s="208"/>
      <c r="CY112" s="208"/>
      <c r="CZ112" s="208"/>
      <c r="DA112" s="208"/>
      <c r="DB112" s="208"/>
      <c r="DC112" s="208"/>
      <c r="DD112" s="208"/>
      <c r="DE112" s="208"/>
      <c r="DF112" s="208"/>
      <c r="DG112" s="208"/>
      <c r="DH112" s="208"/>
      <c r="DI112" s="208"/>
      <c r="DJ112" s="208"/>
      <c r="DK112" s="208"/>
      <c r="DL112" s="208"/>
      <c r="DM112" s="208"/>
      <c r="DN112" s="208"/>
      <c r="DO112" s="208"/>
      <c r="DP112" s="208"/>
      <c r="DQ112" s="208"/>
      <c r="DR112" s="208"/>
      <c r="DS112" s="208"/>
      <c r="DT112" s="208"/>
      <c r="DU112" s="208"/>
      <c r="DV112" s="208"/>
      <c r="DW112" s="208"/>
      <c r="DX112" s="208"/>
      <c r="DY112" s="208"/>
      <c r="DZ112" s="208"/>
      <c r="EA112" s="208"/>
      <c r="EB112" s="208"/>
      <c r="EC112" s="208"/>
      <c r="ED112" s="208"/>
      <c r="EE112" s="208"/>
      <c r="EF112" s="208"/>
      <c r="EG112" s="208"/>
      <c r="EH112" s="208"/>
      <c r="EI112" s="208"/>
      <c r="EJ112" s="208"/>
      <c r="EK112" s="208"/>
      <c r="EL112" s="208"/>
      <c r="EM112" s="208"/>
      <c r="EN112" s="208"/>
      <c r="EO112" s="208"/>
      <c r="EP112" s="208"/>
      <c r="EQ112" s="208"/>
      <c r="ER112" s="208"/>
      <c r="ES112" s="208"/>
      <c r="ET112" s="208"/>
      <c r="EU112" s="208"/>
      <c r="EV112" s="208"/>
      <c r="EW112" s="208"/>
      <c r="EX112" s="208"/>
      <c r="EY112" s="208"/>
      <c r="EZ112" s="208"/>
      <c r="FA112" s="208"/>
      <c r="FB112" s="208"/>
      <c r="FC112" s="208"/>
      <c r="FD112" s="208"/>
      <c r="FE112" s="208"/>
      <c r="FF112" s="208"/>
      <c r="FG112" s="208"/>
      <c r="FH112" s="208"/>
      <c r="FI112" s="208"/>
      <c r="FJ112" s="208"/>
      <c r="FK112" s="208"/>
      <c r="FL112" s="208"/>
      <c r="FM112" s="208"/>
      <c r="FN112" s="208"/>
      <c r="FO112" s="208"/>
      <c r="FP112" s="208"/>
      <c r="FQ112" s="208"/>
      <c r="FR112" s="208"/>
      <c r="FS112" s="208"/>
      <c r="FT112" s="208"/>
      <c r="FU112" s="208"/>
      <c r="FV112" s="208"/>
      <c r="FW112" s="208"/>
      <c r="FX112" s="208"/>
      <c r="FY112" s="208"/>
      <c r="FZ112" s="208"/>
      <c r="GA112" s="208"/>
      <c r="GB112" s="208"/>
      <c r="GC112" s="208"/>
      <c r="GD112" s="208"/>
      <c r="GE112" s="208"/>
      <c r="GF112" s="208"/>
    </row>
    <row r="113" spans="1:188" s="209" customFormat="1" ht="15" x14ac:dyDescent="0.25">
      <c r="A113" s="195" t="s">
        <v>4879</v>
      </c>
      <c r="B113" s="195" t="s">
        <v>1020</v>
      </c>
      <c r="C113" s="196" t="s">
        <v>2859</v>
      </c>
      <c r="D113" s="154" t="s">
        <v>78</v>
      </c>
      <c r="E113" s="154">
        <v>2970</v>
      </c>
      <c r="F113" s="154">
        <v>0.1</v>
      </c>
      <c r="G113" s="197"/>
      <c r="H113" s="198"/>
      <c r="I113" s="151">
        <f>IFERROR(INDEX(Composições!$A$5:$J$8391,MATCH(B113,Composições!$A$5:$A$8391,0)+2,8),"")</f>
        <v>93.769246339999995</v>
      </c>
      <c r="J113" s="152">
        <f t="shared" si="12"/>
        <v>27849.47</v>
      </c>
      <c r="K113" s="198">
        <f>BDI!$B$17</f>
        <v>0.191</v>
      </c>
      <c r="L113" s="198"/>
      <c r="M113" s="198"/>
      <c r="N113" s="153">
        <f t="shared" si="13"/>
        <v>111.68</v>
      </c>
      <c r="O113" s="152">
        <f t="shared" si="14"/>
        <v>33168.959999999999</v>
      </c>
      <c r="P113" s="225"/>
      <c r="Q113" s="208"/>
      <c r="R113" s="208"/>
      <c r="S113"/>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c r="BI113" s="208"/>
      <c r="BJ113" s="208"/>
      <c r="BK113" s="208"/>
      <c r="BL113" s="208"/>
      <c r="BM113" s="208"/>
      <c r="BN113" s="208"/>
      <c r="BO113" s="208"/>
      <c r="BP113" s="208"/>
      <c r="BQ113" s="208"/>
      <c r="BR113" s="208"/>
      <c r="BS113" s="208"/>
      <c r="BT113" s="208"/>
      <c r="BU113" s="208"/>
      <c r="BV113" s="208"/>
      <c r="BW113" s="208"/>
      <c r="BX113" s="208"/>
      <c r="BY113" s="208"/>
      <c r="BZ113" s="208"/>
      <c r="CA113" s="208"/>
      <c r="CB113" s="208"/>
      <c r="CC113" s="208"/>
      <c r="CD113" s="208"/>
      <c r="CE113" s="208"/>
      <c r="CF113" s="208"/>
      <c r="CG113" s="208"/>
      <c r="CH113" s="208"/>
      <c r="CI113" s="208"/>
      <c r="CJ113" s="208"/>
      <c r="CK113" s="208"/>
      <c r="CL113" s="208"/>
      <c r="CM113" s="208"/>
      <c r="CN113" s="208"/>
      <c r="CO113" s="208"/>
      <c r="CP113" s="208"/>
      <c r="CQ113" s="208"/>
      <c r="CR113" s="208"/>
      <c r="CS113" s="208"/>
      <c r="CT113" s="208"/>
      <c r="CU113" s="208"/>
      <c r="CV113" s="208"/>
      <c r="CW113" s="208"/>
      <c r="CX113" s="208"/>
      <c r="CY113" s="208"/>
      <c r="CZ113" s="208"/>
      <c r="DA113" s="208"/>
      <c r="DB113" s="208"/>
      <c r="DC113" s="208"/>
      <c r="DD113" s="208"/>
      <c r="DE113" s="208"/>
      <c r="DF113" s="208"/>
      <c r="DG113" s="208"/>
      <c r="DH113" s="208"/>
      <c r="DI113" s="208"/>
      <c r="DJ113" s="208"/>
      <c r="DK113" s="208"/>
      <c r="DL113" s="208"/>
      <c r="DM113" s="208"/>
      <c r="DN113" s="208"/>
      <c r="DO113" s="208"/>
      <c r="DP113" s="208"/>
      <c r="DQ113" s="208"/>
      <c r="DR113" s="208"/>
      <c r="DS113" s="208"/>
      <c r="DT113" s="208"/>
      <c r="DU113" s="208"/>
      <c r="DV113" s="208"/>
      <c r="DW113" s="208"/>
      <c r="DX113" s="208"/>
      <c r="DY113" s="208"/>
      <c r="DZ113" s="208"/>
      <c r="EA113" s="208"/>
      <c r="EB113" s="208"/>
      <c r="EC113" s="208"/>
      <c r="ED113" s="208"/>
      <c r="EE113" s="208"/>
      <c r="EF113" s="208"/>
      <c r="EG113" s="208"/>
      <c r="EH113" s="208"/>
      <c r="EI113" s="208"/>
      <c r="EJ113" s="208"/>
      <c r="EK113" s="208"/>
      <c r="EL113" s="208"/>
      <c r="EM113" s="208"/>
      <c r="EN113" s="208"/>
      <c r="EO113" s="208"/>
      <c r="EP113" s="208"/>
      <c r="EQ113" s="208"/>
      <c r="ER113" s="208"/>
      <c r="ES113" s="208"/>
      <c r="ET113" s="208"/>
      <c r="EU113" s="208"/>
      <c r="EV113" s="208"/>
      <c r="EW113" s="208"/>
      <c r="EX113" s="208"/>
      <c r="EY113" s="208"/>
      <c r="EZ113" s="208"/>
      <c r="FA113" s="208"/>
      <c r="FB113" s="208"/>
      <c r="FC113" s="208"/>
      <c r="FD113" s="208"/>
      <c r="FE113" s="208"/>
      <c r="FF113" s="208"/>
      <c r="FG113" s="208"/>
      <c r="FH113" s="208"/>
      <c r="FI113" s="208"/>
      <c r="FJ113" s="208"/>
      <c r="FK113" s="208"/>
      <c r="FL113" s="208"/>
      <c r="FM113" s="208"/>
      <c r="FN113" s="208"/>
      <c r="FO113" s="208"/>
      <c r="FP113" s="208"/>
      <c r="FQ113" s="208"/>
      <c r="FR113" s="208"/>
      <c r="FS113" s="208"/>
      <c r="FT113" s="208"/>
      <c r="FU113" s="208"/>
      <c r="FV113" s="208"/>
      <c r="FW113" s="208"/>
      <c r="FX113" s="208"/>
      <c r="FY113" s="208"/>
      <c r="FZ113" s="208"/>
      <c r="GA113" s="208"/>
      <c r="GB113" s="208"/>
      <c r="GC113" s="208"/>
      <c r="GD113" s="208"/>
      <c r="GE113" s="208"/>
      <c r="GF113" s="208"/>
    </row>
    <row r="114" spans="1:188" s="209" customFormat="1" ht="15" x14ac:dyDescent="0.25">
      <c r="A114" s="195" t="s">
        <v>4880</v>
      </c>
      <c r="B114" s="195" t="s">
        <v>3685</v>
      </c>
      <c r="C114" s="196" t="s">
        <v>3686</v>
      </c>
      <c r="D114" s="154" t="s">
        <v>121</v>
      </c>
      <c r="E114" s="154">
        <v>3000</v>
      </c>
      <c r="F114" s="154">
        <v>0.1</v>
      </c>
      <c r="G114" s="197"/>
      <c r="H114" s="198"/>
      <c r="I114" s="247">
        <v>30.9</v>
      </c>
      <c r="J114" s="152">
        <f t="shared" si="12"/>
        <v>9270</v>
      </c>
      <c r="K114" s="198">
        <f>BDI!$B$17</f>
        <v>0.191</v>
      </c>
      <c r="L114" s="198"/>
      <c r="M114" s="198"/>
      <c r="N114" s="153">
        <f t="shared" si="13"/>
        <v>36.799999999999997</v>
      </c>
      <c r="O114" s="152">
        <f t="shared" si="14"/>
        <v>11040</v>
      </c>
      <c r="P114" s="225"/>
      <c r="Q114" s="208"/>
      <c r="R114" s="208"/>
      <c r="S114"/>
      <c r="T114" s="208"/>
      <c r="U114" s="208"/>
      <c r="V114" s="208"/>
      <c r="W114" s="208"/>
      <c r="X114" s="208"/>
      <c r="Y114" s="208"/>
      <c r="Z114" s="208"/>
      <c r="AA114" s="208"/>
      <c r="AB114" s="208"/>
      <c r="AC114" s="208"/>
      <c r="AD114" s="208"/>
      <c r="AE114" s="208"/>
      <c r="AF114" s="208"/>
      <c r="AG114" s="208"/>
      <c r="AH114" s="208"/>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c r="BI114" s="208"/>
      <c r="BJ114" s="208"/>
      <c r="BK114" s="208"/>
      <c r="BL114" s="208"/>
      <c r="BM114" s="208"/>
      <c r="BN114" s="208"/>
      <c r="BO114" s="208"/>
      <c r="BP114" s="208"/>
      <c r="BQ114" s="208"/>
      <c r="BR114" s="208"/>
      <c r="BS114" s="208"/>
      <c r="BT114" s="208"/>
      <c r="BU114" s="208"/>
      <c r="BV114" s="208"/>
      <c r="BW114" s="208"/>
      <c r="BX114" s="208"/>
      <c r="BY114" s="208"/>
      <c r="BZ114" s="208"/>
      <c r="CA114" s="208"/>
      <c r="CB114" s="208"/>
      <c r="CC114" s="208"/>
      <c r="CD114" s="208"/>
      <c r="CE114" s="208"/>
      <c r="CF114" s="208"/>
      <c r="CG114" s="208"/>
      <c r="CH114" s="208"/>
      <c r="CI114" s="208"/>
      <c r="CJ114" s="208"/>
      <c r="CK114" s="208"/>
      <c r="CL114" s="208"/>
      <c r="CM114" s="208"/>
      <c r="CN114" s="208"/>
      <c r="CO114" s="208"/>
      <c r="CP114" s="208"/>
      <c r="CQ114" s="208"/>
      <c r="CR114" s="208"/>
      <c r="CS114" s="208"/>
      <c r="CT114" s="208"/>
      <c r="CU114" s="208"/>
      <c r="CV114" s="208"/>
      <c r="CW114" s="208"/>
      <c r="CX114" s="208"/>
      <c r="CY114" s="208"/>
      <c r="CZ114" s="208"/>
      <c r="DA114" s="208"/>
      <c r="DB114" s="208"/>
      <c r="DC114" s="208"/>
      <c r="DD114" s="208"/>
      <c r="DE114" s="208"/>
      <c r="DF114" s="208"/>
      <c r="DG114" s="208"/>
      <c r="DH114" s="208"/>
      <c r="DI114" s="208"/>
      <c r="DJ114" s="208"/>
      <c r="DK114" s="208"/>
      <c r="DL114" s="208"/>
      <c r="DM114" s="208"/>
      <c r="DN114" s="208"/>
      <c r="DO114" s="208"/>
      <c r="DP114" s="208"/>
      <c r="DQ114" s="208"/>
      <c r="DR114" s="208"/>
      <c r="DS114" s="208"/>
      <c r="DT114" s="208"/>
      <c r="DU114" s="208"/>
      <c r="DV114" s="208"/>
      <c r="DW114" s="208"/>
      <c r="DX114" s="208"/>
      <c r="DY114" s="208"/>
      <c r="DZ114" s="208"/>
      <c r="EA114" s="208"/>
      <c r="EB114" s="208"/>
      <c r="EC114" s="208"/>
      <c r="ED114" s="208"/>
      <c r="EE114" s="208"/>
      <c r="EF114" s="208"/>
      <c r="EG114" s="208"/>
      <c r="EH114" s="208"/>
      <c r="EI114" s="208"/>
      <c r="EJ114" s="208"/>
      <c r="EK114" s="208"/>
      <c r="EL114" s="208"/>
      <c r="EM114" s="208"/>
      <c r="EN114" s="208"/>
      <c r="EO114" s="208"/>
      <c r="EP114" s="208"/>
      <c r="EQ114" s="208"/>
      <c r="ER114" s="208"/>
      <c r="ES114" s="208"/>
      <c r="ET114" s="208"/>
      <c r="EU114" s="208"/>
      <c r="EV114" s="208"/>
      <c r="EW114" s="208"/>
      <c r="EX114" s="208"/>
      <c r="EY114" s="208"/>
      <c r="EZ114" s="208"/>
      <c r="FA114" s="208"/>
      <c r="FB114" s="208"/>
      <c r="FC114" s="208"/>
      <c r="FD114" s="208"/>
      <c r="FE114" s="208"/>
      <c r="FF114" s="208"/>
      <c r="FG114" s="208"/>
      <c r="FH114" s="208"/>
      <c r="FI114" s="208"/>
      <c r="FJ114" s="208"/>
      <c r="FK114" s="208"/>
      <c r="FL114" s="208"/>
      <c r="FM114" s="208"/>
      <c r="FN114" s="208"/>
      <c r="FO114" s="208"/>
      <c r="FP114" s="208"/>
      <c r="FQ114" s="208"/>
      <c r="FR114" s="208"/>
      <c r="FS114" s="208"/>
      <c r="FT114" s="208"/>
      <c r="FU114" s="208"/>
      <c r="FV114" s="208"/>
      <c r="FW114" s="208"/>
      <c r="FX114" s="208"/>
      <c r="FY114" s="208"/>
      <c r="FZ114" s="208"/>
      <c r="GA114" s="208"/>
      <c r="GB114" s="208"/>
      <c r="GC114" s="208"/>
      <c r="GD114" s="208"/>
      <c r="GE114" s="208"/>
      <c r="GF114" s="208"/>
    </row>
    <row r="115" spans="1:188" s="209" customFormat="1" ht="15" x14ac:dyDescent="0.25">
      <c r="A115" s="195" t="s">
        <v>4881</v>
      </c>
      <c r="B115" s="195" t="s">
        <v>1022</v>
      </c>
      <c r="C115" s="196" t="s">
        <v>2860</v>
      </c>
      <c r="D115" s="154" t="s">
        <v>78</v>
      </c>
      <c r="E115" s="154">
        <v>900</v>
      </c>
      <c r="F115" s="154">
        <v>0.1</v>
      </c>
      <c r="G115" s="197"/>
      <c r="H115" s="198"/>
      <c r="I115" s="151">
        <f>IFERROR(INDEX(Composições!$A$5:$J$8391,MATCH(B115,Composições!$A$5:$A$8391,0)+2,8),"")</f>
        <v>266.18846500000001</v>
      </c>
      <c r="J115" s="152">
        <f t="shared" si="12"/>
        <v>23956.959999999999</v>
      </c>
      <c r="K115" s="198">
        <f>BDI!$B$17</f>
        <v>0.191</v>
      </c>
      <c r="L115" s="198"/>
      <c r="M115" s="198"/>
      <c r="N115" s="153">
        <f t="shared" si="13"/>
        <v>317.02999999999997</v>
      </c>
      <c r="O115" s="152">
        <f t="shared" si="14"/>
        <v>28532.7</v>
      </c>
      <c r="P115" s="225"/>
      <c r="Q115" s="208"/>
      <c r="R115" s="208"/>
      <c r="S115"/>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c r="BI115" s="208"/>
      <c r="BJ115" s="208"/>
      <c r="BK115" s="208"/>
      <c r="BL115" s="208"/>
      <c r="BM115" s="208"/>
      <c r="BN115" s="208"/>
      <c r="BO115" s="208"/>
      <c r="BP115" s="208"/>
      <c r="BQ115" s="208"/>
      <c r="BR115" s="208"/>
      <c r="BS115" s="208"/>
      <c r="BT115" s="208"/>
      <c r="BU115" s="208"/>
      <c r="BV115" s="208"/>
      <c r="BW115" s="208"/>
      <c r="BX115" s="208"/>
      <c r="BY115" s="208"/>
      <c r="BZ115" s="208"/>
      <c r="CA115" s="208"/>
      <c r="CB115" s="208"/>
      <c r="CC115" s="208"/>
      <c r="CD115" s="208"/>
      <c r="CE115" s="208"/>
      <c r="CF115" s="208"/>
      <c r="CG115" s="208"/>
      <c r="CH115" s="208"/>
      <c r="CI115" s="208"/>
      <c r="CJ115" s="208"/>
      <c r="CK115" s="208"/>
      <c r="CL115" s="208"/>
      <c r="CM115" s="208"/>
      <c r="CN115" s="208"/>
      <c r="CO115" s="208"/>
      <c r="CP115" s="208"/>
      <c r="CQ115" s="208"/>
      <c r="CR115" s="208"/>
      <c r="CS115" s="208"/>
      <c r="CT115" s="208"/>
      <c r="CU115" s="208"/>
      <c r="CV115" s="208"/>
      <c r="CW115" s="208"/>
      <c r="CX115" s="208"/>
      <c r="CY115" s="208"/>
      <c r="CZ115" s="208"/>
      <c r="DA115" s="208"/>
      <c r="DB115" s="208"/>
      <c r="DC115" s="208"/>
      <c r="DD115" s="208"/>
      <c r="DE115" s="208"/>
      <c r="DF115" s="208"/>
      <c r="DG115" s="208"/>
      <c r="DH115" s="208"/>
      <c r="DI115" s="208"/>
      <c r="DJ115" s="208"/>
      <c r="DK115" s="208"/>
      <c r="DL115" s="208"/>
      <c r="DM115" s="208"/>
      <c r="DN115" s="208"/>
      <c r="DO115" s="208"/>
      <c r="DP115" s="208"/>
      <c r="DQ115" s="208"/>
      <c r="DR115" s="208"/>
      <c r="DS115" s="208"/>
      <c r="DT115" s="208"/>
      <c r="DU115" s="208"/>
      <c r="DV115" s="208"/>
      <c r="DW115" s="208"/>
      <c r="DX115" s="208"/>
      <c r="DY115" s="208"/>
      <c r="DZ115" s="208"/>
      <c r="EA115" s="208"/>
      <c r="EB115" s="208"/>
      <c r="EC115" s="208"/>
      <c r="ED115" s="208"/>
      <c r="EE115" s="208"/>
      <c r="EF115" s="208"/>
      <c r="EG115" s="208"/>
      <c r="EH115" s="208"/>
      <c r="EI115" s="208"/>
      <c r="EJ115" s="208"/>
      <c r="EK115" s="208"/>
      <c r="EL115" s="208"/>
      <c r="EM115" s="208"/>
      <c r="EN115" s="208"/>
      <c r="EO115" s="208"/>
      <c r="EP115" s="208"/>
      <c r="EQ115" s="208"/>
      <c r="ER115" s="208"/>
      <c r="ES115" s="208"/>
      <c r="ET115" s="208"/>
      <c r="EU115" s="208"/>
      <c r="EV115" s="208"/>
      <c r="EW115" s="208"/>
      <c r="EX115" s="208"/>
      <c r="EY115" s="208"/>
      <c r="EZ115" s="208"/>
      <c r="FA115" s="208"/>
      <c r="FB115" s="208"/>
      <c r="FC115" s="208"/>
      <c r="FD115" s="208"/>
      <c r="FE115" s="208"/>
      <c r="FF115" s="208"/>
      <c r="FG115" s="208"/>
      <c r="FH115" s="208"/>
      <c r="FI115" s="208"/>
      <c r="FJ115" s="208"/>
      <c r="FK115" s="208"/>
      <c r="FL115" s="208"/>
      <c r="FM115" s="208"/>
      <c r="FN115" s="208"/>
      <c r="FO115" s="208"/>
      <c r="FP115" s="208"/>
      <c r="FQ115" s="208"/>
      <c r="FR115" s="208"/>
      <c r="FS115" s="208"/>
      <c r="FT115" s="208"/>
      <c r="FU115" s="208"/>
      <c r="FV115" s="208"/>
      <c r="FW115" s="208"/>
      <c r="FX115" s="208"/>
      <c r="FY115" s="208"/>
      <c r="FZ115" s="208"/>
      <c r="GA115" s="208"/>
      <c r="GB115" s="208"/>
      <c r="GC115" s="208"/>
      <c r="GD115" s="208"/>
      <c r="GE115" s="208"/>
      <c r="GF115" s="208"/>
    </row>
    <row r="116" spans="1:188" s="209" customFormat="1" ht="15" x14ac:dyDescent="0.25">
      <c r="A116" s="195" t="s">
        <v>4882</v>
      </c>
      <c r="B116" s="195" t="s">
        <v>1024</v>
      </c>
      <c r="C116" s="196" t="s">
        <v>2861</v>
      </c>
      <c r="D116" s="154" t="s">
        <v>78</v>
      </c>
      <c r="E116" s="154">
        <v>900</v>
      </c>
      <c r="F116" s="154">
        <v>0.1</v>
      </c>
      <c r="G116" s="197"/>
      <c r="H116" s="198"/>
      <c r="I116" s="151">
        <f>IFERROR(INDEX(Composições!$A$5:$J$8391,MATCH(B116,Composições!$A$5:$A$8391,0)+2,8),"")</f>
        <v>342.39746500000001</v>
      </c>
      <c r="J116" s="152">
        <f t="shared" si="12"/>
        <v>30815.77</v>
      </c>
      <c r="K116" s="198">
        <f>BDI!$B$17</f>
        <v>0.191</v>
      </c>
      <c r="L116" s="198"/>
      <c r="M116" s="198"/>
      <c r="N116" s="153">
        <f t="shared" si="13"/>
        <v>407.8</v>
      </c>
      <c r="O116" s="152">
        <f t="shared" si="14"/>
        <v>36702</v>
      </c>
      <c r="P116" s="225"/>
      <c r="Q116" s="208"/>
      <c r="R116" s="208"/>
      <c r="S116"/>
      <c r="T116" s="208"/>
      <c r="U116" s="208"/>
      <c r="V116" s="208"/>
      <c r="W116" s="208"/>
      <c r="X116" s="208"/>
      <c r="Y116" s="208"/>
      <c r="Z116" s="208"/>
      <c r="AA116" s="208"/>
      <c r="AB116" s="208"/>
      <c r="AC116" s="208"/>
      <c r="AD116" s="208"/>
      <c r="AE116" s="208"/>
      <c r="AF116" s="208"/>
      <c r="AG116" s="208"/>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c r="BI116" s="208"/>
      <c r="BJ116" s="208"/>
      <c r="BK116" s="208"/>
      <c r="BL116" s="208"/>
      <c r="BM116" s="208"/>
      <c r="BN116" s="208"/>
      <c r="BO116" s="208"/>
      <c r="BP116" s="208"/>
      <c r="BQ116" s="208"/>
      <c r="BR116" s="208"/>
      <c r="BS116" s="208"/>
      <c r="BT116" s="208"/>
      <c r="BU116" s="208"/>
      <c r="BV116" s="208"/>
      <c r="BW116" s="208"/>
      <c r="BX116" s="208"/>
      <c r="BY116" s="208"/>
      <c r="BZ116" s="208"/>
      <c r="CA116" s="208"/>
      <c r="CB116" s="208"/>
      <c r="CC116" s="208"/>
      <c r="CD116" s="208"/>
      <c r="CE116" s="208"/>
      <c r="CF116" s="208"/>
      <c r="CG116" s="208"/>
      <c r="CH116" s="208"/>
      <c r="CI116" s="208"/>
      <c r="CJ116" s="208"/>
      <c r="CK116" s="208"/>
      <c r="CL116" s="208"/>
      <c r="CM116" s="208"/>
      <c r="CN116" s="208"/>
      <c r="CO116" s="208"/>
      <c r="CP116" s="208"/>
      <c r="CQ116" s="208"/>
      <c r="CR116" s="208"/>
      <c r="CS116" s="208"/>
      <c r="CT116" s="208"/>
      <c r="CU116" s="208"/>
      <c r="CV116" s="208"/>
      <c r="CW116" s="208"/>
      <c r="CX116" s="208"/>
      <c r="CY116" s="208"/>
      <c r="CZ116" s="208"/>
      <c r="DA116" s="208"/>
      <c r="DB116" s="208"/>
      <c r="DC116" s="208"/>
      <c r="DD116" s="208"/>
      <c r="DE116" s="208"/>
      <c r="DF116" s="208"/>
      <c r="DG116" s="208"/>
      <c r="DH116" s="208"/>
      <c r="DI116" s="208"/>
      <c r="DJ116" s="208"/>
      <c r="DK116" s="208"/>
      <c r="DL116" s="208"/>
      <c r="DM116" s="208"/>
      <c r="DN116" s="208"/>
      <c r="DO116" s="208"/>
      <c r="DP116" s="208"/>
      <c r="DQ116" s="208"/>
      <c r="DR116" s="208"/>
      <c r="DS116" s="208"/>
      <c r="DT116" s="208"/>
      <c r="DU116" s="208"/>
      <c r="DV116" s="208"/>
      <c r="DW116" s="208"/>
      <c r="DX116" s="208"/>
      <c r="DY116" s="208"/>
      <c r="DZ116" s="208"/>
      <c r="EA116" s="208"/>
      <c r="EB116" s="208"/>
      <c r="EC116" s="208"/>
      <c r="ED116" s="208"/>
      <c r="EE116" s="208"/>
      <c r="EF116" s="208"/>
      <c r="EG116" s="208"/>
      <c r="EH116" s="208"/>
      <c r="EI116" s="208"/>
      <c r="EJ116" s="208"/>
      <c r="EK116" s="208"/>
      <c r="EL116" s="208"/>
      <c r="EM116" s="208"/>
      <c r="EN116" s="208"/>
      <c r="EO116" s="208"/>
      <c r="EP116" s="208"/>
      <c r="EQ116" s="208"/>
      <c r="ER116" s="208"/>
      <c r="ES116" s="208"/>
      <c r="ET116" s="208"/>
      <c r="EU116" s="208"/>
      <c r="EV116" s="208"/>
      <c r="EW116" s="208"/>
      <c r="EX116" s="208"/>
      <c r="EY116" s="208"/>
      <c r="EZ116" s="208"/>
      <c r="FA116" s="208"/>
      <c r="FB116" s="208"/>
      <c r="FC116" s="208"/>
      <c r="FD116" s="208"/>
      <c r="FE116" s="208"/>
      <c r="FF116" s="208"/>
      <c r="FG116" s="208"/>
      <c r="FH116" s="208"/>
      <c r="FI116" s="208"/>
      <c r="FJ116" s="208"/>
      <c r="FK116" s="208"/>
      <c r="FL116" s="208"/>
      <c r="FM116" s="208"/>
      <c r="FN116" s="208"/>
      <c r="FO116" s="208"/>
      <c r="FP116" s="208"/>
      <c r="FQ116" s="208"/>
      <c r="FR116" s="208"/>
      <c r="FS116" s="208"/>
      <c r="FT116" s="208"/>
      <c r="FU116" s="208"/>
      <c r="FV116" s="208"/>
      <c r="FW116" s="208"/>
      <c r="FX116" s="208"/>
      <c r="FY116" s="208"/>
      <c r="FZ116" s="208"/>
      <c r="GA116" s="208"/>
      <c r="GB116" s="208"/>
      <c r="GC116" s="208"/>
      <c r="GD116" s="208"/>
      <c r="GE116" s="208"/>
      <c r="GF116" s="208"/>
    </row>
    <row r="117" spans="1:188" s="225" customFormat="1" ht="15" x14ac:dyDescent="0.25">
      <c r="A117" s="189" t="s">
        <v>4883</v>
      </c>
      <c r="B117" s="189"/>
      <c r="C117" s="190" t="s">
        <v>4884</v>
      </c>
      <c r="D117" s="191"/>
      <c r="E117" s="191"/>
      <c r="F117" s="191"/>
      <c r="G117" s="192"/>
      <c r="H117" s="193"/>
      <c r="I117" s="246"/>
      <c r="J117" s="194">
        <f>SUBTOTAL(109,J118:J125)</f>
        <v>284197.75</v>
      </c>
      <c r="K117" s="191"/>
      <c r="L117" s="191"/>
      <c r="M117" s="191"/>
      <c r="N117" s="191"/>
      <c r="O117" s="194">
        <f>SUBTOTAL(109,O118:O125)</f>
        <v>338474.97999999992</v>
      </c>
      <c r="Q117" s="208"/>
      <c r="R117" s="208"/>
      <c r="S117"/>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c r="BI117" s="208"/>
      <c r="BJ117" s="208"/>
      <c r="BK117" s="208"/>
      <c r="BL117" s="208"/>
      <c r="BM117" s="208"/>
      <c r="BN117" s="208"/>
      <c r="BO117" s="208"/>
      <c r="BP117" s="208"/>
      <c r="BQ117" s="208"/>
      <c r="BR117" s="208"/>
      <c r="BS117" s="208"/>
      <c r="BT117" s="208"/>
      <c r="BU117" s="208"/>
      <c r="BV117" s="208"/>
      <c r="BW117" s="208"/>
      <c r="BX117" s="208"/>
      <c r="BY117" s="208"/>
      <c r="BZ117" s="208"/>
      <c r="CA117" s="208"/>
      <c r="CB117" s="208"/>
      <c r="CC117" s="208"/>
      <c r="CD117" s="208"/>
      <c r="CE117" s="208"/>
      <c r="CF117" s="208"/>
      <c r="CG117" s="208"/>
      <c r="CH117" s="208"/>
      <c r="CI117" s="208"/>
      <c r="CJ117" s="208"/>
      <c r="CK117" s="208"/>
      <c r="CL117" s="208"/>
      <c r="CM117" s="208"/>
      <c r="CN117" s="208"/>
      <c r="CO117" s="208"/>
      <c r="CP117" s="208"/>
      <c r="CQ117" s="208"/>
      <c r="CR117" s="208"/>
      <c r="CS117" s="208"/>
      <c r="CT117" s="208"/>
      <c r="CU117" s="208"/>
      <c r="CV117" s="208"/>
      <c r="CW117" s="208"/>
      <c r="CX117" s="208"/>
      <c r="CY117" s="208"/>
      <c r="CZ117" s="208"/>
      <c r="DA117" s="208"/>
      <c r="DB117" s="208"/>
      <c r="DC117" s="208"/>
      <c r="DD117" s="208"/>
      <c r="DE117" s="208"/>
      <c r="DF117" s="208"/>
      <c r="DG117" s="208"/>
      <c r="DH117" s="208"/>
      <c r="DI117" s="208"/>
      <c r="DJ117" s="208"/>
      <c r="DK117" s="208"/>
      <c r="DL117" s="208"/>
      <c r="DM117" s="208"/>
      <c r="DN117" s="208"/>
      <c r="DO117" s="208"/>
      <c r="DP117" s="208"/>
      <c r="DQ117" s="208"/>
      <c r="DR117" s="208"/>
      <c r="DS117" s="208"/>
      <c r="DT117" s="208"/>
      <c r="DU117" s="208"/>
      <c r="DV117" s="208"/>
      <c r="DW117" s="208"/>
      <c r="DX117" s="208"/>
      <c r="DY117" s="208"/>
      <c r="DZ117" s="208"/>
      <c r="EA117" s="208"/>
      <c r="EB117" s="208"/>
      <c r="EC117" s="208"/>
      <c r="ED117" s="208"/>
      <c r="EE117" s="208"/>
      <c r="EF117" s="208"/>
      <c r="EG117" s="208"/>
      <c r="EH117" s="208"/>
      <c r="EI117" s="208"/>
      <c r="EJ117" s="208"/>
      <c r="EK117" s="208"/>
      <c r="EL117" s="208"/>
      <c r="EM117" s="208"/>
      <c r="EN117" s="208"/>
      <c r="EO117" s="208"/>
      <c r="EP117" s="208"/>
      <c r="EQ117" s="208"/>
      <c r="ER117" s="208"/>
      <c r="ES117" s="208"/>
      <c r="ET117" s="208"/>
      <c r="EU117" s="208"/>
      <c r="EV117" s="208"/>
      <c r="EW117" s="208"/>
      <c r="EX117" s="208"/>
      <c r="EY117" s="208"/>
      <c r="EZ117" s="208"/>
      <c r="FA117" s="208"/>
      <c r="FB117" s="208"/>
      <c r="FC117" s="208"/>
      <c r="FD117" s="208"/>
      <c r="FE117" s="208"/>
      <c r="FF117" s="208"/>
      <c r="FG117" s="208"/>
      <c r="FH117" s="208"/>
      <c r="FI117" s="208"/>
      <c r="FJ117" s="208"/>
      <c r="FK117" s="208"/>
      <c r="FL117" s="208"/>
      <c r="FM117" s="208"/>
      <c r="FN117" s="208"/>
      <c r="FO117" s="208"/>
      <c r="FP117" s="208"/>
      <c r="FQ117" s="208"/>
      <c r="FR117" s="208"/>
      <c r="FS117" s="208"/>
      <c r="FT117" s="208"/>
      <c r="FU117" s="208"/>
      <c r="FV117" s="208"/>
      <c r="FW117" s="208"/>
      <c r="FX117" s="208"/>
      <c r="FY117" s="208"/>
      <c r="FZ117" s="208"/>
      <c r="GA117" s="208"/>
      <c r="GB117" s="208"/>
      <c r="GC117" s="208"/>
      <c r="GD117" s="208"/>
      <c r="GE117" s="208"/>
      <c r="GF117" s="208"/>
    </row>
    <row r="118" spans="1:188" s="209" customFormat="1" ht="15" x14ac:dyDescent="0.25">
      <c r="A118" s="195" t="s">
        <v>4885</v>
      </c>
      <c r="B118" s="195" t="s">
        <v>107</v>
      </c>
      <c r="C118" s="196" t="s">
        <v>2134</v>
      </c>
      <c r="D118" s="154" t="s">
        <v>78</v>
      </c>
      <c r="E118" s="154">
        <v>5890</v>
      </c>
      <c r="F118" s="154">
        <v>0.1</v>
      </c>
      <c r="G118" s="197"/>
      <c r="H118" s="198"/>
      <c r="I118" s="151">
        <f>IFERROR(INDEX(Composições!$A$5:$J$8391,MATCH(B118,Composições!$A$5:$A$8391,0)+2,8),"")</f>
        <v>79.84960615</v>
      </c>
      <c r="J118" s="152">
        <f t="shared" ref="J118:J125" si="15">IF(ISNUMBER(I118),ROUND(F118*E118*I118,2),"")</f>
        <v>47031.42</v>
      </c>
      <c r="K118" s="198">
        <f>BDI!$B$17</f>
        <v>0.191</v>
      </c>
      <c r="L118" s="198"/>
      <c r="M118" s="198"/>
      <c r="N118" s="153">
        <f t="shared" ref="N118:N125" si="16">IF(ISNUMBER(I118),ROUND(I118*(1+K118),2),"")</f>
        <v>95.1</v>
      </c>
      <c r="O118" s="152">
        <f t="shared" ref="O118:O125" si="17">IF(ISNUMBER(I118),ROUND(F118*N118*E118,2),"")</f>
        <v>56013.9</v>
      </c>
      <c r="P118" s="225"/>
      <c r="Q118" s="208"/>
      <c r="R118" s="208"/>
      <c r="S118"/>
      <c r="T118" s="208"/>
      <c r="U118" s="208"/>
      <c r="V118" s="208"/>
      <c r="W118" s="208"/>
      <c r="X118" s="208"/>
      <c r="Y118" s="208"/>
      <c r="Z118" s="208"/>
      <c r="AA118" s="208"/>
      <c r="AB118" s="208"/>
      <c r="AC118" s="208"/>
      <c r="AD118" s="208"/>
      <c r="AE118" s="208"/>
      <c r="AF118" s="208"/>
      <c r="AG118" s="208"/>
      <c r="AH118" s="208"/>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c r="BI118" s="208"/>
      <c r="BJ118" s="208"/>
      <c r="BK118" s="208"/>
      <c r="BL118" s="208"/>
      <c r="BM118" s="208"/>
      <c r="BN118" s="208"/>
      <c r="BO118" s="208"/>
      <c r="BP118" s="208"/>
      <c r="BQ118" s="208"/>
      <c r="BR118" s="208"/>
      <c r="BS118" s="208"/>
      <c r="BT118" s="208"/>
      <c r="BU118" s="208"/>
      <c r="BV118" s="208"/>
      <c r="BW118" s="208"/>
      <c r="BX118" s="208"/>
      <c r="BY118" s="208"/>
      <c r="BZ118" s="208"/>
      <c r="CA118" s="208"/>
      <c r="CB118" s="208"/>
      <c r="CC118" s="208"/>
      <c r="CD118" s="208"/>
      <c r="CE118" s="208"/>
      <c r="CF118" s="208"/>
      <c r="CG118" s="208"/>
      <c r="CH118" s="208"/>
      <c r="CI118" s="208"/>
      <c r="CJ118" s="208"/>
      <c r="CK118" s="208"/>
      <c r="CL118" s="208"/>
      <c r="CM118" s="208"/>
      <c r="CN118" s="208"/>
      <c r="CO118" s="208"/>
      <c r="CP118" s="208"/>
      <c r="CQ118" s="208"/>
      <c r="CR118" s="208"/>
      <c r="CS118" s="208"/>
      <c r="CT118" s="208"/>
      <c r="CU118" s="208"/>
      <c r="CV118" s="208"/>
      <c r="CW118" s="208"/>
      <c r="CX118" s="208"/>
      <c r="CY118" s="208"/>
      <c r="CZ118" s="208"/>
      <c r="DA118" s="208"/>
      <c r="DB118" s="208"/>
      <c r="DC118" s="208"/>
      <c r="DD118" s="208"/>
      <c r="DE118" s="208"/>
      <c r="DF118" s="208"/>
      <c r="DG118" s="208"/>
      <c r="DH118" s="208"/>
      <c r="DI118" s="208"/>
      <c r="DJ118" s="208"/>
      <c r="DK118" s="208"/>
      <c r="DL118" s="208"/>
      <c r="DM118" s="208"/>
      <c r="DN118" s="208"/>
      <c r="DO118" s="208"/>
      <c r="DP118" s="208"/>
      <c r="DQ118" s="208"/>
      <c r="DR118" s="208"/>
      <c r="DS118" s="208"/>
      <c r="DT118" s="208"/>
      <c r="DU118" s="208"/>
      <c r="DV118" s="208"/>
      <c r="DW118" s="208"/>
      <c r="DX118" s="208"/>
      <c r="DY118" s="208"/>
      <c r="DZ118" s="208"/>
      <c r="EA118" s="208"/>
      <c r="EB118" s="208"/>
      <c r="EC118" s="208"/>
      <c r="ED118" s="208"/>
      <c r="EE118" s="208"/>
      <c r="EF118" s="208"/>
      <c r="EG118" s="208"/>
      <c r="EH118" s="208"/>
      <c r="EI118" s="208"/>
      <c r="EJ118" s="208"/>
      <c r="EK118" s="208"/>
      <c r="EL118" s="208"/>
      <c r="EM118" s="208"/>
      <c r="EN118" s="208"/>
      <c r="EO118" s="208"/>
      <c r="EP118" s="208"/>
      <c r="EQ118" s="208"/>
      <c r="ER118" s="208"/>
      <c r="ES118" s="208"/>
      <c r="ET118" s="208"/>
      <c r="EU118" s="208"/>
      <c r="EV118" s="208"/>
      <c r="EW118" s="208"/>
      <c r="EX118" s="208"/>
      <c r="EY118" s="208"/>
      <c r="EZ118" s="208"/>
      <c r="FA118" s="208"/>
      <c r="FB118" s="208"/>
      <c r="FC118" s="208"/>
      <c r="FD118" s="208"/>
      <c r="FE118" s="208"/>
      <c r="FF118" s="208"/>
      <c r="FG118" s="208"/>
      <c r="FH118" s="208"/>
      <c r="FI118" s="208"/>
      <c r="FJ118" s="208"/>
      <c r="FK118" s="208"/>
      <c r="FL118" s="208"/>
      <c r="FM118" s="208"/>
      <c r="FN118" s="208"/>
      <c r="FO118" s="208"/>
      <c r="FP118" s="208"/>
      <c r="FQ118" s="208"/>
      <c r="FR118" s="208"/>
      <c r="FS118" s="208"/>
      <c r="FT118" s="208"/>
      <c r="FU118" s="208"/>
      <c r="FV118" s="208"/>
      <c r="FW118" s="208"/>
      <c r="FX118" s="208"/>
      <c r="FY118" s="208"/>
      <c r="FZ118" s="208"/>
      <c r="GA118" s="208"/>
      <c r="GB118" s="208"/>
      <c r="GC118" s="208"/>
      <c r="GD118" s="208"/>
      <c r="GE118" s="208"/>
      <c r="GF118" s="208"/>
    </row>
    <row r="119" spans="1:188" s="209" customFormat="1" ht="15" x14ac:dyDescent="0.25">
      <c r="A119" s="195" t="s">
        <v>4886</v>
      </c>
      <c r="B119" s="195" t="s">
        <v>108</v>
      </c>
      <c r="C119" s="196" t="s">
        <v>2135</v>
      </c>
      <c r="D119" s="154" t="s">
        <v>78</v>
      </c>
      <c r="E119" s="154">
        <v>320</v>
      </c>
      <c r="F119" s="154">
        <v>0.1</v>
      </c>
      <c r="G119" s="197"/>
      <c r="H119" s="198"/>
      <c r="I119" s="151">
        <f>IFERROR(INDEX(Composições!$A$5:$J$8391,MATCH(B119,Composições!$A$5:$A$8391,0)+2,8),"")</f>
        <v>5.7207166499999991</v>
      </c>
      <c r="J119" s="152">
        <f t="shared" si="15"/>
        <v>183.06</v>
      </c>
      <c r="K119" s="198">
        <f>BDI!$B$17</f>
        <v>0.191</v>
      </c>
      <c r="L119" s="198"/>
      <c r="M119" s="198"/>
      <c r="N119" s="153">
        <f t="shared" si="16"/>
        <v>6.81</v>
      </c>
      <c r="O119" s="152">
        <f t="shared" si="17"/>
        <v>217.92</v>
      </c>
      <c r="P119" s="225"/>
      <c r="Q119" s="208"/>
      <c r="R119" s="208"/>
      <c r="S119"/>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c r="BI119" s="208"/>
      <c r="BJ119" s="208"/>
      <c r="BK119" s="208"/>
      <c r="BL119" s="208"/>
      <c r="BM119" s="208"/>
      <c r="BN119" s="208"/>
      <c r="BO119" s="208"/>
      <c r="BP119" s="208"/>
      <c r="BQ119" s="208"/>
      <c r="BR119" s="208"/>
      <c r="BS119" s="208"/>
      <c r="BT119" s="208"/>
      <c r="BU119" s="208"/>
      <c r="BV119" s="208"/>
      <c r="BW119" s="208"/>
      <c r="BX119" s="208"/>
      <c r="BY119" s="208"/>
      <c r="BZ119" s="208"/>
      <c r="CA119" s="208"/>
      <c r="CB119" s="208"/>
      <c r="CC119" s="208"/>
      <c r="CD119" s="208"/>
      <c r="CE119" s="208"/>
      <c r="CF119" s="208"/>
      <c r="CG119" s="208"/>
      <c r="CH119" s="208"/>
      <c r="CI119" s="208"/>
      <c r="CJ119" s="208"/>
      <c r="CK119" s="208"/>
      <c r="CL119" s="208"/>
      <c r="CM119" s="208"/>
      <c r="CN119" s="208"/>
      <c r="CO119" s="208"/>
      <c r="CP119" s="208"/>
      <c r="CQ119" s="208"/>
      <c r="CR119" s="208"/>
      <c r="CS119" s="208"/>
      <c r="CT119" s="208"/>
      <c r="CU119" s="208"/>
      <c r="CV119" s="208"/>
      <c r="CW119" s="208"/>
      <c r="CX119" s="208"/>
      <c r="CY119" s="208"/>
      <c r="CZ119" s="208"/>
      <c r="DA119" s="208"/>
      <c r="DB119" s="208"/>
      <c r="DC119" s="208"/>
      <c r="DD119" s="208"/>
      <c r="DE119" s="208"/>
      <c r="DF119" s="208"/>
      <c r="DG119" s="208"/>
      <c r="DH119" s="208"/>
      <c r="DI119" s="208"/>
      <c r="DJ119" s="208"/>
      <c r="DK119" s="208"/>
      <c r="DL119" s="208"/>
      <c r="DM119" s="208"/>
      <c r="DN119" s="208"/>
      <c r="DO119" s="208"/>
      <c r="DP119" s="208"/>
      <c r="DQ119" s="208"/>
      <c r="DR119" s="208"/>
      <c r="DS119" s="208"/>
      <c r="DT119" s="208"/>
      <c r="DU119" s="208"/>
      <c r="DV119" s="208"/>
      <c r="DW119" s="208"/>
      <c r="DX119" s="208"/>
      <c r="DY119" s="208"/>
      <c r="DZ119" s="208"/>
      <c r="EA119" s="208"/>
      <c r="EB119" s="208"/>
      <c r="EC119" s="208"/>
      <c r="ED119" s="208"/>
      <c r="EE119" s="208"/>
      <c r="EF119" s="208"/>
      <c r="EG119" s="208"/>
      <c r="EH119" s="208"/>
      <c r="EI119" s="208"/>
      <c r="EJ119" s="208"/>
      <c r="EK119" s="208"/>
      <c r="EL119" s="208"/>
      <c r="EM119" s="208"/>
      <c r="EN119" s="208"/>
      <c r="EO119" s="208"/>
      <c r="EP119" s="208"/>
      <c r="EQ119" s="208"/>
      <c r="ER119" s="208"/>
      <c r="ES119" s="208"/>
      <c r="ET119" s="208"/>
      <c r="EU119" s="208"/>
      <c r="EV119" s="208"/>
      <c r="EW119" s="208"/>
      <c r="EX119" s="208"/>
      <c r="EY119" s="208"/>
      <c r="EZ119" s="208"/>
      <c r="FA119" s="208"/>
      <c r="FB119" s="208"/>
      <c r="FC119" s="208"/>
      <c r="FD119" s="208"/>
      <c r="FE119" s="208"/>
      <c r="FF119" s="208"/>
      <c r="FG119" s="208"/>
      <c r="FH119" s="208"/>
      <c r="FI119" s="208"/>
      <c r="FJ119" s="208"/>
      <c r="FK119" s="208"/>
      <c r="FL119" s="208"/>
      <c r="FM119" s="208"/>
      <c r="FN119" s="208"/>
      <c r="FO119" s="208"/>
      <c r="FP119" s="208"/>
      <c r="FQ119" s="208"/>
      <c r="FR119" s="208"/>
      <c r="FS119" s="208"/>
      <c r="FT119" s="208"/>
      <c r="FU119" s="208"/>
      <c r="FV119" s="208"/>
      <c r="FW119" s="208"/>
      <c r="FX119" s="208"/>
      <c r="FY119" s="208"/>
      <c r="FZ119" s="208"/>
      <c r="GA119" s="208"/>
      <c r="GB119" s="208"/>
      <c r="GC119" s="208"/>
      <c r="GD119" s="208"/>
      <c r="GE119" s="208"/>
      <c r="GF119" s="208"/>
    </row>
    <row r="120" spans="1:188" s="209" customFormat="1" ht="15" x14ac:dyDescent="0.25">
      <c r="A120" s="195" t="s">
        <v>4887</v>
      </c>
      <c r="B120" s="195" t="s">
        <v>112</v>
      </c>
      <c r="C120" s="196" t="s">
        <v>2139</v>
      </c>
      <c r="D120" s="154" t="s">
        <v>78</v>
      </c>
      <c r="E120" s="154">
        <v>35430</v>
      </c>
      <c r="F120" s="154">
        <v>0.1</v>
      </c>
      <c r="G120" s="197"/>
      <c r="H120" s="198"/>
      <c r="I120" s="151">
        <f>IFERROR(INDEX(Composições!$A$5:$J$8391,MATCH(B120,Composições!$A$5:$A$8391,0)+2,8),"")</f>
        <v>14.412128895</v>
      </c>
      <c r="J120" s="152">
        <f t="shared" si="15"/>
        <v>51062.17</v>
      </c>
      <c r="K120" s="198">
        <f>BDI!$B$17</f>
        <v>0.191</v>
      </c>
      <c r="L120" s="198"/>
      <c r="M120" s="198"/>
      <c r="N120" s="153">
        <f t="shared" si="16"/>
        <v>17.16</v>
      </c>
      <c r="O120" s="152">
        <f t="shared" si="17"/>
        <v>60797.88</v>
      </c>
      <c r="P120" s="225"/>
      <c r="Q120" s="208"/>
      <c r="R120" s="208"/>
      <c r="S120"/>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c r="BI120" s="208"/>
      <c r="BJ120" s="208"/>
      <c r="BK120" s="208"/>
      <c r="BL120" s="208"/>
      <c r="BM120" s="208"/>
      <c r="BN120" s="208"/>
      <c r="BO120" s="208"/>
      <c r="BP120" s="208"/>
      <c r="BQ120" s="208"/>
      <c r="BR120" s="208"/>
      <c r="BS120" s="208"/>
      <c r="BT120" s="208"/>
      <c r="BU120" s="208"/>
      <c r="BV120" s="208"/>
      <c r="BW120" s="208"/>
      <c r="BX120" s="208"/>
      <c r="BY120" s="208"/>
      <c r="BZ120" s="208"/>
      <c r="CA120" s="208"/>
      <c r="CB120" s="208"/>
      <c r="CC120" s="208"/>
      <c r="CD120" s="208"/>
      <c r="CE120" s="208"/>
      <c r="CF120" s="208"/>
      <c r="CG120" s="208"/>
      <c r="CH120" s="208"/>
      <c r="CI120" s="208"/>
      <c r="CJ120" s="208"/>
      <c r="CK120" s="208"/>
      <c r="CL120" s="208"/>
      <c r="CM120" s="208"/>
      <c r="CN120" s="208"/>
      <c r="CO120" s="208"/>
      <c r="CP120" s="208"/>
      <c r="CQ120" s="208"/>
      <c r="CR120" s="208"/>
      <c r="CS120" s="208"/>
      <c r="CT120" s="208"/>
      <c r="CU120" s="208"/>
      <c r="CV120" s="208"/>
      <c r="CW120" s="208"/>
      <c r="CX120" s="208"/>
      <c r="CY120" s="208"/>
      <c r="CZ120" s="208"/>
      <c r="DA120" s="208"/>
      <c r="DB120" s="208"/>
      <c r="DC120" s="208"/>
      <c r="DD120" s="208"/>
      <c r="DE120" s="208"/>
      <c r="DF120" s="208"/>
      <c r="DG120" s="208"/>
      <c r="DH120" s="208"/>
      <c r="DI120" s="208"/>
      <c r="DJ120" s="208"/>
      <c r="DK120" s="208"/>
      <c r="DL120" s="208"/>
      <c r="DM120" s="208"/>
      <c r="DN120" s="208"/>
      <c r="DO120" s="208"/>
      <c r="DP120" s="208"/>
      <c r="DQ120" s="208"/>
      <c r="DR120" s="208"/>
      <c r="DS120" s="208"/>
      <c r="DT120" s="208"/>
      <c r="DU120" s="208"/>
      <c r="DV120" s="208"/>
      <c r="DW120" s="208"/>
      <c r="DX120" s="208"/>
      <c r="DY120" s="208"/>
      <c r="DZ120" s="208"/>
      <c r="EA120" s="208"/>
      <c r="EB120" s="208"/>
      <c r="EC120" s="208"/>
      <c r="ED120" s="208"/>
      <c r="EE120" s="208"/>
      <c r="EF120" s="208"/>
      <c r="EG120" s="208"/>
      <c r="EH120" s="208"/>
      <c r="EI120" s="208"/>
      <c r="EJ120" s="208"/>
      <c r="EK120" s="208"/>
      <c r="EL120" s="208"/>
      <c r="EM120" s="208"/>
      <c r="EN120" s="208"/>
      <c r="EO120" s="208"/>
      <c r="EP120" s="208"/>
      <c r="EQ120" s="208"/>
      <c r="ER120" s="208"/>
      <c r="ES120" s="208"/>
      <c r="ET120" s="208"/>
      <c r="EU120" s="208"/>
      <c r="EV120" s="208"/>
      <c r="EW120" s="208"/>
      <c r="EX120" s="208"/>
      <c r="EY120" s="208"/>
      <c r="EZ120" s="208"/>
      <c r="FA120" s="208"/>
      <c r="FB120" s="208"/>
      <c r="FC120" s="208"/>
      <c r="FD120" s="208"/>
      <c r="FE120" s="208"/>
      <c r="FF120" s="208"/>
      <c r="FG120" s="208"/>
      <c r="FH120" s="208"/>
      <c r="FI120" s="208"/>
      <c r="FJ120" s="208"/>
      <c r="FK120" s="208"/>
      <c r="FL120" s="208"/>
      <c r="FM120" s="208"/>
      <c r="FN120" s="208"/>
      <c r="FO120" s="208"/>
      <c r="FP120" s="208"/>
      <c r="FQ120" s="208"/>
      <c r="FR120" s="208"/>
      <c r="FS120" s="208"/>
      <c r="FT120" s="208"/>
      <c r="FU120" s="208"/>
      <c r="FV120" s="208"/>
      <c r="FW120" s="208"/>
      <c r="FX120" s="208"/>
      <c r="FY120" s="208"/>
      <c r="FZ120" s="208"/>
      <c r="GA120" s="208"/>
      <c r="GB120" s="208"/>
      <c r="GC120" s="208"/>
      <c r="GD120" s="208"/>
      <c r="GE120" s="208"/>
      <c r="GF120" s="208"/>
    </row>
    <row r="121" spans="1:188" s="209" customFormat="1" ht="15" x14ac:dyDescent="0.25">
      <c r="A121" s="195" t="s">
        <v>4888</v>
      </c>
      <c r="B121" s="195" t="s">
        <v>200</v>
      </c>
      <c r="C121" s="196" t="s">
        <v>2185</v>
      </c>
      <c r="D121" s="154" t="s">
        <v>78</v>
      </c>
      <c r="E121" s="154">
        <v>18880</v>
      </c>
      <c r="F121" s="154">
        <v>0.1</v>
      </c>
      <c r="G121" s="197"/>
      <c r="H121" s="198"/>
      <c r="I121" s="151">
        <f>IFERROR(INDEX(Composições!$A$5:$J$8391,MATCH(B121,Composições!$A$5:$A$8391,0)+2,8),"")</f>
        <v>63.942745350000003</v>
      </c>
      <c r="J121" s="152">
        <f t="shared" si="15"/>
        <v>120723.9</v>
      </c>
      <c r="K121" s="198">
        <f>BDI!$B$17</f>
        <v>0.191</v>
      </c>
      <c r="L121" s="198"/>
      <c r="M121" s="198"/>
      <c r="N121" s="153">
        <f t="shared" si="16"/>
        <v>76.16</v>
      </c>
      <c r="O121" s="152">
        <f t="shared" si="17"/>
        <v>143790.07999999999</v>
      </c>
      <c r="P121" s="225"/>
      <c r="Q121" s="208"/>
      <c r="R121" s="208"/>
      <c r="S121"/>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c r="BI121" s="208"/>
      <c r="BJ121" s="208"/>
      <c r="BK121" s="208"/>
      <c r="BL121" s="208"/>
      <c r="BM121" s="208"/>
      <c r="BN121" s="208"/>
      <c r="BO121" s="208"/>
      <c r="BP121" s="208"/>
      <c r="BQ121" s="208"/>
      <c r="BR121" s="208"/>
      <c r="BS121" s="208"/>
      <c r="BT121" s="208"/>
      <c r="BU121" s="208"/>
      <c r="BV121" s="208"/>
      <c r="BW121" s="208"/>
      <c r="BX121" s="208"/>
      <c r="BY121" s="208"/>
      <c r="BZ121" s="208"/>
      <c r="CA121" s="208"/>
      <c r="CB121" s="208"/>
      <c r="CC121" s="208"/>
      <c r="CD121" s="208"/>
      <c r="CE121" s="208"/>
      <c r="CF121" s="208"/>
      <c r="CG121" s="208"/>
      <c r="CH121" s="208"/>
      <c r="CI121" s="208"/>
      <c r="CJ121" s="208"/>
      <c r="CK121" s="208"/>
      <c r="CL121" s="208"/>
      <c r="CM121" s="208"/>
      <c r="CN121" s="208"/>
      <c r="CO121" s="208"/>
      <c r="CP121" s="208"/>
      <c r="CQ121" s="208"/>
      <c r="CR121" s="208"/>
      <c r="CS121" s="208"/>
      <c r="CT121" s="208"/>
      <c r="CU121" s="208"/>
      <c r="CV121" s="208"/>
      <c r="CW121" s="208"/>
      <c r="CX121" s="208"/>
      <c r="CY121" s="208"/>
      <c r="CZ121" s="208"/>
      <c r="DA121" s="208"/>
      <c r="DB121" s="208"/>
      <c r="DC121" s="208"/>
      <c r="DD121" s="208"/>
      <c r="DE121" s="208"/>
      <c r="DF121" s="208"/>
      <c r="DG121" s="208"/>
      <c r="DH121" s="208"/>
      <c r="DI121" s="208"/>
      <c r="DJ121" s="208"/>
      <c r="DK121" s="208"/>
      <c r="DL121" s="208"/>
      <c r="DM121" s="208"/>
      <c r="DN121" s="208"/>
      <c r="DO121" s="208"/>
      <c r="DP121" s="208"/>
      <c r="DQ121" s="208"/>
      <c r="DR121" s="208"/>
      <c r="DS121" s="208"/>
      <c r="DT121" s="208"/>
      <c r="DU121" s="208"/>
      <c r="DV121" s="208"/>
      <c r="DW121" s="208"/>
      <c r="DX121" s="208"/>
      <c r="DY121" s="208"/>
      <c r="DZ121" s="208"/>
      <c r="EA121" s="208"/>
      <c r="EB121" s="208"/>
      <c r="EC121" s="208"/>
      <c r="ED121" s="208"/>
      <c r="EE121" s="208"/>
      <c r="EF121" s="208"/>
      <c r="EG121" s="208"/>
      <c r="EH121" s="208"/>
      <c r="EI121" s="208"/>
      <c r="EJ121" s="208"/>
      <c r="EK121" s="208"/>
      <c r="EL121" s="208"/>
      <c r="EM121" s="208"/>
      <c r="EN121" s="208"/>
      <c r="EO121" s="208"/>
      <c r="EP121" s="208"/>
      <c r="EQ121" s="208"/>
      <c r="ER121" s="208"/>
      <c r="ES121" s="208"/>
      <c r="ET121" s="208"/>
      <c r="EU121" s="208"/>
      <c r="EV121" s="208"/>
      <c r="EW121" s="208"/>
      <c r="EX121" s="208"/>
      <c r="EY121" s="208"/>
      <c r="EZ121" s="208"/>
      <c r="FA121" s="208"/>
      <c r="FB121" s="208"/>
      <c r="FC121" s="208"/>
      <c r="FD121" s="208"/>
      <c r="FE121" s="208"/>
      <c r="FF121" s="208"/>
      <c r="FG121" s="208"/>
      <c r="FH121" s="208"/>
      <c r="FI121" s="208"/>
      <c r="FJ121" s="208"/>
      <c r="FK121" s="208"/>
      <c r="FL121" s="208"/>
      <c r="FM121" s="208"/>
      <c r="FN121" s="208"/>
      <c r="FO121" s="208"/>
      <c r="FP121" s="208"/>
      <c r="FQ121" s="208"/>
      <c r="FR121" s="208"/>
      <c r="FS121" s="208"/>
      <c r="FT121" s="208"/>
      <c r="FU121" s="208"/>
      <c r="FV121" s="208"/>
      <c r="FW121" s="208"/>
      <c r="FX121" s="208"/>
      <c r="FY121" s="208"/>
      <c r="FZ121" s="208"/>
      <c r="GA121" s="208"/>
      <c r="GB121" s="208"/>
      <c r="GC121" s="208"/>
      <c r="GD121" s="208"/>
      <c r="GE121" s="208"/>
      <c r="GF121" s="208"/>
    </row>
    <row r="122" spans="1:188" s="209" customFormat="1" ht="15" x14ac:dyDescent="0.25">
      <c r="A122" s="195" t="s">
        <v>4889</v>
      </c>
      <c r="B122" s="195" t="s">
        <v>201</v>
      </c>
      <c r="C122" s="196" t="s">
        <v>2186</v>
      </c>
      <c r="D122" s="154" t="s">
        <v>78</v>
      </c>
      <c r="E122" s="154">
        <v>12740</v>
      </c>
      <c r="F122" s="154">
        <v>0.1</v>
      </c>
      <c r="G122" s="197"/>
      <c r="H122" s="198"/>
      <c r="I122" s="151">
        <f>IFERROR(INDEX(Composições!$A$5:$J$8391,MATCH(B122,Composições!$A$5:$A$8391,0)+2,8),"")</f>
        <v>39.736029999999992</v>
      </c>
      <c r="J122" s="152">
        <f t="shared" si="15"/>
        <v>50623.7</v>
      </c>
      <c r="K122" s="198">
        <f>BDI!$B$17</f>
        <v>0.191</v>
      </c>
      <c r="L122" s="198"/>
      <c r="M122" s="198"/>
      <c r="N122" s="153">
        <f t="shared" si="16"/>
        <v>47.33</v>
      </c>
      <c r="O122" s="152">
        <f t="shared" si="17"/>
        <v>60298.42</v>
      </c>
      <c r="P122" s="225"/>
      <c r="Q122" s="208"/>
      <c r="R122" s="208"/>
      <c r="S122"/>
      <c r="T122" s="208"/>
      <c r="U122" s="208"/>
      <c r="V122" s="208"/>
      <c r="W122" s="208"/>
      <c r="X122" s="208"/>
      <c r="Y122" s="208"/>
      <c r="Z122" s="208"/>
      <c r="AA122" s="208"/>
      <c r="AB122" s="208"/>
      <c r="AC122" s="208"/>
      <c r="AD122" s="208"/>
      <c r="AE122" s="208"/>
      <c r="AF122" s="208"/>
      <c r="AG122" s="208"/>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c r="BI122" s="208"/>
      <c r="BJ122" s="208"/>
      <c r="BK122" s="208"/>
      <c r="BL122" s="208"/>
      <c r="BM122" s="208"/>
      <c r="BN122" s="208"/>
      <c r="BO122" s="208"/>
      <c r="BP122" s="208"/>
      <c r="BQ122" s="208"/>
      <c r="BR122" s="208"/>
      <c r="BS122" s="208"/>
      <c r="BT122" s="208"/>
      <c r="BU122" s="208"/>
      <c r="BV122" s="208"/>
      <c r="BW122" s="208"/>
      <c r="BX122" s="208"/>
      <c r="BY122" s="208"/>
      <c r="BZ122" s="208"/>
      <c r="CA122" s="208"/>
      <c r="CB122" s="208"/>
      <c r="CC122" s="208"/>
      <c r="CD122" s="208"/>
      <c r="CE122" s="208"/>
      <c r="CF122" s="208"/>
      <c r="CG122" s="208"/>
      <c r="CH122" s="208"/>
      <c r="CI122" s="208"/>
      <c r="CJ122" s="208"/>
      <c r="CK122" s="208"/>
      <c r="CL122" s="208"/>
      <c r="CM122" s="208"/>
      <c r="CN122" s="208"/>
      <c r="CO122" s="208"/>
      <c r="CP122" s="208"/>
      <c r="CQ122" s="208"/>
      <c r="CR122" s="208"/>
      <c r="CS122" s="208"/>
      <c r="CT122" s="208"/>
      <c r="CU122" s="208"/>
      <c r="CV122" s="208"/>
      <c r="CW122" s="208"/>
      <c r="CX122" s="208"/>
      <c r="CY122" s="208"/>
      <c r="CZ122" s="208"/>
      <c r="DA122" s="208"/>
      <c r="DB122" s="208"/>
      <c r="DC122" s="208"/>
      <c r="DD122" s="208"/>
      <c r="DE122" s="208"/>
      <c r="DF122" s="208"/>
      <c r="DG122" s="208"/>
      <c r="DH122" s="208"/>
      <c r="DI122" s="208"/>
      <c r="DJ122" s="208"/>
      <c r="DK122" s="208"/>
      <c r="DL122" s="208"/>
      <c r="DM122" s="208"/>
      <c r="DN122" s="208"/>
      <c r="DO122" s="208"/>
      <c r="DP122" s="208"/>
      <c r="DQ122" s="208"/>
      <c r="DR122" s="208"/>
      <c r="DS122" s="208"/>
      <c r="DT122" s="208"/>
      <c r="DU122" s="208"/>
      <c r="DV122" s="208"/>
      <c r="DW122" s="208"/>
      <c r="DX122" s="208"/>
      <c r="DY122" s="208"/>
      <c r="DZ122" s="208"/>
      <c r="EA122" s="208"/>
      <c r="EB122" s="208"/>
      <c r="EC122" s="208"/>
      <c r="ED122" s="208"/>
      <c r="EE122" s="208"/>
      <c r="EF122" s="208"/>
      <c r="EG122" s="208"/>
      <c r="EH122" s="208"/>
      <c r="EI122" s="208"/>
      <c r="EJ122" s="208"/>
      <c r="EK122" s="208"/>
      <c r="EL122" s="208"/>
      <c r="EM122" s="208"/>
      <c r="EN122" s="208"/>
      <c r="EO122" s="208"/>
      <c r="EP122" s="208"/>
      <c r="EQ122" s="208"/>
      <c r="ER122" s="208"/>
      <c r="ES122" s="208"/>
      <c r="ET122" s="208"/>
      <c r="EU122" s="208"/>
      <c r="EV122" s="208"/>
      <c r="EW122" s="208"/>
      <c r="EX122" s="208"/>
      <c r="EY122" s="208"/>
      <c r="EZ122" s="208"/>
      <c r="FA122" s="208"/>
      <c r="FB122" s="208"/>
      <c r="FC122" s="208"/>
      <c r="FD122" s="208"/>
      <c r="FE122" s="208"/>
      <c r="FF122" s="208"/>
      <c r="FG122" s="208"/>
      <c r="FH122" s="208"/>
      <c r="FI122" s="208"/>
      <c r="FJ122" s="208"/>
      <c r="FK122" s="208"/>
      <c r="FL122" s="208"/>
      <c r="FM122" s="208"/>
      <c r="FN122" s="208"/>
      <c r="FO122" s="208"/>
      <c r="FP122" s="208"/>
      <c r="FQ122" s="208"/>
      <c r="FR122" s="208"/>
      <c r="FS122" s="208"/>
      <c r="FT122" s="208"/>
      <c r="FU122" s="208"/>
      <c r="FV122" s="208"/>
      <c r="FW122" s="208"/>
      <c r="FX122" s="208"/>
      <c r="FY122" s="208"/>
      <c r="FZ122" s="208"/>
      <c r="GA122" s="208"/>
      <c r="GB122" s="208"/>
      <c r="GC122" s="208"/>
      <c r="GD122" s="208"/>
      <c r="GE122" s="208"/>
      <c r="GF122" s="208"/>
    </row>
    <row r="123" spans="1:188" s="209" customFormat="1" ht="15" x14ac:dyDescent="0.25">
      <c r="A123" s="195" t="s">
        <v>4890</v>
      </c>
      <c r="B123" s="195" t="s">
        <v>206</v>
      </c>
      <c r="C123" s="196" t="s">
        <v>2191</v>
      </c>
      <c r="D123" s="154" t="s">
        <v>121</v>
      </c>
      <c r="E123" s="154">
        <v>270</v>
      </c>
      <c r="F123" s="154">
        <v>0.1</v>
      </c>
      <c r="G123" s="197"/>
      <c r="H123" s="198"/>
      <c r="I123" s="151">
        <f>IFERROR(INDEX(Composições!$A$5:$J$8391,MATCH(B123,Composições!$A$5:$A$8391,0)+2,8),"")</f>
        <v>12.721352149999998</v>
      </c>
      <c r="J123" s="152">
        <f t="shared" si="15"/>
        <v>343.48</v>
      </c>
      <c r="K123" s="198">
        <f>BDI!$B$17</f>
        <v>0.191</v>
      </c>
      <c r="L123" s="198"/>
      <c r="M123" s="198"/>
      <c r="N123" s="153">
        <f t="shared" si="16"/>
        <v>15.15</v>
      </c>
      <c r="O123" s="152">
        <f t="shared" si="17"/>
        <v>409.05</v>
      </c>
      <c r="P123" s="225"/>
      <c r="Q123" s="208"/>
      <c r="R123" s="208"/>
      <c r="S123"/>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c r="BI123" s="208"/>
      <c r="BJ123" s="208"/>
      <c r="BK123" s="208"/>
      <c r="BL123" s="208"/>
      <c r="BM123" s="208"/>
      <c r="BN123" s="208"/>
      <c r="BO123" s="208"/>
      <c r="BP123" s="208"/>
      <c r="BQ123" s="208"/>
      <c r="BR123" s="208"/>
      <c r="BS123" s="208"/>
      <c r="BT123" s="208"/>
      <c r="BU123" s="208"/>
      <c r="BV123" s="208"/>
      <c r="BW123" s="208"/>
      <c r="BX123" s="208"/>
      <c r="BY123" s="208"/>
      <c r="BZ123" s="208"/>
      <c r="CA123" s="208"/>
      <c r="CB123" s="208"/>
      <c r="CC123" s="208"/>
      <c r="CD123" s="208"/>
      <c r="CE123" s="208"/>
      <c r="CF123" s="208"/>
      <c r="CG123" s="208"/>
      <c r="CH123" s="208"/>
      <c r="CI123" s="208"/>
      <c r="CJ123" s="208"/>
      <c r="CK123" s="208"/>
      <c r="CL123" s="208"/>
      <c r="CM123" s="208"/>
      <c r="CN123" s="208"/>
      <c r="CO123" s="208"/>
      <c r="CP123" s="208"/>
      <c r="CQ123" s="208"/>
      <c r="CR123" s="208"/>
      <c r="CS123" s="208"/>
      <c r="CT123" s="208"/>
      <c r="CU123" s="208"/>
      <c r="CV123" s="208"/>
      <c r="CW123" s="208"/>
      <c r="CX123" s="208"/>
      <c r="CY123" s="208"/>
      <c r="CZ123" s="208"/>
      <c r="DA123" s="208"/>
      <c r="DB123" s="208"/>
      <c r="DC123" s="208"/>
      <c r="DD123" s="208"/>
      <c r="DE123" s="208"/>
      <c r="DF123" s="208"/>
      <c r="DG123" s="208"/>
      <c r="DH123" s="208"/>
      <c r="DI123" s="208"/>
      <c r="DJ123" s="208"/>
      <c r="DK123" s="208"/>
      <c r="DL123" s="208"/>
      <c r="DM123" s="208"/>
      <c r="DN123" s="208"/>
      <c r="DO123" s="208"/>
      <c r="DP123" s="208"/>
      <c r="DQ123" s="208"/>
      <c r="DR123" s="208"/>
      <c r="DS123" s="208"/>
      <c r="DT123" s="208"/>
      <c r="DU123" s="208"/>
      <c r="DV123" s="208"/>
      <c r="DW123" s="208"/>
      <c r="DX123" s="208"/>
      <c r="DY123" s="208"/>
      <c r="DZ123" s="208"/>
      <c r="EA123" s="208"/>
      <c r="EB123" s="208"/>
      <c r="EC123" s="208"/>
      <c r="ED123" s="208"/>
      <c r="EE123" s="208"/>
      <c r="EF123" s="208"/>
      <c r="EG123" s="208"/>
      <c r="EH123" s="208"/>
      <c r="EI123" s="208"/>
      <c r="EJ123" s="208"/>
      <c r="EK123" s="208"/>
      <c r="EL123" s="208"/>
      <c r="EM123" s="208"/>
      <c r="EN123" s="208"/>
      <c r="EO123" s="208"/>
      <c r="EP123" s="208"/>
      <c r="EQ123" s="208"/>
      <c r="ER123" s="208"/>
      <c r="ES123" s="208"/>
      <c r="ET123" s="208"/>
      <c r="EU123" s="208"/>
      <c r="EV123" s="208"/>
      <c r="EW123" s="208"/>
      <c r="EX123" s="208"/>
      <c r="EY123" s="208"/>
      <c r="EZ123" s="208"/>
      <c r="FA123" s="208"/>
      <c r="FB123" s="208"/>
      <c r="FC123" s="208"/>
      <c r="FD123" s="208"/>
      <c r="FE123" s="208"/>
      <c r="FF123" s="208"/>
      <c r="FG123" s="208"/>
      <c r="FH123" s="208"/>
      <c r="FI123" s="208"/>
      <c r="FJ123" s="208"/>
      <c r="FK123" s="208"/>
      <c r="FL123" s="208"/>
      <c r="FM123" s="208"/>
      <c r="FN123" s="208"/>
      <c r="FO123" s="208"/>
      <c r="FP123" s="208"/>
      <c r="FQ123" s="208"/>
      <c r="FR123" s="208"/>
      <c r="FS123" s="208"/>
      <c r="FT123" s="208"/>
      <c r="FU123" s="208"/>
      <c r="FV123" s="208"/>
      <c r="FW123" s="208"/>
      <c r="FX123" s="208"/>
      <c r="FY123" s="208"/>
      <c r="FZ123" s="208"/>
      <c r="GA123" s="208"/>
      <c r="GB123" s="208"/>
      <c r="GC123" s="208"/>
      <c r="GD123" s="208"/>
      <c r="GE123" s="208"/>
      <c r="GF123" s="208"/>
    </row>
    <row r="124" spans="1:188" s="209" customFormat="1" ht="15" x14ac:dyDescent="0.25">
      <c r="A124" s="195" t="s">
        <v>4891</v>
      </c>
      <c r="B124" s="195" t="s">
        <v>191</v>
      </c>
      <c r="C124" s="196" t="s">
        <v>2180</v>
      </c>
      <c r="D124" s="154" t="s">
        <v>78</v>
      </c>
      <c r="E124" s="154">
        <v>970</v>
      </c>
      <c r="F124" s="154">
        <v>0.1</v>
      </c>
      <c r="G124" s="197"/>
      <c r="H124" s="198"/>
      <c r="I124" s="151">
        <f>IFERROR(INDEX(Composições!$A$5:$J$8391,MATCH(B124,Composições!$A$5:$A$8391,0)+2,8),"")</f>
        <v>134.92168000000001</v>
      </c>
      <c r="J124" s="152">
        <f t="shared" si="15"/>
        <v>13087.4</v>
      </c>
      <c r="K124" s="198">
        <f>BDI!$B$17</f>
        <v>0.191</v>
      </c>
      <c r="L124" s="198"/>
      <c r="M124" s="198"/>
      <c r="N124" s="153">
        <f t="shared" si="16"/>
        <v>160.69</v>
      </c>
      <c r="O124" s="152">
        <f t="shared" si="17"/>
        <v>15586.93</v>
      </c>
      <c r="P124" s="225"/>
      <c r="Q124" s="208"/>
      <c r="R124" s="208"/>
      <c r="S124"/>
      <c r="T124" s="208"/>
      <c r="U124" s="208"/>
      <c r="V124" s="208"/>
      <c r="W124" s="208"/>
      <c r="X124" s="208"/>
      <c r="Y124" s="208"/>
      <c r="Z124" s="208"/>
      <c r="AA124" s="208"/>
      <c r="AB124" s="208"/>
      <c r="AC124" s="208"/>
      <c r="AD124" s="208"/>
      <c r="AE124" s="208"/>
      <c r="AF124" s="208"/>
      <c r="AG124" s="208"/>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c r="BI124" s="208"/>
      <c r="BJ124" s="208"/>
      <c r="BK124" s="208"/>
      <c r="BL124" s="208"/>
      <c r="BM124" s="208"/>
      <c r="BN124" s="208"/>
      <c r="BO124" s="208"/>
      <c r="BP124" s="208"/>
      <c r="BQ124" s="208"/>
      <c r="BR124" s="208"/>
      <c r="BS124" s="208"/>
      <c r="BT124" s="208"/>
      <c r="BU124" s="208"/>
      <c r="BV124" s="208"/>
      <c r="BW124" s="208"/>
      <c r="BX124" s="208"/>
      <c r="BY124" s="208"/>
      <c r="BZ124" s="208"/>
      <c r="CA124" s="208"/>
      <c r="CB124" s="208"/>
      <c r="CC124" s="208"/>
      <c r="CD124" s="208"/>
      <c r="CE124" s="208"/>
      <c r="CF124" s="208"/>
      <c r="CG124" s="208"/>
      <c r="CH124" s="208"/>
      <c r="CI124" s="208"/>
      <c r="CJ124" s="208"/>
      <c r="CK124" s="208"/>
      <c r="CL124" s="208"/>
      <c r="CM124" s="208"/>
      <c r="CN124" s="208"/>
      <c r="CO124" s="208"/>
      <c r="CP124" s="208"/>
      <c r="CQ124" s="208"/>
      <c r="CR124" s="208"/>
      <c r="CS124" s="208"/>
      <c r="CT124" s="208"/>
      <c r="CU124" s="208"/>
      <c r="CV124" s="208"/>
      <c r="CW124" s="208"/>
      <c r="CX124" s="208"/>
      <c r="CY124" s="208"/>
      <c r="CZ124" s="208"/>
      <c r="DA124" s="208"/>
      <c r="DB124" s="208"/>
      <c r="DC124" s="208"/>
      <c r="DD124" s="208"/>
      <c r="DE124" s="208"/>
      <c r="DF124" s="208"/>
      <c r="DG124" s="208"/>
      <c r="DH124" s="208"/>
      <c r="DI124" s="208"/>
      <c r="DJ124" s="208"/>
      <c r="DK124" s="208"/>
      <c r="DL124" s="208"/>
      <c r="DM124" s="208"/>
      <c r="DN124" s="208"/>
      <c r="DO124" s="208"/>
      <c r="DP124" s="208"/>
      <c r="DQ124" s="208"/>
      <c r="DR124" s="208"/>
      <c r="DS124" s="208"/>
      <c r="DT124" s="208"/>
      <c r="DU124" s="208"/>
      <c r="DV124" s="208"/>
      <c r="DW124" s="208"/>
      <c r="DX124" s="208"/>
      <c r="DY124" s="208"/>
      <c r="DZ124" s="208"/>
      <c r="EA124" s="208"/>
      <c r="EB124" s="208"/>
      <c r="EC124" s="208"/>
      <c r="ED124" s="208"/>
      <c r="EE124" s="208"/>
      <c r="EF124" s="208"/>
      <c r="EG124" s="208"/>
      <c r="EH124" s="208"/>
      <c r="EI124" s="208"/>
      <c r="EJ124" s="208"/>
      <c r="EK124" s="208"/>
      <c r="EL124" s="208"/>
      <c r="EM124" s="208"/>
      <c r="EN124" s="208"/>
      <c r="EO124" s="208"/>
      <c r="EP124" s="208"/>
      <c r="EQ124" s="208"/>
      <c r="ER124" s="208"/>
      <c r="ES124" s="208"/>
      <c r="ET124" s="208"/>
      <c r="EU124" s="208"/>
      <c r="EV124" s="208"/>
      <c r="EW124" s="208"/>
      <c r="EX124" s="208"/>
      <c r="EY124" s="208"/>
      <c r="EZ124" s="208"/>
      <c r="FA124" s="208"/>
      <c r="FB124" s="208"/>
      <c r="FC124" s="208"/>
      <c r="FD124" s="208"/>
      <c r="FE124" s="208"/>
      <c r="FF124" s="208"/>
      <c r="FG124" s="208"/>
      <c r="FH124" s="208"/>
      <c r="FI124" s="208"/>
      <c r="FJ124" s="208"/>
      <c r="FK124" s="208"/>
      <c r="FL124" s="208"/>
      <c r="FM124" s="208"/>
      <c r="FN124" s="208"/>
      <c r="FO124" s="208"/>
      <c r="FP124" s="208"/>
      <c r="FQ124" s="208"/>
      <c r="FR124" s="208"/>
      <c r="FS124" s="208"/>
      <c r="FT124" s="208"/>
      <c r="FU124" s="208"/>
      <c r="FV124" s="208"/>
      <c r="FW124" s="208"/>
      <c r="FX124" s="208"/>
      <c r="FY124" s="208"/>
      <c r="FZ124" s="208"/>
      <c r="GA124" s="208"/>
      <c r="GB124" s="208"/>
      <c r="GC124" s="208"/>
      <c r="GD124" s="208"/>
      <c r="GE124" s="208"/>
      <c r="GF124" s="208"/>
    </row>
    <row r="125" spans="1:188" s="209" customFormat="1" ht="15" x14ac:dyDescent="0.25">
      <c r="A125" s="195" t="s">
        <v>4892</v>
      </c>
      <c r="B125" s="195" t="s">
        <v>1026</v>
      </c>
      <c r="C125" s="196" t="s">
        <v>2862</v>
      </c>
      <c r="D125" s="154" t="s">
        <v>78</v>
      </c>
      <c r="E125" s="154">
        <v>270</v>
      </c>
      <c r="F125" s="154">
        <v>0.1</v>
      </c>
      <c r="G125" s="197"/>
      <c r="H125" s="198"/>
      <c r="I125" s="151">
        <f>IFERROR(INDEX(Composições!$A$5:$J$8391,MATCH(B125,Composições!$A$5:$A$8391,0)+2,8),"")</f>
        <v>42.319388749999995</v>
      </c>
      <c r="J125" s="152">
        <f t="shared" si="15"/>
        <v>1142.6199999999999</v>
      </c>
      <c r="K125" s="198">
        <f>BDI!$B$17</f>
        <v>0.191</v>
      </c>
      <c r="L125" s="198"/>
      <c r="M125" s="198"/>
      <c r="N125" s="153">
        <f t="shared" si="16"/>
        <v>50.4</v>
      </c>
      <c r="O125" s="152">
        <f t="shared" si="17"/>
        <v>1360.8</v>
      </c>
      <c r="P125" s="225"/>
      <c r="Q125" s="208"/>
      <c r="R125" s="208"/>
      <c r="S125"/>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c r="BI125" s="208"/>
      <c r="BJ125" s="208"/>
      <c r="BK125" s="208"/>
      <c r="BL125" s="208"/>
      <c r="BM125" s="208"/>
      <c r="BN125" s="208"/>
      <c r="BO125" s="208"/>
      <c r="BP125" s="208"/>
      <c r="BQ125" s="208"/>
      <c r="BR125" s="208"/>
      <c r="BS125" s="208"/>
      <c r="BT125" s="208"/>
      <c r="BU125" s="208"/>
      <c r="BV125" s="208"/>
      <c r="BW125" s="208"/>
      <c r="BX125" s="208"/>
      <c r="BY125" s="208"/>
      <c r="BZ125" s="208"/>
      <c r="CA125" s="208"/>
      <c r="CB125" s="208"/>
      <c r="CC125" s="208"/>
      <c r="CD125" s="208"/>
      <c r="CE125" s="208"/>
      <c r="CF125" s="208"/>
      <c r="CG125" s="208"/>
      <c r="CH125" s="208"/>
      <c r="CI125" s="208"/>
      <c r="CJ125" s="208"/>
      <c r="CK125" s="208"/>
      <c r="CL125" s="208"/>
      <c r="CM125" s="208"/>
      <c r="CN125" s="208"/>
      <c r="CO125" s="208"/>
      <c r="CP125" s="208"/>
      <c r="CQ125" s="208"/>
      <c r="CR125" s="208"/>
      <c r="CS125" s="208"/>
      <c r="CT125" s="208"/>
      <c r="CU125" s="208"/>
      <c r="CV125" s="208"/>
      <c r="CW125" s="208"/>
      <c r="CX125" s="208"/>
      <c r="CY125" s="208"/>
      <c r="CZ125" s="208"/>
      <c r="DA125" s="208"/>
      <c r="DB125" s="208"/>
      <c r="DC125" s="208"/>
      <c r="DD125" s="208"/>
      <c r="DE125" s="208"/>
      <c r="DF125" s="208"/>
      <c r="DG125" s="208"/>
      <c r="DH125" s="208"/>
      <c r="DI125" s="208"/>
      <c r="DJ125" s="208"/>
      <c r="DK125" s="208"/>
      <c r="DL125" s="208"/>
      <c r="DM125" s="208"/>
      <c r="DN125" s="208"/>
      <c r="DO125" s="208"/>
      <c r="DP125" s="208"/>
      <c r="DQ125" s="208"/>
      <c r="DR125" s="208"/>
      <c r="DS125" s="208"/>
      <c r="DT125" s="208"/>
      <c r="DU125" s="208"/>
      <c r="DV125" s="208"/>
      <c r="DW125" s="208"/>
      <c r="DX125" s="208"/>
      <c r="DY125" s="208"/>
      <c r="DZ125" s="208"/>
      <c r="EA125" s="208"/>
      <c r="EB125" s="208"/>
      <c r="EC125" s="208"/>
      <c r="ED125" s="208"/>
      <c r="EE125" s="208"/>
      <c r="EF125" s="208"/>
      <c r="EG125" s="208"/>
      <c r="EH125" s="208"/>
      <c r="EI125" s="208"/>
      <c r="EJ125" s="208"/>
      <c r="EK125" s="208"/>
      <c r="EL125" s="208"/>
      <c r="EM125" s="208"/>
      <c r="EN125" s="208"/>
      <c r="EO125" s="208"/>
      <c r="EP125" s="208"/>
      <c r="EQ125" s="208"/>
      <c r="ER125" s="208"/>
      <c r="ES125" s="208"/>
      <c r="ET125" s="208"/>
      <c r="EU125" s="208"/>
      <c r="EV125" s="208"/>
      <c r="EW125" s="208"/>
      <c r="EX125" s="208"/>
      <c r="EY125" s="208"/>
      <c r="EZ125" s="208"/>
      <c r="FA125" s="208"/>
      <c r="FB125" s="208"/>
      <c r="FC125" s="208"/>
      <c r="FD125" s="208"/>
      <c r="FE125" s="208"/>
      <c r="FF125" s="208"/>
      <c r="FG125" s="208"/>
      <c r="FH125" s="208"/>
      <c r="FI125" s="208"/>
      <c r="FJ125" s="208"/>
      <c r="FK125" s="208"/>
      <c r="FL125" s="208"/>
      <c r="FM125" s="208"/>
      <c r="FN125" s="208"/>
      <c r="FO125" s="208"/>
      <c r="FP125" s="208"/>
      <c r="FQ125" s="208"/>
      <c r="FR125" s="208"/>
      <c r="FS125" s="208"/>
      <c r="FT125" s="208"/>
      <c r="FU125" s="208"/>
      <c r="FV125" s="208"/>
      <c r="FW125" s="208"/>
      <c r="FX125" s="208"/>
      <c r="FY125" s="208"/>
      <c r="FZ125" s="208"/>
      <c r="GA125" s="208"/>
      <c r="GB125" s="208"/>
      <c r="GC125" s="208"/>
      <c r="GD125" s="208"/>
      <c r="GE125" s="208"/>
      <c r="GF125" s="208"/>
    </row>
    <row r="126" spans="1:188" s="225" customFormat="1" ht="15" x14ac:dyDescent="0.25">
      <c r="A126" s="189" t="s">
        <v>4893</v>
      </c>
      <c r="B126" s="189"/>
      <c r="C126" s="190" t="s">
        <v>4894</v>
      </c>
      <c r="D126" s="191"/>
      <c r="E126" s="191"/>
      <c r="F126" s="191"/>
      <c r="G126" s="192"/>
      <c r="H126" s="193"/>
      <c r="I126" s="246"/>
      <c r="J126" s="194">
        <f>SUBTOTAL(109,J127:J135)</f>
        <v>815495.25999999989</v>
      </c>
      <c r="K126" s="191"/>
      <c r="L126" s="191"/>
      <c r="M126" s="191"/>
      <c r="N126" s="191"/>
      <c r="O126" s="194">
        <f>SUBTOTAL(109,O127:O135)</f>
        <v>971263</v>
      </c>
      <c r="Q126" s="208"/>
      <c r="R126" s="208"/>
      <c r="S126"/>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c r="BI126" s="208"/>
      <c r="BJ126" s="208"/>
      <c r="BK126" s="208"/>
      <c r="BL126" s="208"/>
      <c r="BM126" s="208"/>
      <c r="BN126" s="208"/>
      <c r="BO126" s="208"/>
      <c r="BP126" s="208"/>
      <c r="BQ126" s="208"/>
      <c r="BR126" s="208"/>
      <c r="BS126" s="208"/>
      <c r="BT126" s="208"/>
      <c r="BU126" s="208"/>
      <c r="BV126" s="208"/>
      <c r="BW126" s="208"/>
      <c r="BX126" s="208"/>
      <c r="BY126" s="208"/>
      <c r="BZ126" s="208"/>
      <c r="CA126" s="208"/>
      <c r="CB126" s="208"/>
      <c r="CC126" s="208"/>
      <c r="CD126" s="208"/>
      <c r="CE126" s="208"/>
      <c r="CF126" s="208"/>
      <c r="CG126" s="208"/>
      <c r="CH126" s="208"/>
      <c r="CI126" s="208"/>
      <c r="CJ126" s="208"/>
      <c r="CK126" s="208"/>
      <c r="CL126" s="208"/>
      <c r="CM126" s="208"/>
      <c r="CN126" s="208"/>
      <c r="CO126" s="208"/>
      <c r="CP126" s="208"/>
      <c r="CQ126" s="208"/>
      <c r="CR126" s="208"/>
      <c r="CS126" s="208"/>
      <c r="CT126" s="208"/>
      <c r="CU126" s="208"/>
      <c r="CV126" s="208"/>
      <c r="CW126" s="208"/>
      <c r="CX126" s="208"/>
      <c r="CY126" s="208"/>
      <c r="CZ126" s="208"/>
      <c r="DA126" s="208"/>
      <c r="DB126" s="208"/>
      <c r="DC126" s="208"/>
      <c r="DD126" s="208"/>
      <c r="DE126" s="208"/>
      <c r="DF126" s="208"/>
      <c r="DG126" s="208"/>
      <c r="DH126" s="208"/>
      <c r="DI126" s="208"/>
      <c r="DJ126" s="208"/>
      <c r="DK126" s="208"/>
      <c r="DL126" s="208"/>
      <c r="DM126" s="208"/>
      <c r="DN126" s="208"/>
      <c r="DO126" s="208"/>
      <c r="DP126" s="208"/>
      <c r="DQ126" s="208"/>
      <c r="DR126" s="208"/>
      <c r="DS126" s="208"/>
      <c r="DT126" s="208"/>
      <c r="DU126" s="208"/>
      <c r="DV126" s="208"/>
      <c r="DW126" s="208"/>
      <c r="DX126" s="208"/>
      <c r="DY126" s="208"/>
      <c r="DZ126" s="208"/>
      <c r="EA126" s="208"/>
      <c r="EB126" s="208"/>
      <c r="EC126" s="208"/>
      <c r="ED126" s="208"/>
      <c r="EE126" s="208"/>
      <c r="EF126" s="208"/>
      <c r="EG126" s="208"/>
      <c r="EH126" s="208"/>
      <c r="EI126" s="208"/>
      <c r="EJ126" s="208"/>
      <c r="EK126" s="208"/>
      <c r="EL126" s="208"/>
      <c r="EM126" s="208"/>
      <c r="EN126" s="208"/>
      <c r="EO126" s="208"/>
      <c r="EP126" s="208"/>
      <c r="EQ126" s="208"/>
      <c r="ER126" s="208"/>
      <c r="ES126" s="208"/>
      <c r="ET126" s="208"/>
      <c r="EU126" s="208"/>
      <c r="EV126" s="208"/>
      <c r="EW126" s="208"/>
      <c r="EX126" s="208"/>
      <c r="EY126" s="208"/>
      <c r="EZ126" s="208"/>
      <c r="FA126" s="208"/>
      <c r="FB126" s="208"/>
      <c r="FC126" s="208"/>
      <c r="FD126" s="208"/>
      <c r="FE126" s="208"/>
      <c r="FF126" s="208"/>
      <c r="FG126" s="208"/>
      <c r="FH126" s="208"/>
      <c r="FI126" s="208"/>
      <c r="FJ126" s="208"/>
      <c r="FK126" s="208"/>
      <c r="FL126" s="208"/>
      <c r="FM126" s="208"/>
      <c r="FN126" s="208"/>
      <c r="FO126" s="208"/>
      <c r="FP126" s="208"/>
      <c r="FQ126" s="208"/>
      <c r="FR126" s="208"/>
      <c r="FS126" s="208"/>
      <c r="FT126" s="208"/>
      <c r="FU126" s="208"/>
      <c r="FV126" s="208"/>
      <c r="FW126" s="208"/>
      <c r="FX126" s="208"/>
      <c r="FY126" s="208"/>
      <c r="FZ126" s="208"/>
      <c r="GA126" s="208"/>
      <c r="GB126" s="208"/>
      <c r="GC126" s="208"/>
      <c r="GD126" s="208"/>
      <c r="GE126" s="208"/>
      <c r="GF126" s="208"/>
    </row>
    <row r="127" spans="1:188" s="209" customFormat="1" ht="15" x14ac:dyDescent="0.25">
      <c r="A127" s="195" t="s">
        <v>4895</v>
      </c>
      <c r="B127" s="195" t="s">
        <v>62</v>
      </c>
      <c r="C127" s="196" t="s">
        <v>2070</v>
      </c>
      <c r="D127" s="154" t="s">
        <v>78</v>
      </c>
      <c r="E127" s="154">
        <v>25600</v>
      </c>
      <c r="F127" s="154">
        <v>0.1</v>
      </c>
      <c r="G127" s="197"/>
      <c r="H127" s="198"/>
      <c r="I127" s="151">
        <f>IFERROR(INDEX(Composições!$A$5:$J$8391,MATCH(B127,Composições!$A$5:$A$8391,0)+2,8),"")</f>
        <v>4.8195751500000004</v>
      </c>
      <c r="J127" s="152">
        <f t="shared" ref="J127:J135" si="18">IF(ISNUMBER(I127),ROUND(F127*E127*I127,2),"")</f>
        <v>12338.11</v>
      </c>
      <c r="K127" s="198">
        <f>BDI!$B$17</f>
        <v>0.191</v>
      </c>
      <c r="L127" s="198"/>
      <c r="M127" s="198"/>
      <c r="N127" s="153">
        <f t="shared" ref="N127:N135" si="19">IF(ISNUMBER(I127),ROUND(I127*(1+K127),2),"")</f>
        <v>5.74</v>
      </c>
      <c r="O127" s="152">
        <f t="shared" ref="O127:O135" si="20">IF(ISNUMBER(I127),ROUND(F127*N127*E127,2),"")</f>
        <v>14694.4</v>
      </c>
      <c r="P127" s="225"/>
      <c r="Q127" s="208"/>
      <c r="R127" s="208"/>
      <c r="S127"/>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c r="BI127" s="208"/>
      <c r="BJ127" s="208"/>
      <c r="BK127" s="208"/>
      <c r="BL127" s="208"/>
      <c r="BM127" s="208"/>
      <c r="BN127" s="208"/>
      <c r="BO127" s="208"/>
      <c r="BP127" s="208"/>
      <c r="BQ127" s="208"/>
      <c r="BR127" s="208"/>
      <c r="BS127" s="208"/>
      <c r="BT127" s="208"/>
      <c r="BU127" s="208"/>
      <c r="BV127" s="208"/>
      <c r="BW127" s="208"/>
      <c r="BX127" s="208"/>
      <c r="BY127" s="208"/>
      <c r="BZ127" s="208"/>
      <c r="CA127" s="208"/>
      <c r="CB127" s="208"/>
      <c r="CC127" s="208"/>
      <c r="CD127" s="208"/>
      <c r="CE127" s="208"/>
      <c r="CF127" s="208"/>
      <c r="CG127" s="208"/>
      <c r="CH127" s="208"/>
      <c r="CI127" s="208"/>
      <c r="CJ127" s="208"/>
      <c r="CK127" s="208"/>
      <c r="CL127" s="208"/>
      <c r="CM127" s="208"/>
      <c r="CN127" s="208"/>
      <c r="CO127" s="208"/>
      <c r="CP127" s="208"/>
      <c r="CQ127" s="208"/>
      <c r="CR127" s="208"/>
      <c r="CS127" s="208"/>
      <c r="CT127" s="208"/>
      <c r="CU127" s="208"/>
      <c r="CV127" s="208"/>
      <c r="CW127" s="208"/>
      <c r="CX127" s="208"/>
      <c r="CY127" s="208"/>
      <c r="CZ127" s="208"/>
      <c r="DA127" s="208"/>
      <c r="DB127" s="208"/>
      <c r="DC127" s="208"/>
      <c r="DD127" s="208"/>
      <c r="DE127" s="208"/>
      <c r="DF127" s="208"/>
      <c r="DG127" s="208"/>
      <c r="DH127" s="208"/>
      <c r="DI127" s="208"/>
      <c r="DJ127" s="208"/>
      <c r="DK127" s="208"/>
      <c r="DL127" s="208"/>
      <c r="DM127" s="208"/>
      <c r="DN127" s="208"/>
      <c r="DO127" s="208"/>
      <c r="DP127" s="208"/>
      <c r="DQ127" s="208"/>
      <c r="DR127" s="208"/>
      <c r="DS127" s="208"/>
      <c r="DT127" s="208"/>
      <c r="DU127" s="208"/>
      <c r="DV127" s="208"/>
      <c r="DW127" s="208"/>
      <c r="DX127" s="208"/>
      <c r="DY127" s="208"/>
      <c r="DZ127" s="208"/>
      <c r="EA127" s="208"/>
      <c r="EB127" s="208"/>
      <c r="EC127" s="208"/>
      <c r="ED127" s="208"/>
      <c r="EE127" s="208"/>
      <c r="EF127" s="208"/>
      <c r="EG127" s="208"/>
      <c r="EH127" s="208"/>
      <c r="EI127" s="208"/>
      <c r="EJ127" s="208"/>
      <c r="EK127" s="208"/>
      <c r="EL127" s="208"/>
      <c r="EM127" s="208"/>
      <c r="EN127" s="208"/>
      <c r="EO127" s="208"/>
      <c r="EP127" s="208"/>
      <c r="EQ127" s="208"/>
      <c r="ER127" s="208"/>
      <c r="ES127" s="208"/>
      <c r="ET127" s="208"/>
      <c r="EU127" s="208"/>
      <c r="EV127" s="208"/>
      <c r="EW127" s="208"/>
      <c r="EX127" s="208"/>
      <c r="EY127" s="208"/>
      <c r="EZ127" s="208"/>
      <c r="FA127" s="208"/>
      <c r="FB127" s="208"/>
      <c r="FC127" s="208"/>
      <c r="FD127" s="208"/>
      <c r="FE127" s="208"/>
      <c r="FF127" s="208"/>
      <c r="FG127" s="208"/>
      <c r="FH127" s="208"/>
      <c r="FI127" s="208"/>
      <c r="FJ127" s="208"/>
      <c r="FK127" s="208"/>
      <c r="FL127" s="208"/>
      <c r="FM127" s="208"/>
      <c r="FN127" s="208"/>
      <c r="FO127" s="208"/>
      <c r="FP127" s="208"/>
      <c r="FQ127" s="208"/>
      <c r="FR127" s="208"/>
      <c r="FS127" s="208"/>
      <c r="FT127" s="208"/>
      <c r="FU127" s="208"/>
      <c r="FV127" s="208"/>
      <c r="FW127" s="208"/>
      <c r="FX127" s="208"/>
      <c r="FY127" s="208"/>
      <c r="FZ127" s="208"/>
      <c r="GA127" s="208"/>
      <c r="GB127" s="208"/>
      <c r="GC127" s="208"/>
      <c r="GD127" s="208"/>
      <c r="GE127" s="208"/>
      <c r="GF127" s="208"/>
    </row>
    <row r="128" spans="1:188" s="209" customFormat="1" ht="15" x14ac:dyDescent="0.25">
      <c r="A128" s="195" t="s">
        <v>4896</v>
      </c>
      <c r="B128" s="195" t="s">
        <v>2000</v>
      </c>
      <c r="C128" s="196" t="s">
        <v>3723</v>
      </c>
      <c r="D128" s="154" t="s">
        <v>78</v>
      </c>
      <c r="E128" s="154">
        <v>3000</v>
      </c>
      <c r="F128" s="154">
        <v>0.1</v>
      </c>
      <c r="G128" s="197"/>
      <c r="H128" s="198"/>
      <c r="I128" s="151">
        <f>IFERROR(INDEX(Composições!$A$5:$J$8391,MATCH(B128,Composições!$A$5:$A$8391,0)+2,8),"")</f>
        <v>460.34147149999995</v>
      </c>
      <c r="J128" s="152">
        <f t="shared" si="18"/>
        <v>138102.44</v>
      </c>
      <c r="K128" s="198">
        <f>BDI!$B$17</f>
        <v>0.191</v>
      </c>
      <c r="L128" s="198"/>
      <c r="M128" s="198"/>
      <c r="N128" s="153">
        <f t="shared" si="19"/>
        <v>548.27</v>
      </c>
      <c r="O128" s="152">
        <f t="shared" si="20"/>
        <v>164481</v>
      </c>
      <c r="P128" s="225"/>
      <c r="Q128" s="208"/>
      <c r="R128" s="208"/>
      <c r="S128"/>
      <c r="T128" s="208"/>
      <c r="U128" s="208"/>
      <c r="V128" s="208"/>
      <c r="W128" s="208"/>
      <c r="X128" s="208"/>
      <c r="Y128" s="208"/>
      <c r="Z128" s="208"/>
      <c r="AA128" s="208"/>
      <c r="AB128" s="208"/>
      <c r="AC128" s="208"/>
      <c r="AD128" s="208"/>
      <c r="AE128" s="208"/>
      <c r="AF128" s="208"/>
      <c r="AG128" s="208"/>
      <c r="AH128" s="208"/>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c r="BI128" s="208"/>
      <c r="BJ128" s="208"/>
      <c r="BK128" s="208"/>
      <c r="BL128" s="208"/>
      <c r="BM128" s="208"/>
      <c r="BN128" s="208"/>
      <c r="BO128" s="208"/>
      <c r="BP128" s="208"/>
      <c r="BQ128" s="208"/>
      <c r="BR128" s="208"/>
      <c r="BS128" s="208"/>
      <c r="BT128" s="208"/>
      <c r="BU128" s="208"/>
      <c r="BV128" s="208"/>
      <c r="BW128" s="208"/>
      <c r="BX128" s="208"/>
      <c r="BY128" s="208"/>
      <c r="BZ128" s="208"/>
      <c r="CA128" s="208"/>
      <c r="CB128" s="208"/>
      <c r="CC128" s="208"/>
      <c r="CD128" s="208"/>
      <c r="CE128" s="208"/>
      <c r="CF128" s="208"/>
      <c r="CG128" s="208"/>
      <c r="CH128" s="208"/>
      <c r="CI128" s="208"/>
      <c r="CJ128" s="208"/>
      <c r="CK128" s="208"/>
      <c r="CL128" s="208"/>
      <c r="CM128" s="208"/>
      <c r="CN128" s="208"/>
      <c r="CO128" s="208"/>
      <c r="CP128" s="208"/>
      <c r="CQ128" s="208"/>
      <c r="CR128" s="208"/>
      <c r="CS128" s="208"/>
      <c r="CT128" s="208"/>
      <c r="CU128" s="208"/>
      <c r="CV128" s="208"/>
      <c r="CW128" s="208"/>
      <c r="CX128" s="208"/>
      <c r="CY128" s="208"/>
      <c r="CZ128" s="208"/>
      <c r="DA128" s="208"/>
      <c r="DB128" s="208"/>
      <c r="DC128" s="208"/>
      <c r="DD128" s="208"/>
      <c r="DE128" s="208"/>
      <c r="DF128" s="208"/>
      <c r="DG128" s="208"/>
      <c r="DH128" s="208"/>
      <c r="DI128" s="208"/>
      <c r="DJ128" s="208"/>
      <c r="DK128" s="208"/>
      <c r="DL128" s="208"/>
      <c r="DM128" s="208"/>
      <c r="DN128" s="208"/>
      <c r="DO128" s="208"/>
      <c r="DP128" s="208"/>
      <c r="DQ128" s="208"/>
      <c r="DR128" s="208"/>
      <c r="DS128" s="208"/>
      <c r="DT128" s="208"/>
      <c r="DU128" s="208"/>
      <c r="DV128" s="208"/>
      <c r="DW128" s="208"/>
      <c r="DX128" s="208"/>
      <c r="DY128" s="208"/>
      <c r="DZ128" s="208"/>
      <c r="EA128" s="208"/>
      <c r="EB128" s="208"/>
      <c r="EC128" s="208"/>
      <c r="ED128" s="208"/>
      <c r="EE128" s="208"/>
      <c r="EF128" s="208"/>
      <c r="EG128" s="208"/>
      <c r="EH128" s="208"/>
      <c r="EI128" s="208"/>
      <c r="EJ128" s="208"/>
      <c r="EK128" s="208"/>
      <c r="EL128" s="208"/>
      <c r="EM128" s="208"/>
      <c r="EN128" s="208"/>
      <c r="EO128" s="208"/>
      <c r="EP128" s="208"/>
      <c r="EQ128" s="208"/>
      <c r="ER128" s="208"/>
      <c r="ES128" s="208"/>
      <c r="ET128" s="208"/>
      <c r="EU128" s="208"/>
      <c r="EV128" s="208"/>
      <c r="EW128" s="208"/>
      <c r="EX128" s="208"/>
      <c r="EY128" s="208"/>
      <c r="EZ128" s="208"/>
      <c r="FA128" s="208"/>
      <c r="FB128" s="208"/>
      <c r="FC128" s="208"/>
      <c r="FD128" s="208"/>
      <c r="FE128" s="208"/>
      <c r="FF128" s="208"/>
      <c r="FG128" s="208"/>
      <c r="FH128" s="208"/>
      <c r="FI128" s="208"/>
      <c r="FJ128" s="208"/>
      <c r="FK128" s="208"/>
      <c r="FL128" s="208"/>
      <c r="FM128" s="208"/>
      <c r="FN128" s="208"/>
      <c r="FO128" s="208"/>
      <c r="FP128" s="208"/>
      <c r="FQ128" s="208"/>
      <c r="FR128" s="208"/>
      <c r="FS128" s="208"/>
      <c r="FT128" s="208"/>
      <c r="FU128" s="208"/>
      <c r="FV128" s="208"/>
      <c r="FW128" s="208"/>
      <c r="FX128" s="208"/>
      <c r="FY128" s="208"/>
      <c r="FZ128" s="208"/>
      <c r="GA128" s="208"/>
      <c r="GB128" s="208"/>
      <c r="GC128" s="208"/>
      <c r="GD128" s="208"/>
      <c r="GE128" s="208"/>
      <c r="GF128" s="208"/>
    </row>
    <row r="129" spans="1:188" s="209" customFormat="1" ht="15" x14ac:dyDescent="0.25">
      <c r="A129" s="195" t="s">
        <v>4897</v>
      </c>
      <c r="B129" s="195" t="s">
        <v>193</v>
      </c>
      <c r="C129" s="196" t="s">
        <v>2181</v>
      </c>
      <c r="D129" s="154" t="s">
        <v>78</v>
      </c>
      <c r="E129" s="154">
        <v>540</v>
      </c>
      <c r="F129" s="154">
        <v>0.1</v>
      </c>
      <c r="G129" s="197"/>
      <c r="H129" s="198"/>
      <c r="I129" s="151">
        <f>IFERROR(INDEX(Composições!$A$5:$J$8391,MATCH(B129,Composições!$A$5:$A$8391,0)+2,8),"")</f>
        <v>63.003598150000002</v>
      </c>
      <c r="J129" s="152">
        <f t="shared" si="18"/>
        <v>3402.19</v>
      </c>
      <c r="K129" s="198">
        <f>BDI!$B$17</f>
        <v>0.191</v>
      </c>
      <c r="L129" s="198"/>
      <c r="M129" s="198"/>
      <c r="N129" s="153">
        <f t="shared" si="19"/>
        <v>75.040000000000006</v>
      </c>
      <c r="O129" s="152">
        <f t="shared" si="20"/>
        <v>4052.16</v>
      </c>
      <c r="P129" s="225"/>
      <c r="Q129" s="208"/>
      <c r="R129" s="208"/>
      <c r="S129"/>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c r="BI129" s="208"/>
      <c r="BJ129" s="208"/>
      <c r="BK129" s="208"/>
      <c r="BL129" s="208"/>
      <c r="BM129" s="208"/>
      <c r="BN129" s="208"/>
      <c r="BO129" s="208"/>
      <c r="BP129" s="208"/>
      <c r="BQ129" s="208"/>
      <c r="BR129" s="208"/>
      <c r="BS129" s="208"/>
      <c r="BT129" s="208"/>
      <c r="BU129" s="208"/>
      <c r="BV129" s="208"/>
      <c r="BW129" s="208"/>
      <c r="BX129" s="208"/>
      <c r="BY129" s="208"/>
      <c r="BZ129" s="208"/>
      <c r="CA129" s="208"/>
      <c r="CB129" s="208"/>
      <c r="CC129" s="208"/>
      <c r="CD129" s="208"/>
      <c r="CE129" s="208"/>
      <c r="CF129" s="208"/>
      <c r="CG129" s="208"/>
      <c r="CH129" s="208"/>
      <c r="CI129" s="208"/>
      <c r="CJ129" s="208"/>
      <c r="CK129" s="208"/>
      <c r="CL129" s="208"/>
      <c r="CM129" s="208"/>
      <c r="CN129" s="208"/>
      <c r="CO129" s="208"/>
      <c r="CP129" s="208"/>
      <c r="CQ129" s="208"/>
      <c r="CR129" s="208"/>
      <c r="CS129" s="208"/>
      <c r="CT129" s="208"/>
      <c r="CU129" s="208"/>
      <c r="CV129" s="208"/>
      <c r="CW129" s="208"/>
      <c r="CX129" s="208"/>
      <c r="CY129" s="208"/>
      <c r="CZ129" s="208"/>
      <c r="DA129" s="208"/>
      <c r="DB129" s="208"/>
      <c r="DC129" s="208"/>
      <c r="DD129" s="208"/>
      <c r="DE129" s="208"/>
      <c r="DF129" s="208"/>
      <c r="DG129" s="208"/>
      <c r="DH129" s="208"/>
      <c r="DI129" s="208"/>
      <c r="DJ129" s="208"/>
      <c r="DK129" s="208"/>
      <c r="DL129" s="208"/>
      <c r="DM129" s="208"/>
      <c r="DN129" s="208"/>
      <c r="DO129" s="208"/>
      <c r="DP129" s="208"/>
      <c r="DQ129" s="208"/>
      <c r="DR129" s="208"/>
      <c r="DS129" s="208"/>
      <c r="DT129" s="208"/>
      <c r="DU129" s="208"/>
      <c r="DV129" s="208"/>
      <c r="DW129" s="208"/>
      <c r="DX129" s="208"/>
      <c r="DY129" s="208"/>
      <c r="DZ129" s="208"/>
      <c r="EA129" s="208"/>
      <c r="EB129" s="208"/>
      <c r="EC129" s="208"/>
      <c r="ED129" s="208"/>
      <c r="EE129" s="208"/>
      <c r="EF129" s="208"/>
      <c r="EG129" s="208"/>
      <c r="EH129" s="208"/>
      <c r="EI129" s="208"/>
      <c r="EJ129" s="208"/>
      <c r="EK129" s="208"/>
      <c r="EL129" s="208"/>
      <c r="EM129" s="208"/>
      <c r="EN129" s="208"/>
      <c r="EO129" s="208"/>
      <c r="EP129" s="208"/>
      <c r="EQ129" s="208"/>
      <c r="ER129" s="208"/>
      <c r="ES129" s="208"/>
      <c r="ET129" s="208"/>
      <c r="EU129" s="208"/>
      <c r="EV129" s="208"/>
      <c r="EW129" s="208"/>
      <c r="EX129" s="208"/>
      <c r="EY129" s="208"/>
      <c r="EZ129" s="208"/>
      <c r="FA129" s="208"/>
      <c r="FB129" s="208"/>
      <c r="FC129" s="208"/>
      <c r="FD129" s="208"/>
      <c r="FE129" s="208"/>
      <c r="FF129" s="208"/>
      <c r="FG129" s="208"/>
      <c r="FH129" s="208"/>
      <c r="FI129" s="208"/>
      <c r="FJ129" s="208"/>
      <c r="FK129" s="208"/>
      <c r="FL129" s="208"/>
      <c r="FM129" s="208"/>
      <c r="FN129" s="208"/>
      <c r="FO129" s="208"/>
      <c r="FP129" s="208"/>
      <c r="FQ129" s="208"/>
      <c r="FR129" s="208"/>
      <c r="FS129" s="208"/>
      <c r="FT129" s="208"/>
      <c r="FU129" s="208"/>
      <c r="FV129" s="208"/>
      <c r="FW129" s="208"/>
      <c r="FX129" s="208"/>
      <c r="FY129" s="208"/>
      <c r="FZ129" s="208"/>
      <c r="GA129" s="208"/>
      <c r="GB129" s="208"/>
      <c r="GC129" s="208"/>
      <c r="GD129" s="208"/>
      <c r="GE129" s="208"/>
      <c r="GF129" s="208"/>
    </row>
    <row r="130" spans="1:188" s="209" customFormat="1" ht="15" x14ac:dyDescent="0.25">
      <c r="A130" s="195" t="s">
        <v>4898</v>
      </c>
      <c r="B130" s="195" t="s">
        <v>194</v>
      </c>
      <c r="C130" s="196" t="s">
        <v>2182</v>
      </c>
      <c r="D130" s="154" t="s">
        <v>78</v>
      </c>
      <c r="E130" s="154">
        <v>2030</v>
      </c>
      <c r="F130" s="154">
        <v>0.1</v>
      </c>
      <c r="G130" s="197"/>
      <c r="H130" s="198"/>
      <c r="I130" s="151">
        <f>IFERROR(INDEX(Composições!$A$5:$J$8391,MATCH(B130,Composições!$A$5:$A$8391,0)+2,8),"")</f>
        <v>29.751870099999994</v>
      </c>
      <c r="J130" s="152">
        <f t="shared" si="18"/>
        <v>6039.63</v>
      </c>
      <c r="K130" s="198">
        <f>BDI!$B$17</f>
        <v>0.191</v>
      </c>
      <c r="L130" s="198"/>
      <c r="M130" s="198"/>
      <c r="N130" s="153">
        <f t="shared" si="19"/>
        <v>35.43</v>
      </c>
      <c r="O130" s="152">
        <f t="shared" si="20"/>
        <v>7192.29</v>
      </c>
      <c r="P130" s="225"/>
      <c r="Q130" s="208"/>
      <c r="R130" s="208"/>
      <c r="S130"/>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c r="BI130" s="208"/>
      <c r="BJ130" s="208"/>
      <c r="BK130" s="208"/>
      <c r="BL130" s="208"/>
      <c r="BM130" s="208"/>
      <c r="BN130" s="208"/>
      <c r="BO130" s="208"/>
      <c r="BP130" s="208"/>
      <c r="BQ130" s="208"/>
      <c r="BR130" s="208"/>
      <c r="BS130" s="208"/>
      <c r="BT130" s="208"/>
      <c r="BU130" s="208"/>
      <c r="BV130" s="208"/>
      <c r="BW130" s="208"/>
      <c r="BX130" s="208"/>
      <c r="BY130" s="208"/>
      <c r="BZ130" s="208"/>
      <c r="CA130" s="208"/>
      <c r="CB130" s="208"/>
      <c r="CC130" s="208"/>
      <c r="CD130" s="208"/>
      <c r="CE130" s="208"/>
      <c r="CF130" s="208"/>
      <c r="CG130" s="208"/>
      <c r="CH130" s="208"/>
      <c r="CI130" s="208"/>
      <c r="CJ130" s="208"/>
      <c r="CK130" s="208"/>
      <c r="CL130" s="208"/>
      <c r="CM130" s="208"/>
      <c r="CN130" s="208"/>
      <c r="CO130" s="208"/>
      <c r="CP130" s="208"/>
      <c r="CQ130" s="208"/>
      <c r="CR130" s="208"/>
      <c r="CS130" s="208"/>
      <c r="CT130" s="208"/>
      <c r="CU130" s="208"/>
      <c r="CV130" s="208"/>
      <c r="CW130" s="208"/>
      <c r="CX130" s="208"/>
      <c r="CY130" s="208"/>
      <c r="CZ130" s="208"/>
      <c r="DA130" s="208"/>
      <c r="DB130" s="208"/>
      <c r="DC130" s="208"/>
      <c r="DD130" s="208"/>
      <c r="DE130" s="208"/>
      <c r="DF130" s="208"/>
      <c r="DG130" s="208"/>
      <c r="DH130" s="208"/>
      <c r="DI130" s="208"/>
      <c r="DJ130" s="208"/>
      <c r="DK130" s="208"/>
      <c r="DL130" s="208"/>
      <c r="DM130" s="208"/>
      <c r="DN130" s="208"/>
      <c r="DO130" s="208"/>
      <c r="DP130" s="208"/>
      <c r="DQ130" s="208"/>
      <c r="DR130" s="208"/>
      <c r="DS130" s="208"/>
      <c r="DT130" s="208"/>
      <c r="DU130" s="208"/>
      <c r="DV130" s="208"/>
      <c r="DW130" s="208"/>
      <c r="DX130" s="208"/>
      <c r="DY130" s="208"/>
      <c r="DZ130" s="208"/>
      <c r="EA130" s="208"/>
      <c r="EB130" s="208"/>
      <c r="EC130" s="208"/>
      <c r="ED130" s="208"/>
      <c r="EE130" s="208"/>
      <c r="EF130" s="208"/>
      <c r="EG130" s="208"/>
      <c r="EH130" s="208"/>
      <c r="EI130" s="208"/>
      <c r="EJ130" s="208"/>
      <c r="EK130" s="208"/>
      <c r="EL130" s="208"/>
      <c r="EM130" s="208"/>
      <c r="EN130" s="208"/>
      <c r="EO130" s="208"/>
      <c r="EP130" s="208"/>
      <c r="EQ130" s="208"/>
      <c r="ER130" s="208"/>
      <c r="ES130" s="208"/>
      <c r="ET130" s="208"/>
      <c r="EU130" s="208"/>
      <c r="EV130" s="208"/>
      <c r="EW130" s="208"/>
      <c r="EX130" s="208"/>
      <c r="EY130" s="208"/>
      <c r="EZ130" s="208"/>
      <c r="FA130" s="208"/>
      <c r="FB130" s="208"/>
      <c r="FC130" s="208"/>
      <c r="FD130" s="208"/>
      <c r="FE130" s="208"/>
      <c r="FF130" s="208"/>
      <c r="FG130" s="208"/>
      <c r="FH130" s="208"/>
      <c r="FI130" s="208"/>
      <c r="FJ130" s="208"/>
      <c r="FK130" s="208"/>
      <c r="FL130" s="208"/>
      <c r="FM130" s="208"/>
      <c r="FN130" s="208"/>
      <c r="FO130" s="208"/>
      <c r="FP130" s="208"/>
      <c r="FQ130" s="208"/>
      <c r="FR130" s="208"/>
      <c r="FS130" s="208"/>
      <c r="FT130" s="208"/>
      <c r="FU130" s="208"/>
      <c r="FV130" s="208"/>
      <c r="FW130" s="208"/>
      <c r="FX130" s="208"/>
      <c r="FY130" s="208"/>
      <c r="FZ130" s="208"/>
      <c r="GA130" s="208"/>
      <c r="GB130" s="208"/>
      <c r="GC130" s="208"/>
      <c r="GD130" s="208"/>
      <c r="GE130" s="208"/>
      <c r="GF130" s="208"/>
    </row>
    <row r="131" spans="1:188" s="209" customFormat="1" ht="15" x14ac:dyDescent="0.25">
      <c r="A131" s="195" t="s">
        <v>4899</v>
      </c>
      <c r="B131" s="195" t="s">
        <v>195</v>
      </c>
      <c r="C131" s="196" t="s">
        <v>2183</v>
      </c>
      <c r="D131" s="154" t="s">
        <v>78</v>
      </c>
      <c r="E131" s="154">
        <v>600</v>
      </c>
      <c r="F131" s="154">
        <v>0.1</v>
      </c>
      <c r="G131" s="197"/>
      <c r="H131" s="198"/>
      <c r="I131" s="151">
        <f>IFERROR(INDEX(Composições!$A$5:$J$8391,MATCH(B131,Composições!$A$5:$A$8391,0)+2,8),"")</f>
        <v>101.00941434999997</v>
      </c>
      <c r="J131" s="152">
        <f t="shared" si="18"/>
        <v>6060.56</v>
      </c>
      <c r="K131" s="198">
        <f>BDI!$B$17</f>
        <v>0.191</v>
      </c>
      <c r="L131" s="198"/>
      <c r="M131" s="198"/>
      <c r="N131" s="153">
        <f t="shared" si="19"/>
        <v>120.3</v>
      </c>
      <c r="O131" s="152">
        <f t="shared" si="20"/>
        <v>7218</v>
      </c>
      <c r="P131" s="225"/>
      <c r="Q131" s="208"/>
      <c r="R131" s="208"/>
      <c r="S131"/>
      <c r="T131" s="208"/>
      <c r="U131" s="208"/>
      <c r="V131" s="208"/>
      <c r="W131" s="208"/>
      <c r="X131" s="208"/>
      <c r="Y131" s="208"/>
      <c r="Z131" s="208"/>
      <c r="AA131" s="208"/>
      <c r="AB131" s="208"/>
      <c r="AC131" s="208"/>
      <c r="AD131" s="208"/>
      <c r="AE131" s="208"/>
      <c r="AF131" s="208"/>
      <c r="AG131" s="208"/>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c r="BI131" s="208"/>
      <c r="BJ131" s="208"/>
      <c r="BK131" s="208"/>
      <c r="BL131" s="208"/>
      <c r="BM131" s="208"/>
      <c r="BN131" s="208"/>
      <c r="BO131" s="208"/>
      <c r="BP131" s="208"/>
      <c r="BQ131" s="208"/>
      <c r="BR131" s="208"/>
      <c r="BS131" s="208"/>
      <c r="BT131" s="208"/>
      <c r="BU131" s="208"/>
      <c r="BV131" s="208"/>
      <c r="BW131" s="208"/>
      <c r="BX131" s="208"/>
      <c r="BY131" s="208"/>
      <c r="BZ131" s="208"/>
      <c r="CA131" s="208"/>
      <c r="CB131" s="208"/>
      <c r="CC131" s="208"/>
      <c r="CD131" s="208"/>
      <c r="CE131" s="208"/>
      <c r="CF131" s="208"/>
      <c r="CG131" s="208"/>
      <c r="CH131" s="208"/>
      <c r="CI131" s="208"/>
      <c r="CJ131" s="208"/>
      <c r="CK131" s="208"/>
      <c r="CL131" s="208"/>
      <c r="CM131" s="208"/>
      <c r="CN131" s="208"/>
      <c r="CO131" s="208"/>
      <c r="CP131" s="208"/>
      <c r="CQ131" s="208"/>
      <c r="CR131" s="208"/>
      <c r="CS131" s="208"/>
      <c r="CT131" s="208"/>
      <c r="CU131" s="208"/>
      <c r="CV131" s="208"/>
      <c r="CW131" s="208"/>
      <c r="CX131" s="208"/>
      <c r="CY131" s="208"/>
      <c r="CZ131" s="208"/>
      <c r="DA131" s="208"/>
      <c r="DB131" s="208"/>
      <c r="DC131" s="208"/>
      <c r="DD131" s="208"/>
      <c r="DE131" s="208"/>
      <c r="DF131" s="208"/>
      <c r="DG131" s="208"/>
      <c r="DH131" s="208"/>
      <c r="DI131" s="208"/>
      <c r="DJ131" s="208"/>
      <c r="DK131" s="208"/>
      <c r="DL131" s="208"/>
      <c r="DM131" s="208"/>
      <c r="DN131" s="208"/>
      <c r="DO131" s="208"/>
      <c r="DP131" s="208"/>
      <c r="DQ131" s="208"/>
      <c r="DR131" s="208"/>
      <c r="DS131" s="208"/>
      <c r="DT131" s="208"/>
      <c r="DU131" s="208"/>
      <c r="DV131" s="208"/>
      <c r="DW131" s="208"/>
      <c r="DX131" s="208"/>
      <c r="DY131" s="208"/>
      <c r="DZ131" s="208"/>
      <c r="EA131" s="208"/>
      <c r="EB131" s="208"/>
      <c r="EC131" s="208"/>
      <c r="ED131" s="208"/>
      <c r="EE131" s="208"/>
      <c r="EF131" s="208"/>
      <c r="EG131" s="208"/>
      <c r="EH131" s="208"/>
      <c r="EI131" s="208"/>
      <c r="EJ131" s="208"/>
      <c r="EK131" s="208"/>
      <c r="EL131" s="208"/>
      <c r="EM131" s="208"/>
      <c r="EN131" s="208"/>
      <c r="EO131" s="208"/>
      <c r="EP131" s="208"/>
      <c r="EQ131" s="208"/>
      <c r="ER131" s="208"/>
      <c r="ES131" s="208"/>
      <c r="ET131" s="208"/>
      <c r="EU131" s="208"/>
      <c r="EV131" s="208"/>
      <c r="EW131" s="208"/>
      <c r="EX131" s="208"/>
      <c r="EY131" s="208"/>
      <c r="EZ131" s="208"/>
      <c r="FA131" s="208"/>
      <c r="FB131" s="208"/>
      <c r="FC131" s="208"/>
      <c r="FD131" s="208"/>
      <c r="FE131" s="208"/>
      <c r="FF131" s="208"/>
      <c r="FG131" s="208"/>
      <c r="FH131" s="208"/>
      <c r="FI131" s="208"/>
      <c r="FJ131" s="208"/>
      <c r="FK131" s="208"/>
      <c r="FL131" s="208"/>
      <c r="FM131" s="208"/>
      <c r="FN131" s="208"/>
      <c r="FO131" s="208"/>
      <c r="FP131" s="208"/>
      <c r="FQ131" s="208"/>
      <c r="FR131" s="208"/>
      <c r="FS131" s="208"/>
      <c r="FT131" s="208"/>
      <c r="FU131" s="208"/>
      <c r="FV131" s="208"/>
      <c r="FW131" s="208"/>
      <c r="FX131" s="208"/>
      <c r="FY131" s="208"/>
      <c r="FZ131" s="208"/>
      <c r="GA131" s="208"/>
      <c r="GB131" s="208"/>
      <c r="GC131" s="208"/>
      <c r="GD131" s="208"/>
      <c r="GE131" s="208"/>
      <c r="GF131" s="208"/>
    </row>
    <row r="132" spans="1:188" s="209" customFormat="1" ht="15" x14ac:dyDescent="0.25">
      <c r="A132" s="195" t="s">
        <v>4900</v>
      </c>
      <c r="B132" s="195" t="s">
        <v>197</v>
      </c>
      <c r="C132" s="196" t="s">
        <v>2184</v>
      </c>
      <c r="D132" s="154" t="s">
        <v>78</v>
      </c>
      <c r="E132" s="154">
        <v>22430</v>
      </c>
      <c r="F132" s="154">
        <v>0.1</v>
      </c>
      <c r="G132" s="197"/>
      <c r="H132" s="198"/>
      <c r="I132" s="151">
        <f>IFERROR(INDEX(Composições!$A$5:$J$8391,MATCH(B132,Composições!$A$5:$A$8391,0)+2,8),"")</f>
        <v>201.58425</v>
      </c>
      <c r="J132" s="152">
        <f t="shared" si="18"/>
        <v>452153.47</v>
      </c>
      <c r="K132" s="198">
        <f>BDI!$B$17</f>
        <v>0.191</v>
      </c>
      <c r="L132" s="198"/>
      <c r="M132" s="198"/>
      <c r="N132" s="153">
        <f t="shared" si="19"/>
        <v>240.09</v>
      </c>
      <c r="O132" s="152">
        <f t="shared" si="20"/>
        <v>538521.87</v>
      </c>
      <c r="P132" s="225"/>
      <c r="Q132" s="208"/>
      <c r="R132" s="208"/>
      <c r="S132"/>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c r="BI132" s="208"/>
      <c r="BJ132" s="208"/>
      <c r="BK132" s="208"/>
      <c r="BL132" s="208"/>
      <c r="BM132" s="208"/>
      <c r="BN132" s="208"/>
      <c r="BO132" s="208"/>
      <c r="BP132" s="208"/>
      <c r="BQ132" s="208"/>
      <c r="BR132" s="208"/>
      <c r="BS132" s="208"/>
      <c r="BT132" s="208"/>
      <c r="BU132" s="208"/>
      <c r="BV132" s="208"/>
      <c r="BW132" s="208"/>
      <c r="BX132" s="208"/>
      <c r="BY132" s="208"/>
      <c r="BZ132" s="208"/>
      <c r="CA132" s="208"/>
      <c r="CB132" s="208"/>
      <c r="CC132" s="208"/>
      <c r="CD132" s="208"/>
      <c r="CE132" s="208"/>
      <c r="CF132" s="208"/>
      <c r="CG132" s="208"/>
      <c r="CH132" s="208"/>
      <c r="CI132" s="208"/>
      <c r="CJ132" s="208"/>
      <c r="CK132" s="208"/>
      <c r="CL132" s="208"/>
      <c r="CM132" s="208"/>
      <c r="CN132" s="208"/>
      <c r="CO132" s="208"/>
      <c r="CP132" s="208"/>
      <c r="CQ132" s="208"/>
      <c r="CR132" s="208"/>
      <c r="CS132" s="208"/>
      <c r="CT132" s="208"/>
      <c r="CU132" s="208"/>
      <c r="CV132" s="208"/>
      <c r="CW132" s="208"/>
      <c r="CX132" s="208"/>
      <c r="CY132" s="208"/>
      <c r="CZ132" s="208"/>
      <c r="DA132" s="208"/>
      <c r="DB132" s="208"/>
      <c r="DC132" s="208"/>
      <c r="DD132" s="208"/>
      <c r="DE132" s="208"/>
      <c r="DF132" s="208"/>
      <c r="DG132" s="208"/>
      <c r="DH132" s="208"/>
      <c r="DI132" s="208"/>
      <c r="DJ132" s="208"/>
      <c r="DK132" s="208"/>
      <c r="DL132" s="208"/>
      <c r="DM132" s="208"/>
      <c r="DN132" s="208"/>
      <c r="DO132" s="208"/>
      <c r="DP132" s="208"/>
      <c r="DQ132" s="208"/>
      <c r="DR132" s="208"/>
      <c r="DS132" s="208"/>
      <c r="DT132" s="208"/>
      <c r="DU132" s="208"/>
      <c r="DV132" s="208"/>
      <c r="DW132" s="208"/>
      <c r="DX132" s="208"/>
      <c r="DY132" s="208"/>
      <c r="DZ132" s="208"/>
      <c r="EA132" s="208"/>
      <c r="EB132" s="208"/>
      <c r="EC132" s="208"/>
      <c r="ED132" s="208"/>
      <c r="EE132" s="208"/>
      <c r="EF132" s="208"/>
      <c r="EG132" s="208"/>
      <c r="EH132" s="208"/>
      <c r="EI132" s="208"/>
      <c r="EJ132" s="208"/>
      <c r="EK132" s="208"/>
      <c r="EL132" s="208"/>
      <c r="EM132" s="208"/>
      <c r="EN132" s="208"/>
      <c r="EO132" s="208"/>
      <c r="EP132" s="208"/>
      <c r="EQ132" s="208"/>
      <c r="ER132" s="208"/>
      <c r="ES132" s="208"/>
      <c r="ET132" s="208"/>
      <c r="EU132" s="208"/>
      <c r="EV132" s="208"/>
      <c r="EW132" s="208"/>
      <c r="EX132" s="208"/>
      <c r="EY132" s="208"/>
      <c r="EZ132" s="208"/>
      <c r="FA132" s="208"/>
      <c r="FB132" s="208"/>
      <c r="FC132" s="208"/>
      <c r="FD132" s="208"/>
      <c r="FE132" s="208"/>
      <c r="FF132" s="208"/>
      <c r="FG132" s="208"/>
      <c r="FH132" s="208"/>
      <c r="FI132" s="208"/>
      <c r="FJ132" s="208"/>
      <c r="FK132" s="208"/>
      <c r="FL132" s="208"/>
      <c r="FM132" s="208"/>
      <c r="FN132" s="208"/>
      <c r="FO132" s="208"/>
      <c r="FP132" s="208"/>
      <c r="FQ132" s="208"/>
      <c r="FR132" s="208"/>
      <c r="FS132" s="208"/>
      <c r="FT132" s="208"/>
      <c r="FU132" s="208"/>
      <c r="FV132" s="208"/>
      <c r="FW132" s="208"/>
      <c r="FX132" s="208"/>
      <c r="FY132" s="208"/>
      <c r="FZ132" s="208"/>
      <c r="GA132" s="208"/>
      <c r="GB132" s="208"/>
      <c r="GC132" s="208"/>
      <c r="GD132" s="208"/>
      <c r="GE132" s="208"/>
      <c r="GF132" s="208"/>
    </row>
    <row r="133" spans="1:188" s="209" customFormat="1" ht="15" x14ac:dyDescent="0.25">
      <c r="A133" s="195" t="s">
        <v>4901</v>
      </c>
      <c r="B133" s="195" t="s">
        <v>1987</v>
      </c>
      <c r="C133" s="196" t="s">
        <v>3699</v>
      </c>
      <c r="D133" s="154" t="s">
        <v>78</v>
      </c>
      <c r="E133" s="154">
        <v>6000</v>
      </c>
      <c r="F133" s="154">
        <v>0.1</v>
      </c>
      <c r="G133" s="197"/>
      <c r="H133" s="198"/>
      <c r="I133" s="151">
        <f>IFERROR(INDEX(Composições!$A$5:$J$8391,MATCH(B133,Composições!$A$5:$A$8391,0)+2,8),"")</f>
        <v>260.11475000000002</v>
      </c>
      <c r="J133" s="152">
        <f t="shared" si="18"/>
        <v>156068.85</v>
      </c>
      <c r="K133" s="198">
        <f>BDI!$B$17</f>
        <v>0.191</v>
      </c>
      <c r="L133" s="198"/>
      <c r="M133" s="198"/>
      <c r="N133" s="153">
        <f t="shared" si="19"/>
        <v>309.8</v>
      </c>
      <c r="O133" s="152">
        <f t="shared" si="20"/>
        <v>185880</v>
      </c>
      <c r="P133" s="225"/>
      <c r="Q133" s="208"/>
      <c r="R133" s="208"/>
      <c r="S133"/>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c r="BI133" s="208"/>
      <c r="BJ133" s="208"/>
      <c r="BK133" s="208"/>
      <c r="BL133" s="208"/>
      <c r="BM133" s="208"/>
      <c r="BN133" s="208"/>
      <c r="BO133" s="208"/>
      <c r="BP133" s="208"/>
      <c r="BQ133" s="208"/>
      <c r="BR133" s="208"/>
      <c r="BS133" s="208"/>
      <c r="BT133" s="208"/>
      <c r="BU133" s="208"/>
      <c r="BV133" s="208"/>
      <c r="BW133" s="208"/>
      <c r="BX133" s="208"/>
      <c r="BY133" s="208"/>
      <c r="BZ133" s="208"/>
      <c r="CA133" s="208"/>
      <c r="CB133" s="208"/>
      <c r="CC133" s="208"/>
      <c r="CD133" s="208"/>
      <c r="CE133" s="208"/>
      <c r="CF133" s="208"/>
      <c r="CG133" s="208"/>
      <c r="CH133" s="208"/>
      <c r="CI133" s="208"/>
      <c r="CJ133" s="208"/>
      <c r="CK133" s="208"/>
      <c r="CL133" s="208"/>
      <c r="CM133" s="208"/>
      <c r="CN133" s="208"/>
      <c r="CO133" s="208"/>
      <c r="CP133" s="208"/>
      <c r="CQ133" s="208"/>
      <c r="CR133" s="208"/>
      <c r="CS133" s="208"/>
      <c r="CT133" s="208"/>
      <c r="CU133" s="208"/>
      <c r="CV133" s="208"/>
      <c r="CW133" s="208"/>
      <c r="CX133" s="208"/>
      <c r="CY133" s="208"/>
      <c r="CZ133" s="208"/>
      <c r="DA133" s="208"/>
      <c r="DB133" s="208"/>
      <c r="DC133" s="208"/>
      <c r="DD133" s="208"/>
      <c r="DE133" s="208"/>
      <c r="DF133" s="208"/>
      <c r="DG133" s="208"/>
      <c r="DH133" s="208"/>
      <c r="DI133" s="208"/>
      <c r="DJ133" s="208"/>
      <c r="DK133" s="208"/>
      <c r="DL133" s="208"/>
      <c r="DM133" s="208"/>
      <c r="DN133" s="208"/>
      <c r="DO133" s="208"/>
      <c r="DP133" s="208"/>
      <c r="DQ133" s="208"/>
      <c r="DR133" s="208"/>
      <c r="DS133" s="208"/>
      <c r="DT133" s="208"/>
      <c r="DU133" s="208"/>
      <c r="DV133" s="208"/>
      <c r="DW133" s="208"/>
      <c r="DX133" s="208"/>
      <c r="DY133" s="208"/>
      <c r="DZ133" s="208"/>
      <c r="EA133" s="208"/>
      <c r="EB133" s="208"/>
      <c r="EC133" s="208"/>
      <c r="ED133" s="208"/>
      <c r="EE133" s="208"/>
      <c r="EF133" s="208"/>
      <c r="EG133" s="208"/>
      <c r="EH133" s="208"/>
      <c r="EI133" s="208"/>
      <c r="EJ133" s="208"/>
      <c r="EK133" s="208"/>
      <c r="EL133" s="208"/>
      <c r="EM133" s="208"/>
      <c r="EN133" s="208"/>
      <c r="EO133" s="208"/>
      <c r="EP133" s="208"/>
      <c r="EQ133" s="208"/>
      <c r="ER133" s="208"/>
      <c r="ES133" s="208"/>
      <c r="ET133" s="208"/>
      <c r="EU133" s="208"/>
      <c r="EV133" s="208"/>
      <c r="EW133" s="208"/>
      <c r="EX133" s="208"/>
      <c r="EY133" s="208"/>
      <c r="EZ133" s="208"/>
      <c r="FA133" s="208"/>
      <c r="FB133" s="208"/>
      <c r="FC133" s="208"/>
      <c r="FD133" s="208"/>
      <c r="FE133" s="208"/>
      <c r="FF133" s="208"/>
      <c r="FG133" s="208"/>
      <c r="FH133" s="208"/>
      <c r="FI133" s="208"/>
      <c r="FJ133" s="208"/>
      <c r="FK133" s="208"/>
      <c r="FL133" s="208"/>
      <c r="FM133" s="208"/>
      <c r="FN133" s="208"/>
      <c r="FO133" s="208"/>
      <c r="FP133" s="208"/>
      <c r="FQ133" s="208"/>
      <c r="FR133" s="208"/>
      <c r="FS133" s="208"/>
      <c r="FT133" s="208"/>
      <c r="FU133" s="208"/>
      <c r="FV133" s="208"/>
      <c r="FW133" s="208"/>
      <c r="FX133" s="208"/>
      <c r="FY133" s="208"/>
      <c r="FZ133" s="208"/>
      <c r="GA133" s="208"/>
      <c r="GB133" s="208"/>
      <c r="GC133" s="208"/>
      <c r="GD133" s="208"/>
      <c r="GE133" s="208"/>
      <c r="GF133" s="208"/>
    </row>
    <row r="134" spans="1:188" s="209" customFormat="1" ht="15" x14ac:dyDescent="0.25">
      <c r="A134" s="195" t="s">
        <v>4902</v>
      </c>
      <c r="B134" s="195" t="s">
        <v>202</v>
      </c>
      <c r="C134" s="196" t="s">
        <v>2187</v>
      </c>
      <c r="D134" s="154" t="s">
        <v>78</v>
      </c>
      <c r="E134" s="154">
        <v>2460</v>
      </c>
      <c r="F134" s="154">
        <v>0.1</v>
      </c>
      <c r="G134" s="197"/>
      <c r="H134" s="198"/>
      <c r="I134" s="151">
        <f>IFERROR(INDEX(Composições!$A$5:$J$8391,MATCH(B134,Composições!$A$5:$A$8391,0)+2,8),"")</f>
        <v>137.4555</v>
      </c>
      <c r="J134" s="152">
        <f t="shared" si="18"/>
        <v>33814.050000000003</v>
      </c>
      <c r="K134" s="198">
        <f>BDI!$B$17</f>
        <v>0.191</v>
      </c>
      <c r="L134" s="198"/>
      <c r="M134" s="198"/>
      <c r="N134" s="153">
        <f t="shared" si="19"/>
        <v>163.71</v>
      </c>
      <c r="O134" s="152">
        <f t="shared" si="20"/>
        <v>40272.660000000003</v>
      </c>
      <c r="P134" s="225"/>
      <c r="Q134" s="208"/>
      <c r="R134" s="208"/>
      <c r="S134"/>
      <c r="T134" s="208"/>
      <c r="U134" s="208"/>
      <c r="V134" s="208"/>
      <c r="W134" s="208"/>
      <c r="X134" s="208"/>
      <c r="Y134" s="208"/>
      <c r="Z134" s="208"/>
      <c r="AA134" s="208"/>
      <c r="AB134" s="208"/>
      <c r="AC134" s="208"/>
      <c r="AD134" s="208"/>
      <c r="AE134" s="208"/>
      <c r="AF134" s="208"/>
      <c r="AG134" s="208"/>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c r="BI134" s="208"/>
      <c r="BJ134" s="208"/>
      <c r="BK134" s="208"/>
      <c r="BL134" s="208"/>
      <c r="BM134" s="208"/>
      <c r="BN134" s="208"/>
      <c r="BO134" s="208"/>
      <c r="BP134" s="208"/>
      <c r="BQ134" s="208"/>
      <c r="BR134" s="208"/>
      <c r="BS134" s="208"/>
      <c r="BT134" s="208"/>
      <c r="BU134" s="208"/>
      <c r="BV134" s="208"/>
      <c r="BW134" s="208"/>
      <c r="BX134" s="208"/>
      <c r="BY134" s="208"/>
      <c r="BZ134" s="208"/>
      <c r="CA134" s="208"/>
      <c r="CB134" s="208"/>
      <c r="CC134" s="208"/>
      <c r="CD134" s="208"/>
      <c r="CE134" s="208"/>
      <c r="CF134" s="208"/>
      <c r="CG134" s="208"/>
      <c r="CH134" s="208"/>
      <c r="CI134" s="208"/>
      <c r="CJ134" s="208"/>
      <c r="CK134" s="208"/>
      <c r="CL134" s="208"/>
      <c r="CM134" s="208"/>
      <c r="CN134" s="208"/>
      <c r="CO134" s="208"/>
      <c r="CP134" s="208"/>
      <c r="CQ134" s="208"/>
      <c r="CR134" s="208"/>
      <c r="CS134" s="208"/>
      <c r="CT134" s="208"/>
      <c r="CU134" s="208"/>
      <c r="CV134" s="208"/>
      <c r="CW134" s="208"/>
      <c r="CX134" s="208"/>
      <c r="CY134" s="208"/>
      <c r="CZ134" s="208"/>
      <c r="DA134" s="208"/>
      <c r="DB134" s="208"/>
      <c r="DC134" s="208"/>
      <c r="DD134" s="208"/>
      <c r="DE134" s="208"/>
      <c r="DF134" s="208"/>
      <c r="DG134" s="208"/>
      <c r="DH134" s="208"/>
      <c r="DI134" s="208"/>
      <c r="DJ134" s="208"/>
      <c r="DK134" s="208"/>
      <c r="DL134" s="208"/>
      <c r="DM134" s="208"/>
      <c r="DN134" s="208"/>
      <c r="DO134" s="208"/>
      <c r="DP134" s="208"/>
      <c r="DQ134" s="208"/>
      <c r="DR134" s="208"/>
      <c r="DS134" s="208"/>
      <c r="DT134" s="208"/>
      <c r="DU134" s="208"/>
      <c r="DV134" s="208"/>
      <c r="DW134" s="208"/>
      <c r="DX134" s="208"/>
      <c r="DY134" s="208"/>
      <c r="DZ134" s="208"/>
      <c r="EA134" s="208"/>
      <c r="EB134" s="208"/>
      <c r="EC134" s="208"/>
      <c r="ED134" s="208"/>
      <c r="EE134" s="208"/>
      <c r="EF134" s="208"/>
      <c r="EG134" s="208"/>
      <c r="EH134" s="208"/>
      <c r="EI134" s="208"/>
      <c r="EJ134" s="208"/>
      <c r="EK134" s="208"/>
      <c r="EL134" s="208"/>
      <c r="EM134" s="208"/>
      <c r="EN134" s="208"/>
      <c r="EO134" s="208"/>
      <c r="EP134" s="208"/>
      <c r="EQ134" s="208"/>
      <c r="ER134" s="208"/>
      <c r="ES134" s="208"/>
      <c r="ET134" s="208"/>
      <c r="EU134" s="208"/>
      <c r="EV134" s="208"/>
      <c r="EW134" s="208"/>
      <c r="EX134" s="208"/>
      <c r="EY134" s="208"/>
      <c r="EZ134" s="208"/>
      <c r="FA134" s="208"/>
      <c r="FB134" s="208"/>
      <c r="FC134" s="208"/>
      <c r="FD134" s="208"/>
      <c r="FE134" s="208"/>
      <c r="FF134" s="208"/>
      <c r="FG134" s="208"/>
      <c r="FH134" s="208"/>
      <c r="FI134" s="208"/>
      <c r="FJ134" s="208"/>
      <c r="FK134" s="208"/>
      <c r="FL134" s="208"/>
      <c r="FM134" s="208"/>
      <c r="FN134" s="208"/>
      <c r="FO134" s="208"/>
      <c r="FP134" s="208"/>
      <c r="FQ134" s="208"/>
      <c r="FR134" s="208"/>
      <c r="FS134" s="208"/>
      <c r="FT134" s="208"/>
      <c r="FU134" s="208"/>
      <c r="FV134" s="208"/>
      <c r="FW134" s="208"/>
      <c r="FX134" s="208"/>
      <c r="FY134" s="208"/>
      <c r="FZ134" s="208"/>
      <c r="GA134" s="208"/>
      <c r="GB134" s="208"/>
      <c r="GC134" s="208"/>
      <c r="GD134" s="208"/>
      <c r="GE134" s="208"/>
      <c r="GF134" s="208"/>
    </row>
    <row r="135" spans="1:188" s="209" customFormat="1" ht="15" x14ac:dyDescent="0.25">
      <c r="A135" s="195" t="s">
        <v>4903</v>
      </c>
      <c r="B135" s="195" t="s">
        <v>203</v>
      </c>
      <c r="C135" s="196" t="s">
        <v>2188</v>
      </c>
      <c r="D135" s="154" t="s">
        <v>78</v>
      </c>
      <c r="E135" s="154">
        <v>2020</v>
      </c>
      <c r="F135" s="154">
        <v>0.1</v>
      </c>
      <c r="G135" s="197"/>
      <c r="H135" s="198"/>
      <c r="I135" s="151">
        <f>IFERROR(INDEX(Composições!$A$5:$J$8391,MATCH(B135,Composições!$A$5:$A$8391,0)+2,8),"")</f>
        <v>37.207699999999996</v>
      </c>
      <c r="J135" s="152">
        <f t="shared" si="18"/>
        <v>7515.96</v>
      </c>
      <c r="K135" s="198">
        <f>BDI!$B$17</f>
        <v>0.191</v>
      </c>
      <c r="L135" s="198"/>
      <c r="M135" s="198"/>
      <c r="N135" s="153">
        <f t="shared" si="19"/>
        <v>44.31</v>
      </c>
      <c r="O135" s="152">
        <f t="shared" si="20"/>
        <v>8950.6200000000008</v>
      </c>
      <c r="P135" s="225"/>
      <c r="Q135" s="208"/>
      <c r="R135" s="208"/>
      <c r="S135"/>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c r="BI135" s="208"/>
      <c r="BJ135" s="208"/>
      <c r="BK135" s="208"/>
      <c r="BL135" s="208"/>
      <c r="BM135" s="208"/>
      <c r="BN135" s="208"/>
      <c r="BO135" s="208"/>
      <c r="BP135" s="208"/>
      <c r="BQ135" s="208"/>
      <c r="BR135" s="208"/>
      <c r="BS135" s="208"/>
      <c r="BT135" s="208"/>
      <c r="BU135" s="208"/>
      <c r="BV135" s="208"/>
      <c r="BW135" s="208"/>
      <c r="BX135" s="208"/>
      <c r="BY135" s="208"/>
      <c r="BZ135" s="208"/>
      <c r="CA135" s="208"/>
      <c r="CB135" s="208"/>
      <c r="CC135" s="208"/>
      <c r="CD135" s="208"/>
      <c r="CE135" s="208"/>
      <c r="CF135" s="208"/>
      <c r="CG135" s="208"/>
      <c r="CH135" s="208"/>
      <c r="CI135" s="208"/>
      <c r="CJ135" s="208"/>
      <c r="CK135" s="208"/>
      <c r="CL135" s="208"/>
      <c r="CM135" s="208"/>
      <c r="CN135" s="208"/>
      <c r="CO135" s="208"/>
      <c r="CP135" s="208"/>
      <c r="CQ135" s="208"/>
      <c r="CR135" s="208"/>
      <c r="CS135" s="208"/>
      <c r="CT135" s="208"/>
      <c r="CU135" s="208"/>
      <c r="CV135" s="208"/>
      <c r="CW135" s="208"/>
      <c r="CX135" s="208"/>
      <c r="CY135" s="208"/>
      <c r="CZ135" s="208"/>
      <c r="DA135" s="208"/>
      <c r="DB135" s="208"/>
      <c r="DC135" s="208"/>
      <c r="DD135" s="208"/>
      <c r="DE135" s="208"/>
      <c r="DF135" s="208"/>
      <c r="DG135" s="208"/>
      <c r="DH135" s="208"/>
      <c r="DI135" s="208"/>
      <c r="DJ135" s="208"/>
      <c r="DK135" s="208"/>
      <c r="DL135" s="208"/>
      <c r="DM135" s="208"/>
      <c r="DN135" s="208"/>
      <c r="DO135" s="208"/>
      <c r="DP135" s="208"/>
      <c r="DQ135" s="208"/>
      <c r="DR135" s="208"/>
      <c r="DS135" s="208"/>
      <c r="DT135" s="208"/>
      <c r="DU135" s="208"/>
      <c r="DV135" s="208"/>
      <c r="DW135" s="208"/>
      <c r="DX135" s="208"/>
      <c r="DY135" s="208"/>
      <c r="DZ135" s="208"/>
      <c r="EA135" s="208"/>
      <c r="EB135" s="208"/>
      <c r="EC135" s="208"/>
      <c r="ED135" s="208"/>
      <c r="EE135" s="208"/>
      <c r="EF135" s="208"/>
      <c r="EG135" s="208"/>
      <c r="EH135" s="208"/>
      <c r="EI135" s="208"/>
      <c r="EJ135" s="208"/>
      <c r="EK135" s="208"/>
      <c r="EL135" s="208"/>
      <c r="EM135" s="208"/>
      <c r="EN135" s="208"/>
      <c r="EO135" s="208"/>
      <c r="EP135" s="208"/>
      <c r="EQ135" s="208"/>
      <c r="ER135" s="208"/>
      <c r="ES135" s="208"/>
      <c r="ET135" s="208"/>
      <c r="EU135" s="208"/>
      <c r="EV135" s="208"/>
      <c r="EW135" s="208"/>
      <c r="EX135" s="208"/>
      <c r="EY135" s="208"/>
      <c r="EZ135" s="208"/>
      <c r="FA135" s="208"/>
      <c r="FB135" s="208"/>
      <c r="FC135" s="208"/>
      <c r="FD135" s="208"/>
      <c r="FE135" s="208"/>
      <c r="FF135" s="208"/>
      <c r="FG135" s="208"/>
      <c r="FH135" s="208"/>
      <c r="FI135" s="208"/>
      <c r="FJ135" s="208"/>
      <c r="FK135" s="208"/>
      <c r="FL135" s="208"/>
      <c r="FM135" s="208"/>
      <c r="FN135" s="208"/>
      <c r="FO135" s="208"/>
      <c r="FP135" s="208"/>
      <c r="FQ135" s="208"/>
      <c r="FR135" s="208"/>
      <c r="FS135" s="208"/>
      <c r="FT135" s="208"/>
      <c r="FU135" s="208"/>
      <c r="FV135" s="208"/>
      <c r="FW135" s="208"/>
      <c r="FX135" s="208"/>
      <c r="FY135" s="208"/>
      <c r="FZ135" s="208"/>
      <c r="GA135" s="208"/>
      <c r="GB135" s="208"/>
      <c r="GC135" s="208"/>
      <c r="GD135" s="208"/>
      <c r="GE135" s="208"/>
      <c r="GF135" s="208"/>
    </row>
    <row r="136" spans="1:188" s="225" customFormat="1" ht="15" x14ac:dyDescent="0.25">
      <c r="A136" s="189" t="s">
        <v>4904</v>
      </c>
      <c r="B136" s="189"/>
      <c r="C136" s="190" t="s">
        <v>4905</v>
      </c>
      <c r="D136" s="191"/>
      <c r="E136" s="191"/>
      <c r="F136" s="191"/>
      <c r="G136" s="192"/>
      <c r="H136" s="193"/>
      <c r="I136" s="246"/>
      <c r="J136" s="194">
        <f>SUBTOTAL(109,J137:J155)</f>
        <v>6157807.0099999988</v>
      </c>
      <c r="K136" s="191"/>
      <c r="L136" s="191"/>
      <c r="M136" s="191"/>
      <c r="N136" s="191"/>
      <c r="O136" s="194">
        <f>SUBTOTAL(109,O137:O155)</f>
        <v>7334052.6500000004</v>
      </c>
      <c r="Q136" s="208"/>
      <c r="R136" s="208"/>
      <c r="S136"/>
      <c r="T136" s="208"/>
      <c r="U136" s="208"/>
      <c r="V136" s="208"/>
      <c r="W136" s="208"/>
      <c r="X136" s="208"/>
      <c r="Y136" s="208"/>
      <c r="Z136" s="208"/>
      <c r="AA136" s="208"/>
      <c r="AB136" s="208"/>
      <c r="AC136" s="208"/>
      <c r="AD136" s="208"/>
      <c r="AE136" s="208"/>
      <c r="AF136" s="208"/>
      <c r="AG136" s="208"/>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c r="BI136" s="208"/>
      <c r="BJ136" s="208"/>
      <c r="BK136" s="208"/>
      <c r="BL136" s="208"/>
      <c r="BM136" s="208"/>
      <c r="BN136" s="208"/>
      <c r="BO136" s="208"/>
      <c r="BP136" s="208"/>
      <c r="BQ136" s="208"/>
      <c r="BR136" s="208"/>
      <c r="BS136" s="208"/>
      <c r="BT136" s="208"/>
      <c r="BU136" s="208"/>
      <c r="BV136" s="208"/>
      <c r="BW136" s="208"/>
      <c r="BX136" s="208"/>
      <c r="BY136" s="208"/>
      <c r="BZ136" s="208"/>
      <c r="CA136" s="208"/>
      <c r="CB136" s="208"/>
      <c r="CC136" s="208"/>
      <c r="CD136" s="208"/>
      <c r="CE136" s="208"/>
      <c r="CF136" s="208"/>
      <c r="CG136" s="208"/>
      <c r="CH136" s="208"/>
      <c r="CI136" s="208"/>
      <c r="CJ136" s="208"/>
      <c r="CK136" s="208"/>
      <c r="CL136" s="208"/>
      <c r="CM136" s="208"/>
      <c r="CN136" s="208"/>
      <c r="CO136" s="208"/>
      <c r="CP136" s="208"/>
      <c r="CQ136" s="208"/>
      <c r="CR136" s="208"/>
      <c r="CS136" s="208"/>
      <c r="CT136" s="208"/>
      <c r="CU136" s="208"/>
      <c r="CV136" s="208"/>
      <c r="CW136" s="208"/>
      <c r="CX136" s="208"/>
      <c r="CY136" s="208"/>
      <c r="CZ136" s="208"/>
      <c r="DA136" s="208"/>
      <c r="DB136" s="208"/>
      <c r="DC136" s="208"/>
      <c r="DD136" s="208"/>
      <c r="DE136" s="208"/>
      <c r="DF136" s="208"/>
      <c r="DG136" s="208"/>
      <c r="DH136" s="208"/>
      <c r="DI136" s="208"/>
      <c r="DJ136" s="208"/>
      <c r="DK136" s="208"/>
      <c r="DL136" s="208"/>
      <c r="DM136" s="208"/>
      <c r="DN136" s="208"/>
      <c r="DO136" s="208"/>
      <c r="DP136" s="208"/>
      <c r="DQ136" s="208"/>
      <c r="DR136" s="208"/>
      <c r="DS136" s="208"/>
      <c r="DT136" s="208"/>
      <c r="DU136" s="208"/>
      <c r="DV136" s="208"/>
      <c r="DW136" s="208"/>
      <c r="DX136" s="208"/>
      <c r="DY136" s="208"/>
      <c r="DZ136" s="208"/>
      <c r="EA136" s="208"/>
      <c r="EB136" s="208"/>
      <c r="EC136" s="208"/>
      <c r="ED136" s="208"/>
      <c r="EE136" s="208"/>
      <c r="EF136" s="208"/>
      <c r="EG136" s="208"/>
      <c r="EH136" s="208"/>
      <c r="EI136" s="208"/>
      <c r="EJ136" s="208"/>
      <c r="EK136" s="208"/>
      <c r="EL136" s="208"/>
      <c r="EM136" s="208"/>
      <c r="EN136" s="208"/>
      <c r="EO136" s="208"/>
      <c r="EP136" s="208"/>
      <c r="EQ136" s="208"/>
      <c r="ER136" s="208"/>
      <c r="ES136" s="208"/>
      <c r="ET136" s="208"/>
      <c r="EU136" s="208"/>
      <c r="EV136" s="208"/>
      <c r="EW136" s="208"/>
      <c r="EX136" s="208"/>
      <c r="EY136" s="208"/>
      <c r="EZ136" s="208"/>
      <c r="FA136" s="208"/>
      <c r="FB136" s="208"/>
      <c r="FC136" s="208"/>
      <c r="FD136" s="208"/>
      <c r="FE136" s="208"/>
      <c r="FF136" s="208"/>
      <c r="FG136" s="208"/>
      <c r="FH136" s="208"/>
      <c r="FI136" s="208"/>
      <c r="FJ136" s="208"/>
      <c r="FK136" s="208"/>
      <c r="FL136" s="208"/>
      <c r="FM136" s="208"/>
      <c r="FN136" s="208"/>
      <c r="FO136" s="208"/>
      <c r="FP136" s="208"/>
      <c r="FQ136" s="208"/>
      <c r="FR136" s="208"/>
      <c r="FS136" s="208"/>
      <c r="FT136" s="208"/>
      <c r="FU136" s="208"/>
      <c r="FV136" s="208"/>
      <c r="FW136" s="208"/>
      <c r="FX136" s="208"/>
      <c r="FY136" s="208"/>
      <c r="FZ136" s="208"/>
      <c r="GA136" s="208"/>
      <c r="GB136" s="208"/>
      <c r="GC136" s="208"/>
      <c r="GD136" s="208"/>
      <c r="GE136" s="208"/>
      <c r="GF136" s="208"/>
    </row>
    <row r="137" spans="1:188" s="209" customFormat="1" ht="15" x14ac:dyDescent="0.25">
      <c r="A137" s="195" t="s">
        <v>4906</v>
      </c>
      <c r="B137" s="195" t="s">
        <v>61</v>
      </c>
      <c r="C137" s="196" t="s">
        <v>2069</v>
      </c>
      <c r="D137" s="154" t="s">
        <v>78</v>
      </c>
      <c r="E137" s="154">
        <v>85980</v>
      </c>
      <c r="F137" s="154">
        <v>0.1</v>
      </c>
      <c r="G137" s="197"/>
      <c r="H137" s="198"/>
      <c r="I137" s="151">
        <f>IFERROR(INDEX(Composições!$A$5:$J$8391,MATCH(B137,Composições!$A$5:$A$8391,0)+2,8),"")</f>
        <v>8.3257999999999992</v>
      </c>
      <c r="J137" s="152">
        <f t="shared" ref="J137:J155" si="21">IF(ISNUMBER(I137),ROUND(F137*E137*I137,2),"")</f>
        <v>71585.23</v>
      </c>
      <c r="K137" s="198">
        <f>BDI!$B$17</f>
        <v>0.191</v>
      </c>
      <c r="L137" s="198"/>
      <c r="M137" s="198"/>
      <c r="N137" s="153">
        <f t="shared" ref="N137:N155" si="22">IF(ISNUMBER(I137),ROUND(I137*(1+K137),2),"")</f>
        <v>9.92</v>
      </c>
      <c r="O137" s="152">
        <f t="shared" ref="O137:O155" si="23">IF(ISNUMBER(I137),ROUND(F137*N137*E137,2),"")</f>
        <v>85292.160000000003</v>
      </c>
      <c r="P137" s="225"/>
      <c r="Q137" s="208"/>
      <c r="R137" s="208"/>
      <c r="S137"/>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c r="BI137" s="208"/>
      <c r="BJ137" s="208"/>
      <c r="BK137" s="208"/>
      <c r="BL137" s="208"/>
      <c r="BM137" s="208"/>
      <c r="BN137" s="208"/>
      <c r="BO137" s="208"/>
      <c r="BP137" s="208"/>
      <c r="BQ137" s="208"/>
      <c r="BR137" s="208"/>
      <c r="BS137" s="208"/>
      <c r="BT137" s="208"/>
      <c r="BU137" s="208"/>
      <c r="BV137" s="208"/>
      <c r="BW137" s="208"/>
      <c r="BX137" s="208"/>
      <c r="BY137" s="208"/>
      <c r="BZ137" s="208"/>
      <c r="CA137" s="208"/>
      <c r="CB137" s="208"/>
      <c r="CC137" s="208"/>
      <c r="CD137" s="208"/>
      <c r="CE137" s="208"/>
      <c r="CF137" s="208"/>
      <c r="CG137" s="208"/>
      <c r="CH137" s="208"/>
      <c r="CI137" s="208"/>
      <c r="CJ137" s="208"/>
      <c r="CK137" s="208"/>
      <c r="CL137" s="208"/>
      <c r="CM137" s="208"/>
      <c r="CN137" s="208"/>
      <c r="CO137" s="208"/>
      <c r="CP137" s="208"/>
      <c r="CQ137" s="208"/>
      <c r="CR137" s="208"/>
      <c r="CS137" s="208"/>
      <c r="CT137" s="208"/>
      <c r="CU137" s="208"/>
      <c r="CV137" s="208"/>
      <c r="CW137" s="208"/>
      <c r="CX137" s="208"/>
      <c r="CY137" s="208"/>
      <c r="CZ137" s="208"/>
      <c r="DA137" s="208"/>
      <c r="DB137" s="208"/>
      <c r="DC137" s="208"/>
      <c r="DD137" s="208"/>
      <c r="DE137" s="208"/>
      <c r="DF137" s="208"/>
      <c r="DG137" s="208"/>
      <c r="DH137" s="208"/>
      <c r="DI137" s="208"/>
      <c r="DJ137" s="208"/>
      <c r="DK137" s="208"/>
      <c r="DL137" s="208"/>
      <c r="DM137" s="208"/>
      <c r="DN137" s="208"/>
      <c r="DO137" s="208"/>
      <c r="DP137" s="208"/>
      <c r="DQ137" s="208"/>
      <c r="DR137" s="208"/>
      <c r="DS137" s="208"/>
      <c r="DT137" s="208"/>
      <c r="DU137" s="208"/>
      <c r="DV137" s="208"/>
      <c r="DW137" s="208"/>
      <c r="DX137" s="208"/>
      <c r="DY137" s="208"/>
      <c r="DZ137" s="208"/>
      <c r="EA137" s="208"/>
      <c r="EB137" s="208"/>
      <c r="EC137" s="208"/>
      <c r="ED137" s="208"/>
      <c r="EE137" s="208"/>
      <c r="EF137" s="208"/>
      <c r="EG137" s="208"/>
      <c r="EH137" s="208"/>
      <c r="EI137" s="208"/>
      <c r="EJ137" s="208"/>
      <c r="EK137" s="208"/>
      <c r="EL137" s="208"/>
      <c r="EM137" s="208"/>
      <c r="EN137" s="208"/>
      <c r="EO137" s="208"/>
      <c r="EP137" s="208"/>
      <c r="EQ137" s="208"/>
      <c r="ER137" s="208"/>
      <c r="ES137" s="208"/>
      <c r="ET137" s="208"/>
      <c r="EU137" s="208"/>
      <c r="EV137" s="208"/>
      <c r="EW137" s="208"/>
      <c r="EX137" s="208"/>
      <c r="EY137" s="208"/>
      <c r="EZ137" s="208"/>
      <c r="FA137" s="208"/>
      <c r="FB137" s="208"/>
      <c r="FC137" s="208"/>
      <c r="FD137" s="208"/>
      <c r="FE137" s="208"/>
      <c r="FF137" s="208"/>
      <c r="FG137" s="208"/>
      <c r="FH137" s="208"/>
      <c r="FI137" s="208"/>
      <c r="FJ137" s="208"/>
      <c r="FK137" s="208"/>
      <c r="FL137" s="208"/>
      <c r="FM137" s="208"/>
      <c r="FN137" s="208"/>
      <c r="FO137" s="208"/>
      <c r="FP137" s="208"/>
      <c r="FQ137" s="208"/>
      <c r="FR137" s="208"/>
      <c r="FS137" s="208"/>
      <c r="FT137" s="208"/>
      <c r="FU137" s="208"/>
      <c r="FV137" s="208"/>
      <c r="FW137" s="208"/>
      <c r="FX137" s="208"/>
      <c r="FY137" s="208"/>
      <c r="FZ137" s="208"/>
      <c r="GA137" s="208"/>
      <c r="GB137" s="208"/>
      <c r="GC137" s="208"/>
      <c r="GD137" s="208"/>
      <c r="GE137" s="208"/>
      <c r="GF137" s="208"/>
    </row>
    <row r="138" spans="1:188" s="209" customFormat="1" ht="15" x14ac:dyDescent="0.25">
      <c r="A138" s="195" t="s">
        <v>4907</v>
      </c>
      <c r="B138" s="195" t="s">
        <v>127</v>
      </c>
      <c r="C138" s="196" t="s">
        <v>2143</v>
      </c>
      <c r="D138" s="154" t="s">
        <v>78</v>
      </c>
      <c r="E138" s="154">
        <v>218850</v>
      </c>
      <c r="F138" s="154">
        <v>0.1</v>
      </c>
      <c r="G138" s="197"/>
      <c r="H138" s="198"/>
      <c r="I138" s="151">
        <f>IFERROR(INDEX(Composições!$A$5:$J$8391,MATCH(B138,Composições!$A$5:$A$8391,0)+2,8),"")</f>
        <v>5.0015094999999992</v>
      </c>
      <c r="J138" s="152">
        <f t="shared" si="21"/>
        <v>109458.04</v>
      </c>
      <c r="K138" s="198">
        <f>BDI!$B$17</f>
        <v>0.191</v>
      </c>
      <c r="L138" s="198"/>
      <c r="M138" s="198"/>
      <c r="N138" s="153">
        <f t="shared" si="22"/>
        <v>5.96</v>
      </c>
      <c r="O138" s="152">
        <f t="shared" si="23"/>
        <v>130434.6</v>
      </c>
      <c r="P138" s="225"/>
      <c r="Q138" s="208"/>
      <c r="R138" s="208"/>
      <c r="S138"/>
      <c r="T138" s="208"/>
      <c r="U138" s="208"/>
      <c r="V138" s="208"/>
      <c r="W138" s="208"/>
      <c r="X138" s="208"/>
      <c r="Y138" s="208"/>
      <c r="Z138" s="208"/>
      <c r="AA138" s="208"/>
      <c r="AB138" s="208"/>
      <c r="AC138" s="208"/>
      <c r="AD138" s="208"/>
      <c r="AE138" s="208"/>
      <c r="AF138" s="208"/>
      <c r="AG138" s="208"/>
      <c r="AH138" s="208"/>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c r="BI138" s="208"/>
      <c r="BJ138" s="208"/>
      <c r="BK138" s="208"/>
      <c r="BL138" s="208"/>
      <c r="BM138" s="208"/>
      <c r="BN138" s="208"/>
      <c r="BO138" s="208"/>
      <c r="BP138" s="208"/>
      <c r="BQ138" s="208"/>
      <c r="BR138" s="208"/>
      <c r="BS138" s="208"/>
      <c r="BT138" s="208"/>
      <c r="BU138" s="208"/>
      <c r="BV138" s="208"/>
      <c r="BW138" s="208"/>
      <c r="BX138" s="208"/>
      <c r="BY138" s="208"/>
      <c r="BZ138" s="208"/>
      <c r="CA138" s="208"/>
      <c r="CB138" s="208"/>
      <c r="CC138" s="208"/>
      <c r="CD138" s="208"/>
      <c r="CE138" s="208"/>
      <c r="CF138" s="208"/>
      <c r="CG138" s="208"/>
      <c r="CH138" s="208"/>
      <c r="CI138" s="208"/>
      <c r="CJ138" s="208"/>
      <c r="CK138" s="208"/>
      <c r="CL138" s="208"/>
      <c r="CM138" s="208"/>
      <c r="CN138" s="208"/>
      <c r="CO138" s="208"/>
      <c r="CP138" s="208"/>
      <c r="CQ138" s="208"/>
      <c r="CR138" s="208"/>
      <c r="CS138" s="208"/>
      <c r="CT138" s="208"/>
      <c r="CU138" s="208"/>
      <c r="CV138" s="208"/>
      <c r="CW138" s="208"/>
      <c r="CX138" s="208"/>
      <c r="CY138" s="208"/>
      <c r="CZ138" s="208"/>
      <c r="DA138" s="208"/>
      <c r="DB138" s="208"/>
      <c r="DC138" s="208"/>
      <c r="DD138" s="208"/>
      <c r="DE138" s="208"/>
      <c r="DF138" s="208"/>
      <c r="DG138" s="208"/>
      <c r="DH138" s="208"/>
      <c r="DI138" s="208"/>
      <c r="DJ138" s="208"/>
      <c r="DK138" s="208"/>
      <c r="DL138" s="208"/>
      <c r="DM138" s="208"/>
      <c r="DN138" s="208"/>
      <c r="DO138" s="208"/>
      <c r="DP138" s="208"/>
      <c r="DQ138" s="208"/>
      <c r="DR138" s="208"/>
      <c r="DS138" s="208"/>
      <c r="DT138" s="208"/>
      <c r="DU138" s="208"/>
      <c r="DV138" s="208"/>
      <c r="DW138" s="208"/>
      <c r="DX138" s="208"/>
      <c r="DY138" s="208"/>
      <c r="DZ138" s="208"/>
      <c r="EA138" s="208"/>
      <c r="EB138" s="208"/>
      <c r="EC138" s="208"/>
      <c r="ED138" s="208"/>
      <c r="EE138" s="208"/>
      <c r="EF138" s="208"/>
      <c r="EG138" s="208"/>
      <c r="EH138" s="208"/>
      <c r="EI138" s="208"/>
      <c r="EJ138" s="208"/>
      <c r="EK138" s="208"/>
      <c r="EL138" s="208"/>
      <c r="EM138" s="208"/>
      <c r="EN138" s="208"/>
      <c r="EO138" s="208"/>
      <c r="EP138" s="208"/>
      <c r="EQ138" s="208"/>
      <c r="ER138" s="208"/>
      <c r="ES138" s="208"/>
      <c r="ET138" s="208"/>
      <c r="EU138" s="208"/>
      <c r="EV138" s="208"/>
      <c r="EW138" s="208"/>
      <c r="EX138" s="208"/>
      <c r="EY138" s="208"/>
      <c r="EZ138" s="208"/>
      <c r="FA138" s="208"/>
      <c r="FB138" s="208"/>
      <c r="FC138" s="208"/>
      <c r="FD138" s="208"/>
      <c r="FE138" s="208"/>
      <c r="FF138" s="208"/>
      <c r="FG138" s="208"/>
      <c r="FH138" s="208"/>
      <c r="FI138" s="208"/>
      <c r="FJ138" s="208"/>
      <c r="FK138" s="208"/>
      <c r="FL138" s="208"/>
      <c r="FM138" s="208"/>
      <c r="FN138" s="208"/>
      <c r="FO138" s="208"/>
      <c r="FP138" s="208"/>
      <c r="FQ138" s="208"/>
      <c r="FR138" s="208"/>
      <c r="FS138" s="208"/>
      <c r="FT138" s="208"/>
      <c r="FU138" s="208"/>
      <c r="FV138" s="208"/>
      <c r="FW138" s="208"/>
      <c r="FX138" s="208"/>
      <c r="FY138" s="208"/>
      <c r="FZ138" s="208"/>
      <c r="GA138" s="208"/>
      <c r="GB138" s="208"/>
      <c r="GC138" s="208"/>
      <c r="GD138" s="208"/>
      <c r="GE138" s="208"/>
      <c r="GF138" s="208"/>
    </row>
    <row r="139" spans="1:188" s="209" customFormat="1" ht="15" x14ac:dyDescent="0.25">
      <c r="A139" s="195" t="s">
        <v>4908</v>
      </c>
      <c r="B139" s="195" t="s">
        <v>1027</v>
      </c>
      <c r="C139" s="196" t="s">
        <v>2863</v>
      </c>
      <c r="D139" s="154" t="s">
        <v>78</v>
      </c>
      <c r="E139" s="154">
        <v>17170</v>
      </c>
      <c r="F139" s="154">
        <v>0.1</v>
      </c>
      <c r="G139" s="197"/>
      <c r="H139" s="198"/>
      <c r="I139" s="151">
        <f>IFERROR(INDEX(Composições!$A$5:$J$8391,MATCH(B139,Composições!$A$5:$A$8391,0)+2,8),"")</f>
        <v>12.881656099999997</v>
      </c>
      <c r="J139" s="152">
        <f t="shared" si="21"/>
        <v>22117.8</v>
      </c>
      <c r="K139" s="198">
        <f>BDI!$B$17</f>
        <v>0.191</v>
      </c>
      <c r="L139" s="198"/>
      <c r="M139" s="198"/>
      <c r="N139" s="153">
        <f t="shared" si="22"/>
        <v>15.34</v>
      </c>
      <c r="O139" s="152">
        <f t="shared" si="23"/>
        <v>26338.78</v>
      </c>
      <c r="P139" s="225"/>
      <c r="Q139" s="208"/>
      <c r="R139" s="208"/>
      <c r="S139"/>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c r="BI139" s="208"/>
      <c r="BJ139" s="208"/>
      <c r="BK139" s="208"/>
      <c r="BL139" s="208"/>
      <c r="BM139" s="208"/>
      <c r="BN139" s="208"/>
      <c r="BO139" s="208"/>
      <c r="BP139" s="208"/>
      <c r="BQ139" s="208"/>
      <c r="BR139" s="208"/>
      <c r="BS139" s="208"/>
      <c r="BT139" s="208"/>
      <c r="BU139" s="208"/>
      <c r="BV139" s="208"/>
      <c r="BW139" s="208"/>
      <c r="BX139" s="208"/>
      <c r="BY139" s="208"/>
      <c r="BZ139" s="208"/>
      <c r="CA139" s="208"/>
      <c r="CB139" s="208"/>
      <c r="CC139" s="208"/>
      <c r="CD139" s="208"/>
      <c r="CE139" s="208"/>
      <c r="CF139" s="208"/>
      <c r="CG139" s="208"/>
      <c r="CH139" s="208"/>
      <c r="CI139" s="208"/>
      <c r="CJ139" s="208"/>
      <c r="CK139" s="208"/>
      <c r="CL139" s="208"/>
      <c r="CM139" s="208"/>
      <c r="CN139" s="208"/>
      <c r="CO139" s="208"/>
      <c r="CP139" s="208"/>
      <c r="CQ139" s="208"/>
      <c r="CR139" s="208"/>
      <c r="CS139" s="208"/>
      <c r="CT139" s="208"/>
      <c r="CU139" s="208"/>
      <c r="CV139" s="208"/>
      <c r="CW139" s="208"/>
      <c r="CX139" s="208"/>
      <c r="CY139" s="208"/>
      <c r="CZ139" s="208"/>
      <c r="DA139" s="208"/>
      <c r="DB139" s="208"/>
      <c r="DC139" s="208"/>
      <c r="DD139" s="208"/>
      <c r="DE139" s="208"/>
      <c r="DF139" s="208"/>
      <c r="DG139" s="208"/>
      <c r="DH139" s="208"/>
      <c r="DI139" s="208"/>
      <c r="DJ139" s="208"/>
      <c r="DK139" s="208"/>
      <c r="DL139" s="208"/>
      <c r="DM139" s="208"/>
      <c r="DN139" s="208"/>
      <c r="DO139" s="208"/>
      <c r="DP139" s="208"/>
      <c r="DQ139" s="208"/>
      <c r="DR139" s="208"/>
      <c r="DS139" s="208"/>
      <c r="DT139" s="208"/>
      <c r="DU139" s="208"/>
      <c r="DV139" s="208"/>
      <c r="DW139" s="208"/>
      <c r="DX139" s="208"/>
      <c r="DY139" s="208"/>
      <c r="DZ139" s="208"/>
      <c r="EA139" s="208"/>
      <c r="EB139" s="208"/>
      <c r="EC139" s="208"/>
      <c r="ED139" s="208"/>
      <c r="EE139" s="208"/>
      <c r="EF139" s="208"/>
      <c r="EG139" s="208"/>
      <c r="EH139" s="208"/>
      <c r="EI139" s="208"/>
      <c r="EJ139" s="208"/>
      <c r="EK139" s="208"/>
      <c r="EL139" s="208"/>
      <c r="EM139" s="208"/>
      <c r="EN139" s="208"/>
      <c r="EO139" s="208"/>
      <c r="EP139" s="208"/>
      <c r="EQ139" s="208"/>
      <c r="ER139" s="208"/>
      <c r="ES139" s="208"/>
      <c r="ET139" s="208"/>
      <c r="EU139" s="208"/>
      <c r="EV139" s="208"/>
      <c r="EW139" s="208"/>
      <c r="EX139" s="208"/>
      <c r="EY139" s="208"/>
      <c r="EZ139" s="208"/>
      <c r="FA139" s="208"/>
      <c r="FB139" s="208"/>
      <c r="FC139" s="208"/>
      <c r="FD139" s="208"/>
      <c r="FE139" s="208"/>
      <c r="FF139" s="208"/>
      <c r="FG139" s="208"/>
      <c r="FH139" s="208"/>
      <c r="FI139" s="208"/>
      <c r="FJ139" s="208"/>
      <c r="FK139" s="208"/>
      <c r="FL139" s="208"/>
      <c r="FM139" s="208"/>
      <c r="FN139" s="208"/>
      <c r="FO139" s="208"/>
      <c r="FP139" s="208"/>
      <c r="FQ139" s="208"/>
      <c r="FR139" s="208"/>
      <c r="FS139" s="208"/>
      <c r="FT139" s="208"/>
      <c r="FU139" s="208"/>
      <c r="FV139" s="208"/>
      <c r="FW139" s="208"/>
      <c r="FX139" s="208"/>
      <c r="FY139" s="208"/>
      <c r="FZ139" s="208"/>
      <c r="GA139" s="208"/>
      <c r="GB139" s="208"/>
      <c r="GC139" s="208"/>
      <c r="GD139" s="208"/>
      <c r="GE139" s="208"/>
      <c r="GF139" s="208"/>
    </row>
    <row r="140" spans="1:188" s="209" customFormat="1" ht="15" x14ac:dyDescent="0.25">
      <c r="A140" s="195" t="s">
        <v>4909</v>
      </c>
      <c r="B140" s="195" t="s">
        <v>135</v>
      </c>
      <c r="C140" s="196" t="s">
        <v>2146</v>
      </c>
      <c r="D140" s="154" t="s">
        <v>78</v>
      </c>
      <c r="E140" s="154">
        <v>392170</v>
      </c>
      <c r="F140" s="154">
        <v>0.1</v>
      </c>
      <c r="G140" s="197"/>
      <c r="H140" s="198"/>
      <c r="I140" s="151">
        <f>IFERROR(INDEX(Composições!$A$5:$J$8391,MATCH(B140,Composições!$A$5:$A$8391,0)+2,8),"")</f>
        <v>18.236943849999996</v>
      </c>
      <c r="J140" s="152">
        <f t="shared" si="21"/>
        <v>715198.23</v>
      </c>
      <c r="K140" s="198">
        <f>BDI!$B$17</f>
        <v>0.191</v>
      </c>
      <c r="L140" s="198"/>
      <c r="M140" s="198"/>
      <c r="N140" s="153">
        <f t="shared" si="22"/>
        <v>21.72</v>
      </c>
      <c r="O140" s="152">
        <f t="shared" si="23"/>
        <v>851793.24</v>
      </c>
      <c r="P140" s="225"/>
      <c r="Q140" s="208"/>
      <c r="R140" s="208"/>
      <c r="S140"/>
      <c r="T140" s="208"/>
      <c r="U140" s="208"/>
      <c r="V140" s="208"/>
      <c r="W140" s="208"/>
      <c r="X140" s="208"/>
      <c r="Y140" s="208"/>
      <c r="Z140" s="208"/>
      <c r="AA140" s="208"/>
      <c r="AB140" s="208"/>
      <c r="AC140" s="208"/>
      <c r="AD140" s="208"/>
      <c r="AE140" s="208"/>
      <c r="AF140" s="208"/>
      <c r="AG140" s="208"/>
      <c r="AH140" s="208"/>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c r="BI140" s="208"/>
      <c r="BJ140" s="208"/>
      <c r="BK140" s="208"/>
      <c r="BL140" s="208"/>
      <c r="BM140" s="208"/>
      <c r="BN140" s="208"/>
      <c r="BO140" s="208"/>
      <c r="BP140" s="208"/>
      <c r="BQ140" s="208"/>
      <c r="BR140" s="208"/>
      <c r="BS140" s="208"/>
      <c r="BT140" s="208"/>
      <c r="BU140" s="208"/>
      <c r="BV140" s="208"/>
      <c r="BW140" s="208"/>
      <c r="BX140" s="208"/>
      <c r="BY140" s="208"/>
      <c r="BZ140" s="208"/>
      <c r="CA140" s="208"/>
      <c r="CB140" s="208"/>
      <c r="CC140" s="208"/>
      <c r="CD140" s="208"/>
      <c r="CE140" s="208"/>
      <c r="CF140" s="208"/>
      <c r="CG140" s="208"/>
      <c r="CH140" s="208"/>
      <c r="CI140" s="208"/>
      <c r="CJ140" s="208"/>
      <c r="CK140" s="208"/>
      <c r="CL140" s="208"/>
      <c r="CM140" s="208"/>
      <c r="CN140" s="208"/>
      <c r="CO140" s="208"/>
      <c r="CP140" s="208"/>
      <c r="CQ140" s="208"/>
      <c r="CR140" s="208"/>
      <c r="CS140" s="208"/>
      <c r="CT140" s="208"/>
      <c r="CU140" s="208"/>
      <c r="CV140" s="208"/>
      <c r="CW140" s="208"/>
      <c r="CX140" s="208"/>
      <c r="CY140" s="208"/>
      <c r="CZ140" s="208"/>
      <c r="DA140" s="208"/>
      <c r="DB140" s="208"/>
      <c r="DC140" s="208"/>
      <c r="DD140" s="208"/>
      <c r="DE140" s="208"/>
      <c r="DF140" s="208"/>
      <c r="DG140" s="208"/>
      <c r="DH140" s="208"/>
      <c r="DI140" s="208"/>
      <c r="DJ140" s="208"/>
      <c r="DK140" s="208"/>
      <c r="DL140" s="208"/>
      <c r="DM140" s="208"/>
      <c r="DN140" s="208"/>
      <c r="DO140" s="208"/>
      <c r="DP140" s="208"/>
      <c r="DQ140" s="208"/>
      <c r="DR140" s="208"/>
      <c r="DS140" s="208"/>
      <c r="DT140" s="208"/>
      <c r="DU140" s="208"/>
      <c r="DV140" s="208"/>
      <c r="DW140" s="208"/>
      <c r="DX140" s="208"/>
      <c r="DY140" s="208"/>
      <c r="DZ140" s="208"/>
      <c r="EA140" s="208"/>
      <c r="EB140" s="208"/>
      <c r="EC140" s="208"/>
      <c r="ED140" s="208"/>
      <c r="EE140" s="208"/>
      <c r="EF140" s="208"/>
      <c r="EG140" s="208"/>
      <c r="EH140" s="208"/>
      <c r="EI140" s="208"/>
      <c r="EJ140" s="208"/>
      <c r="EK140" s="208"/>
      <c r="EL140" s="208"/>
      <c r="EM140" s="208"/>
      <c r="EN140" s="208"/>
      <c r="EO140" s="208"/>
      <c r="EP140" s="208"/>
      <c r="EQ140" s="208"/>
      <c r="ER140" s="208"/>
      <c r="ES140" s="208"/>
      <c r="ET140" s="208"/>
      <c r="EU140" s="208"/>
      <c r="EV140" s="208"/>
      <c r="EW140" s="208"/>
      <c r="EX140" s="208"/>
      <c r="EY140" s="208"/>
      <c r="EZ140" s="208"/>
      <c r="FA140" s="208"/>
      <c r="FB140" s="208"/>
      <c r="FC140" s="208"/>
      <c r="FD140" s="208"/>
      <c r="FE140" s="208"/>
      <c r="FF140" s="208"/>
      <c r="FG140" s="208"/>
      <c r="FH140" s="208"/>
      <c r="FI140" s="208"/>
      <c r="FJ140" s="208"/>
      <c r="FK140" s="208"/>
      <c r="FL140" s="208"/>
      <c r="FM140" s="208"/>
      <c r="FN140" s="208"/>
      <c r="FO140" s="208"/>
      <c r="FP140" s="208"/>
      <c r="FQ140" s="208"/>
      <c r="FR140" s="208"/>
      <c r="FS140" s="208"/>
      <c r="FT140" s="208"/>
      <c r="FU140" s="208"/>
      <c r="FV140" s="208"/>
      <c r="FW140" s="208"/>
      <c r="FX140" s="208"/>
      <c r="FY140" s="208"/>
      <c r="FZ140" s="208"/>
      <c r="GA140" s="208"/>
      <c r="GB140" s="208"/>
      <c r="GC140" s="208"/>
      <c r="GD140" s="208"/>
      <c r="GE140" s="208"/>
      <c r="GF140" s="208"/>
    </row>
    <row r="141" spans="1:188" s="209" customFormat="1" ht="15" x14ac:dyDescent="0.25">
      <c r="A141" s="195" t="s">
        <v>4910</v>
      </c>
      <c r="B141" s="195" t="s">
        <v>134</v>
      </c>
      <c r="C141" s="196" t="s">
        <v>2145</v>
      </c>
      <c r="D141" s="154" t="s">
        <v>78</v>
      </c>
      <c r="E141" s="154">
        <v>73130</v>
      </c>
      <c r="F141" s="154">
        <v>0.1</v>
      </c>
      <c r="G141" s="197"/>
      <c r="H141" s="198"/>
      <c r="I141" s="151">
        <f>IFERROR(INDEX(Composições!$A$5:$J$8391,MATCH(B141,Composições!$A$5:$A$8391,0)+2,8),"")</f>
        <v>22.209498619999998</v>
      </c>
      <c r="J141" s="152">
        <f t="shared" si="21"/>
        <v>162418.06</v>
      </c>
      <c r="K141" s="198">
        <f>BDI!$B$17</f>
        <v>0.191</v>
      </c>
      <c r="L141" s="198"/>
      <c r="M141" s="198"/>
      <c r="N141" s="153">
        <f t="shared" si="22"/>
        <v>26.45</v>
      </c>
      <c r="O141" s="152">
        <f t="shared" si="23"/>
        <v>193428.85</v>
      </c>
      <c r="P141" s="225"/>
      <c r="Q141" s="208"/>
      <c r="R141" s="208"/>
      <c r="S141"/>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c r="BI141" s="208"/>
      <c r="BJ141" s="208"/>
      <c r="BK141" s="208"/>
      <c r="BL141" s="208"/>
      <c r="BM141" s="208"/>
      <c r="BN141" s="208"/>
      <c r="BO141" s="208"/>
      <c r="BP141" s="208"/>
      <c r="BQ141" s="208"/>
      <c r="BR141" s="208"/>
      <c r="BS141" s="208"/>
      <c r="BT141" s="208"/>
      <c r="BU141" s="208"/>
      <c r="BV141" s="208"/>
      <c r="BW141" s="208"/>
      <c r="BX141" s="208"/>
      <c r="BY141" s="208"/>
      <c r="BZ141" s="208"/>
      <c r="CA141" s="208"/>
      <c r="CB141" s="208"/>
      <c r="CC141" s="208"/>
      <c r="CD141" s="208"/>
      <c r="CE141" s="208"/>
      <c r="CF141" s="208"/>
      <c r="CG141" s="208"/>
      <c r="CH141" s="208"/>
      <c r="CI141" s="208"/>
      <c r="CJ141" s="208"/>
      <c r="CK141" s="208"/>
      <c r="CL141" s="208"/>
      <c r="CM141" s="208"/>
      <c r="CN141" s="208"/>
      <c r="CO141" s="208"/>
      <c r="CP141" s="208"/>
      <c r="CQ141" s="208"/>
      <c r="CR141" s="208"/>
      <c r="CS141" s="208"/>
      <c r="CT141" s="208"/>
      <c r="CU141" s="208"/>
      <c r="CV141" s="208"/>
      <c r="CW141" s="208"/>
      <c r="CX141" s="208"/>
      <c r="CY141" s="208"/>
      <c r="CZ141" s="208"/>
      <c r="DA141" s="208"/>
      <c r="DB141" s="208"/>
      <c r="DC141" s="208"/>
      <c r="DD141" s="208"/>
      <c r="DE141" s="208"/>
      <c r="DF141" s="208"/>
      <c r="DG141" s="208"/>
      <c r="DH141" s="208"/>
      <c r="DI141" s="208"/>
      <c r="DJ141" s="208"/>
      <c r="DK141" s="208"/>
      <c r="DL141" s="208"/>
      <c r="DM141" s="208"/>
      <c r="DN141" s="208"/>
      <c r="DO141" s="208"/>
      <c r="DP141" s="208"/>
      <c r="DQ141" s="208"/>
      <c r="DR141" s="208"/>
      <c r="DS141" s="208"/>
      <c r="DT141" s="208"/>
      <c r="DU141" s="208"/>
      <c r="DV141" s="208"/>
      <c r="DW141" s="208"/>
      <c r="DX141" s="208"/>
      <c r="DY141" s="208"/>
      <c r="DZ141" s="208"/>
      <c r="EA141" s="208"/>
      <c r="EB141" s="208"/>
      <c r="EC141" s="208"/>
      <c r="ED141" s="208"/>
      <c r="EE141" s="208"/>
      <c r="EF141" s="208"/>
      <c r="EG141" s="208"/>
      <c r="EH141" s="208"/>
      <c r="EI141" s="208"/>
      <c r="EJ141" s="208"/>
      <c r="EK141" s="208"/>
      <c r="EL141" s="208"/>
      <c r="EM141" s="208"/>
      <c r="EN141" s="208"/>
      <c r="EO141" s="208"/>
      <c r="EP141" s="208"/>
      <c r="EQ141" s="208"/>
      <c r="ER141" s="208"/>
      <c r="ES141" s="208"/>
      <c r="ET141" s="208"/>
      <c r="EU141" s="208"/>
      <c r="EV141" s="208"/>
      <c r="EW141" s="208"/>
      <c r="EX141" s="208"/>
      <c r="EY141" s="208"/>
      <c r="EZ141" s="208"/>
      <c r="FA141" s="208"/>
      <c r="FB141" s="208"/>
      <c r="FC141" s="208"/>
      <c r="FD141" s="208"/>
      <c r="FE141" s="208"/>
      <c r="FF141" s="208"/>
      <c r="FG141" s="208"/>
      <c r="FH141" s="208"/>
      <c r="FI141" s="208"/>
      <c r="FJ141" s="208"/>
      <c r="FK141" s="208"/>
      <c r="FL141" s="208"/>
      <c r="FM141" s="208"/>
      <c r="FN141" s="208"/>
      <c r="FO141" s="208"/>
      <c r="FP141" s="208"/>
      <c r="FQ141" s="208"/>
      <c r="FR141" s="208"/>
      <c r="FS141" s="208"/>
      <c r="FT141" s="208"/>
      <c r="FU141" s="208"/>
      <c r="FV141" s="208"/>
      <c r="FW141" s="208"/>
      <c r="FX141" s="208"/>
      <c r="FY141" s="208"/>
      <c r="FZ141" s="208"/>
      <c r="GA141" s="208"/>
      <c r="GB141" s="208"/>
      <c r="GC141" s="208"/>
      <c r="GD141" s="208"/>
      <c r="GE141" s="208"/>
      <c r="GF141" s="208"/>
    </row>
    <row r="142" spans="1:188" s="209" customFormat="1" ht="15" x14ac:dyDescent="0.25">
      <c r="A142" s="195" t="s">
        <v>4911</v>
      </c>
      <c r="B142" s="195" t="s">
        <v>136</v>
      </c>
      <c r="C142" s="196" t="s">
        <v>2147</v>
      </c>
      <c r="D142" s="154" t="s">
        <v>78</v>
      </c>
      <c r="E142" s="154">
        <v>1013210</v>
      </c>
      <c r="F142" s="154">
        <v>0.1</v>
      </c>
      <c r="G142" s="197"/>
      <c r="H142" s="198"/>
      <c r="I142" s="151">
        <f>IFERROR(INDEX(Composições!$A$5:$J$8391,MATCH(B142,Composições!$A$5:$A$8391,0)+2,8),"")</f>
        <v>12.216542099999998</v>
      </c>
      <c r="J142" s="152">
        <f t="shared" si="21"/>
        <v>1237792.26</v>
      </c>
      <c r="K142" s="198">
        <f>BDI!$B$17</f>
        <v>0.191</v>
      </c>
      <c r="L142" s="198"/>
      <c r="M142" s="198"/>
      <c r="N142" s="153">
        <f t="shared" si="22"/>
        <v>14.55</v>
      </c>
      <c r="O142" s="152">
        <f t="shared" si="23"/>
        <v>1474220.55</v>
      </c>
      <c r="P142" s="225"/>
      <c r="Q142" s="208"/>
      <c r="R142" s="208"/>
      <c r="S142"/>
      <c r="T142" s="208"/>
      <c r="U142" s="208"/>
      <c r="V142" s="208"/>
      <c r="W142" s="208"/>
      <c r="X142" s="208"/>
      <c r="Y142" s="208"/>
      <c r="Z142" s="208"/>
      <c r="AA142" s="208"/>
      <c r="AB142" s="208"/>
      <c r="AC142" s="208"/>
      <c r="AD142" s="208"/>
      <c r="AE142" s="208"/>
      <c r="AF142" s="208"/>
      <c r="AG142" s="208"/>
      <c r="AH142" s="208"/>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c r="BI142" s="208"/>
      <c r="BJ142" s="208"/>
      <c r="BK142" s="208"/>
      <c r="BL142" s="208"/>
      <c r="BM142" s="208"/>
      <c r="BN142" s="208"/>
      <c r="BO142" s="208"/>
      <c r="BP142" s="208"/>
      <c r="BQ142" s="208"/>
      <c r="BR142" s="208"/>
      <c r="BS142" s="208"/>
      <c r="BT142" s="208"/>
      <c r="BU142" s="208"/>
      <c r="BV142" s="208"/>
      <c r="BW142" s="208"/>
      <c r="BX142" s="208"/>
      <c r="BY142" s="208"/>
      <c r="BZ142" s="208"/>
      <c r="CA142" s="208"/>
      <c r="CB142" s="208"/>
      <c r="CC142" s="208"/>
      <c r="CD142" s="208"/>
      <c r="CE142" s="208"/>
      <c r="CF142" s="208"/>
      <c r="CG142" s="208"/>
      <c r="CH142" s="208"/>
      <c r="CI142" s="208"/>
      <c r="CJ142" s="208"/>
      <c r="CK142" s="208"/>
      <c r="CL142" s="208"/>
      <c r="CM142" s="208"/>
      <c r="CN142" s="208"/>
      <c r="CO142" s="208"/>
      <c r="CP142" s="208"/>
      <c r="CQ142" s="208"/>
      <c r="CR142" s="208"/>
      <c r="CS142" s="208"/>
      <c r="CT142" s="208"/>
      <c r="CU142" s="208"/>
      <c r="CV142" s="208"/>
      <c r="CW142" s="208"/>
      <c r="CX142" s="208"/>
      <c r="CY142" s="208"/>
      <c r="CZ142" s="208"/>
      <c r="DA142" s="208"/>
      <c r="DB142" s="208"/>
      <c r="DC142" s="208"/>
      <c r="DD142" s="208"/>
      <c r="DE142" s="208"/>
      <c r="DF142" s="208"/>
      <c r="DG142" s="208"/>
      <c r="DH142" s="208"/>
      <c r="DI142" s="208"/>
      <c r="DJ142" s="208"/>
      <c r="DK142" s="208"/>
      <c r="DL142" s="208"/>
      <c r="DM142" s="208"/>
      <c r="DN142" s="208"/>
      <c r="DO142" s="208"/>
      <c r="DP142" s="208"/>
      <c r="DQ142" s="208"/>
      <c r="DR142" s="208"/>
      <c r="DS142" s="208"/>
      <c r="DT142" s="208"/>
      <c r="DU142" s="208"/>
      <c r="DV142" s="208"/>
      <c r="DW142" s="208"/>
      <c r="DX142" s="208"/>
      <c r="DY142" s="208"/>
      <c r="DZ142" s="208"/>
      <c r="EA142" s="208"/>
      <c r="EB142" s="208"/>
      <c r="EC142" s="208"/>
      <c r="ED142" s="208"/>
      <c r="EE142" s="208"/>
      <c r="EF142" s="208"/>
      <c r="EG142" s="208"/>
      <c r="EH142" s="208"/>
      <c r="EI142" s="208"/>
      <c r="EJ142" s="208"/>
      <c r="EK142" s="208"/>
      <c r="EL142" s="208"/>
      <c r="EM142" s="208"/>
      <c r="EN142" s="208"/>
      <c r="EO142" s="208"/>
      <c r="EP142" s="208"/>
      <c r="EQ142" s="208"/>
      <c r="ER142" s="208"/>
      <c r="ES142" s="208"/>
      <c r="ET142" s="208"/>
      <c r="EU142" s="208"/>
      <c r="EV142" s="208"/>
      <c r="EW142" s="208"/>
      <c r="EX142" s="208"/>
      <c r="EY142" s="208"/>
      <c r="EZ142" s="208"/>
      <c r="FA142" s="208"/>
      <c r="FB142" s="208"/>
      <c r="FC142" s="208"/>
      <c r="FD142" s="208"/>
      <c r="FE142" s="208"/>
      <c r="FF142" s="208"/>
      <c r="FG142" s="208"/>
      <c r="FH142" s="208"/>
      <c r="FI142" s="208"/>
      <c r="FJ142" s="208"/>
      <c r="FK142" s="208"/>
      <c r="FL142" s="208"/>
      <c r="FM142" s="208"/>
      <c r="FN142" s="208"/>
      <c r="FO142" s="208"/>
      <c r="FP142" s="208"/>
      <c r="FQ142" s="208"/>
      <c r="FR142" s="208"/>
      <c r="FS142" s="208"/>
      <c r="FT142" s="208"/>
      <c r="FU142" s="208"/>
      <c r="FV142" s="208"/>
      <c r="FW142" s="208"/>
      <c r="FX142" s="208"/>
      <c r="FY142" s="208"/>
      <c r="FZ142" s="208"/>
      <c r="GA142" s="208"/>
      <c r="GB142" s="208"/>
      <c r="GC142" s="208"/>
      <c r="GD142" s="208"/>
      <c r="GE142" s="208"/>
      <c r="GF142" s="208"/>
    </row>
    <row r="143" spans="1:188" s="209" customFormat="1" ht="15" x14ac:dyDescent="0.25">
      <c r="A143" s="195" t="s">
        <v>4912</v>
      </c>
      <c r="B143" s="195" t="s">
        <v>1028</v>
      </c>
      <c r="C143" s="196" t="s">
        <v>2864</v>
      </c>
      <c r="D143" s="154" t="s">
        <v>78</v>
      </c>
      <c r="E143" s="154">
        <v>21140</v>
      </c>
      <c r="F143" s="154">
        <v>0.1</v>
      </c>
      <c r="G143" s="197"/>
      <c r="H143" s="198"/>
      <c r="I143" s="151">
        <f>IFERROR(INDEX(Composições!$A$5:$J$8391,MATCH(B143,Composições!$A$5:$A$8391,0)+2,8),"")</f>
        <v>13.165417299999998</v>
      </c>
      <c r="J143" s="152">
        <f t="shared" si="21"/>
        <v>27831.69</v>
      </c>
      <c r="K143" s="198">
        <f>BDI!$B$17</f>
        <v>0.191</v>
      </c>
      <c r="L143" s="198"/>
      <c r="M143" s="198"/>
      <c r="N143" s="153">
        <f t="shared" si="22"/>
        <v>15.68</v>
      </c>
      <c r="O143" s="152">
        <f t="shared" si="23"/>
        <v>33147.519999999997</v>
      </c>
      <c r="P143" s="225"/>
      <c r="Q143" s="208"/>
      <c r="R143" s="208"/>
      <c r="S143"/>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c r="BI143" s="208"/>
      <c r="BJ143" s="208"/>
      <c r="BK143" s="208"/>
      <c r="BL143" s="208"/>
      <c r="BM143" s="208"/>
      <c r="BN143" s="208"/>
      <c r="BO143" s="208"/>
      <c r="BP143" s="208"/>
      <c r="BQ143" s="208"/>
      <c r="BR143" s="208"/>
      <c r="BS143" s="208"/>
      <c r="BT143" s="208"/>
      <c r="BU143" s="208"/>
      <c r="BV143" s="208"/>
      <c r="BW143" s="208"/>
      <c r="BX143" s="208"/>
      <c r="BY143" s="208"/>
      <c r="BZ143" s="208"/>
      <c r="CA143" s="208"/>
      <c r="CB143" s="208"/>
      <c r="CC143" s="208"/>
      <c r="CD143" s="208"/>
      <c r="CE143" s="208"/>
      <c r="CF143" s="208"/>
      <c r="CG143" s="208"/>
      <c r="CH143" s="208"/>
      <c r="CI143" s="208"/>
      <c r="CJ143" s="208"/>
      <c r="CK143" s="208"/>
      <c r="CL143" s="208"/>
      <c r="CM143" s="208"/>
      <c r="CN143" s="208"/>
      <c r="CO143" s="208"/>
      <c r="CP143" s="208"/>
      <c r="CQ143" s="208"/>
      <c r="CR143" s="208"/>
      <c r="CS143" s="208"/>
      <c r="CT143" s="208"/>
      <c r="CU143" s="208"/>
      <c r="CV143" s="208"/>
      <c r="CW143" s="208"/>
      <c r="CX143" s="208"/>
      <c r="CY143" s="208"/>
      <c r="CZ143" s="208"/>
      <c r="DA143" s="208"/>
      <c r="DB143" s="208"/>
      <c r="DC143" s="208"/>
      <c r="DD143" s="208"/>
      <c r="DE143" s="208"/>
      <c r="DF143" s="208"/>
      <c r="DG143" s="208"/>
      <c r="DH143" s="208"/>
      <c r="DI143" s="208"/>
      <c r="DJ143" s="208"/>
      <c r="DK143" s="208"/>
      <c r="DL143" s="208"/>
      <c r="DM143" s="208"/>
      <c r="DN143" s="208"/>
      <c r="DO143" s="208"/>
      <c r="DP143" s="208"/>
      <c r="DQ143" s="208"/>
      <c r="DR143" s="208"/>
      <c r="DS143" s="208"/>
      <c r="DT143" s="208"/>
      <c r="DU143" s="208"/>
      <c r="DV143" s="208"/>
      <c r="DW143" s="208"/>
      <c r="DX143" s="208"/>
      <c r="DY143" s="208"/>
      <c r="DZ143" s="208"/>
      <c r="EA143" s="208"/>
      <c r="EB143" s="208"/>
      <c r="EC143" s="208"/>
      <c r="ED143" s="208"/>
      <c r="EE143" s="208"/>
      <c r="EF143" s="208"/>
      <c r="EG143" s="208"/>
      <c r="EH143" s="208"/>
      <c r="EI143" s="208"/>
      <c r="EJ143" s="208"/>
      <c r="EK143" s="208"/>
      <c r="EL143" s="208"/>
      <c r="EM143" s="208"/>
      <c r="EN143" s="208"/>
      <c r="EO143" s="208"/>
      <c r="EP143" s="208"/>
      <c r="EQ143" s="208"/>
      <c r="ER143" s="208"/>
      <c r="ES143" s="208"/>
      <c r="ET143" s="208"/>
      <c r="EU143" s="208"/>
      <c r="EV143" s="208"/>
      <c r="EW143" s="208"/>
      <c r="EX143" s="208"/>
      <c r="EY143" s="208"/>
      <c r="EZ143" s="208"/>
      <c r="FA143" s="208"/>
      <c r="FB143" s="208"/>
      <c r="FC143" s="208"/>
      <c r="FD143" s="208"/>
      <c r="FE143" s="208"/>
      <c r="FF143" s="208"/>
      <c r="FG143" s="208"/>
      <c r="FH143" s="208"/>
      <c r="FI143" s="208"/>
      <c r="FJ143" s="208"/>
      <c r="FK143" s="208"/>
      <c r="FL143" s="208"/>
      <c r="FM143" s="208"/>
      <c r="FN143" s="208"/>
      <c r="FO143" s="208"/>
      <c r="FP143" s="208"/>
      <c r="FQ143" s="208"/>
      <c r="FR143" s="208"/>
      <c r="FS143" s="208"/>
      <c r="FT143" s="208"/>
      <c r="FU143" s="208"/>
      <c r="FV143" s="208"/>
      <c r="FW143" s="208"/>
      <c r="FX143" s="208"/>
      <c r="FY143" s="208"/>
      <c r="FZ143" s="208"/>
      <c r="GA143" s="208"/>
      <c r="GB143" s="208"/>
      <c r="GC143" s="208"/>
      <c r="GD143" s="208"/>
      <c r="GE143" s="208"/>
      <c r="GF143" s="208"/>
    </row>
    <row r="144" spans="1:188" s="209" customFormat="1" ht="15" x14ac:dyDescent="0.25">
      <c r="A144" s="195" t="s">
        <v>4913</v>
      </c>
      <c r="B144" s="195" t="s">
        <v>143</v>
      </c>
      <c r="C144" s="196" t="s">
        <v>2150</v>
      </c>
      <c r="D144" s="154" t="s">
        <v>78</v>
      </c>
      <c r="E144" s="154">
        <v>833740</v>
      </c>
      <c r="F144" s="154">
        <v>0.1</v>
      </c>
      <c r="G144" s="197"/>
      <c r="H144" s="198"/>
      <c r="I144" s="151">
        <f>IFERROR(INDEX(Composições!$A$5:$J$8391,MATCH(B144,Composições!$A$5:$A$8391,0)+2,8),"")</f>
        <v>14.52596265</v>
      </c>
      <c r="J144" s="152">
        <f t="shared" si="21"/>
        <v>1211087.6100000001</v>
      </c>
      <c r="K144" s="198">
        <f>BDI!$B$17</f>
        <v>0.191</v>
      </c>
      <c r="L144" s="198"/>
      <c r="M144" s="198"/>
      <c r="N144" s="153">
        <f t="shared" si="22"/>
        <v>17.3</v>
      </c>
      <c r="O144" s="152">
        <f t="shared" si="23"/>
        <v>1442370.2</v>
      </c>
      <c r="P144" s="225"/>
      <c r="Q144" s="208"/>
      <c r="R144" s="208"/>
      <c r="S144"/>
      <c r="T144" s="208"/>
      <c r="U144" s="208"/>
      <c r="V144" s="208"/>
      <c r="W144" s="208"/>
      <c r="X144" s="208"/>
      <c r="Y144" s="208"/>
      <c r="Z144" s="208"/>
      <c r="AA144" s="208"/>
      <c r="AB144" s="208"/>
      <c r="AC144" s="208"/>
      <c r="AD144" s="208"/>
      <c r="AE144" s="208"/>
      <c r="AF144" s="208"/>
      <c r="AG144" s="208"/>
      <c r="AH144" s="208"/>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c r="BI144" s="208"/>
      <c r="BJ144" s="208"/>
      <c r="BK144" s="208"/>
      <c r="BL144" s="208"/>
      <c r="BM144" s="208"/>
      <c r="BN144" s="208"/>
      <c r="BO144" s="208"/>
      <c r="BP144" s="208"/>
      <c r="BQ144" s="208"/>
      <c r="BR144" s="208"/>
      <c r="BS144" s="208"/>
      <c r="BT144" s="208"/>
      <c r="BU144" s="208"/>
      <c r="BV144" s="208"/>
      <c r="BW144" s="208"/>
      <c r="BX144" s="208"/>
      <c r="BY144" s="208"/>
      <c r="BZ144" s="208"/>
      <c r="CA144" s="208"/>
      <c r="CB144" s="208"/>
      <c r="CC144" s="208"/>
      <c r="CD144" s="208"/>
      <c r="CE144" s="208"/>
      <c r="CF144" s="208"/>
      <c r="CG144" s="208"/>
      <c r="CH144" s="208"/>
      <c r="CI144" s="208"/>
      <c r="CJ144" s="208"/>
      <c r="CK144" s="208"/>
      <c r="CL144" s="208"/>
      <c r="CM144" s="208"/>
      <c r="CN144" s="208"/>
      <c r="CO144" s="208"/>
      <c r="CP144" s="208"/>
      <c r="CQ144" s="208"/>
      <c r="CR144" s="208"/>
      <c r="CS144" s="208"/>
      <c r="CT144" s="208"/>
      <c r="CU144" s="208"/>
      <c r="CV144" s="208"/>
      <c r="CW144" s="208"/>
      <c r="CX144" s="208"/>
      <c r="CY144" s="208"/>
      <c r="CZ144" s="208"/>
      <c r="DA144" s="208"/>
      <c r="DB144" s="208"/>
      <c r="DC144" s="208"/>
      <c r="DD144" s="208"/>
      <c r="DE144" s="208"/>
      <c r="DF144" s="208"/>
      <c r="DG144" s="208"/>
      <c r="DH144" s="208"/>
      <c r="DI144" s="208"/>
      <c r="DJ144" s="208"/>
      <c r="DK144" s="208"/>
      <c r="DL144" s="208"/>
      <c r="DM144" s="208"/>
      <c r="DN144" s="208"/>
      <c r="DO144" s="208"/>
      <c r="DP144" s="208"/>
      <c r="DQ144" s="208"/>
      <c r="DR144" s="208"/>
      <c r="DS144" s="208"/>
      <c r="DT144" s="208"/>
      <c r="DU144" s="208"/>
      <c r="DV144" s="208"/>
      <c r="DW144" s="208"/>
      <c r="DX144" s="208"/>
      <c r="DY144" s="208"/>
      <c r="DZ144" s="208"/>
      <c r="EA144" s="208"/>
      <c r="EB144" s="208"/>
      <c r="EC144" s="208"/>
      <c r="ED144" s="208"/>
      <c r="EE144" s="208"/>
      <c r="EF144" s="208"/>
      <c r="EG144" s="208"/>
      <c r="EH144" s="208"/>
      <c r="EI144" s="208"/>
      <c r="EJ144" s="208"/>
      <c r="EK144" s="208"/>
      <c r="EL144" s="208"/>
      <c r="EM144" s="208"/>
      <c r="EN144" s="208"/>
      <c r="EO144" s="208"/>
      <c r="EP144" s="208"/>
      <c r="EQ144" s="208"/>
      <c r="ER144" s="208"/>
      <c r="ES144" s="208"/>
      <c r="ET144" s="208"/>
      <c r="EU144" s="208"/>
      <c r="EV144" s="208"/>
      <c r="EW144" s="208"/>
      <c r="EX144" s="208"/>
      <c r="EY144" s="208"/>
      <c r="EZ144" s="208"/>
      <c r="FA144" s="208"/>
      <c r="FB144" s="208"/>
      <c r="FC144" s="208"/>
      <c r="FD144" s="208"/>
      <c r="FE144" s="208"/>
      <c r="FF144" s="208"/>
      <c r="FG144" s="208"/>
      <c r="FH144" s="208"/>
      <c r="FI144" s="208"/>
      <c r="FJ144" s="208"/>
      <c r="FK144" s="208"/>
      <c r="FL144" s="208"/>
      <c r="FM144" s="208"/>
      <c r="FN144" s="208"/>
      <c r="FO144" s="208"/>
      <c r="FP144" s="208"/>
      <c r="FQ144" s="208"/>
      <c r="FR144" s="208"/>
      <c r="FS144" s="208"/>
      <c r="FT144" s="208"/>
      <c r="FU144" s="208"/>
      <c r="FV144" s="208"/>
      <c r="FW144" s="208"/>
      <c r="FX144" s="208"/>
      <c r="FY144" s="208"/>
      <c r="FZ144" s="208"/>
      <c r="GA144" s="208"/>
      <c r="GB144" s="208"/>
      <c r="GC144" s="208"/>
      <c r="GD144" s="208"/>
      <c r="GE144" s="208"/>
      <c r="GF144" s="208"/>
    </row>
    <row r="145" spans="1:188" s="209" customFormat="1" ht="15" x14ac:dyDescent="0.25">
      <c r="A145" s="195" t="s">
        <v>4914</v>
      </c>
      <c r="B145" s="195" t="s">
        <v>129</v>
      </c>
      <c r="C145" s="196" t="s">
        <v>2144</v>
      </c>
      <c r="D145" s="154" t="s">
        <v>78</v>
      </c>
      <c r="E145" s="154">
        <v>56170</v>
      </c>
      <c r="F145" s="154">
        <v>0.1</v>
      </c>
      <c r="G145" s="197"/>
      <c r="H145" s="198"/>
      <c r="I145" s="151">
        <f>IFERROR(INDEX(Composições!$A$5:$J$8391,MATCH(B145,Composições!$A$5:$A$8391,0)+2,8),"")</f>
        <v>19.455449399999999</v>
      </c>
      <c r="J145" s="152">
        <f t="shared" si="21"/>
        <v>109281.26</v>
      </c>
      <c r="K145" s="198">
        <f>BDI!$B$17</f>
        <v>0.191</v>
      </c>
      <c r="L145" s="198"/>
      <c r="M145" s="198"/>
      <c r="N145" s="153">
        <f t="shared" si="22"/>
        <v>23.17</v>
      </c>
      <c r="O145" s="152">
        <f t="shared" si="23"/>
        <v>130145.89</v>
      </c>
      <c r="P145" s="225"/>
      <c r="Q145" s="208"/>
      <c r="R145" s="208"/>
      <c r="S145"/>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c r="BI145" s="208"/>
      <c r="BJ145" s="208"/>
      <c r="BK145" s="208"/>
      <c r="BL145" s="208"/>
      <c r="BM145" s="208"/>
      <c r="BN145" s="208"/>
      <c r="BO145" s="208"/>
      <c r="BP145" s="208"/>
      <c r="BQ145" s="208"/>
      <c r="BR145" s="208"/>
      <c r="BS145" s="208"/>
      <c r="BT145" s="208"/>
      <c r="BU145" s="208"/>
      <c r="BV145" s="208"/>
      <c r="BW145" s="208"/>
      <c r="BX145" s="208"/>
      <c r="BY145" s="208"/>
      <c r="BZ145" s="208"/>
      <c r="CA145" s="208"/>
      <c r="CB145" s="208"/>
      <c r="CC145" s="208"/>
      <c r="CD145" s="208"/>
      <c r="CE145" s="208"/>
      <c r="CF145" s="208"/>
      <c r="CG145" s="208"/>
      <c r="CH145" s="208"/>
      <c r="CI145" s="208"/>
      <c r="CJ145" s="208"/>
      <c r="CK145" s="208"/>
      <c r="CL145" s="208"/>
      <c r="CM145" s="208"/>
      <c r="CN145" s="208"/>
      <c r="CO145" s="208"/>
      <c r="CP145" s="208"/>
      <c r="CQ145" s="208"/>
      <c r="CR145" s="208"/>
      <c r="CS145" s="208"/>
      <c r="CT145" s="208"/>
      <c r="CU145" s="208"/>
      <c r="CV145" s="208"/>
      <c r="CW145" s="208"/>
      <c r="CX145" s="208"/>
      <c r="CY145" s="208"/>
      <c r="CZ145" s="208"/>
      <c r="DA145" s="208"/>
      <c r="DB145" s="208"/>
      <c r="DC145" s="208"/>
      <c r="DD145" s="208"/>
      <c r="DE145" s="208"/>
      <c r="DF145" s="208"/>
      <c r="DG145" s="208"/>
      <c r="DH145" s="208"/>
      <c r="DI145" s="208"/>
      <c r="DJ145" s="208"/>
      <c r="DK145" s="208"/>
      <c r="DL145" s="208"/>
      <c r="DM145" s="208"/>
      <c r="DN145" s="208"/>
      <c r="DO145" s="208"/>
      <c r="DP145" s="208"/>
      <c r="DQ145" s="208"/>
      <c r="DR145" s="208"/>
      <c r="DS145" s="208"/>
      <c r="DT145" s="208"/>
      <c r="DU145" s="208"/>
      <c r="DV145" s="208"/>
      <c r="DW145" s="208"/>
      <c r="DX145" s="208"/>
      <c r="DY145" s="208"/>
      <c r="DZ145" s="208"/>
      <c r="EA145" s="208"/>
      <c r="EB145" s="208"/>
      <c r="EC145" s="208"/>
      <c r="ED145" s="208"/>
      <c r="EE145" s="208"/>
      <c r="EF145" s="208"/>
      <c r="EG145" s="208"/>
      <c r="EH145" s="208"/>
      <c r="EI145" s="208"/>
      <c r="EJ145" s="208"/>
      <c r="EK145" s="208"/>
      <c r="EL145" s="208"/>
      <c r="EM145" s="208"/>
      <c r="EN145" s="208"/>
      <c r="EO145" s="208"/>
      <c r="EP145" s="208"/>
      <c r="EQ145" s="208"/>
      <c r="ER145" s="208"/>
      <c r="ES145" s="208"/>
      <c r="ET145" s="208"/>
      <c r="EU145" s="208"/>
      <c r="EV145" s="208"/>
      <c r="EW145" s="208"/>
      <c r="EX145" s="208"/>
      <c r="EY145" s="208"/>
      <c r="EZ145" s="208"/>
      <c r="FA145" s="208"/>
      <c r="FB145" s="208"/>
      <c r="FC145" s="208"/>
      <c r="FD145" s="208"/>
      <c r="FE145" s="208"/>
      <c r="FF145" s="208"/>
      <c r="FG145" s="208"/>
      <c r="FH145" s="208"/>
      <c r="FI145" s="208"/>
      <c r="FJ145" s="208"/>
      <c r="FK145" s="208"/>
      <c r="FL145" s="208"/>
      <c r="FM145" s="208"/>
      <c r="FN145" s="208"/>
      <c r="FO145" s="208"/>
      <c r="FP145" s="208"/>
      <c r="FQ145" s="208"/>
      <c r="FR145" s="208"/>
      <c r="FS145" s="208"/>
      <c r="FT145" s="208"/>
      <c r="FU145" s="208"/>
      <c r="FV145" s="208"/>
      <c r="FW145" s="208"/>
      <c r="FX145" s="208"/>
      <c r="FY145" s="208"/>
      <c r="FZ145" s="208"/>
      <c r="GA145" s="208"/>
      <c r="GB145" s="208"/>
      <c r="GC145" s="208"/>
      <c r="GD145" s="208"/>
      <c r="GE145" s="208"/>
      <c r="GF145" s="208"/>
    </row>
    <row r="146" spans="1:188" s="209" customFormat="1" ht="15" x14ac:dyDescent="0.25">
      <c r="A146" s="195" t="s">
        <v>4915</v>
      </c>
      <c r="B146" s="195" t="s">
        <v>140</v>
      </c>
      <c r="C146" s="196" t="s">
        <v>2149</v>
      </c>
      <c r="D146" s="154" t="s">
        <v>78</v>
      </c>
      <c r="E146" s="154">
        <v>406480</v>
      </c>
      <c r="F146" s="154">
        <v>0.1</v>
      </c>
      <c r="G146" s="197"/>
      <c r="H146" s="198"/>
      <c r="I146" s="151">
        <f>IFERROR(INDEX(Composições!$A$5:$J$8391,MATCH(B146,Composições!$A$5:$A$8391,0)+2,8),"")</f>
        <v>20.990512399999997</v>
      </c>
      <c r="J146" s="152">
        <f t="shared" si="21"/>
        <v>853222.35</v>
      </c>
      <c r="K146" s="198">
        <f>BDI!$B$17</f>
        <v>0.191</v>
      </c>
      <c r="L146" s="198"/>
      <c r="M146" s="198"/>
      <c r="N146" s="153">
        <f t="shared" si="22"/>
        <v>25</v>
      </c>
      <c r="O146" s="152">
        <f t="shared" si="23"/>
        <v>1016200</v>
      </c>
      <c r="P146" s="225"/>
      <c r="Q146" s="208"/>
      <c r="R146" s="208"/>
      <c r="S146"/>
      <c r="T146" s="208"/>
      <c r="U146" s="208"/>
      <c r="V146" s="208"/>
      <c r="W146" s="208"/>
      <c r="X146" s="208"/>
      <c r="Y146" s="208"/>
      <c r="Z146" s="208"/>
      <c r="AA146" s="208"/>
      <c r="AB146" s="208"/>
      <c r="AC146" s="208"/>
      <c r="AD146" s="208"/>
      <c r="AE146" s="208"/>
      <c r="AF146" s="208"/>
      <c r="AG146" s="208"/>
      <c r="AH146" s="208"/>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c r="BI146" s="208"/>
      <c r="BJ146" s="208"/>
      <c r="BK146" s="208"/>
      <c r="BL146" s="208"/>
      <c r="BM146" s="208"/>
      <c r="BN146" s="208"/>
      <c r="BO146" s="208"/>
      <c r="BP146" s="208"/>
      <c r="BQ146" s="208"/>
      <c r="BR146" s="208"/>
      <c r="BS146" s="208"/>
      <c r="BT146" s="208"/>
      <c r="BU146" s="208"/>
      <c r="BV146" s="208"/>
      <c r="BW146" s="208"/>
      <c r="BX146" s="208"/>
      <c r="BY146" s="208"/>
      <c r="BZ146" s="208"/>
      <c r="CA146" s="208"/>
      <c r="CB146" s="208"/>
      <c r="CC146" s="208"/>
      <c r="CD146" s="208"/>
      <c r="CE146" s="208"/>
      <c r="CF146" s="208"/>
      <c r="CG146" s="208"/>
      <c r="CH146" s="208"/>
      <c r="CI146" s="208"/>
      <c r="CJ146" s="208"/>
      <c r="CK146" s="208"/>
      <c r="CL146" s="208"/>
      <c r="CM146" s="208"/>
      <c r="CN146" s="208"/>
      <c r="CO146" s="208"/>
      <c r="CP146" s="208"/>
      <c r="CQ146" s="208"/>
      <c r="CR146" s="208"/>
      <c r="CS146" s="208"/>
      <c r="CT146" s="208"/>
      <c r="CU146" s="208"/>
      <c r="CV146" s="208"/>
      <c r="CW146" s="208"/>
      <c r="CX146" s="208"/>
      <c r="CY146" s="208"/>
      <c r="CZ146" s="208"/>
      <c r="DA146" s="208"/>
      <c r="DB146" s="208"/>
      <c r="DC146" s="208"/>
      <c r="DD146" s="208"/>
      <c r="DE146" s="208"/>
      <c r="DF146" s="208"/>
      <c r="DG146" s="208"/>
      <c r="DH146" s="208"/>
      <c r="DI146" s="208"/>
      <c r="DJ146" s="208"/>
      <c r="DK146" s="208"/>
      <c r="DL146" s="208"/>
      <c r="DM146" s="208"/>
      <c r="DN146" s="208"/>
      <c r="DO146" s="208"/>
      <c r="DP146" s="208"/>
      <c r="DQ146" s="208"/>
      <c r="DR146" s="208"/>
      <c r="DS146" s="208"/>
      <c r="DT146" s="208"/>
      <c r="DU146" s="208"/>
      <c r="DV146" s="208"/>
      <c r="DW146" s="208"/>
      <c r="DX146" s="208"/>
      <c r="DY146" s="208"/>
      <c r="DZ146" s="208"/>
      <c r="EA146" s="208"/>
      <c r="EB146" s="208"/>
      <c r="EC146" s="208"/>
      <c r="ED146" s="208"/>
      <c r="EE146" s="208"/>
      <c r="EF146" s="208"/>
      <c r="EG146" s="208"/>
      <c r="EH146" s="208"/>
      <c r="EI146" s="208"/>
      <c r="EJ146" s="208"/>
      <c r="EK146" s="208"/>
      <c r="EL146" s="208"/>
      <c r="EM146" s="208"/>
      <c r="EN146" s="208"/>
      <c r="EO146" s="208"/>
      <c r="EP146" s="208"/>
      <c r="EQ146" s="208"/>
      <c r="ER146" s="208"/>
      <c r="ES146" s="208"/>
      <c r="ET146" s="208"/>
      <c r="EU146" s="208"/>
      <c r="EV146" s="208"/>
      <c r="EW146" s="208"/>
      <c r="EX146" s="208"/>
      <c r="EY146" s="208"/>
      <c r="EZ146" s="208"/>
      <c r="FA146" s="208"/>
      <c r="FB146" s="208"/>
      <c r="FC146" s="208"/>
      <c r="FD146" s="208"/>
      <c r="FE146" s="208"/>
      <c r="FF146" s="208"/>
      <c r="FG146" s="208"/>
      <c r="FH146" s="208"/>
      <c r="FI146" s="208"/>
      <c r="FJ146" s="208"/>
      <c r="FK146" s="208"/>
      <c r="FL146" s="208"/>
      <c r="FM146" s="208"/>
      <c r="FN146" s="208"/>
      <c r="FO146" s="208"/>
      <c r="FP146" s="208"/>
      <c r="FQ146" s="208"/>
      <c r="FR146" s="208"/>
      <c r="FS146" s="208"/>
      <c r="FT146" s="208"/>
      <c r="FU146" s="208"/>
      <c r="FV146" s="208"/>
      <c r="FW146" s="208"/>
      <c r="FX146" s="208"/>
      <c r="FY146" s="208"/>
      <c r="FZ146" s="208"/>
      <c r="GA146" s="208"/>
      <c r="GB146" s="208"/>
      <c r="GC146" s="208"/>
      <c r="GD146" s="208"/>
      <c r="GE146" s="208"/>
      <c r="GF146" s="208"/>
    </row>
    <row r="147" spans="1:188" s="209" customFormat="1" ht="15" x14ac:dyDescent="0.25">
      <c r="A147" s="195" t="s">
        <v>4916</v>
      </c>
      <c r="B147" s="195" t="s">
        <v>137</v>
      </c>
      <c r="C147" s="196" t="s">
        <v>2148</v>
      </c>
      <c r="D147" s="154" t="s">
        <v>78</v>
      </c>
      <c r="E147" s="154">
        <v>2000</v>
      </c>
      <c r="F147" s="154">
        <v>0.1</v>
      </c>
      <c r="G147" s="197"/>
      <c r="H147" s="198"/>
      <c r="I147" s="151">
        <f>IFERROR(INDEX(Composições!$A$5:$J$8391,MATCH(B147,Composições!$A$5:$A$8391,0)+2,8),"")</f>
        <v>23.762562799999998</v>
      </c>
      <c r="J147" s="152">
        <f t="shared" si="21"/>
        <v>4752.51</v>
      </c>
      <c r="K147" s="198">
        <f>BDI!$B$17</f>
        <v>0.191</v>
      </c>
      <c r="L147" s="198"/>
      <c r="M147" s="198"/>
      <c r="N147" s="153">
        <f t="shared" si="22"/>
        <v>28.3</v>
      </c>
      <c r="O147" s="152">
        <f t="shared" si="23"/>
        <v>5660</v>
      </c>
      <c r="P147" s="225"/>
      <c r="Q147" s="208"/>
      <c r="R147" s="208"/>
      <c r="S147"/>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c r="BI147" s="208"/>
      <c r="BJ147" s="208"/>
      <c r="BK147" s="208"/>
      <c r="BL147" s="208"/>
      <c r="BM147" s="208"/>
      <c r="BN147" s="208"/>
      <c r="BO147" s="208"/>
      <c r="BP147" s="208"/>
      <c r="BQ147" s="208"/>
      <c r="BR147" s="208"/>
      <c r="BS147" s="208"/>
      <c r="BT147" s="208"/>
      <c r="BU147" s="208"/>
      <c r="BV147" s="208"/>
      <c r="BW147" s="208"/>
      <c r="BX147" s="208"/>
      <c r="BY147" s="208"/>
      <c r="BZ147" s="208"/>
      <c r="CA147" s="208"/>
      <c r="CB147" s="208"/>
      <c r="CC147" s="208"/>
      <c r="CD147" s="208"/>
      <c r="CE147" s="208"/>
      <c r="CF147" s="208"/>
      <c r="CG147" s="208"/>
      <c r="CH147" s="208"/>
      <c r="CI147" s="208"/>
      <c r="CJ147" s="208"/>
      <c r="CK147" s="208"/>
      <c r="CL147" s="208"/>
      <c r="CM147" s="208"/>
      <c r="CN147" s="208"/>
      <c r="CO147" s="208"/>
      <c r="CP147" s="208"/>
      <c r="CQ147" s="208"/>
      <c r="CR147" s="208"/>
      <c r="CS147" s="208"/>
      <c r="CT147" s="208"/>
      <c r="CU147" s="208"/>
      <c r="CV147" s="208"/>
      <c r="CW147" s="208"/>
      <c r="CX147" s="208"/>
      <c r="CY147" s="208"/>
      <c r="CZ147" s="208"/>
      <c r="DA147" s="208"/>
      <c r="DB147" s="208"/>
      <c r="DC147" s="208"/>
      <c r="DD147" s="208"/>
      <c r="DE147" s="208"/>
      <c r="DF147" s="208"/>
      <c r="DG147" s="208"/>
      <c r="DH147" s="208"/>
      <c r="DI147" s="208"/>
      <c r="DJ147" s="208"/>
      <c r="DK147" s="208"/>
      <c r="DL147" s="208"/>
      <c r="DM147" s="208"/>
      <c r="DN147" s="208"/>
      <c r="DO147" s="208"/>
      <c r="DP147" s="208"/>
      <c r="DQ147" s="208"/>
      <c r="DR147" s="208"/>
      <c r="DS147" s="208"/>
      <c r="DT147" s="208"/>
      <c r="DU147" s="208"/>
      <c r="DV147" s="208"/>
      <c r="DW147" s="208"/>
      <c r="DX147" s="208"/>
      <c r="DY147" s="208"/>
      <c r="DZ147" s="208"/>
      <c r="EA147" s="208"/>
      <c r="EB147" s="208"/>
      <c r="EC147" s="208"/>
      <c r="ED147" s="208"/>
      <c r="EE147" s="208"/>
      <c r="EF147" s="208"/>
      <c r="EG147" s="208"/>
      <c r="EH147" s="208"/>
      <c r="EI147" s="208"/>
      <c r="EJ147" s="208"/>
      <c r="EK147" s="208"/>
      <c r="EL147" s="208"/>
      <c r="EM147" s="208"/>
      <c r="EN147" s="208"/>
      <c r="EO147" s="208"/>
      <c r="EP147" s="208"/>
      <c r="EQ147" s="208"/>
      <c r="ER147" s="208"/>
      <c r="ES147" s="208"/>
      <c r="ET147" s="208"/>
      <c r="EU147" s="208"/>
      <c r="EV147" s="208"/>
      <c r="EW147" s="208"/>
      <c r="EX147" s="208"/>
      <c r="EY147" s="208"/>
      <c r="EZ147" s="208"/>
      <c r="FA147" s="208"/>
      <c r="FB147" s="208"/>
      <c r="FC147" s="208"/>
      <c r="FD147" s="208"/>
      <c r="FE147" s="208"/>
      <c r="FF147" s="208"/>
      <c r="FG147" s="208"/>
      <c r="FH147" s="208"/>
      <c r="FI147" s="208"/>
      <c r="FJ147" s="208"/>
      <c r="FK147" s="208"/>
      <c r="FL147" s="208"/>
      <c r="FM147" s="208"/>
      <c r="FN147" s="208"/>
      <c r="FO147" s="208"/>
      <c r="FP147" s="208"/>
      <c r="FQ147" s="208"/>
      <c r="FR147" s="208"/>
      <c r="FS147" s="208"/>
      <c r="FT147" s="208"/>
      <c r="FU147" s="208"/>
      <c r="FV147" s="208"/>
      <c r="FW147" s="208"/>
      <c r="FX147" s="208"/>
      <c r="FY147" s="208"/>
      <c r="FZ147" s="208"/>
      <c r="GA147" s="208"/>
      <c r="GB147" s="208"/>
      <c r="GC147" s="208"/>
      <c r="GD147" s="208"/>
      <c r="GE147" s="208"/>
      <c r="GF147" s="208"/>
    </row>
    <row r="148" spans="1:188" s="209" customFormat="1" ht="15" x14ac:dyDescent="0.25">
      <c r="A148" s="195" t="s">
        <v>4917</v>
      </c>
      <c r="B148" s="195" t="s">
        <v>2865</v>
      </c>
      <c r="C148" s="196" t="s">
        <v>2866</v>
      </c>
      <c r="D148" s="154" t="s">
        <v>78</v>
      </c>
      <c r="E148" s="154">
        <v>2000</v>
      </c>
      <c r="F148" s="154">
        <v>0.1</v>
      </c>
      <c r="G148" s="197"/>
      <c r="H148" s="198"/>
      <c r="I148" s="247">
        <v>67.739999999999995</v>
      </c>
      <c r="J148" s="152">
        <f t="shared" si="21"/>
        <v>13548</v>
      </c>
      <c r="K148" s="198">
        <f>BDI!$B$17</f>
        <v>0.191</v>
      </c>
      <c r="L148" s="198"/>
      <c r="M148" s="198"/>
      <c r="N148" s="153">
        <f t="shared" si="22"/>
        <v>80.680000000000007</v>
      </c>
      <c r="O148" s="152">
        <f t="shared" si="23"/>
        <v>16136</v>
      </c>
      <c r="P148" s="225"/>
      <c r="Q148" s="208"/>
      <c r="R148" s="208"/>
      <c r="S148"/>
      <c r="T148" s="208"/>
      <c r="U148" s="208"/>
      <c r="V148" s="208"/>
      <c r="W148" s="208"/>
      <c r="X148" s="208"/>
      <c r="Y148" s="208"/>
      <c r="Z148" s="208"/>
      <c r="AA148" s="208"/>
      <c r="AB148" s="208"/>
      <c r="AC148" s="208"/>
      <c r="AD148" s="208"/>
      <c r="AE148" s="208"/>
      <c r="AF148" s="208"/>
      <c r="AG148" s="208"/>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c r="BI148" s="208"/>
      <c r="BJ148" s="208"/>
      <c r="BK148" s="208"/>
      <c r="BL148" s="208"/>
      <c r="BM148" s="208"/>
      <c r="BN148" s="208"/>
      <c r="BO148" s="208"/>
      <c r="BP148" s="208"/>
      <c r="BQ148" s="208"/>
      <c r="BR148" s="208"/>
      <c r="BS148" s="208"/>
      <c r="BT148" s="208"/>
      <c r="BU148" s="208"/>
      <c r="BV148" s="208"/>
      <c r="BW148" s="208"/>
      <c r="BX148" s="208"/>
      <c r="BY148" s="208"/>
      <c r="BZ148" s="208"/>
      <c r="CA148" s="208"/>
      <c r="CB148" s="208"/>
      <c r="CC148" s="208"/>
      <c r="CD148" s="208"/>
      <c r="CE148" s="208"/>
      <c r="CF148" s="208"/>
      <c r="CG148" s="208"/>
      <c r="CH148" s="208"/>
      <c r="CI148" s="208"/>
      <c r="CJ148" s="208"/>
      <c r="CK148" s="208"/>
      <c r="CL148" s="208"/>
      <c r="CM148" s="208"/>
      <c r="CN148" s="208"/>
      <c r="CO148" s="208"/>
      <c r="CP148" s="208"/>
      <c r="CQ148" s="208"/>
      <c r="CR148" s="208"/>
      <c r="CS148" s="208"/>
      <c r="CT148" s="208"/>
      <c r="CU148" s="208"/>
      <c r="CV148" s="208"/>
      <c r="CW148" s="208"/>
      <c r="CX148" s="208"/>
      <c r="CY148" s="208"/>
      <c r="CZ148" s="208"/>
      <c r="DA148" s="208"/>
      <c r="DB148" s="208"/>
      <c r="DC148" s="208"/>
      <c r="DD148" s="208"/>
      <c r="DE148" s="208"/>
      <c r="DF148" s="208"/>
      <c r="DG148" s="208"/>
      <c r="DH148" s="208"/>
      <c r="DI148" s="208"/>
      <c r="DJ148" s="208"/>
      <c r="DK148" s="208"/>
      <c r="DL148" s="208"/>
      <c r="DM148" s="208"/>
      <c r="DN148" s="208"/>
      <c r="DO148" s="208"/>
      <c r="DP148" s="208"/>
      <c r="DQ148" s="208"/>
      <c r="DR148" s="208"/>
      <c r="DS148" s="208"/>
      <c r="DT148" s="208"/>
      <c r="DU148" s="208"/>
      <c r="DV148" s="208"/>
      <c r="DW148" s="208"/>
      <c r="DX148" s="208"/>
      <c r="DY148" s="208"/>
      <c r="DZ148" s="208"/>
      <c r="EA148" s="208"/>
      <c r="EB148" s="208"/>
      <c r="EC148" s="208"/>
      <c r="ED148" s="208"/>
      <c r="EE148" s="208"/>
      <c r="EF148" s="208"/>
      <c r="EG148" s="208"/>
      <c r="EH148" s="208"/>
      <c r="EI148" s="208"/>
      <c r="EJ148" s="208"/>
      <c r="EK148" s="208"/>
      <c r="EL148" s="208"/>
      <c r="EM148" s="208"/>
      <c r="EN148" s="208"/>
      <c r="EO148" s="208"/>
      <c r="EP148" s="208"/>
      <c r="EQ148" s="208"/>
      <c r="ER148" s="208"/>
      <c r="ES148" s="208"/>
      <c r="ET148" s="208"/>
      <c r="EU148" s="208"/>
      <c r="EV148" s="208"/>
      <c r="EW148" s="208"/>
      <c r="EX148" s="208"/>
      <c r="EY148" s="208"/>
      <c r="EZ148" s="208"/>
      <c r="FA148" s="208"/>
      <c r="FB148" s="208"/>
      <c r="FC148" s="208"/>
      <c r="FD148" s="208"/>
      <c r="FE148" s="208"/>
      <c r="FF148" s="208"/>
      <c r="FG148" s="208"/>
      <c r="FH148" s="208"/>
      <c r="FI148" s="208"/>
      <c r="FJ148" s="208"/>
      <c r="FK148" s="208"/>
      <c r="FL148" s="208"/>
      <c r="FM148" s="208"/>
      <c r="FN148" s="208"/>
      <c r="FO148" s="208"/>
      <c r="FP148" s="208"/>
      <c r="FQ148" s="208"/>
      <c r="FR148" s="208"/>
      <c r="FS148" s="208"/>
      <c r="FT148" s="208"/>
      <c r="FU148" s="208"/>
      <c r="FV148" s="208"/>
      <c r="FW148" s="208"/>
      <c r="FX148" s="208"/>
      <c r="FY148" s="208"/>
      <c r="FZ148" s="208"/>
      <c r="GA148" s="208"/>
      <c r="GB148" s="208"/>
      <c r="GC148" s="208"/>
      <c r="GD148" s="208"/>
      <c r="GE148" s="208"/>
      <c r="GF148" s="208"/>
    </row>
    <row r="149" spans="1:188" s="209" customFormat="1" ht="15" x14ac:dyDescent="0.25">
      <c r="A149" s="195" t="s">
        <v>4918</v>
      </c>
      <c r="B149" s="195" t="s">
        <v>1030</v>
      </c>
      <c r="C149" s="196" t="s">
        <v>2867</v>
      </c>
      <c r="D149" s="154" t="s">
        <v>78</v>
      </c>
      <c r="E149" s="154">
        <v>140330</v>
      </c>
      <c r="F149" s="154">
        <v>0.1</v>
      </c>
      <c r="G149" s="197"/>
      <c r="H149" s="198"/>
      <c r="I149" s="151">
        <f>IFERROR(INDEX(Composições!$A$5:$J$8391,MATCH(B149,Composições!$A$5:$A$8391,0)+2,8),"")</f>
        <v>24.146330499999998</v>
      </c>
      <c r="J149" s="152">
        <f t="shared" si="21"/>
        <v>338845.46</v>
      </c>
      <c r="K149" s="198">
        <f>BDI!$B$17</f>
        <v>0.191</v>
      </c>
      <c r="L149" s="198"/>
      <c r="M149" s="198"/>
      <c r="N149" s="153">
        <f t="shared" si="22"/>
        <v>28.76</v>
      </c>
      <c r="O149" s="152">
        <f t="shared" si="23"/>
        <v>403589.08</v>
      </c>
      <c r="P149" s="225"/>
      <c r="Q149" s="208"/>
      <c r="R149" s="208"/>
      <c r="S149"/>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c r="BI149" s="208"/>
      <c r="BJ149" s="208"/>
      <c r="BK149" s="208"/>
      <c r="BL149" s="208"/>
      <c r="BM149" s="208"/>
      <c r="BN149" s="208"/>
      <c r="BO149" s="208"/>
      <c r="BP149" s="208"/>
      <c r="BQ149" s="208"/>
      <c r="BR149" s="208"/>
      <c r="BS149" s="208"/>
      <c r="BT149" s="208"/>
      <c r="BU149" s="208"/>
      <c r="BV149" s="208"/>
      <c r="BW149" s="208"/>
      <c r="BX149" s="208"/>
      <c r="BY149" s="208"/>
      <c r="BZ149" s="208"/>
      <c r="CA149" s="208"/>
      <c r="CB149" s="208"/>
      <c r="CC149" s="208"/>
      <c r="CD149" s="208"/>
      <c r="CE149" s="208"/>
      <c r="CF149" s="208"/>
      <c r="CG149" s="208"/>
      <c r="CH149" s="208"/>
      <c r="CI149" s="208"/>
      <c r="CJ149" s="208"/>
      <c r="CK149" s="208"/>
      <c r="CL149" s="208"/>
      <c r="CM149" s="208"/>
      <c r="CN149" s="208"/>
      <c r="CO149" s="208"/>
      <c r="CP149" s="208"/>
      <c r="CQ149" s="208"/>
      <c r="CR149" s="208"/>
      <c r="CS149" s="208"/>
      <c r="CT149" s="208"/>
      <c r="CU149" s="208"/>
      <c r="CV149" s="208"/>
      <c r="CW149" s="208"/>
      <c r="CX149" s="208"/>
      <c r="CY149" s="208"/>
      <c r="CZ149" s="208"/>
      <c r="DA149" s="208"/>
      <c r="DB149" s="208"/>
      <c r="DC149" s="208"/>
      <c r="DD149" s="208"/>
      <c r="DE149" s="208"/>
      <c r="DF149" s="208"/>
      <c r="DG149" s="208"/>
      <c r="DH149" s="208"/>
      <c r="DI149" s="208"/>
      <c r="DJ149" s="208"/>
      <c r="DK149" s="208"/>
      <c r="DL149" s="208"/>
      <c r="DM149" s="208"/>
      <c r="DN149" s="208"/>
      <c r="DO149" s="208"/>
      <c r="DP149" s="208"/>
      <c r="DQ149" s="208"/>
      <c r="DR149" s="208"/>
      <c r="DS149" s="208"/>
      <c r="DT149" s="208"/>
      <c r="DU149" s="208"/>
      <c r="DV149" s="208"/>
      <c r="DW149" s="208"/>
      <c r="DX149" s="208"/>
      <c r="DY149" s="208"/>
      <c r="DZ149" s="208"/>
      <c r="EA149" s="208"/>
      <c r="EB149" s="208"/>
      <c r="EC149" s="208"/>
      <c r="ED149" s="208"/>
      <c r="EE149" s="208"/>
      <c r="EF149" s="208"/>
      <c r="EG149" s="208"/>
      <c r="EH149" s="208"/>
      <c r="EI149" s="208"/>
      <c r="EJ149" s="208"/>
      <c r="EK149" s="208"/>
      <c r="EL149" s="208"/>
      <c r="EM149" s="208"/>
      <c r="EN149" s="208"/>
      <c r="EO149" s="208"/>
      <c r="EP149" s="208"/>
      <c r="EQ149" s="208"/>
      <c r="ER149" s="208"/>
      <c r="ES149" s="208"/>
      <c r="ET149" s="208"/>
      <c r="EU149" s="208"/>
      <c r="EV149" s="208"/>
      <c r="EW149" s="208"/>
      <c r="EX149" s="208"/>
      <c r="EY149" s="208"/>
      <c r="EZ149" s="208"/>
      <c r="FA149" s="208"/>
      <c r="FB149" s="208"/>
      <c r="FC149" s="208"/>
      <c r="FD149" s="208"/>
      <c r="FE149" s="208"/>
      <c r="FF149" s="208"/>
      <c r="FG149" s="208"/>
      <c r="FH149" s="208"/>
      <c r="FI149" s="208"/>
      <c r="FJ149" s="208"/>
      <c r="FK149" s="208"/>
      <c r="FL149" s="208"/>
      <c r="FM149" s="208"/>
      <c r="FN149" s="208"/>
      <c r="FO149" s="208"/>
      <c r="FP149" s="208"/>
      <c r="FQ149" s="208"/>
      <c r="FR149" s="208"/>
      <c r="FS149" s="208"/>
      <c r="FT149" s="208"/>
      <c r="FU149" s="208"/>
      <c r="FV149" s="208"/>
      <c r="FW149" s="208"/>
      <c r="FX149" s="208"/>
      <c r="FY149" s="208"/>
      <c r="FZ149" s="208"/>
      <c r="GA149" s="208"/>
      <c r="GB149" s="208"/>
      <c r="GC149" s="208"/>
      <c r="GD149" s="208"/>
      <c r="GE149" s="208"/>
      <c r="GF149" s="208"/>
    </row>
    <row r="150" spans="1:188" s="209" customFormat="1" ht="15" x14ac:dyDescent="0.25">
      <c r="A150" s="195" t="s">
        <v>4919</v>
      </c>
      <c r="B150" s="195" t="s">
        <v>1031</v>
      </c>
      <c r="C150" s="196" t="s">
        <v>2868</v>
      </c>
      <c r="D150" s="154" t="s">
        <v>78</v>
      </c>
      <c r="E150" s="154">
        <v>103460</v>
      </c>
      <c r="F150" s="154">
        <v>0.1</v>
      </c>
      <c r="G150" s="197"/>
      <c r="H150" s="198"/>
      <c r="I150" s="151">
        <f>IFERROR(INDEX(Composições!$A$5:$J$8391,MATCH(B150,Composições!$A$5:$A$8391,0)+2,8),"")</f>
        <v>62.332667299999997</v>
      </c>
      <c r="J150" s="152">
        <f t="shared" si="21"/>
        <v>644893.78</v>
      </c>
      <c r="K150" s="198">
        <f>BDI!$B$17</f>
        <v>0.191</v>
      </c>
      <c r="L150" s="198"/>
      <c r="M150" s="198"/>
      <c r="N150" s="153">
        <f t="shared" si="22"/>
        <v>74.239999999999995</v>
      </c>
      <c r="O150" s="152">
        <f t="shared" si="23"/>
        <v>768087.04000000004</v>
      </c>
      <c r="P150" s="225"/>
      <c r="Q150" s="208"/>
      <c r="R150" s="208"/>
      <c r="S150"/>
      <c r="T150" s="208"/>
      <c r="U150" s="208"/>
      <c r="V150" s="208"/>
      <c r="W150" s="208"/>
      <c r="X150" s="208"/>
      <c r="Y150" s="208"/>
      <c r="Z150" s="208"/>
      <c r="AA150" s="208"/>
      <c r="AB150" s="208"/>
      <c r="AC150" s="208"/>
      <c r="AD150" s="208"/>
      <c r="AE150" s="208"/>
      <c r="AF150" s="208"/>
      <c r="AG150" s="208"/>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c r="BI150" s="208"/>
      <c r="BJ150" s="208"/>
      <c r="BK150" s="208"/>
      <c r="BL150" s="208"/>
      <c r="BM150" s="208"/>
      <c r="BN150" s="208"/>
      <c r="BO150" s="208"/>
      <c r="BP150" s="208"/>
      <c r="BQ150" s="208"/>
      <c r="BR150" s="208"/>
      <c r="BS150" s="208"/>
      <c r="BT150" s="208"/>
      <c r="BU150" s="208"/>
      <c r="BV150" s="208"/>
      <c r="BW150" s="208"/>
      <c r="BX150" s="208"/>
      <c r="BY150" s="208"/>
      <c r="BZ150" s="208"/>
      <c r="CA150" s="208"/>
      <c r="CB150" s="208"/>
      <c r="CC150" s="208"/>
      <c r="CD150" s="208"/>
      <c r="CE150" s="208"/>
      <c r="CF150" s="208"/>
      <c r="CG150" s="208"/>
      <c r="CH150" s="208"/>
      <c r="CI150" s="208"/>
      <c r="CJ150" s="208"/>
      <c r="CK150" s="208"/>
      <c r="CL150" s="208"/>
      <c r="CM150" s="208"/>
      <c r="CN150" s="208"/>
      <c r="CO150" s="208"/>
      <c r="CP150" s="208"/>
      <c r="CQ150" s="208"/>
      <c r="CR150" s="208"/>
      <c r="CS150" s="208"/>
      <c r="CT150" s="208"/>
      <c r="CU150" s="208"/>
      <c r="CV150" s="208"/>
      <c r="CW150" s="208"/>
      <c r="CX150" s="208"/>
      <c r="CY150" s="208"/>
      <c r="CZ150" s="208"/>
      <c r="DA150" s="208"/>
      <c r="DB150" s="208"/>
      <c r="DC150" s="208"/>
      <c r="DD150" s="208"/>
      <c r="DE150" s="208"/>
      <c r="DF150" s="208"/>
      <c r="DG150" s="208"/>
      <c r="DH150" s="208"/>
      <c r="DI150" s="208"/>
      <c r="DJ150" s="208"/>
      <c r="DK150" s="208"/>
      <c r="DL150" s="208"/>
      <c r="DM150" s="208"/>
      <c r="DN150" s="208"/>
      <c r="DO150" s="208"/>
      <c r="DP150" s="208"/>
      <c r="DQ150" s="208"/>
      <c r="DR150" s="208"/>
      <c r="DS150" s="208"/>
      <c r="DT150" s="208"/>
      <c r="DU150" s="208"/>
      <c r="DV150" s="208"/>
      <c r="DW150" s="208"/>
      <c r="DX150" s="208"/>
      <c r="DY150" s="208"/>
      <c r="DZ150" s="208"/>
      <c r="EA150" s="208"/>
      <c r="EB150" s="208"/>
      <c r="EC150" s="208"/>
      <c r="ED150" s="208"/>
      <c r="EE150" s="208"/>
      <c r="EF150" s="208"/>
      <c r="EG150" s="208"/>
      <c r="EH150" s="208"/>
      <c r="EI150" s="208"/>
      <c r="EJ150" s="208"/>
      <c r="EK150" s="208"/>
      <c r="EL150" s="208"/>
      <c r="EM150" s="208"/>
      <c r="EN150" s="208"/>
      <c r="EO150" s="208"/>
      <c r="EP150" s="208"/>
      <c r="EQ150" s="208"/>
      <c r="ER150" s="208"/>
      <c r="ES150" s="208"/>
      <c r="ET150" s="208"/>
      <c r="EU150" s="208"/>
      <c r="EV150" s="208"/>
      <c r="EW150" s="208"/>
      <c r="EX150" s="208"/>
      <c r="EY150" s="208"/>
      <c r="EZ150" s="208"/>
      <c r="FA150" s="208"/>
      <c r="FB150" s="208"/>
      <c r="FC150" s="208"/>
      <c r="FD150" s="208"/>
      <c r="FE150" s="208"/>
      <c r="FF150" s="208"/>
      <c r="FG150" s="208"/>
      <c r="FH150" s="208"/>
      <c r="FI150" s="208"/>
      <c r="FJ150" s="208"/>
      <c r="FK150" s="208"/>
      <c r="FL150" s="208"/>
      <c r="FM150" s="208"/>
      <c r="FN150" s="208"/>
      <c r="FO150" s="208"/>
      <c r="FP150" s="208"/>
      <c r="FQ150" s="208"/>
      <c r="FR150" s="208"/>
      <c r="FS150" s="208"/>
      <c r="FT150" s="208"/>
      <c r="FU150" s="208"/>
      <c r="FV150" s="208"/>
      <c r="FW150" s="208"/>
      <c r="FX150" s="208"/>
      <c r="FY150" s="208"/>
      <c r="FZ150" s="208"/>
      <c r="GA150" s="208"/>
      <c r="GB150" s="208"/>
      <c r="GC150" s="208"/>
      <c r="GD150" s="208"/>
      <c r="GE150" s="208"/>
      <c r="GF150" s="208"/>
    </row>
    <row r="151" spans="1:188" s="209" customFormat="1" ht="15" x14ac:dyDescent="0.25">
      <c r="A151" s="195" t="s">
        <v>4920</v>
      </c>
      <c r="B151" s="195" t="s">
        <v>1032</v>
      </c>
      <c r="C151" s="196" t="s">
        <v>2869</v>
      </c>
      <c r="D151" s="154" t="s">
        <v>78</v>
      </c>
      <c r="E151" s="154">
        <v>69590</v>
      </c>
      <c r="F151" s="154">
        <v>0.1</v>
      </c>
      <c r="G151" s="197"/>
      <c r="H151" s="198"/>
      <c r="I151" s="151">
        <f>IFERROR(INDEX(Composições!$A$5:$J$8391,MATCH(B151,Composições!$A$5:$A$8391,0)+2,8),"")</f>
        <v>79.007509999999996</v>
      </c>
      <c r="J151" s="152">
        <f t="shared" si="21"/>
        <v>549813.26</v>
      </c>
      <c r="K151" s="198">
        <f>BDI!$B$17</f>
        <v>0.191</v>
      </c>
      <c r="L151" s="198"/>
      <c r="M151" s="198"/>
      <c r="N151" s="153">
        <f t="shared" si="22"/>
        <v>94.1</v>
      </c>
      <c r="O151" s="152">
        <f t="shared" si="23"/>
        <v>654841.9</v>
      </c>
      <c r="P151" s="225"/>
      <c r="Q151" s="208"/>
      <c r="R151" s="208"/>
      <c r="S151"/>
      <c r="T151" s="208"/>
      <c r="U151" s="208"/>
      <c r="V151" s="208"/>
      <c r="W151" s="208"/>
      <c r="X151" s="208"/>
      <c r="Y151" s="208"/>
      <c r="Z151" s="208"/>
      <c r="AA151" s="208"/>
      <c r="AB151" s="208"/>
      <c r="AC151" s="208"/>
      <c r="AD151" s="208"/>
      <c r="AE151" s="208"/>
      <c r="AF151" s="208"/>
      <c r="AG151" s="208"/>
      <c r="AH151" s="208"/>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c r="BI151" s="208"/>
      <c r="BJ151" s="208"/>
      <c r="BK151" s="208"/>
      <c r="BL151" s="208"/>
      <c r="BM151" s="208"/>
      <c r="BN151" s="208"/>
      <c r="BO151" s="208"/>
      <c r="BP151" s="208"/>
      <c r="BQ151" s="208"/>
      <c r="BR151" s="208"/>
      <c r="BS151" s="208"/>
      <c r="BT151" s="208"/>
      <c r="BU151" s="208"/>
      <c r="BV151" s="208"/>
      <c r="BW151" s="208"/>
      <c r="BX151" s="208"/>
      <c r="BY151" s="208"/>
      <c r="BZ151" s="208"/>
      <c r="CA151" s="208"/>
      <c r="CB151" s="208"/>
      <c r="CC151" s="208"/>
      <c r="CD151" s="208"/>
      <c r="CE151" s="208"/>
      <c r="CF151" s="208"/>
      <c r="CG151" s="208"/>
      <c r="CH151" s="208"/>
      <c r="CI151" s="208"/>
      <c r="CJ151" s="208"/>
      <c r="CK151" s="208"/>
      <c r="CL151" s="208"/>
      <c r="CM151" s="208"/>
      <c r="CN151" s="208"/>
      <c r="CO151" s="208"/>
      <c r="CP151" s="208"/>
      <c r="CQ151" s="208"/>
      <c r="CR151" s="208"/>
      <c r="CS151" s="208"/>
      <c r="CT151" s="208"/>
      <c r="CU151" s="208"/>
      <c r="CV151" s="208"/>
      <c r="CW151" s="208"/>
      <c r="CX151" s="208"/>
      <c r="CY151" s="208"/>
      <c r="CZ151" s="208"/>
      <c r="DA151" s="208"/>
      <c r="DB151" s="208"/>
      <c r="DC151" s="208"/>
      <c r="DD151" s="208"/>
      <c r="DE151" s="208"/>
      <c r="DF151" s="208"/>
      <c r="DG151" s="208"/>
      <c r="DH151" s="208"/>
      <c r="DI151" s="208"/>
      <c r="DJ151" s="208"/>
      <c r="DK151" s="208"/>
      <c r="DL151" s="208"/>
      <c r="DM151" s="208"/>
      <c r="DN151" s="208"/>
      <c r="DO151" s="208"/>
      <c r="DP151" s="208"/>
      <c r="DQ151" s="208"/>
      <c r="DR151" s="208"/>
      <c r="DS151" s="208"/>
      <c r="DT151" s="208"/>
      <c r="DU151" s="208"/>
      <c r="DV151" s="208"/>
      <c r="DW151" s="208"/>
      <c r="DX151" s="208"/>
      <c r="DY151" s="208"/>
      <c r="DZ151" s="208"/>
      <c r="EA151" s="208"/>
      <c r="EB151" s="208"/>
      <c r="EC151" s="208"/>
      <c r="ED151" s="208"/>
      <c r="EE151" s="208"/>
      <c r="EF151" s="208"/>
      <c r="EG151" s="208"/>
      <c r="EH151" s="208"/>
      <c r="EI151" s="208"/>
      <c r="EJ151" s="208"/>
      <c r="EK151" s="208"/>
      <c r="EL151" s="208"/>
      <c r="EM151" s="208"/>
      <c r="EN151" s="208"/>
      <c r="EO151" s="208"/>
      <c r="EP151" s="208"/>
      <c r="EQ151" s="208"/>
      <c r="ER151" s="208"/>
      <c r="ES151" s="208"/>
      <c r="ET151" s="208"/>
      <c r="EU151" s="208"/>
      <c r="EV151" s="208"/>
      <c r="EW151" s="208"/>
      <c r="EX151" s="208"/>
      <c r="EY151" s="208"/>
      <c r="EZ151" s="208"/>
      <c r="FA151" s="208"/>
      <c r="FB151" s="208"/>
      <c r="FC151" s="208"/>
      <c r="FD151" s="208"/>
      <c r="FE151" s="208"/>
      <c r="FF151" s="208"/>
      <c r="FG151" s="208"/>
      <c r="FH151" s="208"/>
      <c r="FI151" s="208"/>
      <c r="FJ151" s="208"/>
      <c r="FK151" s="208"/>
      <c r="FL151" s="208"/>
      <c r="FM151" s="208"/>
      <c r="FN151" s="208"/>
      <c r="FO151" s="208"/>
      <c r="FP151" s="208"/>
      <c r="FQ151" s="208"/>
      <c r="FR151" s="208"/>
      <c r="FS151" s="208"/>
      <c r="FT151" s="208"/>
      <c r="FU151" s="208"/>
      <c r="FV151" s="208"/>
      <c r="FW151" s="208"/>
      <c r="FX151" s="208"/>
      <c r="FY151" s="208"/>
      <c r="FZ151" s="208"/>
      <c r="GA151" s="208"/>
      <c r="GB151" s="208"/>
      <c r="GC151" s="208"/>
      <c r="GD151" s="208"/>
      <c r="GE151" s="208"/>
      <c r="GF151" s="208"/>
    </row>
    <row r="152" spans="1:188" s="209" customFormat="1" ht="15" x14ac:dyDescent="0.25">
      <c r="A152" s="195" t="s">
        <v>4921</v>
      </c>
      <c r="B152" s="195" t="s">
        <v>1036</v>
      </c>
      <c r="C152" s="196" t="s">
        <v>2870</v>
      </c>
      <c r="D152" s="154" t="s">
        <v>78</v>
      </c>
      <c r="E152" s="154">
        <v>24330</v>
      </c>
      <c r="F152" s="154">
        <v>0.1</v>
      </c>
      <c r="G152" s="197"/>
      <c r="H152" s="198"/>
      <c r="I152" s="151">
        <f>IFERROR(INDEX(Composições!$A$5:$J$8391,MATCH(B152,Composições!$A$5:$A$8391,0)+2,8),"")</f>
        <v>7.8562004999999999</v>
      </c>
      <c r="J152" s="152">
        <f t="shared" si="21"/>
        <v>19114.14</v>
      </c>
      <c r="K152" s="198">
        <f>BDI!$B$17</f>
        <v>0.191</v>
      </c>
      <c r="L152" s="198"/>
      <c r="M152" s="198"/>
      <c r="N152" s="153">
        <f t="shared" si="22"/>
        <v>9.36</v>
      </c>
      <c r="O152" s="152">
        <f t="shared" si="23"/>
        <v>22772.880000000001</v>
      </c>
      <c r="P152" s="225"/>
      <c r="Q152" s="208"/>
      <c r="R152" s="208"/>
      <c r="S152"/>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c r="BI152" s="208"/>
      <c r="BJ152" s="208"/>
      <c r="BK152" s="208"/>
      <c r="BL152" s="208"/>
      <c r="BM152" s="208"/>
      <c r="BN152" s="208"/>
      <c r="BO152" s="208"/>
      <c r="BP152" s="208"/>
      <c r="BQ152" s="208"/>
      <c r="BR152" s="208"/>
      <c r="BS152" s="208"/>
      <c r="BT152" s="208"/>
      <c r="BU152" s="208"/>
      <c r="BV152" s="208"/>
      <c r="BW152" s="208"/>
      <c r="BX152" s="208"/>
      <c r="BY152" s="208"/>
      <c r="BZ152" s="208"/>
      <c r="CA152" s="208"/>
      <c r="CB152" s="208"/>
      <c r="CC152" s="208"/>
      <c r="CD152" s="208"/>
      <c r="CE152" s="208"/>
      <c r="CF152" s="208"/>
      <c r="CG152" s="208"/>
      <c r="CH152" s="208"/>
      <c r="CI152" s="208"/>
      <c r="CJ152" s="208"/>
      <c r="CK152" s="208"/>
      <c r="CL152" s="208"/>
      <c r="CM152" s="208"/>
      <c r="CN152" s="208"/>
      <c r="CO152" s="208"/>
      <c r="CP152" s="208"/>
      <c r="CQ152" s="208"/>
      <c r="CR152" s="208"/>
      <c r="CS152" s="208"/>
      <c r="CT152" s="208"/>
      <c r="CU152" s="208"/>
      <c r="CV152" s="208"/>
      <c r="CW152" s="208"/>
      <c r="CX152" s="208"/>
      <c r="CY152" s="208"/>
      <c r="CZ152" s="208"/>
      <c r="DA152" s="208"/>
      <c r="DB152" s="208"/>
      <c r="DC152" s="208"/>
      <c r="DD152" s="208"/>
      <c r="DE152" s="208"/>
      <c r="DF152" s="208"/>
      <c r="DG152" s="208"/>
      <c r="DH152" s="208"/>
      <c r="DI152" s="208"/>
      <c r="DJ152" s="208"/>
      <c r="DK152" s="208"/>
      <c r="DL152" s="208"/>
      <c r="DM152" s="208"/>
      <c r="DN152" s="208"/>
      <c r="DO152" s="208"/>
      <c r="DP152" s="208"/>
      <c r="DQ152" s="208"/>
      <c r="DR152" s="208"/>
      <c r="DS152" s="208"/>
      <c r="DT152" s="208"/>
      <c r="DU152" s="208"/>
      <c r="DV152" s="208"/>
      <c r="DW152" s="208"/>
      <c r="DX152" s="208"/>
      <c r="DY152" s="208"/>
      <c r="DZ152" s="208"/>
      <c r="EA152" s="208"/>
      <c r="EB152" s="208"/>
      <c r="EC152" s="208"/>
      <c r="ED152" s="208"/>
      <c r="EE152" s="208"/>
      <c r="EF152" s="208"/>
      <c r="EG152" s="208"/>
      <c r="EH152" s="208"/>
      <c r="EI152" s="208"/>
      <c r="EJ152" s="208"/>
      <c r="EK152" s="208"/>
      <c r="EL152" s="208"/>
      <c r="EM152" s="208"/>
      <c r="EN152" s="208"/>
      <c r="EO152" s="208"/>
      <c r="EP152" s="208"/>
      <c r="EQ152" s="208"/>
      <c r="ER152" s="208"/>
      <c r="ES152" s="208"/>
      <c r="ET152" s="208"/>
      <c r="EU152" s="208"/>
      <c r="EV152" s="208"/>
      <c r="EW152" s="208"/>
      <c r="EX152" s="208"/>
      <c r="EY152" s="208"/>
      <c r="EZ152" s="208"/>
      <c r="FA152" s="208"/>
      <c r="FB152" s="208"/>
      <c r="FC152" s="208"/>
      <c r="FD152" s="208"/>
      <c r="FE152" s="208"/>
      <c r="FF152" s="208"/>
      <c r="FG152" s="208"/>
      <c r="FH152" s="208"/>
      <c r="FI152" s="208"/>
      <c r="FJ152" s="208"/>
      <c r="FK152" s="208"/>
      <c r="FL152" s="208"/>
      <c r="FM152" s="208"/>
      <c r="FN152" s="208"/>
      <c r="FO152" s="208"/>
      <c r="FP152" s="208"/>
      <c r="FQ152" s="208"/>
      <c r="FR152" s="208"/>
      <c r="FS152" s="208"/>
      <c r="FT152" s="208"/>
      <c r="FU152" s="208"/>
      <c r="FV152" s="208"/>
      <c r="FW152" s="208"/>
      <c r="FX152" s="208"/>
      <c r="FY152" s="208"/>
      <c r="FZ152" s="208"/>
      <c r="GA152" s="208"/>
      <c r="GB152" s="208"/>
      <c r="GC152" s="208"/>
      <c r="GD152" s="208"/>
      <c r="GE152" s="208"/>
      <c r="GF152" s="208"/>
    </row>
    <row r="153" spans="1:188" s="209" customFormat="1" ht="15" x14ac:dyDescent="0.25">
      <c r="A153" s="195" t="s">
        <v>4922</v>
      </c>
      <c r="B153" s="195" t="s">
        <v>1038</v>
      </c>
      <c r="C153" s="196" t="s">
        <v>2871</v>
      </c>
      <c r="D153" s="154" t="s">
        <v>78</v>
      </c>
      <c r="E153" s="154">
        <v>90</v>
      </c>
      <c r="F153" s="154">
        <v>0.1</v>
      </c>
      <c r="G153" s="197"/>
      <c r="H153" s="198"/>
      <c r="I153" s="151">
        <f>IFERROR(INDEX(Composições!$A$5:$J$8391,MATCH(B153,Composições!$A$5:$A$8391,0)+2,8),"")</f>
        <v>34.831275949999991</v>
      </c>
      <c r="J153" s="152">
        <f t="shared" si="21"/>
        <v>313.48</v>
      </c>
      <c r="K153" s="198">
        <f>BDI!$B$17</f>
        <v>0.191</v>
      </c>
      <c r="L153" s="198"/>
      <c r="M153" s="198"/>
      <c r="N153" s="153">
        <f t="shared" si="22"/>
        <v>41.48</v>
      </c>
      <c r="O153" s="152">
        <f t="shared" si="23"/>
        <v>373.32</v>
      </c>
      <c r="P153" s="225"/>
      <c r="Q153" s="208"/>
      <c r="R153" s="208"/>
      <c r="S153"/>
      <c r="T153" s="208"/>
      <c r="U153" s="208"/>
      <c r="V153" s="208"/>
      <c r="W153" s="208"/>
      <c r="X153" s="208"/>
      <c r="Y153" s="208"/>
      <c r="Z153" s="208"/>
      <c r="AA153" s="208"/>
      <c r="AB153" s="208"/>
      <c r="AC153" s="208"/>
      <c r="AD153" s="208"/>
      <c r="AE153" s="208"/>
      <c r="AF153" s="208"/>
      <c r="AG153" s="208"/>
      <c r="AH153" s="208"/>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c r="BI153" s="208"/>
      <c r="BJ153" s="208"/>
      <c r="BK153" s="208"/>
      <c r="BL153" s="208"/>
      <c r="BM153" s="208"/>
      <c r="BN153" s="208"/>
      <c r="BO153" s="208"/>
      <c r="BP153" s="208"/>
      <c r="BQ153" s="208"/>
      <c r="BR153" s="208"/>
      <c r="BS153" s="208"/>
      <c r="BT153" s="208"/>
      <c r="BU153" s="208"/>
      <c r="BV153" s="208"/>
      <c r="BW153" s="208"/>
      <c r="BX153" s="208"/>
      <c r="BY153" s="208"/>
      <c r="BZ153" s="208"/>
      <c r="CA153" s="208"/>
      <c r="CB153" s="208"/>
      <c r="CC153" s="208"/>
      <c r="CD153" s="208"/>
      <c r="CE153" s="208"/>
      <c r="CF153" s="208"/>
      <c r="CG153" s="208"/>
      <c r="CH153" s="208"/>
      <c r="CI153" s="208"/>
      <c r="CJ153" s="208"/>
      <c r="CK153" s="208"/>
      <c r="CL153" s="208"/>
      <c r="CM153" s="208"/>
      <c r="CN153" s="208"/>
      <c r="CO153" s="208"/>
      <c r="CP153" s="208"/>
      <c r="CQ153" s="208"/>
      <c r="CR153" s="208"/>
      <c r="CS153" s="208"/>
      <c r="CT153" s="208"/>
      <c r="CU153" s="208"/>
      <c r="CV153" s="208"/>
      <c r="CW153" s="208"/>
      <c r="CX153" s="208"/>
      <c r="CY153" s="208"/>
      <c r="CZ153" s="208"/>
      <c r="DA153" s="208"/>
      <c r="DB153" s="208"/>
      <c r="DC153" s="208"/>
      <c r="DD153" s="208"/>
      <c r="DE153" s="208"/>
      <c r="DF153" s="208"/>
      <c r="DG153" s="208"/>
      <c r="DH153" s="208"/>
      <c r="DI153" s="208"/>
      <c r="DJ153" s="208"/>
      <c r="DK153" s="208"/>
      <c r="DL153" s="208"/>
      <c r="DM153" s="208"/>
      <c r="DN153" s="208"/>
      <c r="DO153" s="208"/>
      <c r="DP153" s="208"/>
      <c r="DQ153" s="208"/>
      <c r="DR153" s="208"/>
      <c r="DS153" s="208"/>
      <c r="DT153" s="208"/>
      <c r="DU153" s="208"/>
      <c r="DV153" s="208"/>
      <c r="DW153" s="208"/>
      <c r="DX153" s="208"/>
      <c r="DY153" s="208"/>
      <c r="DZ153" s="208"/>
      <c r="EA153" s="208"/>
      <c r="EB153" s="208"/>
      <c r="EC153" s="208"/>
      <c r="ED153" s="208"/>
      <c r="EE153" s="208"/>
      <c r="EF153" s="208"/>
      <c r="EG153" s="208"/>
      <c r="EH153" s="208"/>
      <c r="EI153" s="208"/>
      <c r="EJ153" s="208"/>
      <c r="EK153" s="208"/>
      <c r="EL153" s="208"/>
      <c r="EM153" s="208"/>
      <c r="EN153" s="208"/>
      <c r="EO153" s="208"/>
      <c r="EP153" s="208"/>
      <c r="EQ153" s="208"/>
      <c r="ER153" s="208"/>
      <c r="ES153" s="208"/>
      <c r="ET153" s="208"/>
      <c r="EU153" s="208"/>
      <c r="EV153" s="208"/>
      <c r="EW153" s="208"/>
      <c r="EX153" s="208"/>
      <c r="EY153" s="208"/>
      <c r="EZ153" s="208"/>
      <c r="FA153" s="208"/>
      <c r="FB153" s="208"/>
      <c r="FC153" s="208"/>
      <c r="FD153" s="208"/>
      <c r="FE153" s="208"/>
      <c r="FF153" s="208"/>
      <c r="FG153" s="208"/>
      <c r="FH153" s="208"/>
      <c r="FI153" s="208"/>
      <c r="FJ153" s="208"/>
      <c r="FK153" s="208"/>
      <c r="FL153" s="208"/>
      <c r="FM153" s="208"/>
      <c r="FN153" s="208"/>
      <c r="FO153" s="208"/>
      <c r="FP153" s="208"/>
      <c r="FQ153" s="208"/>
      <c r="FR153" s="208"/>
      <c r="FS153" s="208"/>
      <c r="FT153" s="208"/>
      <c r="FU153" s="208"/>
      <c r="FV153" s="208"/>
      <c r="FW153" s="208"/>
      <c r="FX153" s="208"/>
      <c r="FY153" s="208"/>
      <c r="FZ153" s="208"/>
      <c r="GA153" s="208"/>
      <c r="GB153" s="208"/>
      <c r="GC153" s="208"/>
      <c r="GD153" s="208"/>
      <c r="GE153" s="208"/>
      <c r="GF153" s="208"/>
    </row>
    <row r="154" spans="1:188" s="209" customFormat="1" ht="15" x14ac:dyDescent="0.25">
      <c r="A154" s="195" t="s">
        <v>4923</v>
      </c>
      <c r="B154" s="195" t="s">
        <v>921</v>
      </c>
      <c r="C154" s="196" t="s">
        <v>2778</v>
      </c>
      <c r="D154" s="154" t="s">
        <v>121</v>
      </c>
      <c r="E154" s="154">
        <v>91110</v>
      </c>
      <c r="F154" s="154">
        <v>0.1</v>
      </c>
      <c r="G154" s="197"/>
      <c r="H154" s="198"/>
      <c r="I154" s="151">
        <f>IFERROR(INDEX(Composições!$A$5:$J$8391,MATCH(B154,Composições!$A$5:$A$8391,0)+2,8),"")</f>
        <v>5.7791608874999998</v>
      </c>
      <c r="J154" s="152">
        <f t="shared" si="21"/>
        <v>52653.93</v>
      </c>
      <c r="K154" s="198">
        <f>BDI!$B$17</f>
        <v>0.191</v>
      </c>
      <c r="L154" s="198"/>
      <c r="M154" s="198"/>
      <c r="N154" s="153">
        <f t="shared" si="22"/>
        <v>6.88</v>
      </c>
      <c r="O154" s="152">
        <f t="shared" si="23"/>
        <v>62683.68</v>
      </c>
      <c r="P154" s="225"/>
      <c r="Q154" s="208"/>
      <c r="R154" s="208"/>
      <c r="S154"/>
      <c r="T154" s="208"/>
      <c r="U154" s="208"/>
      <c r="V154" s="208"/>
      <c r="W154" s="208"/>
      <c r="X154" s="208"/>
      <c r="Y154" s="208"/>
      <c r="Z154" s="208"/>
      <c r="AA154" s="208"/>
      <c r="AB154" s="208"/>
      <c r="AC154" s="208"/>
      <c r="AD154" s="208"/>
      <c r="AE154" s="208"/>
      <c r="AF154" s="208"/>
      <c r="AG154" s="208"/>
      <c r="AH154" s="208"/>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c r="BI154" s="208"/>
      <c r="BJ154" s="208"/>
      <c r="BK154" s="208"/>
      <c r="BL154" s="208"/>
      <c r="BM154" s="208"/>
      <c r="BN154" s="208"/>
      <c r="BO154" s="208"/>
      <c r="BP154" s="208"/>
      <c r="BQ154" s="208"/>
      <c r="BR154" s="208"/>
      <c r="BS154" s="208"/>
      <c r="BT154" s="208"/>
      <c r="BU154" s="208"/>
      <c r="BV154" s="208"/>
      <c r="BW154" s="208"/>
      <c r="BX154" s="208"/>
      <c r="BY154" s="208"/>
      <c r="BZ154" s="208"/>
      <c r="CA154" s="208"/>
      <c r="CB154" s="208"/>
      <c r="CC154" s="208"/>
      <c r="CD154" s="208"/>
      <c r="CE154" s="208"/>
      <c r="CF154" s="208"/>
      <c r="CG154" s="208"/>
      <c r="CH154" s="208"/>
      <c r="CI154" s="208"/>
      <c r="CJ154" s="208"/>
      <c r="CK154" s="208"/>
      <c r="CL154" s="208"/>
      <c r="CM154" s="208"/>
      <c r="CN154" s="208"/>
      <c r="CO154" s="208"/>
      <c r="CP154" s="208"/>
      <c r="CQ154" s="208"/>
      <c r="CR154" s="208"/>
      <c r="CS154" s="208"/>
      <c r="CT154" s="208"/>
      <c r="CU154" s="208"/>
      <c r="CV154" s="208"/>
      <c r="CW154" s="208"/>
      <c r="CX154" s="208"/>
      <c r="CY154" s="208"/>
      <c r="CZ154" s="208"/>
      <c r="DA154" s="208"/>
      <c r="DB154" s="208"/>
      <c r="DC154" s="208"/>
      <c r="DD154" s="208"/>
      <c r="DE154" s="208"/>
      <c r="DF154" s="208"/>
      <c r="DG154" s="208"/>
      <c r="DH154" s="208"/>
      <c r="DI154" s="208"/>
      <c r="DJ154" s="208"/>
      <c r="DK154" s="208"/>
      <c r="DL154" s="208"/>
      <c r="DM154" s="208"/>
      <c r="DN154" s="208"/>
      <c r="DO154" s="208"/>
      <c r="DP154" s="208"/>
      <c r="DQ154" s="208"/>
      <c r="DR154" s="208"/>
      <c r="DS154" s="208"/>
      <c r="DT154" s="208"/>
      <c r="DU154" s="208"/>
      <c r="DV154" s="208"/>
      <c r="DW154" s="208"/>
      <c r="DX154" s="208"/>
      <c r="DY154" s="208"/>
      <c r="DZ154" s="208"/>
      <c r="EA154" s="208"/>
      <c r="EB154" s="208"/>
      <c r="EC154" s="208"/>
      <c r="ED154" s="208"/>
      <c r="EE154" s="208"/>
      <c r="EF154" s="208"/>
      <c r="EG154" s="208"/>
      <c r="EH154" s="208"/>
      <c r="EI154" s="208"/>
      <c r="EJ154" s="208"/>
      <c r="EK154" s="208"/>
      <c r="EL154" s="208"/>
      <c r="EM154" s="208"/>
      <c r="EN154" s="208"/>
      <c r="EO154" s="208"/>
      <c r="EP154" s="208"/>
      <c r="EQ154" s="208"/>
      <c r="ER154" s="208"/>
      <c r="ES154" s="208"/>
      <c r="ET154" s="208"/>
      <c r="EU154" s="208"/>
      <c r="EV154" s="208"/>
      <c r="EW154" s="208"/>
      <c r="EX154" s="208"/>
      <c r="EY154" s="208"/>
      <c r="EZ154" s="208"/>
      <c r="FA154" s="208"/>
      <c r="FB154" s="208"/>
      <c r="FC154" s="208"/>
      <c r="FD154" s="208"/>
      <c r="FE154" s="208"/>
      <c r="FF154" s="208"/>
      <c r="FG154" s="208"/>
      <c r="FH154" s="208"/>
      <c r="FI154" s="208"/>
      <c r="FJ154" s="208"/>
      <c r="FK154" s="208"/>
      <c r="FL154" s="208"/>
      <c r="FM154" s="208"/>
      <c r="FN154" s="208"/>
      <c r="FO154" s="208"/>
      <c r="FP154" s="208"/>
      <c r="FQ154" s="208"/>
      <c r="FR154" s="208"/>
      <c r="FS154" s="208"/>
      <c r="FT154" s="208"/>
      <c r="FU154" s="208"/>
      <c r="FV154" s="208"/>
      <c r="FW154" s="208"/>
      <c r="FX154" s="208"/>
      <c r="FY154" s="208"/>
      <c r="FZ154" s="208"/>
      <c r="GA154" s="208"/>
      <c r="GB154" s="208"/>
      <c r="GC154" s="208"/>
      <c r="GD154" s="208"/>
      <c r="GE154" s="208"/>
      <c r="GF154" s="208"/>
    </row>
    <row r="155" spans="1:188" s="209" customFormat="1" ht="15" x14ac:dyDescent="0.25">
      <c r="A155" s="195" t="s">
        <v>4924</v>
      </c>
      <c r="B155" s="195" t="s">
        <v>1054</v>
      </c>
      <c r="C155" s="196" t="s">
        <v>2876</v>
      </c>
      <c r="D155" s="154" t="s">
        <v>78</v>
      </c>
      <c r="E155" s="154">
        <v>27840</v>
      </c>
      <c r="F155" s="154">
        <v>0.1</v>
      </c>
      <c r="G155" s="197"/>
      <c r="H155" s="198"/>
      <c r="I155" s="151">
        <f>IFERROR(INDEX(Composições!$A$5:$J$8391,MATCH(B155,Composições!$A$5:$A$8391,0)+2,8),"")</f>
        <v>4.9856037999999998</v>
      </c>
      <c r="J155" s="152">
        <f t="shared" si="21"/>
        <v>13879.92</v>
      </c>
      <c r="K155" s="198">
        <f>BDI!$B$17</f>
        <v>0.191</v>
      </c>
      <c r="L155" s="198"/>
      <c r="M155" s="198"/>
      <c r="N155" s="153">
        <f t="shared" si="22"/>
        <v>5.94</v>
      </c>
      <c r="O155" s="152">
        <f t="shared" si="23"/>
        <v>16536.96</v>
      </c>
      <c r="P155" s="225"/>
      <c r="Q155" s="208"/>
      <c r="R155" s="208"/>
      <c r="S155"/>
      <c r="T155" s="208"/>
      <c r="U155" s="208"/>
      <c r="V155" s="208"/>
      <c r="W155" s="208"/>
      <c r="X155" s="208"/>
      <c r="Y155" s="208"/>
      <c r="Z155" s="208"/>
      <c r="AA155" s="208"/>
      <c r="AB155" s="208"/>
      <c r="AC155" s="208"/>
      <c r="AD155" s="208"/>
      <c r="AE155" s="208"/>
      <c r="AF155" s="208"/>
      <c r="AG155" s="208"/>
      <c r="AH155" s="208"/>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c r="BI155" s="208"/>
      <c r="BJ155" s="208"/>
      <c r="BK155" s="208"/>
      <c r="BL155" s="208"/>
      <c r="BM155" s="208"/>
      <c r="BN155" s="208"/>
      <c r="BO155" s="208"/>
      <c r="BP155" s="208"/>
      <c r="BQ155" s="208"/>
      <c r="BR155" s="208"/>
      <c r="BS155" s="208"/>
      <c r="BT155" s="208"/>
      <c r="BU155" s="208"/>
      <c r="BV155" s="208"/>
      <c r="BW155" s="208"/>
      <c r="BX155" s="208"/>
      <c r="BY155" s="208"/>
      <c r="BZ155" s="208"/>
      <c r="CA155" s="208"/>
      <c r="CB155" s="208"/>
      <c r="CC155" s="208"/>
      <c r="CD155" s="208"/>
      <c r="CE155" s="208"/>
      <c r="CF155" s="208"/>
      <c r="CG155" s="208"/>
      <c r="CH155" s="208"/>
      <c r="CI155" s="208"/>
      <c r="CJ155" s="208"/>
      <c r="CK155" s="208"/>
      <c r="CL155" s="208"/>
      <c r="CM155" s="208"/>
      <c r="CN155" s="208"/>
      <c r="CO155" s="208"/>
      <c r="CP155" s="208"/>
      <c r="CQ155" s="208"/>
      <c r="CR155" s="208"/>
      <c r="CS155" s="208"/>
      <c r="CT155" s="208"/>
      <c r="CU155" s="208"/>
      <c r="CV155" s="208"/>
      <c r="CW155" s="208"/>
      <c r="CX155" s="208"/>
      <c r="CY155" s="208"/>
      <c r="CZ155" s="208"/>
      <c r="DA155" s="208"/>
      <c r="DB155" s="208"/>
      <c r="DC155" s="208"/>
      <c r="DD155" s="208"/>
      <c r="DE155" s="208"/>
      <c r="DF155" s="208"/>
      <c r="DG155" s="208"/>
      <c r="DH155" s="208"/>
      <c r="DI155" s="208"/>
      <c r="DJ155" s="208"/>
      <c r="DK155" s="208"/>
      <c r="DL155" s="208"/>
      <c r="DM155" s="208"/>
      <c r="DN155" s="208"/>
      <c r="DO155" s="208"/>
      <c r="DP155" s="208"/>
      <c r="DQ155" s="208"/>
      <c r="DR155" s="208"/>
      <c r="DS155" s="208"/>
      <c r="DT155" s="208"/>
      <c r="DU155" s="208"/>
      <c r="DV155" s="208"/>
      <c r="DW155" s="208"/>
      <c r="DX155" s="208"/>
      <c r="DY155" s="208"/>
      <c r="DZ155" s="208"/>
      <c r="EA155" s="208"/>
      <c r="EB155" s="208"/>
      <c r="EC155" s="208"/>
      <c r="ED155" s="208"/>
      <c r="EE155" s="208"/>
      <c r="EF155" s="208"/>
      <c r="EG155" s="208"/>
      <c r="EH155" s="208"/>
      <c r="EI155" s="208"/>
      <c r="EJ155" s="208"/>
      <c r="EK155" s="208"/>
      <c r="EL155" s="208"/>
      <c r="EM155" s="208"/>
      <c r="EN155" s="208"/>
      <c r="EO155" s="208"/>
      <c r="EP155" s="208"/>
      <c r="EQ155" s="208"/>
      <c r="ER155" s="208"/>
      <c r="ES155" s="208"/>
      <c r="ET155" s="208"/>
      <c r="EU155" s="208"/>
      <c r="EV155" s="208"/>
      <c r="EW155" s="208"/>
      <c r="EX155" s="208"/>
      <c r="EY155" s="208"/>
      <c r="EZ155" s="208"/>
      <c r="FA155" s="208"/>
      <c r="FB155" s="208"/>
      <c r="FC155" s="208"/>
      <c r="FD155" s="208"/>
      <c r="FE155" s="208"/>
      <c r="FF155" s="208"/>
      <c r="FG155" s="208"/>
      <c r="FH155" s="208"/>
      <c r="FI155" s="208"/>
      <c r="FJ155" s="208"/>
      <c r="FK155" s="208"/>
      <c r="FL155" s="208"/>
      <c r="FM155" s="208"/>
      <c r="FN155" s="208"/>
      <c r="FO155" s="208"/>
      <c r="FP155" s="208"/>
      <c r="FQ155" s="208"/>
      <c r="FR155" s="208"/>
      <c r="FS155" s="208"/>
      <c r="FT155" s="208"/>
      <c r="FU155" s="208"/>
      <c r="FV155" s="208"/>
      <c r="FW155" s="208"/>
      <c r="FX155" s="208"/>
      <c r="FY155" s="208"/>
      <c r="FZ155" s="208"/>
      <c r="GA155" s="208"/>
      <c r="GB155" s="208"/>
      <c r="GC155" s="208"/>
      <c r="GD155" s="208"/>
      <c r="GE155" s="208"/>
      <c r="GF155" s="208"/>
    </row>
    <row r="156" spans="1:188" s="225" customFormat="1" ht="15" x14ac:dyDescent="0.25">
      <c r="A156" s="189" t="s">
        <v>4925</v>
      </c>
      <c r="B156" s="189"/>
      <c r="C156" s="190" t="s">
        <v>4926</v>
      </c>
      <c r="D156" s="191"/>
      <c r="E156" s="191"/>
      <c r="F156" s="191"/>
      <c r="G156" s="192"/>
      <c r="H156" s="193"/>
      <c r="I156" s="246"/>
      <c r="J156" s="194">
        <f>SUBTOTAL(109,J157:J163)</f>
        <v>398941.14</v>
      </c>
      <c r="K156" s="191"/>
      <c r="L156" s="191"/>
      <c r="M156" s="191"/>
      <c r="N156" s="191"/>
      <c r="O156" s="194">
        <f>SUBTOTAL(109,O157:O163)</f>
        <v>475139.74</v>
      </c>
      <c r="Q156" s="208"/>
      <c r="R156" s="208"/>
      <c r="S156"/>
      <c r="T156" s="208"/>
      <c r="U156" s="208"/>
      <c r="V156" s="208"/>
      <c r="W156" s="208"/>
      <c r="X156" s="208"/>
      <c r="Y156" s="208"/>
      <c r="Z156" s="208"/>
      <c r="AA156" s="208"/>
      <c r="AB156" s="208"/>
      <c r="AC156" s="208"/>
      <c r="AD156" s="208"/>
      <c r="AE156" s="208"/>
      <c r="AF156" s="208"/>
      <c r="AG156" s="208"/>
      <c r="AH156" s="208"/>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c r="BI156" s="208"/>
      <c r="BJ156" s="208"/>
      <c r="BK156" s="208"/>
      <c r="BL156" s="208"/>
      <c r="BM156" s="208"/>
      <c r="BN156" s="208"/>
      <c r="BO156" s="208"/>
      <c r="BP156" s="208"/>
      <c r="BQ156" s="208"/>
      <c r="BR156" s="208"/>
      <c r="BS156" s="208"/>
      <c r="BT156" s="208"/>
      <c r="BU156" s="208"/>
      <c r="BV156" s="208"/>
      <c r="BW156" s="208"/>
      <c r="BX156" s="208"/>
      <c r="BY156" s="208"/>
      <c r="BZ156" s="208"/>
      <c r="CA156" s="208"/>
      <c r="CB156" s="208"/>
      <c r="CC156" s="208"/>
      <c r="CD156" s="208"/>
      <c r="CE156" s="208"/>
      <c r="CF156" s="208"/>
      <c r="CG156" s="208"/>
      <c r="CH156" s="208"/>
      <c r="CI156" s="208"/>
      <c r="CJ156" s="208"/>
      <c r="CK156" s="208"/>
      <c r="CL156" s="208"/>
      <c r="CM156" s="208"/>
      <c r="CN156" s="208"/>
      <c r="CO156" s="208"/>
      <c r="CP156" s="208"/>
      <c r="CQ156" s="208"/>
      <c r="CR156" s="208"/>
      <c r="CS156" s="208"/>
      <c r="CT156" s="208"/>
      <c r="CU156" s="208"/>
      <c r="CV156" s="208"/>
      <c r="CW156" s="208"/>
      <c r="CX156" s="208"/>
      <c r="CY156" s="208"/>
      <c r="CZ156" s="208"/>
      <c r="DA156" s="208"/>
      <c r="DB156" s="208"/>
      <c r="DC156" s="208"/>
      <c r="DD156" s="208"/>
      <c r="DE156" s="208"/>
      <c r="DF156" s="208"/>
      <c r="DG156" s="208"/>
      <c r="DH156" s="208"/>
      <c r="DI156" s="208"/>
      <c r="DJ156" s="208"/>
      <c r="DK156" s="208"/>
      <c r="DL156" s="208"/>
      <c r="DM156" s="208"/>
      <c r="DN156" s="208"/>
      <c r="DO156" s="208"/>
      <c r="DP156" s="208"/>
      <c r="DQ156" s="208"/>
      <c r="DR156" s="208"/>
      <c r="DS156" s="208"/>
      <c r="DT156" s="208"/>
      <c r="DU156" s="208"/>
      <c r="DV156" s="208"/>
      <c r="DW156" s="208"/>
      <c r="DX156" s="208"/>
      <c r="DY156" s="208"/>
      <c r="DZ156" s="208"/>
      <c r="EA156" s="208"/>
      <c r="EB156" s="208"/>
      <c r="EC156" s="208"/>
      <c r="ED156" s="208"/>
      <c r="EE156" s="208"/>
      <c r="EF156" s="208"/>
      <c r="EG156" s="208"/>
      <c r="EH156" s="208"/>
      <c r="EI156" s="208"/>
      <c r="EJ156" s="208"/>
      <c r="EK156" s="208"/>
      <c r="EL156" s="208"/>
      <c r="EM156" s="208"/>
      <c r="EN156" s="208"/>
      <c r="EO156" s="208"/>
      <c r="EP156" s="208"/>
      <c r="EQ156" s="208"/>
      <c r="ER156" s="208"/>
      <c r="ES156" s="208"/>
      <c r="ET156" s="208"/>
      <c r="EU156" s="208"/>
      <c r="EV156" s="208"/>
      <c r="EW156" s="208"/>
      <c r="EX156" s="208"/>
      <c r="EY156" s="208"/>
      <c r="EZ156" s="208"/>
      <c r="FA156" s="208"/>
      <c r="FB156" s="208"/>
      <c r="FC156" s="208"/>
      <c r="FD156" s="208"/>
      <c r="FE156" s="208"/>
      <c r="FF156" s="208"/>
      <c r="FG156" s="208"/>
      <c r="FH156" s="208"/>
      <c r="FI156" s="208"/>
      <c r="FJ156" s="208"/>
      <c r="FK156" s="208"/>
      <c r="FL156" s="208"/>
      <c r="FM156" s="208"/>
      <c r="FN156" s="208"/>
      <c r="FO156" s="208"/>
      <c r="FP156" s="208"/>
      <c r="FQ156" s="208"/>
      <c r="FR156" s="208"/>
      <c r="FS156" s="208"/>
      <c r="FT156" s="208"/>
      <c r="FU156" s="208"/>
      <c r="FV156" s="208"/>
      <c r="FW156" s="208"/>
      <c r="FX156" s="208"/>
      <c r="FY156" s="208"/>
      <c r="FZ156" s="208"/>
      <c r="GA156" s="208"/>
      <c r="GB156" s="208"/>
      <c r="GC156" s="208"/>
      <c r="GD156" s="208"/>
      <c r="GE156" s="208"/>
      <c r="GF156" s="208"/>
    </row>
    <row r="157" spans="1:188" s="209" customFormat="1" ht="15" x14ac:dyDescent="0.25">
      <c r="A157" s="195" t="s">
        <v>4927</v>
      </c>
      <c r="B157" s="195" t="s">
        <v>1045</v>
      </c>
      <c r="C157" s="196" t="s">
        <v>2873</v>
      </c>
      <c r="D157" s="154" t="s">
        <v>78</v>
      </c>
      <c r="E157" s="154">
        <v>990</v>
      </c>
      <c r="F157" s="154">
        <v>0.1</v>
      </c>
      <c r="G157" s="197"/>
      <c r="H157" s="198"/>
      <c r="I157" s="151">
        <f>IFERROR(INDEX(Composições!$A$5:$J$8391,MATCH(B157,Composições!$A$5:$A$8391,0)+2,8),"")</f>
        <v>79.276998447499992</v>
      </c>
      <c r="J157" s="152">
        <f t="shared" ref="J157:J163" si="24">IF(ISNUMBER(I157),ROUND(F157*E157*I157,2),"")</f>
        <v>7848.42</v>
      </c>
      <c r="K157" s="198">
        <f>BDI!$B$17</f>
        <v>0.191</v>
      </c>
      <c r="L157" s="198"/>
      <c r="M157" s="198"/>
      <c r="N157" s="153">
        <f t="shared" ref="N157:N163" si="25">IF(ISNUMBER(I157),ROUND(I157*(1+K157),2),"")</f>
        <v>94.42</v>
      </c>
      <c r="O157" s="152">
        <f t="shared" ref="O157:O163" si="26">IF(ISNUMBER(I157),ROUND(F157*N157*E157,2),"")</f>
        <v>9347.58</v>
      </c>
      <c r="P157" s="225"/>
      <c r="Q157" s="208"/>
      <c r="R157" s="208"/>
      <c r="S157"/>
      <c r="T157" s="208"/>
      <c r="U157" s="208"/>
      <c r="V157" s="208"/>
      <c r="W157" s="208"/>
      <c r="X157" s="208"/>
      <c r="Y157" s="208"/>
      <c r="Z157" s="208"/>
      <c r="AA157" s="208"/>
      <c r="AB157" s="208"/>
      <c r="AC157" s="208"/>
      <c r="AD157" s="208"/>
      <c r="AE157" s="208"/>
      <c r="AF157" s="208"/>
      <c r="AG157" s="208"/>
      <c r="AH157" s="208"/>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c r="BI157" s="208"/>
      <c r="BJ157" s="208"/>
      <c r="BK157" s="208"/>
      <c r="BL157" s="208"/>
      <c r="BM157" s="208"/>
      <c r="BN157" s="208"/>
      <c r="BO157" s="208"/>
      <c r="BP157" s="208"/>
      <c r="BQ157" s="208"/>
      <c r="BR157" s="208"/>
      <c r="BS157" s="208"/>
      <c r="BT157" s="208"/>
      <c r="BU157" s="208"/>
      <c r="BV157" s="208"/>
      <c r="BW157" s="208"/>
      <c r="BX157" s="208"/>
      <c r="BY157" s="208"/>
      <c r="BZ157" s="208"/>
      <c r="CA157" s="208"/>
      <c r="CB157" s="208"/>
      <c r="CC157" s="208"/>
      <c r="CD157" s="208"/>
      <c r="CE157" s="208"/>
      <c r="CF157" s="208"/>
      <c r="CG157" s="208"/>
      <c r="CH157" s="208"/>
      <c r="CI157" s="208"/>
      <c r="CJ157" s="208"/>
      <c r="CK157" s="208"/>
      <c r="CL157" s="208"/>
      <c r="CM157" s="208"/>
      <c r="CN157" s="208"/>
      <c r="CO157" s="208"/>
      <c r="CP157" s="208"/>
      <c r="CQ157" s="208"/>
      <c r="CR157" s="208"/>
      <c r="CS157" s="208"/>
      <c r="CT157" s="208"/>
      <c r="CU157" s="208"/>
      <c r="CV157" s="208"/>
      <c r="CW157" s="208"/>
      <c r="CX157" s="208"/>
      <c r="CY157" s="208"/>
      <c r="CZ157" s="208"/>
      <c r="DA157" s="208"/>
      <c r="DB157" s="208"/>
      <c r="DC157" s="208"/>
      <c r="DD157" s="208"/>
      <c r="DE157" s="208"/>
      <c r="DF157" s="208"/>
      <c r="DG157" s="208"/>
      <c r="DH157" s="208"/>
      <c r="DI157" s="208"/>
      <c r="DJ157" s="208"/>
      <c r="DK157" s="208"/>
      <c r="DL157" s="208"/>
      <c r="DM157" s="208"/>
      <c r="DN157" s="208"/>
      <c r="DO157" s="208"/>
      <c r="DP157" s="208"/>
      <c r="DQ157" s="208"/>
      <c r="DR157" s="208"/>
      <c r="DS157" s="208"/>
      <c r="DT157" s="208"/>
      <c r="DU157" s="208"/>
      <c r="DV157" s="208"/>
      <c r="DW157" s="208"/>
      <c r="DX157" s="208"/>
      <c r="DY157" s="208"/>
      <c r="DZ157" s="208"/>
      <c r="EA157" s="208"/>
      <c r="EB157" s="208"/>
      <c r="EC157" s="208"/>
      <c r="ED157" s="208"/>
      <c r="EE157" s="208"/>
      <c r="EF157" s="208"/>
      <c r="EG157" s="208"/>
      <c r="EH157" s="208"/>
      <c r="EI157" s="208"/>
      <c r="EJ157" s="208"/>
      <c r="EK157" s="208"/>
      <c r="EL157" s="208"/>
      <c r="EM157" s="208"/>
      <c r="EN157" s="208"/>
      <c r="EO157" s="208"/>
      <c r="EP157" s="208"/>
      <c r="EQ157" s="208"/>
      <c r="ER157" s="208"/>
      <c r="ES157" s="208"/>
      <c r="ET157" s="208"/>
      <c r="EU157" s="208"/>
      <c r="EV157" s="208"/>
      <c r="EW157" s="208"/>
      <c r="EX157" s="208"/>
      <c r="EY157" s="208"/>
      <c r="EZ157" s="208"/>
      <c r="FA157" s="208"/>
      <c r="FB157" s="208"/>
      <c r="FC157" s="208"/>
      <c r="FD157" s="208"/>
      <c r="FE157" s="208"/>
      <c r="FF157" s="208"/>
      <c r="FG157" s="208"/>
      <c r="FH157" s="208"/>
      <c r="FI157" s="208"/>
      <c r="FJ157" s="208"/>
      <c r="FK157" s="208"/>
      <c r="FL157" s="208"/>
      <c r="FM157" s="208"/>
      <c r="FN157" s="208"/>
      <c r="FO157" s="208"/>
      <c r="FP157" s="208"/>
      <c r="FQ157" s="208"/>
      <c r="FR157" s="208"/>
      <c r="FS157" s="208"/>
      <c r="FT157" s="208"/>
      <c r="FU157" s="208"/>
      <c r="FV157" s="208"/>
      <c r="FW157" s="208"/>
      <c r="FX157" s="208"/>
      <c r="FY157" s="208"/>
      <c r="FZ157" s="208"/>
      <c r="GA157" s="208"/>
      <c r="GB157" s="208"/>
      <c r="GC157" s="208"/>
      <c r="GD157" s="208"/>
      <c r="GE157" s="208"/>
      <c r="GF157" s="208"/>
    </row>
    <row r="158" spans="1:188" s="209" customFormat="1" ht="15" x14ac:dyDescent="0.25">
      <c r="A158" s="195" t="s">
        <v>4928</v>
      </c>
      <c r="B158" s="195" t="s">
        <v>912</v>
      </c>
      <c r="C158" s="196" t="s">
        <v>2765</v>
      </c>
      <c r="D158" s="154" t="s">
        <v>2766</v>
      </c>
      <c r="E158" s="154">
        <v>110</v>
      </c>
      <c r="F158" s="154">
        <v>0.1</v>
      </c>
      <c r="G158" s="197"/>
      <c r="H158" s="198"/>
      <c r="I158" s="151">
        <f>IFERROR(INDEX(Composições!$A$5:$J$8391,MATCH(B158,Composições!$A$5:$A$8391,0)+2,8),"")</f>
        <v>819.86663109876258</v>
      </c>
      <c r="J158" s="152">
        <f t="shared" si="24"/>
        <v>9018.5300000000007</v>
      </c>
      <c r="K158" s="198">
        <f>BDI!$B$17</f>
        <v>0.191</v>
      </c>
      <c r="L158" s="198"/>
      <c r="M158" s="198"/>
      <c r="N158" s="153">
        <f t="shared" si="25"/>
        <v>976.46</v>
      </c>
      <c r="O158" s="152">
        <f t="shared" si="26"/>
        <v>10741.06</v>
      </c>
      <c r="P158" s="225"/>
      <c r="Q158" s="208"/>
      <c r="R158" s="208"/>
      <c r="S158"/>
      <c r="T158" s="208"/>
      <c r="U158" s="208"/>
      <c r="V158" s="208"/>
      <c r="W158" s="208"/>
      <c r="X158" s="208"/>
      <c r="Y158" s="208"/>
      <c r="Z158" s="208"/>
      <c r="AA158" s="208"/>
      <c r="AB158" s="208"/>
      <c r="AC158" s="208"/>
      <c r="AD158" s="208"/>
      <c r="AE158" s="208"/>
      <c r="AF158" s="208"/>
      <c r="AG158" s="208"/>
      <c r="AH158" s="208"/>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c r="BI158" s="208"/>
      <c r="BJ158" s="208"/>
      <c r="BK158" s="208"/>
      <c r="BL158" s="208"/>
      <c r="BM158" s="208"/>
      <c r="BN158" s="208"/>
      <c r="BO158" s="208"/>
      <c r="BP158" s="208"/>
      <c r="BQ158" s="208"/>
      <c r="BR158" s="208"/>
      <c r="BS158" s="208"/>
      <c r="BT158" s="208"/>
      <c r="BU158" s="208"/>
      <c r="BV158" s="208"/>
      <c r="BW158" s="208"/>
      <c r="BX158" s="208"/>
      <c r="BY158" s="208"/>
      <c r="BZ158" s="208"/>
      <c r="CA158" s="208"/>
      <c r="CB158" s="208"/>
      <c r="CC158" s="208"/>
      <c r="CD158" s="208"/>
      <c r="CE158" s="208"/>
      <c r="CF158" s="208"/>
      <c r="CG158" s="208"/>
      <c r="CH158" s="208"/>
      <c r="CI158" s="208"/>
      <c r="CJ158" s="208"/>
      <c r="CK158" s="208"/>
      <c r="CL158" s="208"/>
      <c r="CM158" s="208"/>
      <c r="CN158" s="208"/>
      <c r="CO158" s="208"/>
      <c r="CP158" s="208"/>
      <c r="CQ158" s="208"/>
      <c r="CR158" s="208"/>
      <c r="CS158" s="208"/>
      <c r="CT158" s="208"/>
      <c r="CU158" s="208"/>
      <c r="CV158" s="208"/>
      <c r="CW158" s="208"/>
      <c r="CX158" s="208"/>
      <c r="CY158" s="208"/>
      <c r="CZ158" s="208"/>
      <c r="DA158" s="208"/>
      <c r="DB158" s="208"/>
      <c r="DC158" s="208"/>
      <c r="DD158" s="208"/>
      <c r="DE158" s="208"/>
      <c r="DF158" s="208"/>
      <c r="DG158" s="208"/>
      <c r="DH158" s="208"/>
      <c r="DI158" s="208"/>
      <c r="DJ158" s="208"/>
      <c r="DK158" s="208"/>
      <c r="DL158" s="208"/>
      <c r="DM158" s="208"/>
      <c r="DN158" s="208"/>
      <c r="DO158" s="208"/>
      <c r="DP158" s="208"/>
      <c r="DQ158" s="208"/>
      <c r="DR158" s="208"/>
      <c r="DS158" s="208"/>
      <c r="DT158" s="208"/>
      <c r="DU158" s="208"/>
      <c r="DV158" s="208"/>
      <c r="DW158" s="208"/>
      <c r="DX158" s="208"/>
      <c r="DY158" s="208"/>
      <c r="DZ158" s="208"/>
      <c r="EA158" s="208"/>
      <c r="EB158" s="208"/>
      <c r="EC158" s="208"/>
      <c r="ED158" s="208"/>
      <c r="EE158" s="208"/>
      <c r="EF158" s="208"/>
      <c r="EG158" s="208"/>
      <c r="EH158" s="208"/>
      <c r="EI158" s="208"/>
      <c r="EJ158" s="208"/>
      <c r="EK158" s="208"/>
      <c r="EL158" s="208"/>
      <c r="EM158" s="208"/>
      <c r="EN158" s="208"/>
      <c r="EO158" s="208"/>
      <c r="EP158" s="208"/>
      <c r="EQ158" s="208"/>
      <c r="ER158" s="208"/>
      <c r="ES158" s="208"/>
      <c r="ET158" s="208"/>
      <c r="EU158" s="208"/>
      <c r="EV158" s="208"/>
      <c r="EW158" s="208"/>
      <c r="EX158" s="208"/>
      <c r="EY158" s="208"/>
      <c r="EZ158" s="208"/>
      <c r="FA158" s="208"/>
      <c r="FB158" s="208"/>
      <c r="FC158" s="208"/>
      <c r="FD158" s="208"/>
      <c r="FE158" s="208"/>
      <c r="FF158" s="208"/>
      <c r="FG158" s="208"/>
      <c r="FH158" s="208"/>
      <c r="FI158" s="208"/>
      <c r="FJ158" s="208"/>
      <c r="FK158" s="208"/>
      <c r="FL158" s="208"/>
      <c r="FM158" s="208"/>
      <c r="FN158" s="208"/>
      <c r="FO158" s="208"/>
      <c r="FP158" s="208"/>
      <c r="FQ158" s="208"/>
      <c r="FR158" s="208"/>
      <c r="FS158" s="208"/>
      <c r="FT158" s="208"/>
      <c r="FU158" s="208"/>
      <c r="FV158" s="208"/>
      <c r="FW158" s="208"/>
      <c r="FX158" s="208"/>
      <c r="FY158" s="208"/>
      <c r="FZ158" s="208"/>
      <c r="GA158" s="208"/>
      <c r="GB158" s="208"/>
      <c r="GC158" s="208"/>
      <c r="GD158" s="208"/>
      <c r="GE158" s="208"/>
      <c r="GF158" s="208"/>
    </row>
    <row r="159" spans="1:188" s="209" customFormat="1" ht="15" x14ac:dyDescent="0.25">
      <c r="A159" s="195" t="s">
        <v>4929</v>
      </c>
      <c r="B159" s="195" t="s">
        <v>913</v>
      </c>
      <c r="C159" s="196" t="s">
        <v>2767</v>
      </c>
      <c r="D159" s="154" t="s">
        <v>78</v>
      </c>
      <c r="E159" s="154">
        <v>26670</v>
      </c>
      <c r="F159" s="154">
        <v>0.1</v>
      </c>
      <c r="G159" s="197"/>
      <c r="H159" s="198"/>
      <c r="I159" s="151">
        <f>IFERROR(INDEX(Composições!$A$5:$J$8391,MATCH(B159,Composições!$A$5:$A$8391,0)+2,8),"")</f>
        <v>110.73015224999997</v>
      </c>
      <c r="J159" s="152">
        <f t="shared" si="24"/>
        <v>295317.32</v>
      </c>
      <c r="K159" s="198">
        <f>BDI!$B$17</f>
        <v>0.191</v>
      </c>
      <c r="L159" s="198"/>
      <c r="M159" s="198"/>
      <c r="N159" s="153">
        <f t="shared" si="25"/>
        <v>131.88</v>
      </c>
      <c r="O159" s="152">
        <f t="shared" si="26"/>
        <v>351723.96</v>
      </c>
      <c r="P159" s="225"/>
      <c r="Q159" s="208"/>
      <c r="R159" s="208"/>
      <c r="S159"/>
      <c r="T159" s="208"/>
      <c r="U159" s="208"/>
      <c r="V159" s="208"/>
      <c r="W159" s="208"/>
      <c r="X159" s="208"/>
      <c r="Y159" s="208"/>
      <c r="Z159" s="208"/>
      <c r="AA159" s="208"/>
      <c r="AB159" s="208"/>
      <c r="AC159" s="208"/>
      <c r="AD159" s="208"/>
      <c r="AE159" s="208"/>
      <c r="AF159" s="208"/>
      <c r="AG159" s="208"/>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c r="BI159" s="208"/>
      <c r="BJ159" s="208"/>
      <c r="BK159" s="208"/>
      <c r="BL159" s="208"/>
      <c r="BM159" s="208"/>
      <c r="BN159" s="208"/>
      <c r="BO159" s="208"/>
      <c r="BP159" s="208"/>
      <c r="BQ159" s="208"/>
      <c r="BR159" s="208"/>
      <c r="BS159" s="208"/>
      <c r="BT159" s="208"/>
      <c r="BU159" s="208"/>
      <c r="BV159" s="208"/>
      <c r="BW159" s="208"/>
      <c r="BX159" s="208"/>
      <c r="BY159" s="208"/>
      <c r="BZ159" s="208"/>
      <c r="CA159" s="208"/>
      <c r="CB159" s="208"/>
      <c r="CC159" s="208"/>
      <c r="CD159" s="208"/>
      <c r="CE159" s="208"/>
      <c r="CF159" s="208"/>
      <c r="CG159" s="208"/>
      <c r="CH159" s="208"/>
      <c r="CI159" s="208"/>
      <c r="CJ159" s="208"/>
      <c r="CK159" s="208"/>
      <c r="CL159" s="208"/>
      <c r="CM159" s="208"/>
      <c r="CN159" s="208"/>
      <c r="CO159" s="208"/>
      <c r="CP159" s="208"/>
      <c r="CQ159" s="208"/>
      <c r="CR159" s="208"/>
      <c r="CS159" s="208"/>
      <c r="CT159" s="208"/>
      <c r="CU159" s="208"/>
      <c r="CV159" s="208"/>
      <c r="CW159" s="208"/>
      <c r="CX159" s="208"/>
      <c r="CY159" s="208"/>
      <c r="CZ159" s="208"/>
      <c r="DA159" s="208"/>
      <c r="DB159" s="208"/>
      <c r="DC159" s="208"/>
      <c r="DD159" s="208"/>
      <c r="DE159" s="208"/>
      <c r="DF159" s="208"/>
      <c r="DG159" s="208"/>
      <c r="DH159" s="208"/>
      <c r="DI159" s="208"/>
      <c r="DJ159" s="208"/>
      <c r="DK159" s="208"/>
      <c r="DL159" s="208"/>
      <c r="DM159" s="208"/>
      <c r="DN159" s="208"/>
      <c r="DO159" s="208"/>
      <c r="DP159" s="208"/>
      <c r="DQ159" s="208"/>
      <c r="DR159" s="208"/>
      <c r="DS159" s="208"/>
      <c r="DT159" s="208"/>
      <c r="DU159" s="208"/>
      <c r="DV159" s="208"/>
      <c r="DW159" s="208"/>
      <c r="DX159" s="208"/>
      <c r="DY159" s="208"/>
      <c r="DZ159" s="208"/>
      <c r="EA159" s="208"/>
      <c r="EB159" s="208"/>
      <c r="EC159" s="208"/>
      <c r="ED159" s="208"/>
      <c r="EE159" s="208"/>
      <c r="EF159" s="208"/>
      <c r="EG159" s="208"/>
      <c r="EH159" s="208"/>
      <c r="EI159" s="208"/>
      <c r="EJ159" s="208"/>
      <c r="EK159" s="208"/>
      <c r="EL159" s="208"/>
      <c r="EM159" s="208"/>
      <c r="EN159" s="208"/>
      <c r="EO159" s="208"/>
      <c r="EP159" s="208"/>
      <c r="EQ159" s="208"/>
      <c r="ER159" s="208"/>
      <c r="ES159" s="208"/>
      <c r="ET159" s="208"/>
      <c r="EU159" s="208"/>
      <c r="EV159" s="208"/>
      <c r="EW159" s="208"/>
      <c r="EX159" s="208"/>
      <c r="EY159" s="208"/>
      <c r="EZ159" s="208"/>
      <c r="FA159" s="208"/>
      <c r="FB159" s="208"/>
      <c r="FC159" s="208"/>
      <c r="FD159" s="208"/>
      <c r="FE159" s="208"/>
      <c r="FF159" s="208"/>
      <c r="FG159" s="208"/>
      <c r="FH159" s="208"/>
      <c r="FI159" s="208"/>
      <c r="FJ159" s="208"/>
      <c r="FK159" s="208"/>
      <c r="FL159" s="208"/>
      <c r="FM159" s="208"/>
      <c r="FN159" s="208"/>
      <c r="FO159" s="208"/>
      <c r="FP159" s="208"/>
      <c r="FQ159" s="208"/>
      <c r="FR159" s="208"/>
      <c r="FS159" s="208"/>
      <c r="FT159" s="208"/>
      <c r="FU159" s="208"/>
      <c r="FV159" s="208"/>
      <c r="FW159" s="208"/>
      <c r="FX159" s="208"/>
      <c r="FY159" s="208"/>
      <c r="FZ159" s="208"/>
      <c r="GA159" s="208"/>
      <c r="GB159" s="208"/>
      <c r="GC159" s="208"/>
      <c r="GD159" s="208"/>
      <c r="GE159" s="208"/>
      <c r="GF159" s="208"/>
    </row>
    <row r="160" spans="1:188" s="209" customFormat="1" ht="15" x14ac:dyDescent="0.25">
      <c r="A160" s="195" t="s">
        <v>4930</v>
      </c>
      <c r="B160" s="195" t="s">
        <v>1039</v>
      </c>
      <c r="C160" s="196" t="s">
        <v>2872</v>
      </c>
      <c r="D160" s="154" t="s">
        <v>121</v>
      </c>
      <c r="E160" s="154">
        <v>900</v>
      </c>
      <c r="F160" s="154">
        <v>0.1</v>
      </c>
      <c r="G160" s="197"/>
      <c r="H160" s="198"/>
      <c r="I160" s="151">
        <f>IFERROR(INDEX(Composições!$A$5:$J$8391,MATCH(B160,Composições!$A$5:$A$8391,0)+2,8),"")</f>
        <v>24.5549654</v>
      </c>
      <c r="J160" s="152">
        <f t="shared" si="24"/>
        <v>2209.9499999999998</v>
      </c>
      <c r="K160" s="198">
        <f>BDI!$B$17</f>
        <v>0.191</v>
      </c>
      <c r="L160" s="198"/>
      <c r="M160" s="198"/>
      <c r="N160" s="153">
        <f t="shared" si="25"/>
        <v>29.24</v>
      </c>
      <c r="O160" s="152">
        <f t="shared" si="26"/>
        <v>2631.6</v>
      </c>
      <c r="P160" s="225"/>
      <c r="Q160" s="208"/>
      <c r="R160" s="208"/>
      <c r="S160"/>
      <c r="T160" s="208"/>
      <c r="U160" s="208"/>
      <c r="V160" s="208"/>
      <c r="W160" s="208"/>
      <c r="X160" s="208"/>
      <c r="Y160" s="208"/>
      <c r="Z160" s="208"/>
      <c r="AA160" s="208"/>
      <c r="AB160" s="208"/>
      <c r="AC160" s="208"/>
      <c r="AD160" s="208"/>
      <c r="AE160" s="208"/>
      <c r="AF160" s="208"/>
      <c r="AG160" s="208"/>
      <c r="AH160" s="208"/>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c r="BI160" s="208"/>
      <c r="BJ160" s="208"/>
      <c r="BK160" s="208"/>
      <c r="BL160" s="208"/>
      <c r="BM160" s="208"/>
      <c r="BN160" s="208"/>
      <c r="BO160" s="208"/>
      <c r="BP160" s="208"/>
      <c r="BQ160" s="208"/>
      <c r="BR160" s="208"/>
      <c r="BS160" s="208"/>
      <c r="BT160" s="208"/>
      <c r="BU160" s="208"/>
      <c r="BV160" s="208"/>
      <c r="BW160" s="208"/>
      <c r="BX160" s="208"/>
      <c r="BY160" s="208"/>
      <c r="BZ160" s="208"/>
      <c r="CA160" s="208"/>
      <c r="CB160" s="208"/>
      <c r="CC160" s="208"/>
      <c r="CD160" s="208"/>
      <c r="CE160" s="208"/>
      <c r="CF160" s="208"/>
      <c r="CG160" s="208"/>
      <c r="CH160" s="208"/>
      <c r="CI160" s="208"/>
      <c r="CJ160" s="208"/>
      <c r="CK160" s="208"/>
      <c r="CL160" s="208"/>
      <c r="CM160" s="208"/>
      <c r="CN160" s="208"/>
      <c r="CO160" s="208"/>
      <c r="CP160" s="208"/>
      <c r="CQ160" s="208"/>
      <c r="CR160" s="208"/>
      <c r="CS160" s="208"/>
      <c r="CT160" s="208"/>
      <c r="CU160" s="208"/>
      <c r="CV160" s="208"/>
      <c r="CW160" s="208"/>
      <c r="CX160" s="208"/>
      <c r="CY160" s="208"/>
      <c r="CZ160" s="208"/>
      <c r="DA160" s="208"/>
      <c r="DB160" s="208"/>
      <c r="DC160" s="208"/>
      <c r="DD160" s="208"/>
      <c r="DE160" s="208"/>
      <c r="DF160" s="208"/>
      <c r="DG160" s="208"/>
      <c r="DH160" s="208"/>
      <c r="DI160" s="208"/>
      <c r="DJ160" s="208"/>
      <c r="DK160" s="208"/>
      <c r="DL160" s="208"/>
      <c r="DM160" s="208"/>
      <c r="DN160" s="208"/>
      <c r="DO160" s="208"/>
      <c r="DP160" s="208"/>
      <c r="DQ160" s="208"/>
      <c r="DR160" s="208"/>
      <c r="DS160" s="208"/>
      <c r="DT160" s="208"/>
      <c r="DU160" s="208"/>
      <c r="DV160" s="208"/>
      <c r="DW160" s="208"/>
      <c r="DX160" s="208"/>
      <c r="DY160" s="208"/>
      <c r="DZ160" s="208"/>
      <c r="EA160" s="208"/>
      <c r="EB160" s="208"/>
      <c r="EC160" s="208"/>
      <c r="ED160" s="208"/>
      <c r="EE160" s="208"/>
      <c r="EF160" s="208"/>
      <c r="EG160" s="208"/>
      <c r="EH160" s="208"/>
      <c r="EI160" s="208"/>
      <c r="EJ160" s="208"/>
      <c r="EK160" s="208"/>
      <c r="EL160" s="208"/>
      <c r="EM160" s="208"/>
      <c r="EN160" s="208"/>
      <c r="EO160" s="208"/>
      <c r="EP160" s="208"/>
      <c r="EQ160" s="208"/>
      <c r="ER160" s="208"/>
      <c r="ES160" s="208"/>
      <c r="ET160" s="208"/>
      <c r="EU160" s="208"/>
      <c r="EV160" s="208"/>
      <c r="EW160" s="208"/>
      <c r="EX160" s="208"/>
      <c r="EY160" s="208"/>
      <c r="EZ160" s="208"/>
      <c r="FA160" s="208"/>
      <c r="FB160" s="208"/>
      <c r="FC160" s="208"/>
      <c r="FD160" s="208"/>
      <c r="FE160" s="208"/>
      <c r="FF160" s="208"/>
      <c r="FG160" s="208"/>
      <c r="FH160" s="208"/>
      <c r="FI160" s="208"/>
      <c r="FJ160" s="208"/>
      <c r="FK160" s="208"/>
      <c r="FL160" s="208"/>
      <c r="FM160" s="208"/>
      <c r="FN160" s="208"/>
      <c r="FO160" s="208"/>
      <c r="FP160" s="208"/>
      <c r="FQ160" s="208"/>
      <c r="FR160" s="208"/>
      <c r="FS160" s="208"/>
      <c r="FT160" s="208"/>
      <c r="FU160" s="208"/>
      <c r="FV160" s="208"/>
      <c r="FW160" s="208"/>
      <c r="FX160" s="208"/>
      <c r="FY160" s="208"/>
      <c r="FZ160" s="208"/>
      <c r="GA160" s="208"/>
      <c r="GB160" s="208"/>
      <c r="GC160" s="208"/>
      <c r="GD160" s="208"/>
      <c r="GE160" s="208"/>
      <c r="GF160" s="208"/>
    </row>
    <row r="161" spans="1:188" s="209" customFormat="1" ht="15" x14ac:dyDescent="0.25">
      <c r="A161" s="195" t="s">
        <v>4931</v>
      </c>
      <c r="B161" s="195" t="s">
        <v>1047</v>
      </c>
      <c r="C161" s="196" t="s">
        <v>2874</v>
      </c>
      <c r="D161" s="154" t="s">
        <v>1748</v>
      </c>
      <c r="E161" s="154">
        <v>150</v>
      </c>
      <c r="F161" s="154">
        <v>0.1</v>
      </c>
      <c r="G161" s="197"/>
      <c r="H161" s="198"/>
      <c r="I161" s="151">
        <f>IFERROR(INDEX(Composições!$A$5:$J$8391,MATCH(B161,Composições!$A$5:$A$8391,0)+2,8),"")</f>
        <v>970.00665609999999</v>
      </c>
      <c r="J161" s="152">
        <f t="shared" si="24"/>
        <v>14550.1</v>
      </c>
      <c r="K161" s="198">
        <f>BDI!$B$17</f>
        <v>0.191</v>
      </c>
      <c r="L161" s="198"/>
      <c r="M161" s="198"/>
      <c r="N161" s="153">
        <f t="shared" si="25"/>
        <v>1155.28</v>
      </c>
      <c r="O161" s="152">
        <f t="shared" si="26"/>
        <v>17329.2</v>
      </c>
      <c r="P161" s="225"/>
      <c r="Q161" s="208"/>
      <c r="R161" s="208"/>
      <c r="S161"/>
      <c r="T161" s="208"/>
      <c r="U161" s="208"/>
      <c r="V161" s="208"/>
      <c r="W161" s="208"/>
      <c r="X161" s="208"/>
      <c r="Y161" s="208"/>
      <c r="Z161" s="208"/>
      <c r="AA161" s="208"/>
      <c r="AB161" s="208"/>
      <c r="AC161" s="208"/>
      <c r="AD161" s="208"/>
      <c r="AE161" s="208"/>
      <c r="AF161" s="208"/>
      <c r="AG161" s="208"/>
      <c r="AH161" s="208"/>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c r="BI161" s="208"/>
      <c r="BJ161" s="208"/>
      <c r="BK161" s="208"/>
      <c r="BL161" s="208"/>
      <c r="BM161" s="208"/>
      <c r="BN161" s="208"/>
      <c r="BO161" s="208"/>
      <c r="BP161" s="208"/>
      <c r="BQ161" s="208"/>
      <c r="BR161" s="208"/>
      <c r="BS161" s="208"/>
      <c r="BT161" s="208"/>
      <c r="BU161" s="208"/>
      <c r="BV161" s="208"/>
      <c r="BW161" s="208"/>
      <c r="BX161" s="208"/>
      <c r="BY161" s="208"/>
      <c r="BZ161" s="208"/>
      <c r="CA161" s="208"/>
      <c r="CB161" s="208"/>
      <c r="CC161" s="208"/>
      <c r="CD161" s="208"/>
      <c r="CE161" s="208"/>
      <c r="CF161" s="208"/>
      <c r="CG161" s="208"/>
      <c r="CH161" s="208"/>
      <c r="CI161" s="208"/>
      <c r="CJ161" s="208"/>
      <c r="CK161" s="208"/>
      <c r="CL161" s="208"/>
      <c r="CM161" s="208"/>
      <c r="CN161" s="208"/>
      <c r="CO161" s="208"/>
      <c r="CP161" s="208"/>
      <c r="CQ161" s="208"/>
      <c r="CR161" s="208"/>
      <c r="CS161" s="208"/>
      <c r="CT161" s="208"/>
      <c r="CU161" s="208"/>
      <c r="CV161" s="208"/>
      <c r="CW161" s="208"/>
      <c r="CX161" s="208"/>
      <c r="CY161" s="208"/>
      <c r="CZ161" s="208"/>
      <c r="DA161" s="208"/>
      <c r="DB161" s="208"/>
      <c r="DC161" s="208"/>
      <c r="DD161" s="208"/>
      <c r="DE161" s="208"/>
      <c r="DF161" s="208"/>
      <c r="DG161" s="208"/>
      <c r="DH161" s="208"/>
      <c r="DI161" s="208"/>
      <c r="DJ161" s="208"/>
      <c r="DK161" s="208"/>
      <c r="DL161" s="208"/>
      <c r="DM161" s="208"/>
      <c r="DN161" s="208"/>
      <c r="DO161" s="208"/>
      <c r="DP161" s="208"/>
      <c r="DQ161" s="208"/>
      <c r="DR161" s="208"/>
      <c r="DS161" s="208"/>
      <c r="DT161" s="208"/>
      <c r="DU161" s="208"/>
      <c r="DV161" s="208"/>
      <c r="DW161" s="208"/>
      <c r="DX161" s="208"/>
      <c r="DY161" s="208"/>
      <c r="DZ161" s="208"/>
      <c r="EA161" s="208"/>
      <c r="EB161" s="208"/>
      <c r="EC161" s="208"/>
      <c r="ED161" s="208"/>
      <c r="EE161" s="208"/>
      <c r="EF161" s="208"/>
      <c r="EG161" s="208"/>
      <c r="EH161" s="208"/>
      <c r="EI161" s="208"/>
      <c r="EJ161" s="208"/>
      <c r="EK161" s="208"/>
      <c r="EL161" s="208"/>
      <c r="EM161" s="208"/>
      <c r="EN161" s="208"/>
      <c r="EO161" s="208"/>
      <c r="EP161" s="208"/>
      <c r="EQ161" s="208"/>
      <c r="ER161" s="208"/>
      <c r="ES161" s="208"/>
      <c r="ET161" s="208"/>
      <c r="EU161" s="208"/>
      <c r="EV161" s="208"/>
      <c r="EW161" s="208"/>
      <c r="EX161" s="208"/>
      <c r="EY161" s="208"/>
      <c r="EZ161" s="208"/>
      <c r="FA161" s="208"/>
      <c r="FB161" s="208"/>
      <c r="FC161" s="208"/>
      <c r="FD161" s="208"/>
      <c r="FE161" s="208"/>
      <c r="FF161" s="208"/>
      <c r="FG161" s="208"/>
      <c r="FH161" s="208"/>
      <c r="FI161" s="208"/>
      <c r="FJ161" s="208"/>
      <c r="FK161" s="208"/>
      <c r="FL161" s="208"/>
      <c r="FM161" s="208"/>
      <c r="FN161" s="208"/>
      <c r="FO161" s="208"/>
      <c r="FP161" s="208"/>
      <c r="FQ161" s="208"/>
      <c r="FR161" s="208"/>
      <c r="FS161" s="208"/>
      <c r="FT161" s="208"/>
      <c r="FU161" s="208"/>
      <c r="FV161" s="208"/>
      <c r="FW161" s="208"/>
      <c r="FX161" s="208"/>
      <c r="FY161" s="208"/>
      <c r="FZ161" s="208"/>
      <c r="GA161" s="208"/>
      <c r="GB161" s="208"/>
      <c r="GC161" s="208"/>
      <c r="GD161" s="208"/>
      <c r="GE161" s="208"/>
      <c r="GF161" s="208"/>
    </row>
    <row r="162" spans="1:188" s="209" customFormat="1" ht="15" x14ac:dyDescent="0.25">
      <c r="A162" s="195" t="s">
        <v>4932</v>
      </c>
      <c r="B162" s="195" t="s">
        <v>1049</v>
      </c>
      <c r="C162" s="196" t="s">
        <v>2875</v>
      </c>
      <c r="D162" s="154" t="s">
        <v>1748</v>
      </c>
      <c r="E162" s="154">
        <v>190</v>
      </c>
      <c r="F162" s="154">
        <v>0.1</v>
      </c>
      <c r="G162" s="197"/>
      <c r="H162" s="198"/>
      <c r="I162" s="151">
        <f>IFERROR(INDEX(Composições!$A$5:$J$8391,MATCH(B162,Composições!$A$5:$A$8391,0)+2,8),"")</f>
        <v>3461.7629999999999</v>
      </c>
      <c r="J162" s="152">
        <f t="shared" si="24"/>
        <v>65773.5</v>
      </c>
      <c r="K162" s="198">
        <f>BDI!$B$17</f>
        <v>0.191</v>
      </c>
      <c r="L162" s="198"/>
      <c r="M162" s="198"/>
      <c r="N162" s="153">
        <f t="shared" si="25"/>
        <v>4122.96</v>
      </c>
      <c r="O162" s="152">
        <f t="shared" si="26"/>
        <v>78336.240000000005</v>
      </c>
      <c r="P162" s="225"/>
      <c r="Q162" s="208"/>
      <c r="R162" s="208"/>
      <c r="S162"/>
      <c r="T162" s="208"/>
      <c r="U162" s="208"/>
      <c r="V162" s="208"/>
      <c r="W162" s="208"/>
      <c r="X162" s="208"/>
      <c r="Y162" s="208"/>
      <c r="Z162" s="208"/>
      <c r="AA162" s="208"/>
      <c r="AB162" s="208"/>
      <c r="AC162" s="208"/>
      <c r="AD162" s="208"/>
      <c r="AE162" s="208"/>
      <c r="AF162" s="208"/>
      <c r="AG162" s="208"/>
      <c r="AH162" s="208"/>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c r="BI162" s="208"/>
      <c r="BJ162" s="208"/>
      <c r="BK162" s="208"/>
      <c r="BL162" s="208"/>
      <c r="BM162" s="208"/>
      <c r="BN162" s="208"/>
      <c r="BO162" s="208"/>
      <c r="BP162" s="208"/>
      <c r="BQ162" s="208"/>
      <c r="BR162" s="208"/>
      <c r="BS162" s="208"/>
      <c r="BT162" s="208"/>
      <c r="BU162" s="208"/>
      <c r="BV162" s="208"/>
      <c r="BW162" s="208"/>
      <c r="BX162" s="208"/>
      <c r="BY162" s="208"/>
      <c r="BZ162" s="208"/>
      <c r="CA162" s="208"/>
      <c r="CB162" s="208"/>
      <c r="CC162" s="208"/>
      <c r="CD162" s="208"/>
      <c r="CE162" s="208"/>
      <c r="CF162" s="208"/>
      <c r="CG162" s="208"/>
      <c r="CH162" s="208"/>
      <c r="CI162" s="208"/>
      <c r="CJ162" s="208"/>
      <c r="CK162" s="208"/>
      <c r="CL162" s="208"/>
      <c r="CM162" s="208"/>
      <c r="CN162" s="208"/>
      <c r="CO162" s="208"/>
      <c r="CP162" s="208"/>
      <c r="CQ162" s="208"/>
      <c r="CR162" s="208"/>
      <c r="CS162" s="208"/>
      <c r="CT162" s="208"/>
      <c r="CU162" s="208"/>
      <c r="CV162" s="208"/>
      <c r="CW162" s="208"/>
      <c r="CX162" s="208"/>
      <c r="CY162" s="208"/>
      <c r="CZ162" s="208"/>
      <c r="DA162" s="208"/>
      <c r="DB162" s="208"/>
      <c r="DC162" s="208"/>
      <c r="DD162" s="208"/>
      <c r="DE162" s="208"/>
      <c r="DF162" s="208"/>
      <c r="DG162" s="208"/>
      <c r="DH162" s="208"/>
      <c r="DI162" s="208"/>
      <c r="DJ162" s="208"/>
      <c r="DK162" s="208"/>
      <c r="DL162" s="208"/>
      <c r="DM162" s="208"/>
      <c r="DN162" s="208"/>
      <c r="DO162" s="208"/>
      <c r="DP162" s="208"/>
      <c r="DQ162" s="208"/>
      <c r="DR162" s="208"/>
      <c r="DS162" s="208"/>
      <c r="DT162" s="208"/>
      <c r="DU162" s="208"/>
      <c r="DV162" s="208"/>
      <c r="DW162" s="208"/>
      <c r="DX162" s="208"/>
      <c r="DY162" s="208"/>
      <c r="DZ162" s="208"/>
      <c r="EA162" s="208"/>
      <c r="EB162" s="208"/>
      <c r="EC162" s="208"/>
      <c r="ED162" s="208"/>
      <c r="EE162" s="208"/>
      <c r="EF162" s="208"/>
      <c r="EG162" s="208"/>
      <c r="EH162" s="208"/>
      <c r="EI162" s="208"/>
      <c r="EJ162" s="208"/>
      <c r="EK162" s="208"/>
      <c r="EL162" s="208"/>
      <c r="EM162" s="208"/>
      <c r="EN162" s="208"/>
      <c r="EO162" s="208"/>
      <c r="EP162" s="208"/>
      <c r="EQ162" s="208"/>
      <c r="ER162" s="208"/>
      <c r="ES162" s="208"/>
      <c r="ET162" s="208"/>
      <c r="EU162" s="208"/>
      <c r="EV162" s="208"/>
      <c r="EW162" s="208"/>
      <c r="EX162" s="208"/>
      <c r="EY162" s="208"/>
      <c r="EZ162" s="208"/>
      <c r="FA162" s="208"/>
      <c r="FB162" s="208"/>
      <c r="FC162" s="208"/>
      <c r="FD162" s="208"/>
      <c r="FE162" s="208"/>
      <c r="FF162" s="208"/>
      <c r="FG162" s="208"/>
      <c r="FH162" s="208"/>
      <c r="FI162" s="208"/>
      <c r="FJ162" s="208"/>
      <c r="FK162" s="208"/>
      <c r="FL162" s="208"/>
      <c r="FM162" s="208"/>
      <c r="FN162" s="208"/>
      <c r="FO162" s="208"/>
      <c r="FP162" s="208"/>
      <c r="FQ162" s="208"/>
      <c r="FR162" s="208"/>
      <c r="FS162" s="208"/>
      <c r="FT162" s="208"/>
      <c r="FU162" s="208"/>
      <c r="FV162" s="208"/>
      <c r="FW162" s="208"/>
      <c r="FX162" s="208"/>
      <c r="FY162" s="208"/>
      <c r="FZ162" s="208"/>
      <c r="GA162" s="208"/>
      <c r="GB162" s="208"/>
      <c r="GC162" s="208"/>
      <c r="GD162" s="208"/>
      <c r="GE162" s="208"/>
      <c r="GF162" s="208"/>
    </row>
    <row r="163" spans="1:188" s="209" customFormat="1" ht="15" x14ac:dyDescent="0.25">
      <c r="A163" s="195" t="s">
        <v>4933</v>
      </c>
      <c r="B163" s="195" t="s">
        <v>923</v>
      </c>
      <c r="C163" s="196" t="s">
        <v>2779</v>
      </c>
      <c r="D163" s="154" t="s">
        <v>121</v>
      </c>
      <c r="E163" s="154">
        <v>810</v>
      </c>
      <c r="F163" s="154">
        <v>0.1</v>
      </c>
      <c r="G163" s="197"/>
      <c r="H163" s="198"/>
      <c r="I163" s="151">
        <f>IFERROR(INDEX(Composições!$A$5:$J$8391,MATCH(B163,Composições!$A$5:$A$8391,0)+2,8),"")</f>
        <v>52.139791086624996</v>
      </c>
      <c r="J163" s="152">
        <f t="shared" si="24"/>
        <v>4223.32</v>
      </c>
      <c r="K163" s="198">
        <f>BDI!$B$17</f>
        <v>0.191</v>
      </c>
      <c r="L163" s="198"/>
      <c r="M163" s="198"/>
      <c r="N163" s="153">
        <f t="shared" si="25"/>
        <v>62.1</v>
      </c>
      <c r="O163" s="152">
        <f t="shared" si="26"/>
        <v>5030.1000000000004</v>
      </c>
      <c r="P163" s="225"/>
      <c r="Q163" s="208"/>
      <c r="R163" s="208"/>
      <c r="S163"/>
      <c r="T163" s="208"/>
      <c r="U163" s="208"/>
      <c r="V163" s="208"/>
      <c r="W163" s="208"/>
      <c r="X163" s="208"/>
      <c r="Y163" s="208"/>
      <c r="Z163" s="208"/>
      <c r="AA163" s="208"/>
      <c r="AB163" s="208"/>
      <c r="AC163" s="208"/>
      <c r="AD163" s="208"/>
      <c r="AE163" s="208"/>
      <c r="AF163" s="208"/>
      <c r="AG163" s="208"/>
      <c r="AH163" s="208"/>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8"/>
      <c r="BF163" s="208"/>
      <c r="BG163" s="208"/>
      <c r="BH163" s="208"/>
      <c r="BI163" s="208"/>
      <c r="BJ163" s="208"/>
      <c r="BK163" s="208"/>
      <c r="BL163" s="208"/>
      <c r="BM163" s="208"/>
      <c r="BN163" s="208"/>
      <c r="BO163" s="208"/>
      <c r="BP163" s="208"/>
      <c r="BQ163" s="208"/>
      <c r="BR163" s="208"/>
      <c r="BS163" s="208"/>
      <c r="BT163" s="208"/>
      <c r="BU163" s="208"/>
      <c r="BV163" s="208"/>
      <c r="BW163" s="208"/>
      <c r="BX163" s="208"/>
      <c r="BY163" s="208"/>
      <c r="BZ163" s="208"/>
      <c r="CA163" s="208"/>
      <c r="CB163" s="208"/>
      <c r="CC163" s="208"/>
      <c r="CD163" s="208"/>
      <c r="CE163" s="208"/>
      <c r="CF163" s="208"/>
      <c r="CG163" s="208"/>
      <c r="CH163" s="208"/>
      <c r="CI163" s="208"/>
      <c r="CJ163" s="208"/>
      <c r="CK163" s="208"/>
      <c r="CL163" s="208"/>
      <c r="CM163" s="208"/>
      <c r="CN163" s="208"/>
      <c r="CO163" s="208"/>
      <c r="CP163" s="208"/>
      <c r="CQ163" s="208"/>
      <c r="CR163" s="208"/>
      <c r="CS163" s="208"/>
      <c r="CT163" s="208"/>
      <c r="CU163" s="208"/>
      <c r="CV163" s="208"/>
      <c r="CW163" s="208"/>
      <c r="CX163" s="208"/>
      <c r="CY163" s="208"/>
      <c r="CZ163" s="208"/>
      <c r="DA163" s="208"/>
      <c r="DB163" s="208"/>
      <c r="DC163" s="208"/>
      <c r="DD163" s="208"/>
      <c r="DE163" s="208"/>
      <c r="DF163" s="208"/>
      <c r="DG163" s="208"/>
      <c r="DH163" s="208"/>
      <c r="DI163" s="208"/>
      <c r="DJ163" s="208"/>
      <c r="DK163" s="208"/>
      <c r="DL163" s="208"/>
      <c r="DM163" s="208"/>
      <c r="DN163" s="208"/>
      <c r="DO163" s="208"/>
      <c r="DP163" s="208"/>
      <c r="DQ163" s="208"/>
      <c r="DR163" s="208"/>
      <c r="DS163" s="208"/>
      <c r="DT163" s="208"/>
      <c r="DU163" s="208"/>
      <c r="DV163" s="208"/>
      <c r="DW163" s="208"/>
      <c r="DX163" s="208"/>
      <c r="DY163" s="208"/>
      <c r="DZ163" s="208"/>
      <c r="EA163" s="208"/>
      <c r="EB163" s="208"/>
      <c r="EC163" s="208"/>
      <c r="ED163" s="208"/>
      <c r="EE163" s="208"/>
      <c r="EF163" s="208"/>
      <c r="EG163" s="208"/>
      <c r="EH163" s="208"/>
      <c r="EI163" s="208"/>
      <c r="EJ163" s="208"/>
      <c r="EK163" s="208"/>
      <c r="EL163" s="208"/>
      <c r="EM163" s="208"/>
      <c r="EN163" s="208"/>
      <c r="EO163" s="208"/>
      <c r="EP163" s="208"/>
      <c r="EQ163" s="208"/>
      <c r="ER163" s="208"/>
      <c r="ES163" s="208"/>
      <c r="ET163" s="208"/>
      <c r="EU163" s="208"/>
      <c r="EV163" s="208"/>
      <c r="EW163" s="208"/>
      <c r="EX163" s="208"/>
      <c r="EY163" s="208"/>
      <c r="EZ163" s="208"/>
      <c r="FA163" s="208"/>
      <c r="FB163" s="208"/>
      <c r="FC163" s="208"/>
      <c r="FD163" s="208"/>
      <c r="FE163" s="208"/>
      <c r="FF163" s="208"/>
      <c r="FG163" s="208"/>
      <c r="FH163" s="208"/>
      <c r="FI163" s="208"/>
      <c r="FJ163" s="208"/>
      <c r="FK163" s="208"/>
      <c r="FL163" s="208"/>
      <c r="FM163" s="208"/>
      <c r="FN163" s="208"/>
      <c r="FO163" s="208"/>
      <c r="FP163" s="208"/>
      <c r="FQ163" s="208"/>
      <c r="FR163" s="208"/>
      <c r="FS163" s="208"/>
      <c r="FT163" s="208"/>
      <c r="FU163" s="208"/>
      <c r="FV163" s="208"/>
      <c r="FW163" s="208"/>
      <c r="FX163" s="208"/>
      <c r="FY163" s="208"/>
      <c r="FZ163" s="208"/>
      <c r="GA163" s="208"/>
      <c r="GB163" s="208"/>
      <c r="GC163" s="208"/>
      <c r="GD163" s="208"/>
      <c r="GE163" s="208"/>
      <c r="GF163" s="208"/>
    </row>
    <row r="164" spans="1:188" s="225" customFormat="1" ht="15" x14ac:dyDescent="0.25">
      <c r="A164" s="189" t="s">
        <v>4934</v>
      </c>
      <c r="B164" s="189"/>
      <c r="C164" s="190" t="s">
        <v>4935</v>
      </c>
      <c r="D164" s="191"/>
      <c r="E164" s="191"/>
      <c r="F164" s="191"/>
      <c r="G164" s="192"/>
      <c r="H164" s="193"/>
      <c r="I164" s="246"/>
      <c r="J164" s="194">
        <f>SUBTOTAL(109,J165:J179)</f>
        <v>589875.58000000007</v>
      </c>
      <c r="K164" s="191"/>
      <c r="L164" s="191"/>
      <c r="M164" s="191"/>
      <c r="N164" s="191"/>
      <c r="O164" s="194">
        <f>SUBTOTAL(109,O165:O179)</f>
        <v>702548.29</v>
      </c>
      <c r="Q164" s="208"/>
      <c r="R164" s="208"/>
      <c r="S164"/>
      <c r="T164" s="208"/>
      <c r="U164" s="208"/>
      <c r="V164" s="208"/>
      <c r="W164" s="208"/>
      <c r="X164" s="208"/>
      <c r="Y164" s="208"/>
      <c r="Z164" s="208"/>
      <c r="AA164" s="208"/>
      <c r="AB164" s="208"/>
      <c r="AC164" s="208"/>
      <c r="AD164" s="208"/>
      <c r="AE164" s="208"/>
      <c r="AF164" s="208"/>
      <c r="AG164" s="208"/>
      <c r="AH164" s="208"/>
      <c r="AI164" s="208"/>
      <c r="AJ164" s="208"/>
      <c r="AK164" s="208"/>
      <c r="AL164" s="208"/>
      <c r="AM164" s="208"/>
      <c r="AN164" s="208"/>
      <c r="AO164" s="208"/>
      <c r="AP164" s="208"/>
      <c r="AQ164" s="208"/>
      <c r="AR164" s="208"/>
      <c r="AS164" s="208"/>
      <c r="AT164" s="208"/>
      <c r="AU164" s="208"/>
      <c r="AV164" s="208"/>
      <c r="AW164" s="208"/>
      <c r="AX164" s="208"/>
      <c r="AY164" s="208"/>
      <c r="AZ164" s="208"/>
      <c r="BA164" s="208"/>
      <c r="BB164" s="208"/>
      <c r="BC164" s="208"/>
      <c r="BD164" s="208"/>
      <c r="BE164" s="208"/>
      <c r="BF164" s="208"/>
      <c r="BG164" s="208"/>
      <c r="BH164" s="208"/>
      <c r="BI164" s="208"/>
      <c r="BJ164" s="208"/>
      <c r="BK164" s="208"/>
      <c r="BL164" s="208"/>
      <c r="BM164" s="208"/>
      <c r="BN164" s="208"/>
      <c r="BO164" s="208"/>
      <c r="BP164" s="208"/>
      <c r="BQ164" s="208"/>
      <c r="BR164" s="208"/>
      <c r="BS164" s="208"/>
      <c r="BT164" s="208"/>
      <c r="BU164" s="208"/>
      <c r="BV164" s="208"/>
      <c r="BW164" s="208"/>
      <c r="BX164" s="208"/>
      <c r="BY164" s="208"/>
      <c r="BZ164" s="208"/>
      <c r="CA164" s="208"/>
      <c r="CB164" s="208"/>
      <c r="CC164" s="208"/>
      <c r="CD164" s="208"/>
      <c r="CE164" s="208"/>
      <c r="CF164" s="208"/>
      <c r="CG164" s="208"/>
      <c r="CH164" s="208"/>
      <c r="CI164" s="208"/>
      <c r="CJ164" s="208"/>
      <c r="CK164" s="208"/>
      <c r="CL164" s="208"/>
      <c r="CM164" s="208"/>
      <c r="CN164" s="208"/>
      <c r="CO164" s="208"/>
      <c r="CP164" s="208"/>
      <c r="CQ164" s="208"/>
      <c r="CR164" s="208"/>
      <c r="CS164" s="208"/>
      <c r="CT164" s="208"/>
      <c r="CU164" s="208"/>
      <c r="CV164" s="208"/>
      <c r="CW164" s="208"/>
      <c r="CX164" s="208"/>
      <c r="CY164" s="208"/>
      <c r="CZ164" s="208"/>
      <c r="DA164" s="208"/>
      <c r="DB164" s="208"/>
      <c r="DC164" s="208"/>
      <c r="DD164" s="208"/>
      <c r="DE164" s="208"/>
      <c r="DF164" s="208"/>
      <c r="DG164" s="208"/>
      <c r="DH164" s="208"/>
      <c r="DI164" s="208"/>
      <c r="DJ164" s="208"/>
      <c r="DK164" s="208"/>
      <c r="DL164" s="208"/>
      <c r="DM164" s="208"/>
      <c r="DN164" s="208"/>
      <c r="DO164" s="208"/>
      <c r="DP164" s="208"/>
      <c r="DQ164" s="208"/>
      <c r="DR164" s="208"/>
      <c r="DS164" s="208"/>
      <c r="DT164" s="208"/>
      <c r="DU164" s="208"/>
      <c r="DV164" s="208"/>
      <c r="DW164" s="208"/>
      <c r="DX164" s="208"/>
      <c r="DY164" s="208"/>
      <c r="DZ164" s="208"/>
      <c r="EA164" s="208"/>
      <c r="EB164" s="208"/>
      <c r="EC164" s="208"/>
      <c r="ED164" s="208"/>
      <c r="EE164" s="208"/>
      <c r="EF164" s="208"/>
      <c r="EG164" s="208"/>
      <c r="EH164" s="208"/>
      <c r="EI164" s="208"/>
      <c r="EJ164" s="208"/>
      <c r="EK164" s="208"/>
      <c r="EL164" s="208"/>
      <c r="EM164" s="208"/>
      <c r="EN164" s="208"/>
      <c r="EO164" s="208"/>
      <c r="EP164" s="208"/>
      <c r="EQ164" s="208"/>
      <c r="ER164" s="208"/>
      <c r="ES164" s="208"/>
      <c r="ET164" s="208"/>
      <c r="EU164" s="208"/>
      <c r="EV164" s="208"/>
      <c r="EW164" s="208"/>
      <c r="EX164" s="208"/>
      <c r="EY164" s="208"/>
      <c r="EZ164" s="208"/>
      <c r="FA164" s="208"/>
      <c r="FB164" s="208"/>
      <c r="FC164" s="208"/>
      <c r="FD164" s="208"/>
      <c r="FE164" s="208"/>
      <c r="FF164" s="208"/>
      <c r="FG164" s="208"/>
      <c r="FH164" s="208"/>
      <c r="FI164" s="208"/>
      <c r="FJ164" s="208"/>
      <c r="FK164" s="208"/>
      <c r="FL164" s="208"/>
      <c r="FM164" s="208"/>
      <c r="FN164" s="208"/>
      <c r="FO164" s="208"/>
      <c r="FP164" s="208"/>
      <c r="FQ164" s="208"/>
      <c r="FR164" s="208"/>
      <c r="FS164" s="208"/>
      <c r="FT164" s="208"/>
      <c r="FU164" s="208"/>
      <c r="FV164" s="208"/>
      <c r="FW164" s="208"/>
      <c r="FX164" s="208"/>
      <c r="FY164" s="208"/>
      <c r="FZ164" s="208"/>
      <c r="GA164" s="208"/>
      <c r="GB164" s="208"/>
      <c r="GC164" s="208"/>
      <c r="GD164" s="208"/>
      <c r="GE164" s="208"/>
      <c r="GF164" s="208"/>
    </row>
    <row r="165" spans="1:188" s="209" customFormat="1" ht="15" x14ac:dyDescent="0.25">
      <c r="A165" s="195" t="s">
        <v>4936</v>
      </c>
      <c r="B165" s="195" t="s">
        <v>1531</v>
      </c>
      <c r="C165" s="196" t="s">
        <v>3304</v>
      </c>
      <c r="D165" s="154" t="s">
        <v>78</v>
      </c>
      <c r="E165" s="154">
        <v>90000</v>
      </c>
      <c r="F165" s="154">
        <v>0.1</v>
      </c>
      <c r="G165" s="197"/>
      <c r="H165" s="198"/>
      <c r="I165" s="151">
        <f>IFERROR(INDEX(Composições!$A$5:$J$8391,MATCH(B165,Composições!$A$5:$A$8391,0)+2,8),"")</f>
        <v>3.3768956499999998</v>
      </c>
      <c r="J165" s="152">
        <f t="shared" ref="J165:J179" si="27">IF(ISNUMBER(I165),ROUND(F165*E165*I165,2),"")</f>
        <v>30392.06</v>
      </c>
      <c r="K165" s="198">
        <f>BDI!$B$17</f>
        <v>0.191</v>
      </c>
      <c r="L165" s="198"/>
      <c r="M165" s="198"/>
      <c r="N165" s="153">
        <f t="shared" ref="N165:N179" si="28">IF(ISNUMBER(I165),ROUND(I165*(1+K165),2),"")</f>
        <v>4.0199999999999996</v>
      </c>
      <c r="O165" s="152">
        <f t="shared" ref="O165:O179" si="29">IF(ISNUMBER(I165),ROUND(F165*N165*E165,2),"")</f>
        <v>36180</v>
      </c>
      <c r="P165" s="225"/>
      <c r="Q165" s="208"/>
      <c r="R165" s="208"/>
      <c r="S165"/>
      <c r="T165" s="208"/>
      <c r="U165" s="208"/>
      <c r="V165" s="208"/>
      <c r="W165" s="208"/>
      <c r="X165" s="208"/>
      <c r="Y165" s="208"/>
      <c r="Z165" s="208"/>
      <c r="AA165" s="208"/>
      <c r="AB165" s="208"/>
      <c r="AC165" s="208"/>
      <c r="AD165" s="208"/>
      <c r="AE165" s="208"/>
      <c r="AF165" s="208"/>
      <c r="AG165" s="208"/>
      <c r="AH165" s="208"/>
      <c r="AI165" s="208"/>
      <c r="AJ165" s="208"/>
      <c r="AK165" s="208"/>
      <c r="AL165" s="208"/>
      <c r="AM165" s="208"/>
      <c r="AN165" s="208"/>
      <c r="AO165" s="208"/>
      <c r="AP165" s="208"/>
      <c r="AQ165" s="208"/>
      <c r="AR165" s="208"/>
      <c r="AS165" s="208"/>
      <c r="AT165" s="208"/>
      <c r="AU165" s="208"/>
      <c r="AV165" s="208"/>
      <c r="AW165" s="208"/>
      <c r="AX165" s="208"/>
      <c r="AY165" s="208"/>
      <c r="AZ165" s="208"/>
      <c r="BA165" s="208"/>
      <c r="BB165" s="208"/>
      <c r="BC165" s="208"/>
      <c r="BD165" s="208"/>
      <c r="BE165" s="208"/>
      <c r="BF165" s="208"/>
      <c r="BG165" s="208"/>
      <c r="BH165" s="208"/>
      <c r="BI165" s="208"/>
      <c r="BJ165" s="208"/>
      <c r="BK165" s="208"/>
      <c r="BL165" s="208"/>
      <c r="BM165" s="208"/>
      <c r="BN165" s="208"/>
      <c r="BO165" s="208"/>
      <c r="BP165" s="208"/>
      <c r="BQ165" s="208"/>
      <c r="BR165" s="208"/>
      <c r="BS165" s="208"/>
      <c r="BT165" s="208"/>
      <c r="BU165" s="208"/>
      <c r="BV165" s="208"/>
      <c r="BW165" s="208"/>
      <c r="BX165" s="208"/>
      <c r="BY165" s="208"/>
      <c r="BZ165" s="208"/>
      <c r="CA165" s="208"/>
      <c r="CB165" s="208"/>
      <c r="CC165" s="208"/>
      <c r="CD165" s="208"/>
      <c r="CE165" s="208"/>
      <c r="CF165" s="208"/>
      <c r="CG165" s="208"/>
      <c r="CH165" s="208"/>
      <c r="CI165" s="208"/>
      <c r="CJ165" s="208"/>
      <c r="CK165" s="208"/>
      <c r="CL165" s="208"/>
      <c r="CM165" s="208"/>
      <c r="CN165" s="208"/>
      <c r="CO165" s="208"/>
      <c r="CP165" s="208"/>
      <c r="CQ165" s="208"/>
      <c r="CR165" s="208"/>
      <c r="CS165" s="208"/>
      <c r="CT165" s="208"/>
      <c r="CU165" s="208"/>
      <c r="CV165" s="208"/>
      <c r="CW165" s="208"/>
      <c r="CX165" s="208"/>
      <c r="CY165" s="208"/>
      <c r="CZ165" s="208"/>
      <c r="DA165" s="208"/>
      <c r="DB165" s="208"/>
      <c r="DC165" s="208"/>
      <c r="DD165" s="208"/>
      <c r="DE165" s="208"/>
      <c r="DF165" s="208"/>
      <c r="DG165" s="208"/>
      <c r="DH165" s="208"/>
      <c r="DI165" s="208"/>
      <c r="DJ165" s="208"/>
      <c r="DK165" s="208"/>
      <c r="DL165" s="208"/>
      <c r="DM165" s="208"/>
      <c r="DN165" s="208"/>
      <c r="DO165" s="208"/>
      <c r="DP165" s="208"/>
      <c r="DQ165" s="208"/>
      <c r="DR165" s="208"/>
      <c r="DS165" s="208"/>
      <c r="DT165" s="208"/>
      <c r="DU165" s="208"/>
      <c r="DV165" s="208"/>
      <c r="DW165" s="208"/>
      <c r="DX165" s="208"/>
      <c r="DY165" s="208"/>
      <c r="DZ165" s="208"/>
      <c r="EA165" s="208"/>
      <c r="EB165" s="208"/>
      <c r="EC165" s="208"/>
      <c r="ED165" s="208"/>
      <c r="EE165" s="208"/>
      <c r="EF165" s="208"/>
      <c r="EG165" s="208"/>
      <c r="EH165" s="208"/>
      <c r="EI165" s="208"/>
      <c r="EJ165" s="208"/>
      <c r="EK165" s="208"/>
      <c r="EL165" s="208"/>
      <c r="EM165" s="208"/>
      <c r="EN165" s="208"/>
      <c r="EO165" s="208"/>
      <c r="EP165" s="208"/>
      <c r="EQ165" s="208"/>
      <c r="ER165" s="208"/>
      <c r="ES165" s="208"/>
      <c r="ET165" s="208"/>
      <c r="EU165" s="208"/>
      <c r="EV165" s="208"/>
      <c r="EW165" s="208"/>
      <c r="EX165" s="208"/>
      <c r="EY165" s="208"/>
      <c r="EZ165" s="208"/>
      <c r="FA165" s="208"/>
      <c r="FB165" s="208"/>
      <c r="FC165" s="208"/>
      <c r="FD165" s="208"/>
      <c r="FE165" s="208"/>
      <c r="FF165" s="208"/>
      <c r="FG165" s="208"/>
      <c r="FH165" s="208"/>
      <c r="FI165" s="208"/>
      <c r="FJ165" s="208"/>
      <c r="FK165" s="208"/>
      <c r="FL165" s="208"/>
      <c r="FM165" s="208"/>
      <c r="FN165" s="208"/>
      <c r="FO165" s="208"/>
      <c r="FP165" s="208"/>
      <c r="FQ165" s="208"/>
      <c r="FR165" s="208"/>
      <c r="FS165" s="208"/>
      <c r="FT165" s="208"/>
      <c r="FU165" s="208"/>
      <c r="FV165" s="208"/>
      <c r="FW165" s="208"/>
      <c r="FX165" s="208"/>
      <c r="FY165" s="208"/>
      <c r="FZ165" s="208"/>
      <c r="GA165" s="208"/>
      <c r="GB165" s="208"/>
      <c r="GC165" s="208"/>
      <c r="GD165" s="208"/>
      <c r="GE165" s="208"/>
      <c r="GF165" s="208"/>
    </row>
    <row r="166" spans="1:188" s="209" customFormat="1" ht="15" x14ac:dyDescent="0.25">
      <c r="A166" s="195" t="s">
        <v>4937</v>
      </c>
      <c r="B166" s="195" t="s">
        <v>1992</v>
      </c>
      <c r="C166" s="196" t="s">
        <v>3707</v>
      </c>
      <c r="D166" s="154" t="s">
        <v>78</v>
      </c>
      <c r="E166" s="154">
        <v>30000</v>
      </c>
      <c r="F166" s="154">
        <v>0.1</v>
      </c>
      <c r="G166" s="197"/>
      <c r="H166" s="198"/>
      <c r="I166" s="151">
        <f>IFERROR(INDEX(Composições!$A$5:$J$8391,MATCH(B166,Composições!$A$5:$A$8391,0)+2,8),"")</f>
        <v>12.012415599999999</v>
      </c>
      <c r="J166" s="152">
        <f t="shared" si="27"/>
        <v>36037.25</v>
      </c>
      <c r="K166" s="198">
        <f>BDI!$B$17</f>
        <v>0.191</v>
      </c>
      <c r="L166" s="198"/>
      <c r="M166" s="198"/>
      <c r="N166" s="153">
        <f t="shared" si="28"/>
        <v>14.31</v>
      </c>
      <c r="O166" s="152">
        <f t="shared" si="29"/>
        <v>42930</v>
      </c>
      <c r="P166" s="225"/>
      <c r="Q166" s="208"/>
      <c r="R166" s="208"/>
      <c r="S166"/>
      <c r="T166" s="208"/>
      <c r="U166" s="208"/>
      <c r="V166" s="208"/>
      <c r="W166" s="208"/>
      <c r="X166" s="208"/>
      <c r="Y166" s="208"/>
      <c r="Z166" s="208"/>
      <c r="AA166" s="208"/>
      <c r="AB166" s="208"/>
      <c r="AC166" s="208"/>
      <c r="AD166" s="208"/>
      <c r="AE166" s="208"/>
      <c r="AF166" s="208"/>
      <c r="AG166" s="208"/>
      <c r="AH166" s="208"/>
      <c r="AI166" s="208"/>
      <c r="AJ166" s="208"/>
      <c r="AK166" s="208"/>
      <c r="AL166" s="208"/>
      <c r="AM166" s="208"/>
      <c r="AN166" s="208"/>
      <c r="AO166" s="208"/>
      <c r="AP166" s="208"/>
      <c r="AQ166" s="208"/>
      <c r="AR166" s="208"/>
      <c r="AS166" s="208"/>
      <c r="AT166" s="208"/>
      <c r="AU166" s="208"/>
      <c r="AV166" s="208"/>
      <c r="AW166" s="208"/>
      <c r="AX166" s="208"/>
      <c r="AY166" s="208"/>
      <c r="AZ166" s="208"/>
      <c r="BA166" s="208"/>
      <c r="BB166" s="208"/>
      <c r="BC166" s="208"/>
      <c r="BD166" s="208"/>
      <c r="BE166" s="208"/>
      <c r="BF166" s="208"/>
      <c r="BG166" s="208"/>
      <c r="BH166" s="208"/>
      <c r="BI166" s="208"/>
      <c r="BJ166" s="208"/>
      <c r="BK166" s="208"/>
      <c r="BL166" s="208"/>
      <c r="BM166" s="208"/>
      <c r="BN166" s="208"/>
      <c r="BO166" s="208"/>
      <c r="BP166" s="208"/>
      <c r="BQ166" s="208"/>
      <c r="BR166" s="208"/>
      <c r="BS166" s="208"/>
      <c r="BT166" s="208"/>
      <c r="BU166" s="208"/>
      <c r="BV166" s="208"/>
      <c r="BW166" s="208"/>
      <c r="BX166" s="208"/>
      <c r="BY166" s="208"/>
      <c r="BZ166" s="208"/>
      <c r="CA166" s="208"/>
      <c r="CB166" s="208"/>
      <c r="CC166" s="208"/>
      <c r="CD166" s="208"/>
      <c r="CE166" s="208"/>
      <c r="CF166" s="208"/>
      <c r="CG166" s="208"/>
      <c r="CH166" s="208"/>
      <c r="CI166" s="208"/>
      <c r="CJ166" s="208"/>
      <c r="CK166" s="208"/>
      <c r="CL166" s="208"/>
      <c r="CM166" s="208"/>
      <c r="CN166" s="208"/>
      <c r="CO166" s="208"/>
      <c r="CP166" s="208"/>
      <c r="CQ166" s="208"/>
      <c r="CR166" s="208"/>
      <c r="CS166" s="208"/>
      <c r="CT166" s="208"/>
      <c r="CU166" s="208"/>
      <c r="CV166" s="208"/>
      <c r="CW166" s="208"/>
      <c r="CX166" s="208"/>
      <c r="CY166" s="208"/>
      <c r="CZ166" s="208"/>
      <c r="DA166" s="208"/>
      <c r="DB166" s="208"/>
      <c r="DC166" s="208"/>
      <c r="DD166" s="208"/>
      <c r="DE166" s="208"/>
      <c r="DF166" s="208"/>
      <c r="DG166" s="208"/>
      <c r="DH166" s="208"/>
      <c r="DI166" s="208"/>
      <c r="DJ166" s="208"/>
      <c r="DK166" s="208"/>
      <c r="DL166" s="208"/>
      <c r="DM166" s="208"/>
      <c r="DN166" s="208"/>
      <c r="DO166" s="208"/>
      <c r="DP166" s="208"/>
      <c r="DQ166" s="208"/>
      <c r="DR166" s="208"/>
      <c r="DS166" s="208"/>
      <c r="DT166" s="208"/>
      <c r="DU166" s="208"/>
      <c r="DV166" s="208"/>
      <c r="DW166" s="208"/>
      <c r="DX166" s="208"/>
      <c r="DY166" s="208"/>
      <c r="DZ166" s="208"/>
      <c r="EA166" s="208"/>
      <c r="EB166" s="208"/>
      <c r="EC166" s="208"/>
      <c r="ED166" s="208"/>
      <c r="EE166" s="208"/>
      <c r="EF166" s="208"/>
      <c r="EG166" s="208"/>
      <c r="EH166" s="208"/>
      <c r="EI166" s="208"/>
      <c r="EJ166" s="208"/>
      <c r="EK166" s="208"/>
      <c r="EL166" s="208"/>
      <c r="EM166" s="208"/>
      <c r="EN166" s="208"/>
      <c r="EO166" s="208"/>
      <c r="EP166" s="208"/>
      <c r="EQ166" s="208"/>
      <c r="ER166" s="208"/>
      <c r="ES166" s="208"/>
      <c r="ET166" s="208"/>
      <c r="EU166" s="208"/>
      <c r="EV166" s="208"/>
      <c r="EW166" s="208"/>
      <c r="EX166" s="208"/>
      <c r="EY166" s="208"/>
      <c r="EZ166" s="208"/>
      <c r="FA166" s="208"/>
      <c r="FB166" s="208"/>
      <c r="FC166" s="208"/>
      <c r="FD166" s="208"/>
      <c r="FE166" s="208"/>
      <c r="FF166" s="208"/>
      <c r="FG166" s="208"/>
      <c r="FH166" s="208"/>
      <c r="FI166" s="208"/>
      <c r="FJ166" s="208"/>
      <c r="FK166" s="208"/>
      <c r="FL166" s="208"/>
      <c r="FM166" s="208"/>
      <c r="FN166" s="208"/>
      <c r="FO166" s="208"/>
      <c r="FP166" s="208"/>
      <c r="FQ166" s="208"/>
      <c r="FR166" s="208"/>
      <c r="FS166" s="208"/>
      <c r="FT166" s="208"/>
      <c r="FU166" s="208"/>
      <c r="FV166" s="208"/>
      <c r="FW166" s="208"/>
      <c r="FX166" s="208"/>
      <c r="FY166" s="208"/>
      <c r="FZ166" s="208"/>
      <c r="GA166" s="208"/>
      <c r="GB166" s="208"/>
      <c r="GC166" s="208"/>
      <c r="GD166" s="208"/>
      <c r="GE166" s="208"/>
      <c r="GF166" s="208"/>
    </row>
    <row r="167" spans="1:188" s="209" customFormat="1" ht="15" x14ac:dyDescent="0.25">
      <c r="A167" s="195" t="s">
        <v>4938</v>
      </c>
      <c r="B167" s="195" t="s">
        <v>1055</v>
      </c>
      <c r="C167" s="196" t="s">
        <v>2877</v>
      </c>
      <c r="D167" s="154" t="s">
        <v>78</v>
      </c>
      <c r="E167" s="154">
        <v>21780</v>
      </c>
      <c r="F167" s="154">
        <v>0.1</v>
      </c>
      <c r="G167" s="197"/>
      <c r="H167" s="198"/>
      <c r="I167" s="151">
        <f>IFERROR(INDEX(Composições!$A$5:$J$8391,MATCH(B167,Composições!$A$5:$A$8391,0)+2,8),"")</f>
        <v>85.399778799999979</v>
      </c>
      <c r="J167" s="152">
        <f t="shared" si="27"/>
        <v>186000.72</v>
      </c>
      <c r="K167" s="198">
        <f>BDI!$B$17</f>
        <v>0.191</v>
      </c>
      <c r="L167" s="198"/>
      <c r="M167" s="198"/>
      <c r="N167" s="153">
        <f t="shared" si="28"/>
        <v>101.71</v>
      </c>
      <c r="O167" s="152">
        <f t="shared" si="29"/>
        <v>221524.38</v>
      </c>
      <c r="P167" s="225"/>
      <c r="Q167" s="208"/>
      <c r="R167" s="208"/>
      <c r="S167"/>
      <c r="T167" s="208"/>
      <c r="U167" s="208"/>
      <c r="V167" s="208"/>
      <c r="W167" s="208"/>
      <c r="X167" s="208"/>
      <c r="Y167" s="208"/>
      <c r="Z167" s="208"/>
      <c r="AA167" s="208"/>
      <c r="AB167" s="208"/>
      <c r="AC167" s="208"/>
      <c r="AD167" s="208"/>
      <c r="AE167" s="208"/>
      <c r="AF167" s="208"/>
      <c r="AG167" s="208"/>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c r="BI167" s="208"/>
      <c r="BJ167" s="208"/>
      <c r="BK167" s="208"/>
      <c r="BL167" s="208"/>
      <c r="BM167" s="208"/>
      <c r="BN167" s="208"/>
      <c r="BO167" s="208"/>
      <c r="BP167" s="208"/>
      <c r="BQ167" s="208"/>
      <c r="BR167" s="208"/>
      <c r="BS167" s="208"/>
      <c r="BT167" s="208"/>
      <c r="BU167" s="208"/>
      <c r="BV167" s="208"/>
      <c r="BW167" s="208"/>
      <c r="BX167" s="208"/>
      <c r="BY167" s="208"/>
      <c r="BZ167" s="208"/>
      <c r="CA167" s="208"/>
      <c r="CB167" s="208"/>
      <c r="CC167" s="208"/>
      <c r="CD167" s="208"/>
      <c r="CE167" s="208"/>
      <c r="CF167" s="208"/>
      <c r="CG167" s="208"/>
      <c r="CH167" s="208"/>
      <c r="CI167" s="208"/>
      <c r="CJ167" s="208"/>
      <c r="CK167" s="208"/>
      <c r="CL167" s="208"/>
      <c r="CM167" s="208"/>
      <c r="CN167" s="208"/>
      <c r="CO167" s="208"/>
      <c r="CP167" s="208"/>
      <c r="CQ167" s="208"/>
      <c r="CR167" s="208"/>
      <c r="CS167" s="208"/>
      <c r="CT167" s="208"/>
      <c r="CU167" s="208"/>
      <c r="CV167" s="208"/>
      <c r="CW167" s="208"/>
      <c r="CX167" s="208"/>
      <c r="CY167" s="208"/>
      <c r="CZ167" s="208"/>
      <c r="DA167" s="208"/>
      <c r="DB167" s="208"/>
      <c r="DC167" s="208"/>
      <c r="DD167" s="208"/>
      <c r="DE167" s="208"/>
      <c r="DF167" s="208"/>
      <c r="DG167" s="208"/>
      <c r="DH167" s="208"/>
      <c r="DI167" s="208"/>
      <c r="DJ167" s="208"/>
      <c r="DK167" s="208"/>
      <c r="DL167" s="208"/>
      <c r="DM167" s="208"/>
      <c r="DN167" s="208"/>
      <c r="DO167" s="208"/>
      <c r="DP167" s="208"/>
      <c r="DQ167" s="208"/>
      <c r="DR167" s="208"/>
      <c r="DS167" s="208"/>
      <c r="DT167" s="208"/>
      <c r="DU167" s="208"/>
      <c r="DV167" s="208"/>
      <c r="DW167" s="208"/>
      <c r="DX167" s="208"/>
      <c r="DY167" s="208"/>
      <c r="DZ167" s="208"/>
      <c r="EA167" s="208"/>
      <c r="EB167" s="208"/>
      <c r="EC167" s="208"/>
      <c r="ED167" s="208"/>
      <c r="EE167" s="208"/>
      <c r="EF167" s="208"/>
      <c r="EG167" s="208"/>
      <c r="EH167" s="208"/>
      <c r="EI167" s="208"/>
      <c r="EJ167" s="208"/>
      <c r="EK167" s="208"/>
      <c r="EL167" s="208"/>
      <c r="EM167" s="208"/>
      <c r="EN167" s="208"/>
      <c r="EO167" s="208"/>
      <c r="EP167" s="208"/>
      <c r="EQ167" s="208"/>
      <c r="ER167" s="208"/>
      <c r="ES167" s="208"/>
      <c r="ET167" s="208"/>
      <c r="EU167" s="208"/>
      <c r="EV167" s="208"/>
      <c r="EW167" s="208"/>
      <c r="EX167" s="208"/>
      <c r="EY167" s="208"/>
      <c r="EZ167" s="208"/>
      <c r="FA167" s="208"/>
      <c r="FB167" s="208"/>
      <c r="FC167" s="208"/>
      <c r="FD167" s="208"/>
      <c r="FE167" s="208"/>
      <c r="FF167" s="208"/>
      <c r="FG167" s="208"/>
      <c r="FH167" s="208"/>
      <c r="FI167" s="208"/>
      <c r="FJ167" s="208"/>
      <c r="FK167" s="208"/>
      <c r="FL167" s="208"/>
      <c r="FM167" s="208"/>
      <c r="FN167" s="208"/>
      <c r="FO167" s="208"/>
      <c r="FP167" s="208"/>
      <c r="FQ167" s="208"/>
      <c r="FR167" s="208"/>
      <c r="FS167" s="208"/>
      <c r="FT167" s="208"/>
      <c r="FU167" s="208"/>
      <c r="FV167" s="208"/>
      <c r="FW167" s="208"/>
      <c r="FX167" s="208"/>
      <c r="FY167" s="208"/>
      <c r="FZ167" s="208"/>
      <c r="GA167" s="208"/>
      <c r="GB167" s="208"/>
      <c r="GC167" s="208"/>
      <c r="GD167" s="208"/>
      <c r="GE167" s="208"/>
      <c r="GF167" s="208"/>
    </row>
    <row r="168" spans="1:188" s="209" customFormat="1" ht="15" x14ac:dyDescent="0.25">
      <c r="A168" s="195" t="s">
        <v>4939</v>
      </c>
      <c r="B168" s="195" t="s">
        <v>1056</v>
      </c>
      <c r="C168" s="196" t="s">
        <v>2878</v>
      </c>
      <c r="D168" s="154" t="s">
        <v>121</v>
      </c>
      <c r="E168" s="154">
        <v>2220</v>
      </c>
      <c r="F168" s="154">
        <v>0.1</v>
      </c>
      <c r="G168" s="197"/>
      <c r="H168" s="198"/>
      <c r="I168" s="151">
        <f>IFERROR(INDEX(Composições!$A$5:$J$8391,MATCH(B168,Composições!$A$5:$A$8391,0)+2,8),"")</f>
        <v>76.999392100000009</v>
      </c>
      <c r="J168" s="152">
        <f t="shared" si="27"/>
        <v>17093.87</v>
      </c>
      <c r="K168" s="198">
        <f>BDI!$B$17</f>
        <v>0.191</v>
      </c>
      <c r="L168" s="198"/>
      <c r="M168" s="198"/>
      <c r="N168" s="153">
        <f t="shared" si="28"/>
        <v>91.71</v>
      </c>
      <c r="O168" s="152">
        <f t="shared" si="29"/>
        <v>20359.62</v>
      </c>
      <c r="P168" s="225"/>
      <c r="Q168" s="208"/>
      <c r="R168" s="208"/>
      <c r="S168"/>
      <c r="T168" s="208"/>
      <c r="U168" s="208"/>
      <c r="V168" s="208"/>
      <c r="W168" s="208"/>
      <c r="X168" s="208"/>
      <c r="Y168" s="208"/>
      <c r="Z168" s="208"/>
      <c r="AA168" s="208"/>
      <c r="AB168" s="208"/>
      <c r="AC168" s="208"/>
      <c r="AD168" s="208"/>
      <c r="AE168" s="208"/>
      <c r="AF168" s="208"/>
      <c r="AG168" s="208"/>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c r="BI168" s="208"/>
      <c r="BJ168" s="208"/>
      <c r="BK168" s="208"/>
      <c r="BL168" s="208"/>
      <c r="BM168" s="208"/>
      <c r="BN168" s="208"/>
      <c r="BO168" s="208"/>
      <c r="BP168" s="208"/>
      <c r="BQ168" s="208"/>
      <c r="BR168" s="208"/>
      <c r="BS168" s="208"/>
      <c r="BT168" s="208"/>
      <c r="BU168" s="208"/>
      <c r="BV168" s="208"/>
      <c r="BW168" s="208"/>
      <c r="BX168" s="208"/>
      <c r="BY168" s="208"/>
      <c r="BZ168" s="208"/>
      <c r="CA168" s="208"/>
      <c r="CB168" s="208"/>
      <c r="CC168" s="208"/>
      <c r="CD168" s="208"/>
      <c r="CE168" s="208"/>
      <c r="CF168" s="208"/>
      <c r="CG168" s="208"/>
      <c r="CH168" s="208"/>
      <c r="CI168" s="208"/>
      <c r="CJ168" s="208"/>
      <c r="CK168" s="208"/>
      <c r="CL168" s="208"/>
      <c r="CM168" s="208"/>
      <c r="CN168" s="208"/>
      <c r="CO168" s="208"/>
      <c r="CP168" s="208"/>
      <c r="CQ168" s="208"/>
      <c r="CR168" s="208"/>
      <c r="CS168" s="208"/>
      <c r="CT168" s="208"/>
      <c r="CU168" s="208"/>
      <c r="CV168" s="208"/>
      <c r="CW168" s="208"/>
      <c r="CX168" s="208"/>
      <c r="CY168" s="208"/>
      <c r="CZ168" s="208"/>
      <c r="DA168" s="208"/>
      <c r="DB168" s="208"/>
      <c r="DC168" s="208"/>
      <c r="DD168" s="208"/>
      <c r="DE168" s="208"/>
      <c r="DF168" s="208"/>
      <c r="DG168" s="208"/>
      <c r="DH168" s="208"/>
      <c r="DI168" s="208"/>
      <c r="DJ168" s="208"/>
      <c r="DK168" s="208"/>
      <c r="DL168" s="208"/>
      <c r="DM168" s="208"/>
      <c r="DN168" s="208"/>
      <c r="DO168" s="208"/>
      <c r="DP168" s="208"/>
      <c r="DQ168" s="208"/>
      <c r="DR168" s="208"/>
      <c r="DS168" s="208"/>
      <c r="DT168" s="208"/>
      <c r="DU168" s="208"/>
      <c r="DV168" s="208"/>
      <c r="DW168" s="208"/>
      <c r="DX168" s="208"/>
      <c r="DY168" s="208"/>
      <c r="DZ168" s="208"/>
      <c r="EA168" s="208"/>
      <c r="EB168" s="208"/>
      <c r="EC168" s="208"/>
      <c r="ED168" s="208"/>
      <c r="EE168" s="208"/>
      <c r="EF168" s="208"/>
      <c r="EG168" s="208"/>
      <c r="EH168" s="208"/>
      <c r="EI168" s="208"/>
      <c r="EJ168" s="208"/>
      <c r="EK168" s="208"/>
      <c r="EL168" s="208"/>
      <c r="EM168" s="208"/>
      <c r="EN168" s="208"/>
      <c r="EO168" s="208"/>
      <c r="EP168" s="208"/>
      <c r="EQ168" s="208"/>
      <c r="ER168" s="208"/>
      <c r="ES168" s="208"/>
      <c r="ET168" s="208"/>
      <c r="EU168" s="208"/>
      <c r="EV168" s="208"/>
      <c r="EW168" s="208"/>
      <c r="EX168" s="208"/>
      <c r="EY168" s="208"/>
      <c r="EZ168" s="208"/>
      <c r="FA168" s="208"/>
      <c r="FB168" s="208"/>
      <c r="FC168" s="208"/>
      <c r="FD168" s="208"/>
      <c r="FE168" s="208"/>
      <c r="FF168" s="208"/>
      <c r="FG168" s="208"/>
      <c r="FH168" s="208"/>
      <c r="FI168" s="208"/>
      <c r="FJ168" s="208"/>
      <c r="FK168" s="208"/>
      <c r="FL168" s="208"/>
      <c r="FM168" s="208"/>
      <c r="FN168" s="208"/>
      <c r="FO168" s="208"/>
      <c r="FP168" s="208"/>
      <c r="FQ168" s="208"/>
      <c r="FR168" s="208"/>
      <c r="FS168" s="208"/>
      <c r="FT168" s="208"/>
      <c r="FU168" s="208"/>
      <c r="FV168" s="208"/>
      <c r="FW168" s="208"/>
      <c r="FX168" s="208"/>
      <c r="FY168" s="208"/>
      <c r="FZ168" s="208"/>
      <c r="GA168" s="208"/>
      <c r="GB168" s="208"/>
      <c r="GC168" s="208"/>
      <c r="GD168" s="208"/>
      <c r="GE168" s="208"/>
      <c r="GF168" s="208"/>
    </row>
    <row r="169" spans="1:188" s="209" customFormat="1" ht="15" x14ac:dyDescent="0.25">
      <c r="A169" s="195" t="s">
        <v>4940</v>
      </c>
      <c r="B169" s="195" t="s">
        <v>1058</v>
      </c>
      <c r="C169" s="196" t="s">
        <v>2879</v>
      </c>
      <c r="D169" s="154" t="s">
        <v>78</v>
      </c>
      <c r="E169" s="154">
        <v>27000</v>
      </c>
      <c r="F169" s="154">
        <v>0.1</v>
      </c>
      <c r="G169" s="197"/>
      <c r="H169" s="198"/>
      <c r="I169" s="151">
        <f>IFERROR(INDEX(Composições!$A$5:$J$8391,MATCH(B169,Composições!$A$5:$A$8391,0)+2,8),"")</f>
        <v>60.231668800000008</v>
      </c>
      <c r="J169" s="152">
        <f t="shared" si="27"/>
        <v>162625.51</v>
      </c>
      <c r="K169" s="198">
        <f>BDI!$B$17</f>
        <v>0.191</v>
      </c>
      <c r="L169" s="198"/>
      <c r="M169" s="198"/>
      <c r="N169" s="153">
        <f t="shared" si="28"/>
        <v>71.739999999999995</v>
      </c>
      <c r="O169" s="152">
        <f t="shared" si="29"/>
        <v>193698</v>
      </c>
      <c r="P169" s="225"/>
      <c r="Q169" s="208"/>
      <c r="R169" s="208"/>
      <c r="S169"/>
      <c r="T169" s="208"/>
      <c r="U169" s="208"/>
      <c r="V169" s="208"/>
      <c r="W169" s="208"/>
      <c r="X169" s="208"/>
      <c r="Y169" s="208"/>
      <c r="Z169" s="208"/>
      <c r="AA169" s="208"/>
      <c r="AB169" s="208"/>
      <c r="AC169" s="208"/>
      <c r="AD169" s="208"/>
      <c r="AE169" s="208"/>
      <c r="AF169" s="208"/>
      <c r="AG169" s="208"/>
      <c r="AH169" s="208"/>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c r="BI169" s="208"/>
      <c r="BJ169" s="208"/>
      <c r="BK169" s="208"/>
      <c r="BL169" s="208"/>
      <c r="BM169" s="208"/>
      <c r="BN169" s="208"/>
      <c r="BO169" s="208"/>
      <c r="BP169" s="208"/>
      <c r="BQ169" s="208"/>
      <c r="BR169" s="208"/>
      <c r="BS169" s="208"/>
      <c r="BT169" s="208"/>
      <c r="BU169" s="208"/>
      <c r="BV169" s="208"/>
      <c r="BW169" s="208"/>
      <c r="BX169" s="208"/>
      <c r="BY169" s="208"/>
      <c r="BZ169" s="208"/>
      <c r="CA169" s="208"/>
      <c r="CB169" s="208"/>
      <c r="CC169" s="208"/>
      <c r="CD169" s="208"/>
      <c r="CE169" s="208"/>
      <c r="CF169" s="208"/>
      <c r="CG169" s="208"/>
      <c r="CH169" s="208"/>
      <c r="CI169" s="208"/>
      <c r="CJ169" s="208"/>
      <c r="CK169" s="208"/>
      <c r="CL169" s="208"/>
      <c r="CM169" s="208"/>
      <c r="CN169" s="208"/>
      <c r="CO169" s="208"/>
      <c r="CP169" s="208"/>
      <c r="CQ169" s="208"/>
      <c r="CR169" s="208"/>
      <c r="CS169" s="208"/>
      <c r="CT169" s="208"/>
      <c r="CU169" s="208"/>
      <c r="CV169" s="208"/>
      <c r="CW169" s="208"/>
      <c r="CX169" s="208"/>
      <c r="CY169" s="208"/>
      <c r="CZ169" s="208"/>
      <c r="DA169" s="208"/>
      <c r="DB169" s="208"/>
      <c r="DC169" s="208"/>
      <c r="DD169" s="208"/>
      <c r="DE169" s="208"/>
      <c r="DF169" s="208"/>
      <c r="DG169" s="208"/>
      <c r="DH169" s="208"/>
      <c r="DI169" s="208"/>
      <c r="DJ169" s="208"/>
      <c r="DK169" s="208"/>
      <c r="DL169" s="208"/>
      <c r="DM169" s="208"/>
      <c r="DN169" s="208"/>
      <c r="DO169" s="208"/>
      <c r="DP169" s="208"/>
      <c r="DQ169" s="208"/>
      <c r="DR169" s="208"/>
      <c r="DS169" s="208"/>
      <c r="DT169" s="208"/>
      <c r="DU169" s="208"/>
      <c r="DV169" s="208"/>
      <c r="DW169" s="208"/>
      <c r="DX169" s="208"/>
      <c r="DY169" s="208"/>
      <c r="DZ169" s="208"/>
      <c r="EA169" s="208"/>
      <c r="EB169" s="208"/>
      <c r="EC169" s="208"/>
      <c r="ED169" s="208"/>
      <c r="EE169" s="208"/>
      <c r="EF169" s="208"/>
      <c r="EG169" s="208"/>
      <c r="EH169" s="208"/>
      <c r="EI169" s="208"/>
      <c r="EJ169" s="208"/>
      <c r="EK169" s="208"/>
      <c r="EL169" s="208"/>
      <c r="EM169" s="208"/>
      <c r="EN169" s="208"/>
      <c r="EO169" s="208"/>
      <c r="EP169" s="208"/>
      <c r="EQ169" s="208"/>
      <c r="ER169" s="208"/>
      <c r="ES169" s="208"/>
      <c r="ET169" s="208"/>
      <c r="EU169" s="208"/>
      <c r="EV169" s="208"/>
      <c r="EW169" s="208"/>
      <c r="EX169" s="208"/>
      <c r="EY169" s="208"/>
      <c r="EZ169" s="208"/>
      <c r="FA169" s="208"/>
      <c r="FB169" s="208"/>
      <c r="FC169" s="208"/>
      <c r="FD169" s="208"/>
      <c r="FE169" s="208"/>
      <c r="FF169" s="208"/>
      <c r="FG169" s="208"/>
      <c r="FH169" s="208"/>
      <c r="FI169" s="208"/>
      <c r="FJ169" s="208"/>
      <c r="FK169" s="208"/>
      <c r="FL169" s="208"/>
      <c r="FM169" s="208"/>
      <c r="FN169" s="208"/>
      <c r="FO169" s="208"/>
      <c r="FP169" s="208"/>
      <c r="FQ169" s="208"/>
      <c r="FR169" s="208"/>
      <c r="FS169" s="208"/>
      <c r="FT169" s="208"/>
      <c r="FU169" s="208"/>
      <c r="FV169" s="208"/>
      <c r="FW169" s="208"/>
      <c r="FX169" s="208"/>
      <c r="FY169" s="208"/>
      <c r="FZ169" s="208"/>
      <c r="GA169" s="208"/>
      <c r="GB169" s="208"/>
      <c r="GC169" s="208"/>
      <c r="GD169" s="208"/>
      <c r="GE169" s="208"/>
      <c r="GF169" s="208"/>
    </row>
    <row r="170" spans="1:188" s="209" customFormat="1" ht="15" x14ac:dyDescent="0.25">
      <c r="A170" s="195" t="s">
        <v>4941</v>
      </c>
      <c r="B170" s="195" t="s">
        <v>1060</v>
      </c>
      <c r="C170" s="196" t="s">
        <v>2880</v>
      </c>
      <c r="D170" s="154" t="s">
        <v>121</v>
      </c>
      <c r="E170" s="154">
        <v>2610</v>
      </c>
      <c r="F170" s="154">
        <v>0.1</v>
      </c>
      <c r="G170" s="197"/>
      <c r="H170" s="198"/>
      <c r="I170" s="151">
        <f>IFERROR(INDEX(Composições!$A$5:$J$8391,MATCH(B170,Composições!$A$5:$A$8391,0)+2,8),"")</f>
        <v>76.999392100000009</v>
      </c>
      <c r="J170" s="152">
        <f t="shared" si="27"/>
        <v>20096.84</v>
      </c>
      <c r="K170" s="198">
        <f>BDI!$B$17</f>
        <v>0.191</v>
      </c>
      <c r="L170" s="198"/>
      <c r="M170" s="198"/>
      <c r="N170" s="153">
        <f t="shared" si="28"/>
        <v>91.71</v>
      </c>
      <c r="O170" s="152">
        <f t="shared" si="29"/>
        <v>23936.31</v>
      </c>
      <c r="P170" s="225"/>
      <c r="Q170" s="208"/>
      <c r="R170" s="208"/>
      <c r="S170"/>
      <c r="T170" s="208"/>
      <c r="U170" s="208"/>
      <c r="V170" s="208"/>
      <c r="W170" s="208"/>
      <c r="X170" s="208"/>
      <c r="Y170" s="208"/>
      <c r="Z170" s="208"/>
      <c r="AA170" s="208"/>
      <c r="AB170" s="208"/>
      <c r="AC170" s="208"/>
      <c r="AD170" s="208"/>
      <c r="AE170" s="208"/>
      <c r="AF170" s="208"/>
      <c r="AG170" s="208"/>
      <c r="AH170" s="208"/>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c r="BI170" s="208"/>
      <c r="BJ170" s="208"/>
      <c r="BK170" s="208"/>
      <c r="BL170" s="208"/>
      <c r="BM170" s="208"/>
      <c r="BN170" s="208"/>
      <c r="BO170" s="208"/>
      <c r="BP170" s="208"/>
      <c r="BQ170" s="208"/>
      <c r="BR170" s="208"/>
      <c r="BS170" s="208"/>
      <c r="BT170" s="208"/>
      <c r="BU170" s="208"/>
      <c r="BV170" s="208"/>
      <c r="BW170" s="208"/>
      <c r="BX170" s="208"/>
      <c r="BY170" s="208"/>
      <c r="BZ170" s="208"/>
      <c r="CA170" s="208"/>
      <c r="CB170" s="208"/>
      <c r="CC170" s="208"/>
      <c r="CD170" s="208"/>
      <c r="CE170" s="208"/>
      <c r="CF170" s="208"/>
      <c r="CG170" s="208"/>
      <c r="CH170" s="208"/>
      <c r="CI170" s="208"/>
      <c r="CJ170" s="208"/>
      <c r="CK170" s="208"/>
      <c r="CL170" s="208"/>
      <c r="CM170" s="208"/>
      <c r="CN170" s="208"/>
      <c r="CO170" s="208"/>
      <c r="CP170" s="208"/>
      <c r="CQ170" s="208"/>
      <c r="CR170" s="208"/>
      <c r="CS170" s="208"/>
      <c r="CT170" s="208"/>
      <c r="CU170" s="208"/>
      <c r="CV170" s="208"/>
      <c r="CW170" s="208"/>
      <c r="CX170" s="208"/>
      <c r="CY170" s="208"/>
      <c r="CZ170" s="208"/>
      <c r="DA170" s="208"/>
      <c r="DB170" s="208"/>
      <c r="DC170" s="208"/>
      <c r="DD170" s="208"/>
      <c r="DE170" s="208"/>
      <c r="DF170" s="208"/>
      <c r="DG170" s="208"/>
      <c r="DH170" s="208"/>
      <c r="DI170" s="208"/>
      <c r="DJ170" s="208"/>
      <c r="DK170" s="208"/>
      <c r="DL170" s="208"/>
      <c r="DM170" s="208"/>
      <c r="DN170" s="208"/>
      <c r="DO170" s="208"/>
      <c r="DP170" s="208"/>
      <c r="DQ170" s="208"/>
      <c r="DR170" s="208"/>
      <c r="DS170" s="208"/>
      <c r="DT170" s="208"/>
      <c r="DU170" s="208"/>
      <c r="DV170" s="208"/>
      <c r="DW170" s="208"/>
      <c r="DX170" s="208"/>
      <c r="DY170" s="208"/>
      <c r="DZ170" s="208"/>
      <c r="EA170" s="208"/>
      <c r="EB170" s="208"/>
      <c r="EC170" s="208"/>
      <c r="ED170" s="208"/>
      <c r="EE170" s="208"/>
      <c r="EF170" s="208"/>
      <c r="EG170" s="208"/>
      <c r="EH170" s="208"/>
      <c r="EI170" s="208"/>
      <c r="EJ170" s="208"/>
      <c r="EK170" s="208"/>
      <c r="EL170" s="208"/>
      <c r="EM170" s="208"/>
      <c r="EN170" s="208"/>
      <c r="EO170" s="208"/>
      <c r="EP170" s="208"/>
      <c r="EQ170" s="208"/>
      <c r="ER170" s="208"/>
      <c r="ES170" s="208"/>
      <c r="ET170" s="208"/>
      <c r="EU170" s="208"/>
      <c r="EV170" s="208"/>
      <c r="EW170" s="208"/>
      <c r="EX170" s="208"/>
      <c r="EY170" s="208"/>
      <c r="EZ170" s="208"/>
      <c r="FA170" s="208"/>
      <c r="FB170" s="208"/>
      <c r="FC170" s="208"/>
      <c r="FD170" s="208"/>
      <c r="FE170" s="208"/>
      <c r="FF170" s="208"/>
      <c r="FG170" s="208"/>
      <c r="FH170" s="208"/>
      <c r="FI170" s="208"/>
      <c r="FJ170" s="208"/>
      <c r="FK170" s="208"/>
      <c r="FL170" s="208"/>
      <c r="FM170" s="208"/>
      <c r="FN170" s="208"/>
      <c r="FO170" s="208"/>
      <c r="FP170" s="208"/>
      <c r="FQ170" s="208"/>
      <c r="FR170" s="208"/>
      <c r="FS170" s="208"/>
      <c r="FT170" s="208"/>
      <c r="FU170" s="208"/>
      <c r="FV170" s="208"/>
      <c r="FW170" s="208"/>
      <c r="FX170" s="208"/>
      <c r="FY170" s="208"/>
      <c r="FZ170" s="208"/>
      <c r="GA170" s="208"/>
      <c r="GB170" s="208"/>
      <c r="GC170" s="208"/>
      <c r="GD170" s="208"/>
      <c r="GE170" s="208"/>
      <c r="GF170" s="208"/>
    </row>
    <row r="171" spans="1:188" s="209" customFormat="1" ht="15" x14ac:dyDescent="0.25">
      <c r="A171" s="195" t="s">
        <v>4942</v>
      </c>
      <c r="B171" s="195" t="s">
        <v>1062</v>
      </c>
      <c r="C171" s="196" t="s">
        <v>2881</v>
      </c>
      <c r="D171" s="154" t="s">
        <v>78</v>
      </c>
      <c r="E171" s="154">
        <v>580</v>
      </c>
      <c r="F171" s="154">
        <v>0.1</v>
      </c>
      <c r="G171" s="197"/>
      <c r="H171" s="198"/>
      <c r="I171" s="151">
        <f>IFERROR(INDEX(Composições!$A$5:$J$8391,MATCH(B171,Composições!$A$5:$A$8391,0)+2,8),"")</f>
        <v>123.67071499999999</v>
      </c>
      <c r="J171" s="152">
        <f t="shared" si="27"/>
        <v>7172.9</v>
      </c>
      <c r="K171" s="198">
        <f>BDI!$B$17</f>
        <v>0.191</v>
      </c>
      <c r="L171" s="198"/>
      <c r="M171" s="198"/>
      <c r="N171" s="153">
        <f t="shared" si="28"/>
        <v>147.29</v>
      </c>
      <c r="O171" s="152">
        <f t="shared" si="29"/>
        <v>8542.82</v>
      </c>
      <c r="P171" s="225"/>
      <c r="Q171" s="208"/>
      <c r="R171" s="208"/>
      <c r="S171"/>
      <c r="T171" s="208"/>
      <c r="U171" s="208"/>
      <c r="V171" s="208"/>
      <c r="W171" s="208"/>
      <c r="X171" s="208"/>
      <c r="Y171" s="208"/>
      <c r="Z171" s="208"/>
      <c r="AA171" s="208"/>
      <c r="AB171" s="208"/>
      <c r="AC171" s="208"/>
      <c r="AD171" s="208"/>
      <c r="AE171" s="208"/>
      <c r="AF171" s="208"/>
      <c r="AG171" s="208"/>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c r="BI171" s="208"/>
      <c r="BJ171" s="208"/>
      <c r="BK171" s="208"/>
      <c r="BL171" s="208"/>
      <c r="BM171" s="208"/>
      <c r="BN171" s="208"/>
      <c r="BO171" s="208"/>
      <c r="BP171" s="208"/>
      <c r="BQ171" s="208"/>
      <c r="BR171" s="208"/>
      <c r="BS171" s="208"/>
      <c r="BT171" s="208"/>
      <c r="BU171" s="208"/>
      <c r="BV171" s="208"/>
      <c r="BW171" s="208"/>
      <c r="BX171" s="208"/>
      <c r="BY171" s="208"/>
      <c r="BZ171" s="208"/>
      <c r="CA171" s="208"/>
      <c r="CB171" s="208"/>
      <c r="CC171" s="208"/>
      <c r="CD171" s="208"/>
      <c r="CE171" s="208"/>
      <c r="CF171" s="208"/>
      <c r="CG171" s="208"/>
      <c r="CH171" s="208"/>
      <c r="CI171" s="208"/>
      <c r="CJ171" s="208"/>
      <c r="CK171" s="208"/>
      <c r="CL171" s="208"/>
      <c r="CM171" s="208"/>
      <c r="CN171" s="208"/>
      <c r="CO171" s="208"/>
      <c r="CP171" s="208"/>
      <c r="CQ171" s="208"/>
      <c r="CR171" s="208"/>
      <c r="CS171" s="208"/>
      <c r="CT171" s="208"/>
      <c r="CU171" s="208"/>
      <c r="CV171" s="208"/>
      <c r="CW171" s="208"/>
      <c r="CX171" s="208"/>
      <c r="CY171" s="208"/>
      <c r="CZ171" s="208"/>
      <c r="DA171" s="208"/>
      <c r="DB171" s="208"/>
      <c r="DC171" s="208"/>
      <c r="DD171" s="208"/>
      <c r="DE171" s="208"/>
      <c r="DF171" s="208"/>
      <c r="DG171" s="208"/>
      <c r="DH171" s="208"/>
      <c r="DI171" s="208"/>
      <c r="DJ171" s="208"/>
      <c r="DK171" s="208"/>
      <c r="DL171" s="208"/>
      <c r="DM171" s="208"/>
      <c r="DN171" s="208"/>
      <c r="DO171" s="208"/>
      <c r="DP171" s="208"/>
      <c r="DQ171" s="208"/>
      <c r="DR171" s="208"/>
      <c r="DS171" s="208"/>
      <c r="DT171" s="208"/>
      <c r="DU171" s="208"/>
      <c r="DV171" s="208"/>
      <c r="DW171" s="208"/>
      <c r="DX171" s="208"/>
      <c r="DY171" s="208"/>
      <c r="DZ171" s="208"/>
      <c r="EA171" s="208"/>
      <c r="EB171" s="208"/>
      <c r="EC171" s="208"/>
      <c r="ED171" s="208"/>
      <c r="EE171" s="208"/>
      <c r="EF171" s="208"/>
      <c r="EG171" s="208"/>
      <c r="EH171" s="208"/>
      <c r="EI171" s="208"/>
      <c r="EJ171" s="208"/>
      <c r="EK171" s="208"/>
      <c r="EL171" s="208"/>
      <c r="EM171" s="208"/>
      <c r="EN171" s="208"/>
      <c r="EO171" s="208"/>
      <c r="EP171" s="208"/>
      <c r="EQ171" s="208"/>
      <c r="ER171" s="208"/>
      <c r="ES171" s="208"/>
      <c r="ET171" s="208"/>
      <c r="EU171" s="208"/>
      <c r="EV171" s="208"/>
      <c r="EW171" s="208"/>
      <c r="EX171" s="208"/>
      <c r="EY171" s="208"/>
      <c r="EZ171" s="208"/>
      <c r="FA171" s="208"/>
      <c r="FB171" s="208"/>
      <c r="FC171" s="208"/>
      <c r="FD171" s="208"/>
      <c r="FE171" s="208"/>
      <c r="FF171" s="208"/>
      <c r="FG171" s="208"/>
      <c r="FH171" s="208"/>
      <c r="FI171" s="208"/>
      <c r="FJ171" s="208"/>
      <c r="FK171" s="208"/>
      <c r="FL171" s="208"/>
      <c r="FM171" s="208"/>
      <c r="FN171" s="208"/>
      <c r="FO171" s="208"/>
      <c r="FP171" s="208"/>
      <c r="FQ171" s="208"/>
      <c r="FR171" s="208"/>
      <c r="FS171" s="208"/>
      <c r="FT171" s="208"/>
      <c r="FU171" s="208"/>
      <c r="FV171" s="208"/>
      <c r="FW171" s="208"/>
      <c r="FX171" s="208"/>
      <c r="FY171" s="208"/>
      <c r="FZ171" s="208"/>
      <c r="GA171" s="208"/>
      <c r="GB171" s="208"/>
      <c r="GC171" s="208"/>
      <c r="GD171" s="208"/>
      <c r="GE171" s="208"/>
      <c r="GF171" s="208"/>
    </row>
    <row r="172" spans="1:188" s="209" customFormat="1" ht="15" x14ac:dyDescent="0.25">
      <c r="A172" s="195" t="s">
        <v>4943</v>
      </c>
      <c r="B172" s="195" t="s">
        <v>1068</v>
      </c>
      <c r="C172" s="196" t="s">
        <v>2882</v>
      </c>
      <c r="D172" s="154" t="s">
        <v>121</v>
      </c>
      <c r="E172" s="154">
        <v>230</v>
      </c>
      <c r="F172" s="154">
        <v>0.1</v>
      </c>
      <c r="G172" s="197"/>
      <c r="H172" s="198"/>
      <c r="I172" s="151">
        <f>IFERROR(INDEX(Composições!$A$5:$J$8391,MATCH(B172,Composições!$A$5:$A$8391,0)+2,8),"")</f>
        <v>93.230719999999991</v>
      </c>
      <c r="J172" s="152">
        <f t="shared" si="27"/>
        <v>2144.31</v>
      </c>
      <c r="K172" s="198">
        <f>BDI!$B$17</f>
        <v>0.191</v>
      </c>
      <c r="L172" s="198"/>
      <c r="M172" s="198"/>
      <c r="N172" s="153">
        <f t="shared" si="28"/>
        <v>111.04</v>
      </c>
      <c r="O172" s="152">
        <f t="shared" si="29"/>
        <v>2553.92</v>
      </c>
      <c r="P172" s="225"/>
      <c r="Q172" s="208"/>
      <c r="R172" s="208"/>
      <c r="S172"/>
      <c r="T172" s="208"/>
      <c r="U172" s="208"/>
      <c r="V172" s="208"/>
      <c r="W172" s="208"/>
      <c r="X172" s="208"/>
      <c r="Y172" s="208"/>
      <c r="Z172" s="208"/>
      <c r="AA172" s="208"/>
      <c r="AB172" s="208"/>
      <c r="AC172" s="208"/>
      <c r="AD172" s="208"/>
      <c r="AE172" s="208"/>
      <c r="AF172" s="208"/>
      <c r="AG172" s="208"/>
      <c r="AH172" s="208"/>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c r="BI172" s="208"/>
      <c r="BJ172" s="208"/>
      <c r="BK172" s="208"/>
      <c r="BL172" s="208"/>
      <c r="BM172" s="208"/>
      <c r="BN172" s="208"/>
      <c r="BO172" s="208"/>
      <c r="BP172" s="208"/>
      <c r="BQ172" s="208"/>
      <c r="BR172" s="208"/>
      <c r="BS172" s="208"/>
      <c r="BT172" s="208"/>
      <c r="BU172" s="208"/>
      <c r="BV172" s="208"/>
      <c r="BW172" s="208"/>
      <c r="BX172" s="208"/>
      <c r="BY172" s="208"/>
      <c r="BZ172" s="208"/>
      <c r="CA172" s="208"/>
      <c r="CB172" s="208"/>
      <c r="CC172" s="208"/>
      <c r="CD172" s="208"/>
      <c r="CE172" s="208"/>
      <c r="CF172" s="208"/>
      <c r="CG172" s="208"/>
      <c r="CH172" s="208"/>
      <c r="CI172" s="208"/>
      <c r="CJ172" s="208"/>
      <c r="CK172" s="208"/>
      <c r="CL172" s="208"/>
      <c r="CM172" s="208"/>
      <c r="CN172" s="208"/>
      <c r="CO172" s="208"/>
      <c r="CP172" s="208"/>
      <c r="CQ172" s="208"/>
      <c r="CR172" s="208"/>
      <c r="CS172" s="208"/>
      <c r="CT172" s="208"/>
      <c r="CU172" s="208"/>
      <c r="CV172" s="208"/>
      <c r="CW172" s="208"/>
      <c r="CX172" s="208"/>
      <c r="CY172" s="208"/>
      <c r="CZ172" s="208"/>
      <c r="DA172" s="208"/>
      <c r="DB172" s="208"/>
      <c r="DC172" s="208"/>
      <c r="DD172" s="208"/>
      <c r="DE172" s="208"/>
      <c r="DF172" s="208"/>
      <c r="DG172" s="208"/>
      <c r="DH172" s="208"/>
      <c r="DI172" s="208"/>
      <c r="DJ172" s="208"/>
      <c r="DK172" s="208"/>
      <c r="DL172" s="208"/>
      <c r="DM172" s="208"/>
      <c r="DN172" s="208"/>
      <c r="DO172" s="208"/>
      <c r="DP172" s="208"/>
      <c r="DQ172" s="208"/>
      <c r="DR172" s="208"/>
      <c r="DS172" s="208"/>
      <c r="DT172" s="208"/>
      <c r="DU172" s="208"/>
      <c r="DV172" s="208"/>
      <c r="DW172" s="208"/>
      <c r="DX172" s="208"/>
      <c r="DY172" s="208"/>
      <c r="DZ172" s="208"/>
      <c r="EA172" s="208"/>
      <c r="EB172" s="208"/>
      <c r="EC172" s="208"/>
      <c r="ED172" s="208"/>
      <c r="EE172" s="208"/>
      <c r="EF172" s="208"/>
      <c r="EG172" s="208"/>
      <c r="EH172" s="208"/>
      <c r="EI172" s="208"/>
      <c r="EJ172" s="208"/>
      <c r="EK172" s="208"/>
      <c r="EL172" s="208"/>
      <c r="EM172" s="208"/>
      <c r="EN172" s="208"/>
      <c r="EO172" s="208"/>
      <c r="EP172" s="208"/>
      <c r="EQ172" s="208"/>
      <c r="ER172" s="208"/>
      <c r="ES172" s="208"/>
      <c r="ET172" s="208"/>
      <c r="EU172" s="208"/>
      <c r="EV172" s="208"/>
      <c r="EW172" s="208"/>
      <c r="EX172" s="208"/>
      <c r="EY172" s="208"/>
      <c r="EZ172" s="208"/>
      <c r="FA172" s="208"/>
      <c r="FB172" s="208"/>
      <c r="FC172" s="208"/>
      <c r="FD172" s="208"/>
      <c r="FE172" s="208"/>
      <c r="FF172" s="208"/>
      <c r="FG172" s="208"/>
      <c r="FH172" s="208"/>
      <c r="FI172" s="208"/>
      <c r="FJ172" s="208"/>
      <c r="FK172" s="208"/>
      <c r="FL172" s="208"/>
      <c r="FM172" s="208"/>
      <c r="FN172" s="208"/>
      <c r="FO172" s="208"/>
      <c r="FP172" s="208"/>
      <c r="FQ172" s="208"/>
      <c r="FR172" s="208"/>
      <c r="FS172" s="208"/>
      <c r="FT172" s="208"/>
      <c r="FU172" s="208"/>
      <c r="FV172" s="208"/>
      <c r="FW172" s="208"/>
      <c r="FX172" s="208"/>
      <c r="FY172" s="208"/>
      <c r="FZ172" s="208"/>
      <c r="GA172" s="208"/>
      <c r="GB172" s="208"/>
      <c r="GC172" s="208"/>
      <c r="GD172" s="208"/>
      <c r="GE172" s="208"/>
      <c r="GF172" s="208"/>
    </row>
    <row r="173" spans="1:188" s="209" customFormat="1" ht="15" x14ac:dyDescent="0.25">
      <c r="A173" s="195" t="s">
        <v>4944</v>
      </c>
      <c r="B173" s="195" t="s">
        <v>1070</v>
      </c>
      <c r="C173" s="196" t="s">
        <v>2883</v>
      </c>
      <c r="D173" s="154" t="s">
        <v>121</v>
      </c>
      <c r="E173" s="154">
        <v>230</v>
      </c>
      <c r="F173" s="154">
        <v>0.1</v>
      </c>
      <c r="G173" s="197"/>
      <c r="H173" s="198"/>
      <c r="I173" s="151">
        <f>IFERROR(INDEX(Composições!$A$5:$J$8391,MATCH(B173,Composições!$A$5:$A$8391,0)+2,8),"")</f>
        <v>93.250289999999978</v>
      </c>
      <c r="J173" s="152">
        <f t="shared" si="27"/>
        <v>2144.7600000000002</v>
      </c>
      <c r="K173" s="198">
        <f>BDI!$B$17</f>
        <v>0.191</v>
      </c>
      <c r="L173" s="198"/>
      <c r="M173" s="198"/>
      <c r="N173" s="153">
        <f t="shared" si="28"/>
        <v>111.06</v>
      </c>
      <c r="O173" s="152">
        <f t="shared" si="29"/>
        <v>2554.38</v>
      </c>
      <c r="P173" s="225"/>
      <c r="Q173" s="208"/>
      <c r="R173" s="208"/>
      <c r="S173"/>
      <c r="T173" s="208"/>
      <c r="U173" s="208"/>
      <c r="V173" s="208"/>
      <c r="W173" s="208"/>
      <c r="X173" s="208"/>
      <c r="Y173" s="208"/>
      <c r="Z173" s="208"/>
      <c r="AA173" s="208"/>
      <c r="AB173" s="208"/>
      <c r="AC173" s="208"/>
      <c r="AD173" s="208"/>
      <c r="AE173" s="208"/>
      <c r="AF173" s="208"/>
      <c r="AG173" s="208"/>
      <c r="AH173" s="208"/>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c r="BI173" s="208"/>
      <c r="BJ173" s="208"/>
      <c r="BK173" s="208"/>
      <c r="BL173" s="208"/>
      <c r="BM173" s="208"/>
      <c r="BN173" s="208"/>
      <c r="BO173" s="208"/>
      <c r="BP173" s="208"/>
      <c r="BQ173" s="208"/>
      <c r="BR173" s="208"/>
      <c r="BS173" s="208"/>
      <c r="BT173" s="208"/>
      <c r="BU173" s="208"/>
      <c r="BV173" s="208"/>
      <c r="BW173" s="208"/>
      <c r="BX173" s="208"/>
      <c r="BY173" s="208"/>
      <c r="BZ173" s="208"/>
      <c r="CA173" s="208"/>
      <c r="CB173" s="208"/>
      <c r="CC173" s="208"/>
      <c r="CD173" s="208"/>
      <c r="CE173" s="208"/>
      <c r="CF173" s="208"/>
      <c r="CG173" s="208"/>
      <c r="CH173" s="208"/>
      <c r="CI173" s="208"/>
      <c r="CJ173" s="208"/>
      <c r="CK173" s="208"/>
      <c r="CL173" s="208"/>
      <c r="CM173" s="208"/>
      <c r="CN173" s="208"/>
      <c r="CO173" s="208"/>
      <c r="CP173" s="208"/>
      <c r="CQ173" s="208"/>
      <c r="CR173" s="208"/>
      <c r="CS173" s="208"/>
      <c r="CT173" s="208"/>
      <c r="CU173" s="208"/>
      <c r="CV173" s="208"/>
      <c r="CW173" s="208"/>
      <c r="CX173" s="208"/>
      <c r="CY173" s="208"/>
      <c r="CZ173" s="208"/>
      <c r="DA173" s="208"/>
      <c r="DB173" s="208"/>
      <c r="DC173" s="208"/>
      <c r="DD173" s="208"/>
      <c r="DE173" s="208"/>
      <c r="DF173" s="208"/>
      <c r="DG173" s="208"/>
      <c r="DH173" s="208"/>
      <c r="DI173" s="208"/>
      <c r="DJ173" s="208"/>
      <c r="DK173" s="208"/>
      <c r="DL173" s="208"/>
      <c r="DM173" s="208"/>
      <c r="DN173" s="208"/>
      <c r="DO173" s="208"/>
      <c r="DP173" s="208"/>
      <c r="DQ173" s="208"/>
      <c r="DR173" s="208"/>
      <c r="DS173" s="208"/>
      <c r="DT173" s="208"/>
      <c r="DU173" s="208"/>
      <c r="DV173" s="208"/>
      <c r="DW173" s="208"/>
      <c r="DX173" s="208"/>
      <c r="DY173" s="208"/>
      <c r="DZ173" s="208"/>
      <c r="EA173" s="208"/>
      <c r="EB173" s="208"/>
      <c r="EC173" s="208"/>
      <c r="ED173" s="208"/>
      <c r="EE173" s="208"/>
      <c r="EF173" s="208"/>
      <c r="EG173" s="208"/>
      <c r="EH173" s="208"/>
      <c r="EI173" s="208"/>
      <c r="EJ173" s="208"/>
      <c r="EK173" s="208"/>
      <c r="EL173" s="208"/>
      <c r="EM173" s="208"/>
      <c r="EN173" s="208"/>
      <c r="EO173" s="208"/>
      <c r="EP173" s="208"/>
      <c r="EQ173" s="208"/>
      <c r="ER173" s="208"/>
      <c r="ES173" s="208"/>
      <c r="ET173" s="208"/>
      <c r="EU173" s="208"/>
      <c r="EV173" s="208"/>
      <c r="EW173" s="208"/>
      <c r="EX173" s="208"/>
      <c r="EY173" s="208"/>
      <c r="EZ173" s="208"/>
      <c r="FA173" s="208"/>
      <c r="FB173" s="208"/>
      <c r="FC173" s="208"/>
      <c r="FD173" s="208"/>
      <c r="FE173" s="208"/>
      <c r="FF173" s="208"/>
      <c r="FG173" s="208"/>
      <c r="FH173" s="208"/>
      <c r="FI173" s="208"/>
      <c r="FJ173" s="208"/>
      <c r="FK173" s="208"/>
      <c r="FL173" s="208"/>
      <c r="FM173" s="208"/>
      <c r="FN173" s="208"/>
      <c r="FO173" s="208"/>
      <c r="FP173" s="208"/>
      <c r="FQ173" s="208"/>
      <c r="FR173" s="208"/>
      <c r="FS173" s="208"/>
      <c r="FT173" s="208"/>
      <c r="FU173" s="208"/>
      <c r="FV173" s="208"/>
      <c r="FW173" s="208"/>
      <c r="FX173" s="208"/>
      <c r="FY173" s="208"/>
      <c r="FZ173" s="208"/>
      <c r="GA173" s="208"/>
      <c r="GB173" s="208"/>
      <c r="GC173" s="208"/>
      <c r="GD173" s="208"/>
      <c r="GE173" s="208"/>
      <c r="GF173" s="208"/>
    </row>
    <row r="174" spans="1:188" s="209" customFormat="1" ht="15" x14ac:dyDescent="0.25">
      <c r="A174" s="195" t="s">
        <v>4945</v>
      </c>
      <c r="B174" s="195" t="s">
        <v>1072</v>
      </c>
      <c r="C174" s="196" t="s">
        <v>2884</v>
      </c>
      <c r="D174" s="154" t="s">
        <v>78</v>
      </c>
      <c r="E174" s="154">
        <v>5050</v>
      </c>
      <c r="F174" s="154">
        <v>0.1</v>
      </c>
      <c r="G174" s="197"/>
      <c r="H174" s="198"/>
      <c r="I174" s="151">
        <f>IFERROR(INDEX(Composições!$A$5:$J$8391,MATCH(B174,Composições!$A$5:$A$8391,0)+2,8),"")</f>
        <v>43.783503099999997</v>
      </c>
      <c r="J174" s="152">
        <f t="shared" si="27"/>
        <v>22110.67</v>
      </c>
      <c r="K174" s="198">
        <f>BDI!$B$17</f>
        <v>0.191</v>
      </c>
      <c r="L174" s="198"/>
      <c r="M174" s="198"/>
      <c r="N174" s="153">
        <f t="shared" si="28"/>
        <v>52.15</v>
      </c>
      <c r="O174" s="152">
        <f t="shared" si="29"/>
        <v>26335.75</v>
      </c>
      <c r="P174" s="225"/>
      <c r="Q174" s="208"/>
      <c r="R174" s="208"/>
      <c r="S174"/>
      <c r="T174" s="208"/>
      <c r="U174" s="208"/>
      <c r="V174" s="208"/>
      <c r="W174" s="208"/>
      <c r="X174" s="208"/>
      <c r="Y174" s="208"/>
      <c r="Z174" s="208"/>
      <c r="AA174" s="208"/>
      <c r="AB174" s="208"/>
      <c r="AC174" s="208"/>
      <c r="AD174" s="208"/>
      <c r="AE174" s="208"/>
      <c r="AF174" s="208"/>
      <c r="AG174" s="208"/>
      <c r="AH174" s="208"/>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c r="BI174" s="208"/>
      <c r="BJ174" s="208"/>
      <c r="BK174" s="208"/>
      <c r="BL174" s="208"/>
      <c r="BM174" s="208"/>
      <c r="BN174" s="208"/>
      <c r="BO174" s="208"/>
      <c r="BP174" s="208"/>
      <c r="BQ174" s="208"/>
      <c r="BR174" s="208"/>
      <c r="BS174" s="208"/>
      <c r="BT174" s="208"/>
      <c r="BU174" s="208"/>
      <c r="BV174" s="208"/>
      <c r="BW174" s="208"/>
      <c r="BX174" s="208"/>
      <c r="BY174" s="208"/>
      <c r="BZ174" s="208"/>
      <c r="CA174" s="208"/>
      <c r="CB174" s="208"/>
      <c r="CC174" s="208"/>
      <c r="CD174" s="208"/>
      <c r="CE174" s="208"/>
      <c r="CF174" s="208"/>
      <c r="CG174" s="208"/>
      <c r="CH174" s="208"/>
      <c r="CI174" s="208"/>
      <c r="CJ174" s="208"/>
      <c r="CK174" s="208"/>
      <c r="CL174" s="208"/>
      <c r="CM174" s="208"/>
      <c r="CN174" s="208"/>
      <c r="CO174" s="208"/>
      <c r="CP174" s="208"/>
      <c r="CQ174" s="208"/>
      <c r="CR174" s="208"/>
      <c r="CS174" s="208"/>
      <c r="CT174" s="208"/>
      <c r="CU174" s="208"/>
      <c r="CV174" s="208"/>
      <c r="CW174" s="208"/>
      <c r="CX174" s="208"/>
      <c r="CY174" s="208"/>
      <c r="CZ174" s="208"/>
      <c r="DA174" s="208"/>
      <c r="DB174" s="208"/>
      <c r="DC174" s="208"/>
      <c r="DD174" s="208"/>
      <c r="DE174" s="208"/>
      <c r="DF174" s="208"/>
      <c r="DG174" s="208"/>
      <c r="DH174" s="208"/>
      <c r="DI174" s="208"/>
      <c r="DJ174" s="208"/>
      <c r="DK174" s="208"/>
      <c r="DL174" s="208"/>
      <c r="DM174" s="208"/>
      <c r="DN174" s="208"/>
      <c r="DO174" s="208"/>
      <c r="DP174" s="208"/>
      <c r="DQ174" s="208"/>
      <c r="DR174" s="208"/>
      <c r="DS174" s="208"/>
      <c r="DT174" s="208"/>
      <c r="DU174" s="208"/>
      <c r="DV174" s="208"/>
      <c r="DW174" s="208"/>
      <c r="DX174" s="208"/>
      <c r="DY174" s="208"/>
      <c r="DZ174" s="208"/>
      <c r="EA174" s="208"/>
      <c r="EB174" s="208"/>
      <c r="EC174" s="208"/>
      <c r="ED174" s="208"/>
      <c r="EE174" s="208"/>
      <c r="EF174" s="208"/>
      <c r="EG174" s="208"/>
      <c r="EH174" s="208"/>
      <c r="EI174" s="208"/>
      <c r="EJ174" s="208"/>
      <c r="EK174" s="208"/>
      <c r="EL174" s="208"/>
      <c r="EM174" s="208"/>
      <c r="EN174" s="208"/>
      <c r="EO174" s="208"/>
      <c r="EP174" s="208"/>
      <c r="EQ174" s="208"/>
      <c r="ER174" s="208"/>
      <c r="ES174" s="208"/>
      <c r="ET174" s="208"/>
      <c r="EU174" s="208"/>
      <c r="EV174" s="208"/>
      <c r="EW174" s="208"/>
      <c r="EX174" s="208"/>
      <c r="EY174" s="208"/>
      <c r="EZ174" s="208"/>
      <c r="FA174" s="208"/>
      <c r="FB174" s="208"/>
      <c r="FC174" s="208"/>
      <c r="FD174" s="208"/>
      <c r="FE174" s="208"/>
      <c r="FF174" s="208"/>
      <c r="FG174" s="208"/>
      <c r="FH174" s="208"/>
      <c r="FI174" s="208"/>
      <c r="FJ174" s="208"/>
      <c r="FK174" s="208"/>
      <c r="FL174" s="208"/>
      <c r="FM174" s="208"/>
      <c r="FN174" s="208"/>
      <c r="FO174" s="208"/>
      <c r="FP174" s="208"/>
      <c r="FQ174" s="208"/>
      <c r="FR174" s="208"/>
      <c r="FS174" s="208"/>
      <c r="FT174" s="208"/>
      <c r="FU174" s="208"/>
      <c r="FV174" s="208"/>
      <c r="FW174" s="208"/>
      <c r="FX174" s="208"/>
      <c r="FY174" s="208"/>
      <c r="FZ174" s="208"/>
      <c r="GA174" s="208"/>
      <c r="GB174" s="208"/>
      <c r="GC174" s="208"/>
      <c r="GD174" s="208"/>
      <c r="GE174" s="208"/>
      <c r="GF174" s="208"/>
    </row>
    <row r="175" spans="1:188" s="209" customFormat="1" ht="15" x14ac:dyDescent="0.25">
      <c r="A175" s="195" t="s">
        <v>4946</v>
      </c>
      <c r="B175" s="195" t="s">
        <v>1073</v>
      </c>
      <c r="C175" s="196" t="s">
        <v>2885</v>
      </c>
      <c r="D175" s="154" t="s">
        <v>121</v>
      </c>
      <c r="E175" s="154">
        <v>900</v>
      </c>
      <c r="F175" s="154">
        <v>0.1</v>
      </c>
      <c r="G175" s="197"/>
      <c r="H175" s="198"/>
      <c r="I175" s="151">
        <f>IFERROR(INDEX(Composições!$A$5:$J$8391,MATCH(B175,Composições!$A$5:$A$8391,0)+2,8),"")</f>
        <v>75.584401600000007</v>
      </c>
      <c r="J175" s="152">
        <f t="shared" si="27"/>
        <v>6802.6</v>
      </c>
      <c r="K175" s="198">
        <f>BDI!$B$17</f>
        <v>0.191</v>
      </c>
      <c r="L175" s="198"/>
      <c r="M175" s="198"/>
      <c r="N175" s="153">
        <f t="shared" si="28"/>
        <v>90.02</v>
      </c>
      <c r="O175" s="152">
        <f t="shared" si="29"/>
        <v>8101.8</v>
      </c>
      <c r="P175" s="225"/>
      <c r="Q175" s="208"/>
      <c r="R175" s="208"/>
      <c r="S175"/>
      <c r="T175" s="208"/>
      <c r="U175" s="208"/>
      <c r="V175" s="208"/>
      <c r="W175" s="208"/>
      <c r="X175" s="208"/>
      <c r="Y175" s="208"/>
      <c r="Z175" s="208"/>
      <c r="AA175" s="208"/>
      <c r="AB175" s="208"/>
      <c r="AC175" s="208"/>
      <c r="AD175" s="208"/>
      <c r="AE175" s="208"/>
      <c r="AF175" s="208"/>
      <c r="AG175" s="208"/>
      <c r="AH175" s="208"/>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c r="BI175" s="208"/>
      <c r="BJ175" s="208"/>
      <c r="BK175" s="208"/>
      <c r="BL175" s="208"/>
      <c r="BM175" s="208"/>
      <c r="BN175" s="208"/>
      <c r="BO175" s="208"/>
      <c r="BP175" s="208"/>
      <c r="BQ175" s="208"/>
      <c r="BR175" s="208"/>
      <c r="BS175" s="208"/>
      <c r="BT175" s="208"/>
      <c r="BU175" s="208"/>
      <c r="BV175" s="208"/>
      <c r="BW175" s="208"/>
      <c r="BX175" s="208"/>
      <c r="BY175" s="208"/>
      <c r="BZ175" s="208"/>
      <c r="CA175" s="208"/>
      <c r="CB175" s="208"/>
      <c r="CC175" s="208"/>
      <c r="CD175" s="208"/>
      <c r="CE175" s="208"/>
      <c r="CF175" s="208"/>
      <c r="CG175" s="208"/>
      <c r="CH175" s="208"/>
      <c r="CI175" s="208"/>
      <c r="CJ175" s="208"/>
      <c r="CK175" s="208"/>
      <c r="CL175" s="208"/>
      <c r="CM175" s="208"/>
      <c r="CN175" s="208"/>
      <c r="CO175" s="208"/>
      <c r="CP175" s="208"/>
      <c r="CQ175" s="208"/>
      <c r="CR175" s="208"/>
      <c r="CS175" s="208"/>
      <c r="CT175" s="208"/>
      <c r="CU175" s="208"/>
      <c r="CV175" s="208"/>
      <c r="CW175" s="208"/>
      <c r="CX175" s="208"/>
      <c r="CY175" s="208"/>
      <c r="CZ175" s="208"/>
      <c r="DA175" s="208"/>
      <c r="DB175" s="208"/>
      <c r="DC175" s="208"/>
      <c r="DD175" s="208"/>
      <c r="DE175" s="208"/>
      <c r="DF175" s="208"/>
      <c r="DG175" s="208"/>
      <c r="DH175" s="208"/>
      <c r="DI175" s="208"/>
      <c r="DJ175" s="208"/>
      <c r="DK175" s="208"/>
      <c r="DL175" s="208"/>
      <c r="DM175" s="208"/>
      <c r="DN175" s="208"/>
      <c r="DO175" s="208"/>
      <c r="DP175" s="208"/>
      <c r="DQ175" s="208"/>
      <c r="DR175" s="208"/>
      <c r="DS175" s="208"/>
      <c r="DT175" s="208"/>
      <c r="DU175" s="208"/>
      <c r="DV175" s="208"/>
      <c r="DW175" s="208"/>
      <c r="DX175" s="208"/>
      <c r="DY175" s="208"/>
      <c r="DZ175" s="208"/>
      <c r="EA175" s="208"/>
      <c r="EB175" s="208"/>
      <c r="EC175" s="208"/>
      <c r="ED175" s="208"/>
      <c r="EE175" s="208"/>
      <c r="EF175" s="208"/>
      <c r="EG175" s="208"/>
      <c r="EH175" s="208"/>
      <c r="EI175" s="208"/>
      <c r="EJ175" s="208"/>
      <c r="EK175" s="208"/>
      <c r="EL175" s="208"/>
      <c r="EM175" s="208"/>
      <c r="EN175" s="208"/>
      <c r="EO175" s="208"/>
      <c r="EP175" s="208"/>
      <c r="EQ175" s="208"/>
      <c r="ER175" s="208"/>
      <c r="ES175" s="208"/>
      <c r="ET175" s="208"/>
      <c r="EU175" s="208"/>
      <c r="EV175" s="208"/>
      <c r="EW175" s="208"/>
      <c r="EX175" s="208"/>
      <c r="EY175" s="208"/>
      <c r="EZ175" s="208"/>
      <c r="FA175" s="208"/>
      <c r="FB175" s="208"/>
      <c r="FC175" s="208"/>
      <c r="FD175" s="208"/>
      <c r="FE175" s="208"/>
      <c r="FF175" s="208"/>
      <c r="FG175" s="208"/>
      <c r="FH175" s="208"/>
      <c r="FI175" s="208"/>
      <c r="FJ175" s="208"/>
      <c r="FK175" s="208"/>
      <c r="FL175" s="208"/>
      <c r="FM175" s="208"/>
      <c r="FN175" s="208"/>
      <c r="FO175" s="208"/>
      <c r="FP175" s="208"/>
      <c r="FQ175" s="208"/>
      <c r="FR175" s="208"/>
      <c r="FS175" s="208"/>
      <c r="FT175" s="208"/>
      <c r="FU175" s="208"/>
      <c r="FV175" s="208"/>
      <c r="FW175" s="208"/>
      <c r="FX175" s="208"/>
      <c r="FY175" s="208"/>
      <c r="FZ175" s="208"/>
      <c r="GA175" s="208"/>
      <c r="GB175" s="208"/>
      <c r="GC175" s="208"/>
      <c r="GD175" s="208"/>
      <c r="GE175" s="208"/>
      <c r="GF175" s="208"/>
    </row>
    <row r="176" spans="1:188" s="209" customFormat="1" ht="15" x14ac:dyDescent="0.25">
      <c r="A176" s="195" t="s">
        <v>4947</v>
      </c>
      <c r="B176" s="195" t="s">
        <v>1074</v>
      </c>
      <c r="C176" s="196" t="s">
        <v>2886</v>
      </c>
      <c r="D176" s="154" t="s">
        <v>121</v>
      </c>
      <c r="E176" s="154">
        <v>900</v>
      </c>
      <c r="F176" s="154">
        <v>0.1</v>
      </c>
      <c r="G176" s="197"/>
      <c r="H176" s="198"/>
      <c r="I176" s="151">
        <f>IFERROR(INDEX(Composições!$A$5:$J$8391,MATCH(B176,Composições!$A$5:$A$8391,0)+2,8),"")</f>
        <v>81.599554599999991</v>
      </c>
      <c r="J176" s="152">
        <f t="shared" si="27"/>
        <v>7343.96</v>
      </c>
      <c r="K176" s="198">
        <f>BDI!$B$17</f>
        <v>0.191</v>
      </c>
      <c r="L176" s="198"/>
      <c r="M176" s="198"/>
      <c r="N176" s="153">
        <f t="shared" si="28"/>
        <v>97.19</v>
      </c>
      <c r="O176" s="152">
        <f t="shared" si="29"/>
        <v>8747.1</v>
      </c>
      <c r="P176" s="225"/>
      <c r="Q176" s="208"/>
      <c r="R176" s="208"/>
      <c r="S176"/>
      <c r="T176" s="208"/>
      <c r="U176" s="208"/>
      <c r="V176" s="208"/>
      <c r="W176" s="208"/>
      <c r="X176" s="208"/>
      <c r="Y176" s="208"/>
      <c r="Z176" s="208"/>
      <c r="AA176" s="208"/>
      <c r="AB176" s="208"/>
      <c r="AC176" s="208"/>
      <c r="AD176" s="208"/>
      <c r="AE176" s="208"/>
      <c r="AF176" s="208"/>
      <c r="AG176" s="208"/>
      <c r="AH176" s="208"/>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c r="BI176" s="208"/>
      <c r="BJ176" s="208"/>
      <c r="BK176" s="208"/>
      <c r="BL176" s="208"/>
      <c r="BM176" s="208"/>
      <c r="BN176" s="208"/>
      <c r="BO176" s="208"/>
      <c r="BP176" s="208"/>
      <c r="BQ176" s="208"/>
      <c r="BR176" s="208"/>
      <c r="BS176" s="208"/>
      <c r="BT176" s="208"/>
      <c r="BU176" s="208"/>
      <c r="BV176" s="208"/>
      <c r="BW176" s="208"/>
      <c r="BX176" s="208"/>
      <c r="BY176" s="208"/>
      <c r="BZ176" s="208"/>
      <c r="CA176" s="208"/>
      <c r="CB176" s="208"/>
      <c r="CC176" s="208"/>
      <c r="CD176" s="208"/>
      <c r="CE176" s="208"/>
      <c r="CF176" s="208"/>
      <c r="CG176" s="208"/>
      <c r="CH176" s="208"/>
      <c r="CI176" s="208"/>
      <c r="CJ176" s="208"/>
      <c r="CK176" s="208"/>
      <c r="CL176" s="208"/>
      <c r="CM176" s="208"/>
      <c r="CN176" s="208"/>
      <c r="CO176" s="208"/>
      <c r="CP176" s="208"/>
      <c r="CQ176" s="208"/>
      <c r="CR176" s="208"/>
      <c r="CS176" s="208"/>
      <c r="CT176" s="208"/>
      <c r="CU176" s="208"/>
      <c r="CV176" s="208"/>
      <c r="CW176" s="208"/>
      <c r="CX176" s="208"/>
      <c r="CY176" s="208"/>
      <c r="CZ176" s="208"/>
      <c r="DA176" s="208"/>
      <c r="DB176" s="208"/>
      <c r="DC176" s="208"/>
      <c r="DD176" s="208"/>
      <c r="DE176" s="208"/>
      <c r="DF176" s="208"/>
      <c r="DG176" s="208"/>
      <c r="DH176" s="208"/>
      <c r="DI176" s="208"/>
      <c r="DJ176" s="208"/>
      <c r="DK176" s="208"/>
      <c r="DL176" s="208"/>
      <c r="DM176" s="208"/>
      <c r="DN176" s="208"/>
      <c r="DO176" s="208"/>
      <c r="DP176" s="208"/>
      <c r="DQ176" s="208"/>
      <c r="DR176" s="208"/>
      <c r="DS176" s="208"/>
      <c r="DT176" s="208"/>
      <c r="DU176" s="208"/>
      <c r="DV176" s="208"/>
      <c r="DW176" s="208"/>
      <c r="DX176" s="208"/>
      <c r="DY176" s="208"/>
      <c r="DZ176" s="208"/>
      <c r="EA176" s="208"/>
      <c r="EB176" s="208"/>
      <c r="EC176" s="208"/>
      <c r="ED176" s="208"/>
      <c r="EE176" s="208"/>
      <c r="EF176" s="208"/>
      <c r="EG176" s="208"/>
      <c r="EH176" s="208"/>
      <c r="EI176" s="208"/>
      <c r="EJ176" s="208"/>
      <c r="EK176" s="208"/>
      <c r="EL176" s="208"/>
      <c r="EM176" s="208"/>
      <c r="EN176" s="208"/>
      <c r="EO176" s="208"/>
      <c r="EP176" s="208"/>
      <c r="EQ176" s="208"/>
      <c r="ER176" s="208"/>
      <c r="ES176" s="208"/>
      <c r="ET176" s="208"/>
      <c r="EU176" s="208"/>
      <c r="EV176" s="208"/>
      <c r="EW176" s="208"/>
      <c r="EX176" s="208"/>
      <c r="EY176" s="208"/>
      <c r="EZ176" s="208"/>
      <c r="FA176" s="208"/>
      <c r="FB176" s="208"/>
      <c r="FC176" s="208"/>
      <c r="FD176" s="208"/>
      <c r="FE176" s="208"/>
      <c r="FF176" s="208"/>
      <c r="FG176" s="208"/>
      <c r="FH176" s="208"/>
      <c r="FI176" s="208"/>
      <c r="FJ176" s="208"/>
      <c r="FK176" s="208"/>
      <c r="FL176" s="208"/>
      <c r="FM176" s="208"/>
      <c r="FN176" s="208"/>
      <c r="FO176" s="208"/>
      <c r="FP176" s="208"/>
      <c r="FQ176" s="208"/>
      <c r="FR176" s="208"/>
      <c r="FS176" s="208"/>
      <c r="FT176" s="208"/>
      <c r="FU176" s="208"/>
      <c r="FV176" s="208"/>
      <c r="FW176" s="208"/>
      <c r="FX176" s="208"/>
      <c r="FY176" s="208"/>
      <c r="FZ176" s="208"/>
      <c r="GA176" s="208"/>
      <c r="GB176" s="208"/>
      <c r="GC176" s="208"/>
      <c r="GD176" s="208"/>
      <c r="GE176" s="208"/>
      <c r="GF176" s="208"/>
    </row>
    <row r="177" spans="1:188" s="209" customFormat="1" ht="15" x14ac:dyDescent="0.25">
      <c r="A177" s="195" t="s">
        <v>4948</v>
      </c>
      <c r="B177" s="195" t="s">
        <v>1075</v>
      </c>
      <c r="C177" s="196" t="s">
        <v>2887</v>
      </c>
      <c r="D177" s="154" t="s">
        <v>78</v>
      </c>
      <c r="E177" s="154">
        <v>1090</v>
      </c>
      <c r="F177" s="154">
        <v>0.1</v>
      </c>
      <c r="G177" s="197"/>
      <c r="H177" s="198"/>
      <c r="I177" s="151">
        <f>IFERROR(INDEX(Composições!$A$5:$J$8391,MATCH(B177,Composições!$A$5:$A$8391,0)+2,8),"")</f>
        <v>98.148110000000003</v>
      </c>
      <c r="J177" s="152">
        <f t="shared" si="27"/>
        <v>10698.14</v>
      </c>
      <c r="K177" s="198">
        <f>BDI!$B$17</f>
        <v>0.191</v>
      </c>
      <c r="L177" s="198"/>
      <c r="M177" s="198"/>
      <c r="N177" s="153">
        <f t="shared" si="28"/>
        <v>116.89</v>
      </c>
      <c r="O177" s="152">
        <f t="shared" si="29"/>
        <v>12741.01</v>
      </c>
      <c r="P177" s="225"/>
      <c r="Q177" s="208"/>
      <c r="R177" s="208"/>
      <c r="S177"/>
      <c r="T177" s="208"/>
      <c r="U177" s="208"/>
      <c r="V177" s="208"/>
      <c r="W177" s="208"/>
      <c r="X177" s="208"/>
      <c r="Y177" s="208"/>
      <c r="Z177" s="208"/>
      <c r="AA177" s="208"/>
      <c r="AB177" s="208"/>
      <c r="AC177" s="208"/>
      <c r="AD177" s="208"/>
      <c r="AE177" s="208"/>
      <c r="AF177" s="208"/>
      <c r="AG177" s="208"/>
      <c r="AH177" s="208"/>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c r="BI177" s="208"/>
      <c r="BJ177" s="208"/>
      <c r="BK177" s="208"/>
      <c r="BL177" s="208"/>
      <c r="BM177" s="208"/>
      <c r="BN177" s="208"/>
      <c r="BO177" s="208"/>
      <c r="BP177" s="208"/>
      <c r="BQ177" s="208"/>
      <c r="BR177" s="208"/>
      <c r="BS177" s="208"/>
      <c r="BT177" s="208"/>
      <c r="BU177" s="208"/>
      <c r="BV177" s="208"/>
      <c r="BW177" s="208"/>
      <c r="BX177" s="208"/>
      <c r="BY177" s="208"/>
      <c r="BZ177" s="208"/>
      <c r="CA177" s="208"/>
      <c r="CB177" s="208"/>
      <c r="CC177" s="208"/>
      <c r="CD177" s="208"/>
      <c r="CE177" s="208"/>
      <c r="CF177" s="208"/>
      <c r="CG177" s="208"/>
      <c r="CH177" s="208"/>
      <c r="CI177" s="208"/>
      <c r="CJ177" s="208"/>
      <c r="CK177" s="208"/>
      <c r="CL177" s="208"/>
      <c r="CM177" s="208"/>
      <c r="CN177" s="208"/>
      <c r="CO177" s="208"/>
      <c r="CP177" s="208"/>
      <c r="CQ177" s="208"/>
      <c r="CR177" s="208"/>
      <c r="CS177" s="208"/>
      <c r="CT177" s="208"/>
      <c r="CU177" s="208"/>
      <c r="CV177" s="208"/>
      <c r="CW177" s="208"/>
      <c r="CX177" s="208"/>
      <c r="CY177" s="208"/>
      <c r="CZ177" s="208"/>
      <c r="DA177" s="208"/>
      <c r="DB177" s="208"/>
      <c r="DC177" s="208"/>
      <c r="DD177" s="208"/>
      <c r="DE177" s="208"/>
      <c r="DF177" s="208"/>
      <c r="DG177" s="208"/>
      <c r="DH177" s="208"/>
      <c r="DI177" s="208"/>
      <c r="DJ177" s="208"/>
      <c r="DK177" s="208"/>
      <c r="DL177" s="208"/>
      <c r="DM177" s="208"/>
      <c r="DN177" s="208"/>
      <c r="DO177" s="208"/>
      <c r="DP177" s="208"/>
      <c r="DQ177" s="208"/>
      <c r="DR177" s="208"/>
      <c r="DS177" s="208"/>
      <c r="DT177" s="208"/>
      <c r="DU177" s="208"/>
      <c r="DV177" s="208"/>
      <c r="DW177" s="208"/>
      <c r="DX177" s="208"/>
      <c r="DY177" s="208"/>
      <c r="DZ177" s="208"/>
      <c r="EA177" s="208"/>
      <c r="EB177" s="208"/>
      <c r="EC177" s="208"/>
      <c r="ED177" s="208"/>
      <c r="EE177" s="208"/>
      <c r="EF177" s="208"/>
      <c r="EG177" s="208"/>
      <c r="EH177" s="208"/>
      <c r="EI177" s="208"/>
      <c r="EJ177" s="208"/>
      <c r="EK177" s="208"/>
      <c r="EL177" s="208"/>
      <c r="EM177" s="208"/>
      <c r="EN177" s="208"/>
      <c r="EO177" s="208"/>
      <c r="EP177" s="208"/>
      <c r="EQ177" s="208"/>
      <c r="ER177" s="208"/>
      <c r="ES177" s="208"/>
      <c r="ET177" s="208"/>
      <c r="EU177" s="208"/>
      <c r="EV177" s="208"/>
      <c r="EW177" s="208"/>
      <c r="EX177" s="208"/>
      <c r="EY177" s="208"/>
      <c r="EZ177" s="208"/>
      <c r="FA177" s="208"/>
      <c r="FB177" s="208"/>
      <c r="FC177" s="208"/>
      <c r="FD177" s="208"/>
      <c r="FE177" s="208"/>
      <c r="FF177" s="208"/>
      <c r="FG177" s="208"/>
      <c r="FH177" s="208"/>
      <c r="FI177" s="208"/>
      <c r="FJ177" s="208"/>
      <c r="FK177" s="208"/>
      <c r="FL177" s="208"/>
      <c r="FM177" s="208"/>
      <c r="FN177" s="208"/>
      <c r="FO177" s="208"/>
      <c r="FP177" s="208"/>
      <c r="FQ177" s="208"/>
      <c r="FR177" s="208"/>
      <c r="FS177" s="208"/>
      <c r="FT177" s="208"/>
      <c r="FU177" s="208"/>
      <c r="FV177" s="208"/>
      <c r="FW177" s="208"/>
      <c r="FX177" s="208"/>
      <c r="FY177" s="208"/>
      <c r="FZ177" s="208"/>
      <c r="GA177" s="208"/>
      <c r="GB177" s="208"/>
      <c r="GC177" s="208"/>
      <c r="GD177" s="208"/>
      <c r="GE177" s="208"/>
      <c r="GF177" s="208"/>
    </row>
    <row r="178" spans="1:188" s="209" customFormat="1" ht="15" x14ac:dyDescent="0.25">
      <c r="A178" s="195" t="s">
        <v>4949</v>
      </c>
      <c r="B178" s="195" t="s">
        <v>1097</v>
      </c>
      <c r="C178" s="196" t="s">
        <v>2908</v>
      </c>
      <c r="D178" s="154" t="s">
        <v>78</v>
      </c>
      <c r="E178" s="154">
        <v>2000</v>
      </c>
      <c r="F178" s="154">
        <v>0.1</v>
      </c>
      <c r="G178" s="197"/>
      <c r="H178" s="198"/>
      <c r="I178" s="151">
        <f>IFERROR(INDEX(Composições!$A$5:$J$8391,MATCH(B178,Composições!$A$5:$A$8391,0)+2,8),"")</f>
        <v>176.43604535</v>
      </c>
      <c r="J178" s="152">
        <f t="shared" si="27"/>
        <v>35287.21</v>
      </c>
      <c r="K178" s="198">
        <f>BDI!$B$17</f>
        <v>0.191</v>
      </c>
      <c r="L178" s="198"/>
      <c r="M178" s="198"/>
      <c r="N178" s="153">
        <f t="shared" si="28"/>
        <v>210.14</v>
      </c>
      <c r="O178" s="152">
        <f t="shared" si="29"/>
        <v>42028</v>
      </c>
      <c r="P178" s="225"/>
      <c r="Q178" s="208"/>
      <c r="R178" s="208"/>
      <c r="S178"/>
      <c r="T178" s="208"/>
      <c r="U178" s="208"/>
      <c r="V178" s="208"/>
      <c r="W178" s="208"/>
      <c r="X178" s="208"/>
      <c r="Y178" s="208"/>
      <c r="Z178" s="208"/>
      <c r="AA178" s="208"/>
      <c r="AB178" s="208"/>
      <c r="AC178" s="208"/>
      <c r="AD178" s="208"/>
      <c r="AE178" s="208"/>
      <c r="AF178" s="208"/>
      <c r="AG178" s="208"/>
      <c r="AH178" s="208"/>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c r="BI178" s="208"/>
      <c r="BJ178" s="208"/>
      <c r="BK178" s="208"/>
      <c r="BL178" s="208"/>
      <c r="BM178" s="208"/>
      <c r="BN178" s="208"/>
      <c r="BO178" s="208"/>
      <c r="BP178" s="208"/>
      <c r="BQ178" s="208"/>
      <c r="BR178" s="208"/>
      <c r="BS178" s="208"/>
      <c r="BT178" s="208"/>
      <c r="BU178" s="208"/>
      <c r="BV178" s="208"/>
      <c r="BW178" s="208"/>
      <c r="BX178" s="208"/>
      <c r="BY178" s="208"/>
      <c r="BZ178" s="208"/>
      <c r="CA178" s="208"/>
      <c r="CB178" s="208"/>
      <c r="CC178" s="208"/>
      <c r="CD178" s="208"/>
      <c r="CE178" s="208"/>
      <c r="CF178" s="208"/>
      <c r="CG178" s="208"/>
      <c r="CH178" s="208"/>
      <c r="CI178" s="208"/>
      <c r="CJ178" s="208"/>
      <c r="CK178" s="208"/>
      <c r="CL178" s="208"/>
      <c r="CM178" s="208"/>
      <c r="CN178" s="208"/>
      <c r="CO178" s="208"/>
      <c r="CP178" s="208"/>
      <c r="CQ178" s="208"/>
      <c r="CR178" s="208"/>
      <c r="CS178" s="208"/>
      <c r="CT178" s="208"/>
      <c r="CU178" s="208"/>
      <c r="CV178" s="208"/>
      <c r="CW178" s="208"/>
      <c r="CX178" s="208"/>
      <c r="CY178" s="208"/>
      <c r="CZ178" s="208"/>
      <c r="DA178" s="208"/>
      <c r="DB178" s="208"/>
      <c r="DC178" s="208"/>
      <c r="DD178" s="208"/>
      <c r="DE178" s="208"/>
      <c r="DF178" s="208"/>
      <c r="DG178" s="208"/>
      <c r="DH178" s="208"/>
      <c r="DI178" s="208"/>
      <c r="DJ178" s="208"/>
      <c r="DK178" s="208"/>
      <c r="DL178" s="208"/>
      <c r="DM178" s="208"/>
      <c r="DN178" s="208"/>
      <c r="DO178" s="208"/>
      <c r="DP178" s="208"/>
      <c r="DQ178" s="208"/>
      <c r="DR178" s="208"/>
      <c r="DS178" s="208"/>
      <c r="DT178" s="208"/>
      <c r="DU178" s="208"/>
      <c r="DV178" s="208"/>
      <c r="DW178" s="208"/>
      <c r="DX178" s="208"/>
      <c r="DY178" s="208"/>
      <c r="DZ178" s="208"/>
      <c r="EA178" s="208"/>
      <c r="EB178" s="208"/>
      <c r="EC178" s="208"/>
      <c r="ED178" s="208"/>
      <c r="EE178" s="208"/>
      <c r="EF178" s="208"/>
      <c r="EG178" s="208"/>
      <c r="EH178" s="208"/>
      <c r="EI178" s="208"/>
      <c r="EJ178" s="208"/>
      <c r="EK178" s="208"/>
      <c r="EL178" s="208"/>
      <c r="EM178" s="208"/>
      <c r="EN178" s="208"/>
      <c r="EO178" s="208"/>
      <c r="EP178" s="208"/>
      <c r="EQ178" s="208"/>
      <c r="ER178" s="208"/>
      <c r="ES178" s="208"/>
      <c r="ET178" s="208"/>
      <c r="EU178" s="208"/>
      <c r="EV178" s="208"/>
      <c r="EW178" s="208"/>
      <c r="EX178" s="208"/>
      <c r="EY178" s="208"/>
      <c r="EZ178" s="208"/>
      <c r="FA178" s="208"/>
      <c r="FB178" s="208"/>
      <c r="FC178" s="208"/>
      <c r="FD178" s="208"/>
      <c r="FE178" s="208"/>
      <c r="FF178" s="208"/>
      <c r="FG178" s="208"/>
      <c r="FH178" s="208"/>
      <c r="FI178" s="208"/>
      <c r="FJ178" s="208"/>
      <c r="FK178" s="208"/>
      <c r="FL178" s="208"/>
      <c r="FM178" s="208"/>
      <c r="FN178" s="208"/>
      <c r="FO178" s="208"/>
      <c r="FP178" s="208"/>
      <c r="FQ178" s="208"/>
      <c r="FR178" s="208"/>
      <c r="FS178" s="208"/>
      <c r="FT178" s="208"/>
      <c r="FU178" s="208"/>
      <c r="FV178" s="208"/>
      <c r="FW178" s="208"/>
      <c r="FX178" s="208"/>
      <c r="FY178" s="208"/>
      <c r="FZ178" s="208"/>
      <c r="GA178" s="208"/>
      <c r="GB178" s="208"/>
      <c r="GC178" s="208"/>
      <c r="GD178" s="208"/>
      <c r="GE178" s="208"/>
      <c r="GF178" s="208"/>
    </row>
    <row r="179" spans="1:188" s="209" customFormat="1" ht="15" x14ac:dyDescent="0.25">
      <c r="A179" s="195" t="s">
        <v>4950</v>
      </c>
      <c r="B179" s="195" t="s">
        <v>1098</v>
      </c>
      <c r="C179" s="196" t="s">
        <v>2909</v>
      </c>
      <c r="D179" s="154" t="s">
        <v>78</v>
      </c>
      <c r="E179" s="154">
        <v>2160</v>
      </c>
      <c r="F179" s="154">
        <v>0.1</v>
      </c>
      <c r="G179" s="197"/>
      <c r="H179" s="198"/>
      <c r="I179" s="151">
        <f>IFERROR(INDEX(Composições!$A$5:$J$8391,MATCH(B179,Composições!$A$5:$A$8391,0)+2,8),"")</f>
        <v>203.35545719999999</v>
      </c>
      <c r="J179" s="152">
        <f t="shared" si="27"/>
        <v>43924.78</v>
      </c>
      <c r="K179" s="198">
        <f>BDI!$B$17</f>
        <v>0.191</v>
      </c>
      <c r="L179" s="198"/>
      <c r="M179" s="198"/>
      <c r="N179" s="153">
        <f t="shared" si="28"/>
        <v>242.2</v>
      </c>
      <c r="O179" s="152">
        <f t="shared" si="29"/>
        <v>52315.199999999997</v>
      </c>
      <c r="P179" s="225"/>
      <c r="Q179" s="208"/>
      <c r="R179" s="208"/>
      <c r="S179"/>
      <c r="T179" s="208"/>
      <c r="U179" s="208"/>
      <c r="V179" s="208"/>
      <c r="W179" s="208"/>
      <c r="X179" s="208"/>
      <c r="Y179" s="208"/>
      <c r="Z179" s="208"/>
      <c r="AA179" s="208"/>
      <c r="AB179" s="208"/>
      <c r="AC179" s="208"/>
      <c r="AD179" s="208"/>
      <c r="AE179" s="208"/>
      <c r="AF179" s="208"/>
      <c r="AG179" s="208"/>
      <c r="AH179" s="208"/>
      <c r="AI179" s="208"/>
      <c r="AJ179" s="208"/>
      <c r="AK179" s="208"/>
      <c r="AL179" s="208"/>
      <c r="AM179" s="208"/>
      <c r="AN179" s="208"/>
      <c r="AO179" s="208"/>
      <c r="AP179" s="208"/>
      <c r="AQ179" s="208"/>
      <c r="AR179" s="208"/>
      <c r="AS179" s="208"/>
      <c r="AT179" s="208"/>
      <c r="AU179" s="208"/>
      <c r="AV179" s="208"/>
      <c r="AW179" s="208"/>
      <c r="AX179" s="208"/>
      <c r="AY179" s="208"/>
      <c r="AZ179" s="208"/>
      <c r="BA179" s="208"/>
      <c r="BB179" s="208"/>
      <c r="BC179" s="208"/>
      <c r="BD179" s="208"/>
      <c r="BE179" s="208"/>
      <c r="BF179" s="208"/>
      <c r="BG179" s="208"/>
      <c r="BH179" s="208"/>
      <c r="BI179" s="208"/>
      <c r="BJ179" s="208"/>
      <c r="BK179" s="208"/>
      <c r="BL179" s="208"/>
      <c r="BM179" s="208"/>
      <c r="BN179" s="208"/>
      <c r="BO179" s="208"/>
      <c r="BP179" s="208"/>
      <c r="BQ179" s="208"/>
      <c r="BR179" s="208"/>
      <c r="BS179" s="208"/>
      <c r="BT179" s="208"/>
      <c r="BU179" s="208"/>
      <c r="BV179" s="208"/>
      <c r="BW179" s="208"/>
      <c r="BX179" s="208"/>
      <c r="BY179" s="208"/>
      <c r="BZ179" s="208"/>
      <c r="CA179" s="208"/>
      <c r="CB179" s="208"/>
      <c r="CC179" s="208"/>
      <c r="CD179" s="208"/>
      <c r="CE179" s="208"/>
      <c r="CF179" s="208"/>
      <c r="CG179" s="208"/>
      <c r="CH179" s="208"/>
      <c r="CI179" s="208"/>
      <c r="CJ179" s="208"/>
      <c r="CK179" s="208"/>
      <c r="CL179" s="208"/>
      <c r="CM179" s="208"/>
      <c r="CN179" s="208"/>
      <c r="CO179" s="208"/>
      <c r="CP179" s="208"/>
      <c r="CQ179" s="208"/>
      <c r="CR179" s="208"/>
      <c r="CS179" s="208"/>
      <c r="CT179" s="208"/>
      <c r="CU179" s="208"/>
      <c r="CV179" s="208"/>
      <c r="CW179" s="208"/>
      <c r="CX179" s="208"/>
      <c r="CY179" s="208"/>
      <c r="CZ179" s="208"/>
      <c r="DA179" s="208"/>
      <c r="DB179" s="208"/>
      <c r="DC179" s="208"/>
      <c r="DD179" s="208"/>
      <c r="DE179" s="208"/>
      <c r="DF179" s="208"/>
      <c r="DG179" s="208"/>
      <c r="DH179" s="208"/>
      <c r="DI179" s="208"/>
      <c r="DJ179" s="208"/>
      <c r="DK179" s="208"/>
      <c r="DL179" s="208"/>
      <c r="DM179" s="208"/>
      <c r="DN179" s="208"/>
      <c r="DO179" s="208"/>
      <c r="DP179" s="208"/>
      <c r="DQ179" s="208"/>
      <c r="DR179" s="208"/>
      <c r="DS179" s="208"/>
      <c r="DT179" s="208"/>
      <c r="DU179" s="208"/>
      <c r="DV179" s="208"/>
      <c r="DW179" s="208"/>
      <c r="DX179" s="208"/>
      <c r="DY179" s="208"/>
      <c r="DZ179" s="208"/>
      <c r="EA179" s="208"/>
      <c r="EB179" s="208"/>
      <c r="EC179" s="208"/>
      <c r="ED179" s="208"/>
      <c r="EE179" s="208"/>
      <c r="EF179" s="208"/>
      <c r="EG179" s="208"/>
      <c r="EH179" s="208"/>
      <c r="EI179" s="208"/>
      <c r="EJ179" s="208"/>
      <c r="EK179" s="208"/>
      <c r="EL179" s="208"/>
      <c r="EM179" s="208"/>
      <c r="EN179" s="208"/>
      <c r="EO179" s="208"/>
      <c r="EP179" s="208"/>
      <c r="EQ179" s="208"/>
      <c r="ER179" s="208"/>
      <c r="ES179" s="208"/>
      <c r="ET179" s="208"/>
      <c r="EU179" s="208"/>
      <c r="EV179" s="208"/>
      <c r="EW179" s="208"/>
      <c r="EX179" s="208"/>
      <c r="EY179" s="208"/>
      <c r="EZ179" s="208"/>
      <c r="FA179" s="208"/>
      <c r="FB179" s="208"/>
      <c r="FC179" s="208"/>
      <c r="FD179" s="208"/>
      <c r="FE179" s="208"/>
      <c r="FF179" s="208"/>
      <c r="FG179" s="208"/>
      <c r="FH179" s="208"/>
      <c r="FI179" s="208"/>
      <c r="FJ179" s="208"/>
      <c r="FK179" s="208"/>
      <c r="FL179" s="208"/>
      <c r="FM179" s="208"/>
      <c r="FN179" s="208"/>
      <c r="FO179" s="208"/>
      <c r="FP179" s="208"/>
      <c r="FQ179" s="208"/>
      <c r="FR179" s="208"/>
      <c r="FS179" s="208"/>
      <c r="FT179" s="208"/>
      <c r="FU179" s="208"/>
      <c r="FV179" s="208"/>
      <c r="FW179" s="208"/>
      <c r="FX179" s="208"/>
      <c r="FY179" s="208"/>
      <c r="FZ179" s="208"/>
      <c r="GA179" s="208"/>
      <c r="GB179" s="208"/>
      <c r="GC179" s="208"/>
      <c r="GD179" s="208"/>
      <c r="GE179" s="208"/>
      <c r="GF179" s="208"/>
    </row>
    <row r="180" spans="1:188" s="225" customFormat="1" ht="15" x14ac:dyDescent="0.25">
      <c r="A180" s="189" t="s">
        <v>4951</v>
      </c>
      <c r="B180" s="189"/>
      <c r="C180" s="190" t="s">
        <v>4952</v>
      </c>
      <c r="D180" s="191"/>
      <c r="E180" s="191"/>
      <c r="F180" s="191"/>
      <c r="G180" s="192"/>
      <c r="H180" s="193"/>
      <c r="I180" s="246"/>
      <c r="J180" s="194">
        <f>SUBTOTAL(109,J181:J188)</f>
        <v>1560907.1800000002</v>
      </c>
      <c r="K180" s="191"/>
      <c r="L180" s="191"/>
      <c r="M180" s="191"/>
      <c r="N180" s="191"/>
      <c r="O180" s="194">
        <f>SUBTOTAL(109,O181:O188)</f>
        <v>1859025.3699999996</v>
      </c>
      <c r="Q180" s="208"/>
      <c r="R180" s="208"/>
      <c r="S180"/>
      <c r="T180" s="208"/>
      <c r="U180" s="208"/>
      <c r="V180" s="208"/>
      <c r="W180" s="208"/>
      <c r="X180" s="208"/>
      <c r="Y180" s="208"/>
      <c r="Z180" s="208"/>
      <c r="AA180" s="208"/>
      <c r="AB180" s="208"/>
      <c r="AC180" s="208"/>
      <c r="AD180" s="208"/>
      <c r="AE180" s="208"/>
      <c r="AF180" s="208"/>
      <c r="AG180" s="208"/>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c r="BI180" s="208"/>
      <c r="BJ180" s="208"/>
      <c r="BK180" s="208"/>
      <c r="BL180" s="208"/>
      <c r="BM180" s="208"/>
      <c r="BN180" s="208"/>
      <c r="BO180" s="208"/>
      <c r="BP180" s="208"/>
      <c r="BQ180" s="208"/>
      <c r="BR180" s="208"/>
      <c r="BS180" s="208"/>
      <c r="BT180" s="208"/>
      <c r="BU180" s="208"/>
      <c r="BV180" s="208"/>
      <c r="BW180" s="208"/>
      <c r="BX180" s="208"/>
      <c r="BY180" s="208"/>
      <c r="BZ180" s="208"/>
      <c r="CA180" s="208"/>
      <c r="CB180" s="208"/>
      <c r="CC180" s="208"/>
      <c r="CD180" s="208"/>
      <c r="CE180" s="208"/>
      <c r="CF180" s="208"/>
      <c r="CG180" s="208"/>
      <c r="CH180" s="208"/>
      <c r="CI180" s="208"/>
      <c r="CJ180" s="208"/>
      <c r="CK180" s="208"/>
      <c r="CL180" s="208"/>
      <c r="CM180" s="208"/>
      <c r="CN180" s="208"/>
      <c r="CO180" s="208"/>
      <c r="CP180" s="208"/>
      <c r="CQ180" s="208"/>
      <c r="CR180" s="208"/>
      <c r="CS180" s="208"/>
      <c r="CT180" s="208"/>
      <c r="CU180" s="208"/>
      <c r="CV180" s="208"/>
      <c r="CW180" s="208"/>
      <c r="CX180" s="208"/>
      <c r="CY180" s="208"/>
      <c r="CZ180" s="208"/>
      <c r="DA180" s="208"/>
      <c r="DB180" s="208"/>
      <c r="DC180" s="208"/>
      <c r="DD180" s="208"/>
      <c r="DE180" s="208"/>
      <c r="DF180" s="208"/>
      <c r="DG180" s="208"/>
      <c r="DH180" s="208"/>
      <c r="DI180" s="208"/>
      <c r="DJ180" s="208"/>
      <c r="DK180" s="208"/>
      <c r="DL180" s="208"/>
      <c r="DM180" s="208"/>
      <c r="DN180" s="208"/>
      <c r="DO180" s="208"/>
      <c r="DP180" s="208"/>
      <c r="DQ180" s="208"/>
      <c r="DR180" s="208"/>
      <c r="DS180" s="208"/>
      <c r="DT180" s="208"/>
      <c r="DU180" s="208"/>
      <c r="DV180" s="208"/>
      <c r="DW180" s="208"/>
      <c r="DX180" s="208"/>
      <c r="DY180" s="208"/>
      <c r="DZ180" s="208"/>
      <c r="EA180" s="208"/>
      <c r="EB180" s="208"/>
      <c r="EC180" s="208"/>
      <c r="ED180" s="208"/>
      <c r="EE180" s="208"/>
      <c r="EF180" s="208"/>
      <c r="EG180" s="208"/>
      <c r="EH180" s="208"/>
      <c r="EI180" s="208"/>
      <c r="EJ180" s="208"/>
      <c r="EK180" s="208"/>
      <c r="EL180" s="208"/>
      <c r="EM180" s="208"/>
      <c r="EN180" s="208"/>
      <c r="EO180" s="208"/>
      <c r="EP180" s="208"/>
      <c r="EQ180" s="208"/>
      <c r="ER180" s="208"/>
      <c r="ES180" s="208"/>
      <c r="ET180" s="208"/>
      <c r="EU180" s="208"/>
      <c r="EV180" s="208"/>
      <c r="EW180" s="208"/>
      <c r="EX180" s="208"/>
      <c r="EY180" s="208"/>
      <c r="EZ180" s="208"/>
      <c r="FA180" s="208"/>
      <c r="FB180" s="208"/>
      <c r="FC180" s="208"/>
      <c r="FD180" s="208"/>
      <c r="FE180" s="208"/>
      <c r="FF180" s="208"/>
      <c r="FG180" s="208"/>
      <c r="FH180" s="208"/>
      <c r="FI180" s="208"/>
      <c r="FJ180" s="208"/>
      <c r="FK180" s="208"/>
      <c r="FL180" s="208"/>
      <c r="FM180" s="208"/>
      <c r="FN180" s="208"/>
      <c r="FO180" s="208"/>
      <c r="FP180" s="208"/>
      <c r="FQ180" s="208"/>
      <c r="FR180" s="208"/>
      <c r="FS180" s="208"/>
      <c r="FT180" s="208"/>
      <c r="FU180" s="208"/>
      <c r="FV180" s="208"/>
      <c r="FW180" s="208"/>
      <c r="FX180" s="208"/>
      <c r="FY180" s="208"/>
      <c r="FZ180" s="208"/>
      <c r="GA180" s="208"/>
      <c r="GB180" s="208"/>
      <c r="GC180" s="208"/>
      <c r="GD180" s="208"/>
      <c r="GE180" s="208"/>
      <c r="GF180" s="208"/>
    </row>
    <row r="181" spans="1:188" s="209" customFormat="1" ht="15" x14ac:dyDescent="0.25">
      <c r="A181" s="195" t="s">
        <v>4953</v>
      </c>
      <c r="B181" s="195" t="s">
        <v>1088</v>
      </c>
      <c r="C181" s="196" t="s">
        <v>2902</v>
      </c>
      <c r="D181" s="154" t="s">
        <v>78</v>
      </c>
      <c r="E181" s="154">
        <v>119530</v>
      </c>
      <c r="F181" s="154">
        <v>0.1</v>
      </c>
      <c r="G181" s="197"/>
      <c r="H181" s="198"/>
      <c r="I181" s="151">
        <f>IFERROR(INDEX(Composições!$A$5:$J$8391,MATCH(B181,Composições!$A$5:$A$8391,0)+2,8),"")</f>
        <v>8.3591449999999998</v>
      </c>
      <c r="J181" s="152">
        <f t="shared" ref="J181:J188" si="30">IF(ISNUMBER(I181),ROUND(F181*E181*I181,2),"")</f>
        <v>99916.86</v>
      </c>
      <c r="K181" s="198">
        <f>BDI!$B$17</f>
        <v>0.191</v>
      </c>
      <c r="L181" s="198"/>
      <c r="M181" s="198"/>
      <c r="N181" s="153">
        <f t="shared" ref="N181:N188" si="31">IF(ISNUMBER(I181),ROUND(I181*(1+K181),2),"")</f>
        <v>9.9600000000000009</v>
      </c>
      <c r="O181" s="152">
        <f t="shared" ref="O181:O188" si="32">IF(ISNUMBER(I181),ROUND(F181*N181*E181,2),"")</f>
        <v>119051.88</v>
      </c>
      <c r="P181" s="225"/>
      <c r="Q181" s="208"/>
      <c r="R181" s="208"/>
      <c r="S181"/>
      <c r="T181" s="208"/>
      <c r="U181" s="208"/>
      <c r="V181" s="208"/>
      <c r="W181" s="208"/>
      <c r="X181" s="208"/>
      <c r="Y181" s="208"/>
      <c r="Z181" s="208"/>
      <c r="AA181" s="208"/>
      <c r="AB181" s="208"/>
      <c r="AC181" s="208"/>
      <c r="AD181" s="208"/>
      <c r="AE181" s="208"/>
      <c r="AF181" s="208"/>
      <c r="AG181" s="208"/>
      <c r="AH181" s="208"/>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c r="BI181" s="208"/>
      <c r="BJ181" s="208"/>
      <c r="BK181" s="208"/>
      <c r="BL181" s="208"/>
      <c r="BM181" s="208"/>
      <c r="BN181" s="208"/>
      <c r="BO181" s="208"/>
      <c r="BP181" s="208"/>
      <c r="BQ181" s="208"/>
      <c r="BR181" s="208"/>
      <c r="BS181" s="208"/>
      <c r="BT181" s="208"/>
      <c r="BU181" s="208"/>
      <c r="BV181" s="208"/>
      <c r="BW181" s="208"/>
      <c r="BX181" s="208"/>
      <c r="BY181" s="208"/>
      <c r="BZ181" s="208"/>
      <c r="CA181" s="208"/>
      <c r="CB181" s="208"/>
      <c r="CC181" s="208"/>
      <c r="CD181" s="208"/>
      <c r="CE181" s="208"/>
      <c r="CF181" s="208"/>
      <c r="CG181" s="208"/>
      <c r="CH181" s="208"/>
      <c r="CI181" s="208"/>
      <c r="CJ181" s="208"/>
      <c r="CK181" s="208"/>
      <c r="CL181" s="208"/>
      <c r="CM181" s="208"/>
      <c r="CN181" s="208"/>
      <c r="CO181" s="208"/>
      <c r="CP181" s="208"/>
      <c r="CQ181" s="208"/>
      <c r="CR181" s="208"/>
      <c r="CS181" s="208"/>
      <c r="CT181" s="208"/>
      <c r="CU181" s="208"/>
      <c r="CV181" s="208"/>
      <c r="CW181" s="208"/>
      <c r="CX181" s="208"/>
      <c r="CY181" s="208"/>
      <c r="CZ181" s="208"/>
      <c r="DA181" s="208"/>
      <c r="DB181" s="208"/>
      <c r="DC181" s="208"/>
      <c r="DD181" s="208"/>
      <c r="DE181" s="208"/>
      <c r="DF181" s="208"/>
      <c r="DG181" s="208"/>
      <c r="DH181" s="208"/>
      <c r="DI181" s="208"/>
      <c r="DJ181" s="208"/>
      <c r="DK181" s="208"/>
      <c r="DL181" s="208"/>
      <c r="DM181" s="208"/>
      <c r="DN181" s="208"/>
      <c r="DO181" s="208"/>
      <c r="DP181" s="208"/>
      <c r="DQ181" s="208"/>
      <c r="DR181" s="208"/>
      <c r="DS181" s="208"/>
      <c r="DT181" s="208"/>
      <c r="DU181" s="208"/>
      <c r="DV181" s="208"/>
      <c r="DW181" s="208"/>
      <c r="DX181" s="208"/>
      <c r="DY181" s="208"/>
      <c r="DZ181" s="208"/>
      <c r="EA181" s="208"/>
      <c r="EB181" s="208"/>
      <c r="EC181" s="208"/>
      <c r="ED181" s="208"/>
      <c r="EE181" s="208"/>
      <c r="EF181" s="208"/>
      <c r="EG181" s="208"/>
      <c r="EH181" s="208"/>
      <c r="EI181" s="208"/>
      <c r="EJ181" s="208"/>
      <c r="EK181" s="208"/>
      <c r="EL181" s="208"/>
      <c r="EM181" s="208"/>
      <c r="EN181" s="208"/>
      <c r="EO181" s="208"/>
      <c r="EP181" s="208"/>
      <c r="EQ181" s="208"/>
      <c r="ER181" s="208"/>
      <c r="ES181" s="208"/>
      <c r="ET181" s="208"/>
      <c r="EU181" s="208"/>
      <c r="EV181" s="208"/>
      <c r="EW181" s="208"/>
      <c r="EX181" s="208"/>
      <c r="EY181" s="208"/>
      <c r="EZ181" s="208"/>
      <c r="FA181" s="208"/>
      <c r="FB181" s="208"/>
      <c r="FC181" s="208"/>
      <c r="FD181" s="208"/>
      <c r="FE181" s="208"/>
      <c r="FF181" s="208"/>
      <c r="FG181" s="208"/>
      <c r="FH181" s="208"/>
      <c r="FI181" s="208"/>
      <c r="FJ181" s="208"/>
      <c r="FK181" s="208"/>
      <c r="FL181" s="208"/>
      <c r="FM181" s="208"/>
      <c r="FN181" s="208"/>
      <c r="FO181" s="208"/>
      <c r="FP181" s="208"/>
      <c r="FQ181" s="208"/>
      <c r="FR181" s="208"/>
      <c r="FS181" s="208"/>
      <c r="FT181" s="208"/>
      <c r="FU181" s="208"/>
      <c r="FV181" s="208"/>
      <c r="FW181" s="208"/>
      <c r="FX181" s="208"/>
      <c r="FY181" s="208"/>
      <c r="FZ181" s="208"/>
      <c r="GA181" s="208"/>
      <c r="GB181" s="208"/>
      <c r="GC181" s="208"/>
      <c r="GD181" s="208"/>
      <c r="GE181" s="208"/>
      <c r="GF181" s="208"/>
    </row>
    <row r="182" spans="1:188" s="209" customFormat="1" ht="15" x14ac:dyDescent="0.25">
      <c r="A182" s="195" t="s">
        <v>4954</v>
      </c>
      <c r="B182" s="195" t="s">
        <v>1089</v>
      </c>
      <c r="C182" s="196" t="s">
        <v>2903</v>
      </c>
      <c r="D182" s="154" t="s">
        <v>78</v>
      </c>
      <c r="E182" s="154">
        <v>72730</v>
      </c>
      <c r="F182" s="154">
        <v>0.1</v>
      </c>
      <c r="G182" s="197"/>
      <c r="H182" s="198"/>
      <c r="I182" s="151">
        <f>IFERROR(INDEX(Composições!$A$5:$J$8391,MATCH(B182,Composições!$A$5:$A$8391,0)+2,8),"")</f>
        <v>15.265075</v>
      </c>
      <c r="J182" s="152">
        <f t="shared" si="30"/>
        <v>111022.89</v>
      </c>
      <c r="K182" s="198">
        <f>BDI!$B$17</f>
        <v>0.191</v>
      </c>
      <c r="L182" s="198"/>
      <c r="M182" s="198"/>
      <c r="N182" s="153">
        <f t="shared" si="31"/>
        <v>18.18</v>
      </c>
      <c r="O182" s="152">
        <f t="shared" si="32"/>
        <v>132223.14000000001</v>
      </c>
      <c r="P182" s="225"/>
      <c r="Q182" s="208"/>
      <c r="R182" s="208"/>
      <c r="S182"/>
      <c r="T182" s="208"/>
      <c r="U182" s="208"/>
      <c r="V182" s="208"/>
      <c r="W182" s="208"/>
      <c r="X182" s="208"/>
      <c r="Y182" s="208"/>
      <c r="Z182" s="208"/>
      <c r="AA182" s="208"/>
      <c r="AB182" s="208"/>
      <c r="AC182" s="208"/>
      <c r="AD182" s="208"/>
      <c r="AE182" s="208"/>
      <c r="AF182" s="208"/>
      <c r="AG182" s="208"/>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208"/>
      <c r="CZ182" s="208"/>
      <c r="DA182" s="208"/>
      <c r="DB182" s="208"/>
      <c r="DC182" s="208"/>
      <c r="DD182" s="208"/>
      <c r="DE182" s="208"/>
      <c r="DF182" s="208"/>
      <c r="DG182" s="208"/>
      <c r="DH182" s="208"/>
      <c r="DI182" s="208"/>
      <c r="DJ182" s="208"/>
      <c r="DK182" s="208"/>
      <c r="DL182" s="208"/>
      <c r="DM182" s="208"/>
      <c r="DN182" s="208"/>
      <c r="DO182" s="208"/>
      <c r="DP182" s="208"/>
      <c r="DQ182" s="208"/>
      <c r="DR182" s="208"/>
      <c r="DS182" s="208"/>
      <c r="DT182" s="208"/>
      <c r="DU182" s="208"/>
      <c r="DV182" s="208"/>
      <c r="DW182" s="208"/>
      <c r="DX182" s="208"/>
      <c r="DY182" s="208"/>
      <c r="DZ182" s="208"/>
      <c r="EA182" s="208"/>
      <c r="EB182" s="208"/>
      <c r="EC182" s="208"/>
      <c r="ED182" s="208"/>
      <c r="EE182" s="208"/>
      <c r="EF182" s="208"/>
      <c r="EG182" s="208"/>
      <c r="EH182" s="208"/>
      <c r="EI182" s="208"/>
      <c r="EJ182" s="208"/>
      <c r="EK182" s="208"/>
      <c r="EL182" s="208"/>
      <c r="EM182" s="208"/>
      <c r="EN182" s="208"/>
      <c r="EO182" s="208"/>
      <c r="EP182" s="208"/>
      <c r="EQ182" s="208"/>
      <c r="ER182" s="208"/>
      <c r="ES182" s="208"/>
      <c r="ET182" s="208"/>
      <c r="EU182" s="208"/>
      <c r="EV182" s="208"/>
      <c r="EW182" s="208"/>
      <c r="EX182" s="208"/>
      <c r="EY182" s="208"/>
      <c r="EZ182" s="208"/>
      <c r="FA182" s="208"/>
      <c r="FB182" s="208"/>
      <c r="FC182" s="208"/>
      <c r="FD182" s="208"/>
      <c r="FE182" s="208"/>
      <c r="FF182" s="208"/>
      <c r="FG182" s="208"/>
      <c r="FH182" s="208"/>
      <c r="FI182" s="208"/>
      <c r="FJ182" s="208"/>
      <c r="FK182" s="208"/>
      <c r="FL182" s="208"/>
      <c r="FM182" s="208"/>
      <c r="FN182" s="208"/>
      <c r="FO182" s="208"/>
      <c r="FP182" s="208"/>
      <c r="FQ182" s="208"/>
      <c r="FR182" s="208"/>
      <c r="FS182" s="208"/>
      <c r="FT182" s="208"/>
      <c r="FU182" s="208"/>
      <c r="FV182" s="208"/>
      <c r="FW182" s="208"/>
      <c r="FX182" s="208"/>
      <c r="FY182" s="208"/>
      <c r="FZ182" s="208"/>
      <c r="GA182" s="208"/>
      <c r="GB182" s="208"/>
      <c r="GC182" s="208"/>
      <c r="GD182" s="208"/>
      <c r="GE182" s="208"/>
      <c r="GF182" s="208"/>
    </row>
    <row r="183" spans="1:188" s="209" customFormat="1" ht="15" x14ac:dyDescent="0.25">
      <c r="A183" s="195" t="s">
        <v>4955</v>
      </c>
      <c r="B183" s="195" t="s">
        <v>1090</v>
      </c>
      <c r="C183" s="196" t="s">
        <v>2904</v>
      </c>
      <c r="D183" s="154" t="s">
        <v>78</v>
      </c>
      <c r="E183" s="154">
        <v>73040</v>
      </c>
      <c r="F183" s="154">
        <v>0.1</v>
      </c>
      <c r="G183" s="197"/>
      <c r="H183" s="198"/>
      <c r="I183" s="151">
        <f>IFERROR(INDEX(Composições!$A$5:$J$8391,MATCH(B183,Composições!$A$5:$A$8391,0)+2,8),"")</f>
        <v>45.971687827750003</v>
      </c>
      <c r="J183" s="152">
        <f t="shared" si="30"/>
        <v>335777.21</v>
      </c>
      <c r="K183" s="198">
        <f>BDI!$B$17</f>
        <v>0.191</v>
      </c>
      <c r="L183" s="198"/>
      <c r="M183" s="198"/>
      <c r="N183" s="153">
        <f t="shared" si="31"/>
        <v>54.75</v>
      </c>
      <c r="O183" s="152">
        <f t="shared" si="32"/>
        <v>399894</v>
      </c>
      <c r="P183" s="225"/>
      <c r="Q183" s="208"/>
      <c r="R183" s="208"/>
      <c r="S183"/>
      <c r="T183" s="208"/>
      <c r="U183" s="208"/>
      <c r="V183" s="208"/>
      <c r="W183" s="208"/>
      <c r="X183" s="208"/>
      <c r="Y183" s="208"/>
      <c r="Z183" s="208"/>
      <c r="AA183" s="208"/>
      <c r="AB183" s="208"/>
      <c r="AC183" s="208"/>
      <c r="AD183" s="208"/>
      <c r="AE183" s="208"/>
      <c r="AF183" s="208"/>
      <c r="AG183" s="208"/>
      <c r="AH183" s="208"/>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c r="BI183" s="208"/>
      <c r="BJ183" s="208"/>
      <c r="BK183" s="208"/>
      <c r="BL183" s="208"/>
      <c r="BM183" s="208"/>
      <c r="BN183" s="208"/>
      <c r="BO183" s="208"/>
      <c r="BP183" s="208"/>
      <c r="BQ183" s="208"/>
      <c r="BR183" s="208"/>
      <c r="BS183" s="208"/>
      <c r="BT183" s="208"/>
      <c r="BU183" s="208"/>
      <c r="BV183" s="208"/>
      <c r="BW183" s="208"/>
      <c r="BX183" s="208"/>
      <c r="BY183" s="208"/>
      <c r="BZ183" s="208"/>
      <c r="CA183" s="208"/>
      <c r="CB183" s="208"/>
      <c r="CC183" s="208"/>
      <c r="CD183" s="208"/>
      <c r="CE183" s="208"/>
      <c r="CF183" s="208"/>
      <c r="CG183" s="208"/>
      <c r="CH183" s="208"/>
      <c r="CI183" s="208"/>
      <c r="CJ183" s="208"/>
      <c r="CK183" s="208"/>
      <c r="CL183" s="208"/>
      <c r="CM183" s="208"/>
      <c r="CN183" s="208"/>
      <c r="CO183" s="208"/>
      <c r="CP183" s="208"/>
      <c r="CQ183" s="208"/>
      <c r="CR183" s="208"/>
      <c r="CS183" s="208"/>
      <c r="CT183" s="208"/>
      <c r="CU183" s="208"/>
      <c r="CV183" s="208"/>
      <c r="CW183" s="208"/>
      <c r="CX183" s="208"/>
      <c r="CY183" s="208"/>
      <c r="CZ183" s="208"/>
      <c r="DA183" s="208"/>
      <c r="DB183" s="208"/>
      <c r="DC183" s="208"/>
      <c r="DD183" s="208"/>
      <c r="DE183" s="208"/>
      <c r="DF183" s="208"/>
      <c r="DG183" s="208"/>
      <c r="DH183" s="208"/>
      <c r="DI183" s="208"/>
      <c r="DJ183" s="208"/>
      <c r="DK183" s="208"/>
      <c r="DL183" s="208"/>
      <c r="DM183" s="208"/>
      <c r="DN183" s="208"/>
      <c r="DO183" s="208"/>
      <c r="DP183" s="208"/>
      <c r="DQ183" s="208"/>
      <c r="DR183" s="208"/>
      <c r="DS183" s="208"/>
      <c r="DT183" s="208"/>
      <c r="DU183" s="208"/>
      <c r="DV183" s="208"/>
      <c r="DW183" s="208"/>
      <c r="DX183" s="208"/>
      <c r="DY183" s="208"/>
      <c r="DZ183" s="208"/>
      <c r="EA183" s="208"/>
      <c r="EB183" s="208"/>
      <c r="EC183" s="208"/>
      <c r="ED183" s="208"/>
      <c r="EE183" s="208"/>
      <c r="EF183" s="208"/>
      <c r="EG183" s="208"/>
      <c r="EH183" s="208"/>
      <c r="EI183" s="208"/>
      <c r="EJ183" s="208"/>
      <c r="EK183" s="208"/>
      <c r="EL183" s="208"/>
      <c r="EM183" s="208"/>
      <c r="EN183" s="208"/>
      <c r="EO183" s="208"/>
      <c r="EP183" s="208"/>
      <c r="EQ183" s="208"/>
      <c r="ER183" s="208"/>
      <c r="ES183" s="208"/>
      <c r="ET183" s="208"/>
      <c r="EU183" s="208"/>
      <c r="EV183" s="208"/>
      <c r="EW183" s="208"/>
      <c r="EX183" s="208"/>
      <c r="EY183" s="208"/>
      <c r="EZ183" s="208"/>
      <c r="FA183" s="208"/>
      <c r="FB183" s="208"/>
      <c r="FC183" s="208"/>
      <c r="FD183" s="208"/>
      <c r="FE183" s="208"/>
      <c r="FF183" s="208"/>
      <c r="FG183" s="208"/>
      <c r="FH183" s="208"/>
      <c r="FI183" s="208"/>
      <c r="FJ183" s="208"/>
      <c r="FK183" s="208"/>
      <c r="FL183" s="208"/>
      <c r="FM183" s="208"/>
      <c r="FN183" s="208"/>
      <c r="FO183" s="208"/>
      <c r="FP183" s="208"/>
      <c r="FQ183" s="208"/>
      <c r="FR183" s="208"/>
      <c r="FS183" s="208"/>
      <c r="FT183" s="208"/>
      <c r="FU183" s="208"/>
      <c r="FV183" s="208"/>
      <c r="FW183" s="208"/>
      <c r="FX183" s="208"/>
      <c r="FY183" s="208"/>
      <c r="FZ183" s="208"/>
      <c r="GA183" s="208"/>
      <c r="GB183" s="208"/>
      <c r="GC183" s="208"/>
      <c r="GD183" s="208"/>
      <c r="GE183" s="208"/>
      <c r="GF183" s="208"/>
    </row>
    <row r="184" spans="1:188" s="209" customFormat="1" ht="15" x14ac:dyDescent="0.25">
      <c r="A184" s="195" t="s">
        <v>4956</v>
      </c>
      <c r="B184" s="195" t="s">
        <v>867</v>
      </c>
      <c r="C184" s="196" t="s">
        <v>2739</v>
      </c>
      <c r="D184" s="154" t="s">
        <v>78</v>
      </c>
      <c r="E184" s="154">
        <v>37040</v>
      </c>
      <c r="F184" s="154">
        <v>0.1</v>
      </c>
      <c r="G184" s="197"/>
      <c r="H184" s="198"/>
      <c r="I184" s="151">
        <f>IFERROR(INDEX(Composições!$A$5:$J$8391,MATCH(B184,Composições!$A$5:$A$8391,0)+2,8),"")</f>
        <v>55.770807854687511</v>
      </c>
      <c r="J184" s="152">
        <f t="shared" si="30"/>
        <v>206575.07</v>
      </c>
      <c r="K184" s="198">
        <f>BDI!$B$17</f>
        <v>0.191</v>
      </c>
      <c r="L184" s="198"/>
      <c r="M184" s="198"/>
      <c r="N184" s="153">
        <f t="shared" si="31"/>
        <v>66.42</v>
      </c>
      <c r="O184" s="152">
        <f t="shared" si="32"/>
        <v>246019.68</v>
      </c>
      <c r="P184" s="225"/>
      <c r="Q184" s="208"/>
      <c r="R184" s="208"/>
      <c r="S184"/>
      <c r="T184" s="208"/>
      <c r="U184" s="208"/>
      <c r="V184" s="208"/>
      <c r="W184" s="208"/>
      <c r="X184" s="208"/>
      <c r="Y184" s="208"/>
      <c r="Z184" s="208"/>
      <c r="AA184" s="208"/>
      <c r="AB184" s="208"/>
      <c r="AC184" s="208"/>
      <c r="AD184" s="208"/>
      <c r="AE184" s="208"/>
      <c r="AF184" s="208"/>
      <c r="AG184" s="208"/>
      <c r="AH184" s="208"/>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c r="BI184" s="208"/>
      <c r="BJ184" s="208"/>
      <c r="BK184" s="208"/>
      <c r="BL184" s="208"/>
      <c r="BM184" s="208"/>
      <c r="BN184" s="208"/>
      <c r="BO184" s="208"/>
      <c r="BP184" s="208"/>
      <c r="BQ184" s="208"/>
      <c r="BR184" s="208"/>
      <c r="BS184" s="208"/>
      <c r="BT184" s="208"/>
      <c r="BU184" s="208"/>
      <c r="BV184" s="208"/>
      <c r="BW184" s="208"/>
      <c r="BX184" s="208"/>
      <c r="BY184" s="208"/>
      <c r="BZ184" s="208"/>
      <c r="CA184" s="208"/>
      <c r="CB184" s="208"/>
      <c r="CC184" s="208"/>
      <c r="CD184" s="208"/>
      <c r="CE184" s="208"/>
      <c r="CF184" s="208"/>
      <c r="CG184" s="208"/>
      <c r="CH184" s="208"/>
      <c r="CI184" s="208"/>
      <c r="CJ184" s="208"/>
      <c r="CK184" s="208"/>
      <c r="CL184" s="208"/>
      <c r="CM184" s="208"/>
      <c r="CN184" s="208"/>
      <c r="CO184" s="208"/>
      <c r="CP184" s="208"/>
      <c r="CQ184" s="208"/>
      <c r="CR184" s="208"/>
      <c r="CS184" s="208"/>
      <c r="CT184" s="208"/>
      <c r="CU184" s="208"/>
      <c r="CV184" s="208"/>
      <c r="CW184" s="208"/>
      <c r="CX184" s="208"/>
      <c r="CY184" s="208"/>
      <c r="CZ184" s="208"/>
      <c r="DA184" s="208"/>
      <c r="DB184" s="208"/>
      <c r="DC184" s="208"/>
      <c r="DD184" s="208"/>
      <c r="DE184" s="208"/>
      <c r="DF184" s="208"/>
      <c r="DG184" s="208"/>
      <c r="DH184" s="208"/>
      <c r="DI184" s="208"/>
      <c r="DJ184" s="208"/>
      <c r="DK184" s="208"/>
      <c r="DL184" s="208"/>
      <c r="DM184" s="208"/>
      <c r="DN184" s="208"/>
      <c r="DO184" s="208"/>
      <c r="DP184" s="208"/>
      <c r="DQ184" s="208"/>
      <c r="DR184" s="208"/>
      <c r="DS184" s="208"/>
      <c r="DT184" s="208"/>
      <c r="DU184" s="208"/>
      <c r="DV184" s="208"/>
      <c r="DW184" s="208"/>
      <c r="DX184" s="208"/>
      <c r="DY184" s="208"/>
      <c r="DZ184" s="208"/>
      <c r="EA184" s="208"/>
      <c r="EB184" s="208"/>
      <c r="EC184" s="208"/>
      <c r="ED184" s="208"/>
      <c r="EE184" s="208"/>
      <c r="EF184" s="208"/>
      <c r="EG184" s="208"/>
      <c r="EH184" s="208"/>
      <c r="EI184" s="208"/>
      <c r="EJ184" s="208"/>
      <c r="EK184" s="208"/>
      <c r="EL184" s="208"/>
      <c r="EM184" s="208"/>
      <c r="EN184" s="208"/>
      <c r="EO184" s="208"/>
      <c r="EP184" s="208"/>
      <c r="EQ184" s="208"/>
      <c r="ER184" s="208"/>
      <c r="ES184" s="208"/>
      <c r="ET184" s="208"/>
      <c r="EU184" s="208"/>
      <c r="EV184" s="208"/>
      <c r="EW184" s="208"/>
      <c r="EX184" s="208"/>
      <c r="EY184" s="208"/>
      <c r="EZ184" s="208"/>
      <c r="FA184" s="208"/>
      <c r="FB184" s="208"/>
      <c r="FC184" s="208"/>
      <c r="FD184" s="208"/>
      <c r="FE184" s="208"/>
      <c r="FF184" s="208"/>
      <c r="FG184" s="208"/>
      <c r="FH184" s="208"/>
      <c r="FI184" s="208"/>
      <c r="FJ184" s="208"/>
      <c r="FK184" s="208"/>
      <c r="FL184" s="208"/>
      <c r="FM184" s="208"/>
      <c r="FN184" s="208"/>
      <c r="FO184" s="208"/>
      <c r="FP184" s="208"/>
      <c r="FQ184" s="208"/>
      <c r="FR184" s="208"/>
      <c r="FS184" s="208"/>
      <c r="FT184" s="208"/>
      <c r="FU184" s="208"/>
      <c r="FV184" s="208"/>
      <c r="FW184" s="208"/>
      <c r="FX184" s="208"/>
      <c r="FY184" s="208"/>
      <c r="FZ184" s="208"/>
      <c r="GA184" s="208"/>
      <c r="GB184" s="208"/>
      <c r="GC184" s="208"/>
      <c r="GD184" s="208"/>
      <c r="GE184" s="208"/>
      <c r="GF184" s="208"/>
    </row>
    <row r="185" spans="1:188" s="209" customFormat="1" ht="15" x14ac:dyDescent="0.25">
      <c r="A185" s="195" t="s">
        <v>4957</v>
      </c>
      <c r="B185" s="195" t="s">
        <v>1092</v>
      </c>
      <c r="C185" s="196" t="s">
        <v>2905</v>
      </c>
      <c r="D185" s="154" t="s">
        <v>78</v>
      </c>
      <c r="E185" s="154">
        <v>60420</v>
      </c>
      <c r="F185" s="154">
        <v>0.1</v>
      </c>
      <c r="G185" s="197"/>
      <c r="H185" s="198"/>
      <c r="I185" s="151">
        <f>IFERROR(INDEX(Composições!$A$5:$J$8391,MATCH(B185,Composições!$A$5:$A$8391,0)+2,8),"")</f>
        <v>95.503094088750004</v>
      </c>
      <c r="J185" s="152">
        <f t="shared" si="30"/>
        <v>577029.68999999994</v>
      </c>
      <c r="K185" s="198">
        <f>BDI!$B$17</f>
        <v>0.191</v>
      </c>
      <c r="L185" s="198"/>
      <c r="M185" s="198"/>
      <c r="N185" s="153">
        <f t="shared" si="31"/>
        <v>113.74</v>
      </c>
      <c r="O185" s="152">
        <f t="shared" si="32"/>
        <v>687217.08</v>
      </c>
      <c r="P185" s="225"/>
      <c r="Q185" s="208"/>
      <c r="R185" s="208"/>
      <c r="S185"/>
      <c r="T185" s="208"/>
      <c r="U185" s="208"/>
      <c r="V185" s="208"/>
      <c r="W185" s="208"/>
      <c r="X185" s="208"/>
      <c r="Y185" s="208"/>
      <c r="Z185" s="208"/>
      <c r="AA185" s="208"/>
      <c r="AB185" s="208"/>
      <c r="AC185" s="208"/>
      <c r="AD185" s="208"/>
      <c r="AE185" s="208"/>
      <c r="AF185" s="208"/>
      <c r="AG185" s="208"/>
      <c r="AH185" s="208"/>
      <c r="AI185" s="208"/>
      <c r="AJ185" s="208"/>
      <c r="AK185" s="208"/>
      <c r="AL185" s="208"/>
      <c r="AM185" s="208"/>
      <c r="AN185" s="208"/>
      <c r="AO185" s="208"/>
      <c r="AP185" s="208"/>
      <c r="AQ185" s="208"/>
      <c r="AR185" s="208"/>
      <c r="AS185" s="208"/>
      <c r="AT185" s="208"/>
      <c r="AU185" s="208"/>
      <c r="AV185" s="208"/>
      <c r="AW185" s="208"/>
      <c r="AX185" s="208"/>
      <c r="AY185" s="208"/>
      <c r="AZ185" s="208"/>
      <c r="BA185" s="208"/>
      <c r="BB185" s="208"/>
      <c r="BC185" s="208"/>
      <c r="BD185" s="208"/>
      <c r="BE185" s="208"/>
      <c r="BF185" s="208"/>
      <c r="BG185" s="208"/>
      <c r="BH185" s="208"/>
      <c r="BI185" s="208"/>
      <c r="BJ185" s="208"/>
      <c r="BK185" s="208"/>
      <c r="BL185" s="208"/>
      <c r="BM185" s="208"/>
      <c r="BN185" s="208"/>
      <c r="BO185" s="208"/>
      <c r="BP185" s="208"/>
      <c r="BQ185" s="208"/>
      <c r="BR185" s="208"/>
      <c r="BS185" s="208"/>
      <c r="BT185" s="208"/>
      <c r="BU185" s="208"/>
      <c r="BV185" s="208"/>
      <c r="BW185" s="208"/>
      <c r="BX185" s="208"/>
      <c r="BY185" s="208"/>
      <c r="BZ185" s="208"/>
      <c r="CA185" s="208"/>
      <c r="CB185" s="208"/>
      <c r="CC185" s="208"/>
      <c r="CD185" s="208"/>
      <c r="CE185" s="208"/>
      <c r="CF185" s="208"/>
      <c r="CG185" s="208"/>
      <c r="CH185" s="208"/>
      <c r="CI185" s="208"/>
      <c r="CJ185" s="208"/>
      <c r="CK185" s="208"/>
      <c r="CL185" s="208"/>
      <c r="CM185" s="208"/>
      <c r="CN185" s="208"/>
      <c r="CO185" s="208"/>
      <c r="CP185" s="208"/>
      <c r="CQ185" s="208"/>
      <c r="CR185" s="208"/>
      <c r="CS185" s="208"/>
      <c r="CT185" s="208"/>
      <c r="CU185" s="208"/>
      <c r="CV185" s="208"/>
      <c r="CW185" s="208"/>
      <c r="CX185" s="208"/>
      <c r="CY185" s="208"/>
      <c r="CZ185" s="208"/>
      <c r="DA185" s="208"/>
      <c r="DB185" s="208"/>
      <c r="DC185" s="208"/>
      <c r="DD185" s="208"/>
      <c r="DE185" s="208"/>
      <c r="DF185" s="208"/>
      <c r="DG185" s="208"/>
      <c r="DH185" s="208"/>
      <c r="DI185" s="208"/>
      <c r="DJ185" s="208"/>
      <c r="DK185" s="208"/>
      <c r="DL185" s="208"/>
      <c r="DM185" s="208"/>
      <c r="DN185" s="208"/>
      <c r="DO185" s="208"/>
      <c r="DP185" s="208"/>
      <c r="DQ185" s="208"/>
      <c r="DR185" s="208"/>
      <c r="DS185" s="208"/>
      <c r="DT185" s="208"/>
      <c r="DU185" s="208"/>
      <c r="DV185" s="208"/>
      <c r="DW185" s="208"/>
      <c r="DX185" s="208"/>
      <c r="DY185" s="208"/>
      <c r="DZ185" s="208"/>
      <c r="EA185" s="208"/>
      <c r="EB185" s="208"/>
      <c r="EC185" s="208"/>
      <c r="ED185" s="208"/>
      <c r="EE185" s="208"/>
      <c r="EF185" s="208"/>
      <c r="EG185" s="208"/>
      <c r="EH185" s="208"/>
      <c r="EI185" s="208"/>
      <c r="EJ185" s="208"/>
      <c r="EK185" s="208"/>
      <c r="EL185" s="208"/>
      <c r="EM185" s="208"/>
      <c r="EN185" s="208"/>
      <c r="EO185" s="208"/>
      <c r="EP185" s="208"/>
      <c r="EQ185" s="208"/>
      <c r="ER185" s="208"/>
      <c r="ES185" s="208"/>
      <c r="ET185" s="208"/>
      <c r="EU185" s="208"/>
      <c r="EV185" s="208"/>
      <c r="EW185" s="208"/>
      <c r="EX185" s="208"/>
      <c r="EY185" s="208"/>
      <c r="EZ185" s="208"/>
      <c r="FA185" s="208"/>
      <c r="FB185" s="208"/>
      <c r="FC185" s="208"/>
      <c r="FD185" s="208"/>
      <c r="FE185" s="208"/>
      <c r="FF185" s="208"/>
      <c r="FG185" s="208"/>
      <c r="FH185" s="208"/>
      <c r="FI185" s="208"/>
      <c r="FJ185" s="208"/>
      <c r="FK185" s="208"/>
      <c r="FL185" s="208"/>
      <c r="FM185" s="208"/>
      <c r="FN185" s="208"/>
      <c r="FO185" s="208"/>
      <c r="FP185" s="208"/>
      <c r="FQ185" s="208"/>
      <c r="FR185" s="208"/>
      <c r="FS185" s="208"/>
      <c r="FT185" s="208"/>
      <c r="FU185" s="208"/>
      <c r="FV185" s="208"/>
      <c r="FW185" s="208"/>
      <c r="FX185" s="208"/>
      <c r="FY185" s="208"/>
      <c r="FZ185" s="208"/>
      <c r="GA185" s="208"/>
      <c r="GB185" s="208"/>
      <c r="GC185" s="208"/>
      <c r="GD185" s="208"/>
      <c r="GE185" s="208"/>
      <c r="GF185" s="208"/>
    </row>
    <row r="186" spans="1:188" s="209" customFormat="1" ht="15" x14ac:dyDescent="0.25">
      <c r="A186" s="195" t="s">
        <v>4958</v>
      </c>
      <c r="B186" s="195" t="s">
        <v>1095</v>
      </c>
      <c r="C186" s="196" t="s">
        <v>2907</v>
      </c>
      <c r="D186" s="154" t="s">
        <v>78</v>
      </c>
      <c r="E186" s="154">
        <v>36470</v>
      </c>
      <c r="F186" s="154">
        <v>0.1</v>
      </c>
      <c r="G186" s="197"/>
      <c r="H186" s="198"/>
      <c r="I186" s="151">
        <f>IFERROR(INDEX(Composições!$A$5:$J$8391,MATCH(B186,Composições!$A$5:$A$8391,0)+2,8),"")</f>
        <v>42.209289999999996</v>
      </c>
      <c r="J186" s="152">
        <f t="shared" si="30"/>
        <v>153937.28</v>
      </c>
      <c r="K186" s="198">
        <f>BDI!$B$17</f>
        <v>0.191</v>
      </c>
      <c r="L186" s="198"/>
      <c r="M186" s="198"/>
      <c r="N186" s="153">
        <f t="shared" si="31"/>
        <v>50.27</v>
      </c>
      <c r="O186" s="152">
        <f t="shared" si="32"/>
        <v>183334.69</v>
      </c>
      <c r="P186" s="225"/>
      <c r="Q186" s="208"/>
      <c r="R186" s="208"/>
      <c r="S186"/>
      <c r="T186" s="208"/>
      <c r="U186" s="208"/>
      <c r="V186" s="208"/>
      <c r="W186" s="208"/>
      <c r="X186" s="208"/>
      <c r="Y186" s="208"/>
      <c r="Z186" s="208"/>
      <c r="AA186" s="208"/>
      <c r="AB186" s="208"/>
      <c r="AC186" s="208"/>
      <c r="AD186" s="208"/>
      <c r="AE186" s="208"/>
      <c r="AF186" s="208"/>
      <c r="AG186" s="208"/>
      <c r="AH186" s="208"/>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c r="BI186" s="208"/>
      <c r="BJ186" s="208"/>
      <c r="BK186" s="208"/>
      <c r="BL186" s="208"/>
      <c r="BM186" s="208"/>
      <c r="BN186" s="208"/>
      <c r="BO186" s="208"/>
      <c r="BP186" s="208"/>
      <c r="BQ186" s="208"/>
      <c r="BR186" s="208"/>
      <c r="BS186" s="208"/>
      <c r="BT186" s="208"/>
      <c r="BU186" s="208"/>
      <c r="BV186" s="208"/>
      <c r="BW186" s="208"/>
      <c r="BX186" s="208"/>
      <c r="BY186" s="208"/>
      <c r="BZ186" s="208"/>
      <c r="CA186" s="208"/>
      <c r="CB186" s="208"/>
      <c r="CC186" s="208"/>
      <c r="CD186" s="208"/>
      <c r="CE186" s="208"/>
      <c r="CF186" s="208"/>
      <c r="CG186" s="208"/>
      <c r="CH186" s="208"/>
      <c r="CI186" s="208"/>
      <c r="CJ186" s="208"/>
      <c r="CK186" s="208"/>
      <c r="CL186" s="208"/>
      <c r="CM186" s="208"/>
      <c r="CN186" s="208"/>
      <c r="CO186" s="208"/>
      <c r="CP186" s="208"/>
      <c r="CQ186" s="208"/>
      <c r="CR186" s="208"/>
      <c r="CS186" s="208"/>
      <c r="CT186" s="208"/>
      <c r="CU186" s="208"/>
      <c r="CV186" s="208"/>
      <c r="CW186" s="208"/>
      <c r="CX186" s="208"/>
      <c r="CY186" s="208"/>
      <c r="CZ186" s="208"/>
      <c r="DA186" s="208"/>
      <c r="DB186" s="208"/>
      <c r="DC186" s="208"/>
      <c r="DD186" s="208"/>
      <c r="DE186" s="208"/>
      <c r="DF186" s="208"/>
      <c r="DG186" s="208"/>
      <c r="DH186" s="208"/>
      <c r="DI186" s="208"/>
      <c r="DJ186" s="208"/>
      <c r="DK186" s="208"/>
      <c r="DL186" s="208"/>
      <c r="DM186" s="208"/>
      <c r="DN186" s="208"/>
      <c r="DO186" s="208"/>
      <c r="DP186" s="208"/>
      <c r="DQ186" s="208"/>
      <c r="DR186" s="208"/>
      <c r="DS186" s="208"/>
      <c r="DT186" s="208"/>
      <c r="DU186" s="208"/>
      <c r="DV186" s="208"/>
      <c r="DW186" s="208"/>
      <c r="DX186" s="208"/>
      <c r="DY186" s="208"/>
      <c r="DZ186" s="208"/>
      <c r="EA186" s="208"/>
      <c r="EB186" s="208"/>
      <c r="EC186" s="208"/>
      <c r="ED186" s="208"/>
      <c r="EE186" s="208"/>
      <c r="EF186" s="208"/>
      <c r="EG186" s="208"/>
      <c r="EH186" s="208"/>
      <c r="EI186" s="208"/>
      <c r="EJ186" s="208"/>
      <c r="EK186" s="208"/>
      <c r="EL186" s="208"/>
      <c r="EM186" s="208"/>
      <c r="EN186" s="208"/>
      <c r="EO186" s="208"/>
      <c r="EP186" s="208"/>
      <c r="EQ186" s="208"/>
      <c r="ER186" s="208"/>
      <c r="ES186" s="208"/>
      <c r="ET186" s="208"/>
      <c r="EU186" s="208"/>
      <c r="EV186" s="208"/>
      <c r="EW186" s="208"/>
      <c r="EX186" s="208"/>
      <c r="EY186" s="208"/>
      <c r="EZ186" s="208"/>
      <c r="FA186" s="208"/>
      <c r="FB186" s="208"/>
      <c r="FC186" s="208"/>
      <c r="FD186" s="208"/>
      <c r="FE186" s="208"/>
      <c r="FF186" s="208"/>
      <c r="FG186" s="208"/>
      <c r="FH186" s="208"/>
      <c r="FI186" s="208"/>
      <c r="FJ186" s="208"/>
      <c r="FK186" s="208"/>
      <c r="FL186" s="208"/>
      <c r="FM186" s="208"/>
      <c r="FN186" s="208"/>
      <c r="FO186" s="208"/>
      <c r="FP186" s="208"/>
      <c r="FQ186" s="208"/>
      <c r="FR186" s="208"/>
      <c r="FS186" s="208"/>
      <c r="FT186" s="208"/>
      <c r="FU186" s="208"/>
      <c r="FV186" s="208"/>
      <c r="FW186" s="208"/>
      <c r="FX186" s="208"/>
      <c r="FY186" s="208"/>
      <c r="FZ186" s="208"/>
      <c r="GA186" s="208"/>
      <c r="GB186" s="208"/>
      <c r="GC186" s="208"/>
      <c r="GD186" s="208"/>
      <c r="GE186" s="208"/>
      <c r="GF186" s="208"/>
    </row>
    <row r="187" spans="1:188" s="209" customFormat="1" ht="15" x14ac:dyDescent="0.25">
      <c r="A187" s="195" t="s">
        <v>4959</v>
      </c>
      <c r="B187" s="195" t="s">
        <v>1110</v>
      </c>
      <c r="C187" s="196" t="s">
        <v>2918</v>
      </c>
      <c r="D187" s="154" t="s">
        <v>78</v>
      </c>
      <c r="E187" s="154">
        <v>11900</v>
      </c>
      <c r="F187" s="154">
        <v>0.1</v>
      </c>
      <c r="G187" s="197"/>
      <c r="H187" s="198"/>
      <c r="I187" s="151">
        <f>IFERROR(INDEX(Composições!$A$5:$J$8391,MATCH(B187,Composições!$A$5:$A$8391,0)+2,8),"")</f>
        <v>8.6166900000000002</v>
      </c>
      <c r="J187" s="152">
        <f t="shared" si="30"/>
        <v>10253.86</v>
      </c>
      <c r="K187" s="198">
        <f>BDI!$B$17</f>
        <v>0.191</v>
      </c>
      <c r="L187" s="198"/>
      <c r="M187" s="198"/>
      <c r="N187" s="153">
        <f t="shared" si="31"/>
        <v>10.26</v>
      </c>
      <c r="O187" s="152">
        <f t="shared" si="32"/>
        <v>12209.4</v>
      </c>
      <c r="P187" s="225"/>
      <c r="Q187" s="208"/>
      <c r="R187" s="208"/>
      <c r="S187"/>
      <c r="T187" s="208"/>
      <c r="U187" s="208"/>
      <c r="V187" s="208"/>
      <c r="W187" s="208"/>
      <c r="X187" s="208"/>
      <c r="Y187" s="208"/>
      <c r="Z187" s="208"/>
      <c r="AA187" s="208"/>
      <c r="AB187" s="208"/>
      <c r="AC187" s="208"/>
      <c r="AD187" s="208"/>
      <c r="AE187" s="208"/>
      <c r="AF187" s="208"/>
      <c r="AG187" s="208"/>
      <c r="AH187" s="208"/>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c r="BI187" s="208"/>
      <c r="BJ187" s="208"/>
      <c r="BK187" s="208"/>
      <c r="BL187" s="208"/>
      <c r="BM187" s="208"/>
      <c r="BN187" s="208"/>
      <c r="BO187" s="208"/>
      <c r="BP187" s="208"/>
      <c r="BQ187" s="208"/>
      <c r="BR187" s="208"/>
      <c r="BS187" s="208"/>
      <c r="BT187" s="208"/>
      <c r="BU187" s="208"/>
      <c r="BV187" s="208"/>
      <c r="BW187" s="208"/>
      <c r="BX187" s="208"/>
      <c r="BY187" s="208"/>
      <c r="BZ187" s="208"/>
      <c r="CA187" s="208"/>
      <c r="CB187" s="208"/>
      <c r="CC187" s="208"/>
      <c r="CD187" s="208"/>
      <c r="CE187" s="208"/>
      <c r="CF187" s="208"/>
      <c r="CG187" s="208"/>
      <c r="CH187" s="208"/>
      <c r="CI187" s="208"/>
      <c r="CJ187" s="208"/>
      <c r="CK187" s="208"/>
      <c r="CL187" s="208"/>
      <c r="CM187" s="208"/>
      <c r="CN187" s="208"/>
      <c r="CO187" s="208"/>
      <c r="CP187" s="208"/>
      <c r="CQ187" s="208"/>
      <c r="CR187" s="208"/>
      <c r="CS187" s="208"/>
      <c r="CT187" s="208"/>
      <c r="CU187" s="208"/>
      <c r="CV187" s="208"/>
      <c r="CW187" s="208"/>
      <c r="CX187" s="208"/>
      <c r="CY187" s="208"/>
      <c r="CZ187" s="208"/>
      <c r="DA187" s="208"/>
      <c r="DB187" s="208"/>
      <c r="DC187" s="208"/>
      <c r="DD187" s="208"/>
      <c r="DE187" s="208"/>
      <c r="DF187" s="208"/>
      <c r="DG187" s="208"/>
      <c r="DH187" s="208"/>
      <c r="DI187" s="208"/>
      <c r="DJ187" s="208"/>
      <c r="DK187" s="208"/>
      <c r="DL187" s="208"/>
      <c r="DM187" s="208"/>
      <c r="DN187" s="208"/>
      <c r="DO187" s="208"/>
      <c r="DP187" s="208"/>
      <c r="DQ187" s="208"/>
      <c r="DR187" s="208"/>
      <c r="DS187" s="208"/>
      <c r="DT187" s="208"/>
      <c r="DU187" s="208"/>
      <c r="DV187" s="208"/>
      <c r="DW187" s="208"/>
      <c r="DX187" s="208"/>
      <c r="DY187" s="208"/>
      <c r="DZ187" s="208"/>
      <c r="EA187" s="208"/>
      <c r="EB187" s="208"/>
      <c r="EC187" s="208"/>
      <c r="ED187" s="208"/>
      <c r="EE187" s="208"/>
      <c r="EF187" s="208"/>
      <c r="EG187" s="208"/>
      <c r="EH187" s="208"/>
      <c r="EI187" s="208"/>
      <c r="EJ187" s="208"/>
      <c r="EK187" s="208"/>
      <c r="EL187" s="208"/>
      <c r="EM187" s="208"/>
      <c r="EN187" s="208"/>
      <c r="EO187" s="208"/>
      <c r="EP187" s="208"/>
      <c r="EQ187" s="208"/>
      <c r="ER187" s="208"/>
      <c r="ES187" s="208"/>
      <c r="ET187" s="208"/>
      <c r="EU187" s="208"/>
      <c r="EV187" s="208"/>
      <c r="EW187" s="208"/>
      <c r="EX187" s="208"/>
      <c r="EY187" s="208"/>
      <c r="EZ187" s="208"/>
      <c r="FA187" s="208"/>
      <c r="FB187" s="208"/>
      <c r="FC187" s="208"/>
      <c r="FD187" s="208"/>
      <c r="FE187" s="208"/>
      <c r="FF187" s="208"/>
      <c r="FG187" s="208"/>
      <c r="FH187" s="208"/>
      <c r="FI187" s="208"/>
      <c r="FJ187" s="208"/>
      <c r="FK187" s="208"/>
      <c r="FL187" s="208"/>
      <c r="FM187" s="208"/>
      <c r="FN187" s="208"/>
      <c r="FO187" s="208"/>
      <c r="FP187" s="208"/>
      <c r="FQ187" s="208"/>
      <c r="FR187" s="208"/>
      <c r="FS187" s="208"/>
      <c r="FT187" s="208"/>
      <c r="FU187" s="208"/>
      <c r="FV187" s="208"/>
      <c r="FW187" s="208"/>
      <c r="FX187" s="208"/>
      <c r="FY187" s="208"/>
      <c r="FZ187" s="208"/>
      <c r="GA187" s="208"/>
      <c r="GB187" s="208"/>
      <c r="GC187" s="208"/>
      <c r="GD187" s="208"/>
      <c r="GE187" s="208"/>
      <c r="GF187" s="208"/>
    </row>
    <row r="188" spans="1:188" s="209" customFormat="1" ht="15" x14ac:dyDescent="0.25">
      <c r="A188" s="195" t="s">
        <v>4960</v>
      </c>
      <c r="B188" s="195" t="s">
        <v>1108</v>
      </c>
      <c r="C188" s="196" t="s">
        <v>2917</v>
      </c>
      <c r="D188" s="154" t="s">
        <v>1748</v>
      </c>
      <c r="E188" s="154">
        <v>510</v>
      </c>
      <c r="F188" s="154">
        <v>0.1</v>
      </c>
      <c r="G188" s="197"/>
      <c r="H188" s="198"/>
      <c r="I188" s="151">
        <f>IFERROR(INDEX(Composições!$A$5:$J$8391,MATCH(B188,Composições!$A$5:$A$8391,0)+2,8),"")</f>
        <v>1301.8493408874999</v>
      </c>
      <c r="J188" s="152">
        <f t="shared" si="30"/>
        <v>66394.320000000007</v>
      </c>
      <c r="K188" s="198">
        <f>BDI!$B$17</f>
        <v>0.191</v>
      </c>
      <c r="L188" s="198"/>
      <c r="M188" s="198"/>
      <c r="N188" s="153">
        <f t="shared" si="31"/>
        <v>1550.5</v>
      </c>
      <c r="O188" s="152">
        <f t="shared" si="32"/>
        <v>79075.5</v>
      </c>
      <c r="P188" s="225"/>
      <c r="Q188" s="208"/>
      <c r="R188" s="208"/>
      <c r="S188"/>
      <c r="T188" s="208"/>
      <c r="U188" s="208"/>
      <c r="V188" s="208"/>
      <c r="W188" s="208"/>
      <c r="X188" s="208"/>
      <c r="Y188" s="208"/>
      <c r="Z188" s="208"/>
      <c r="AA188" s="208"/>
      <c r="AB188" s="208"/>
      <c r="AC188" s="208"/>
      <c r="AD188" s="208"/>
      <c r="AE188" s="208"/>
      <c r="AF188" s="208"/>
      <c r="AG188" s="208"/>
      <c r="AH188" s="208"/>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208"/>
      <c r="CZ188" s="208"/>
      <c r="DA188" s="208"/>
      <c r="DB188" s="208"/>
      <c r="DC188" s="208"/>
      <c r="DD188" s="208"/>
      <c r="DE188" s="208"/>
      <c r="DF188" s="208"/>
      <c r="DG188" s="208"/>
      <c r="DH188" s="208"/>
      <c r="DI188" s="208"/>
      <c r="DJ188" s="208"/>
      <c r="DK188" s="208"/>
      <c r="DL188" s="208"/>
      <c r="DM188" s="208"/>
      <c r="DN188" s="208"/>
      <c r="DO188" s="208"/>
      <c r="DP188" s="208"/>
      <c r="DQ188" s="208"/>
      <c r="DR188" s="208"/>
      <c r="DS188" s="208"/>
      <c r="DT188" s="208"/>
      <c r="DU188" s="208"/>
      <c r="DV188" s="208"/>
      <c r="DW188" s="208"/>
      <c r="DX188" s="208"/>
      <c r="DY188" s="208"/>
      <c r="DZ188" s="208"/>
      <c r="EA188" s="208"/>
      <c r="EB188" s="208"/>
      <c r="EC188" s="208"/>
      <c r="ED188" s="208"/>
      <c r="EE188" s="208"/>
      <c r="EF188" s="208"/>
      <c r="EG188" s="208"/>
      <c r="EH188" s="208"/>
      <c r="EI188" s="208"/>
      <c r="EJ188" s="208"/>
      <c r="EK188" s="208"/>
      <c r="EL188" s="208"/>
      <c r="EM188" s="208"/>
      <c r="EN188" s="208"/>
      <c r="EO188" s="208"/>
      <c r="EP188" s="208"/>
      <c r="EQ188" s="208"/>
      <c r="ER188" s="208"/>
      <c r="ES188" s="208"/>
      <c r="ET188" s="208"/>
      <c r="EU188" s="208"/>
      <c r="EV188" s="208"/>
      <c r="EW188" s="208"/>
      <c r="EX188" s="208"/>
      <c r="EY188" s="208"/>
      <c r="EZ188" s="208"/>
      <c r="FA188" s="208"/>
      <c r="FB188" s="208"/>
      <c r="FC188" s="208"/>
      <c r="FD188" s="208"/>
      <c r="FE188" s="208"/>
      <c r="FF188" s="208"/>
      <c r="FG188" s="208"/>
      <c r="FH188" s="208"/>
      <c r="FI188" s="208"/>
      <c r="FJ188" s="208"/>
      <c r="FK188" s="208"/>
      <c r="FL188" s="208"/>
      <c r="FM188" s="208"/>
      <c r="FN188" s="208"/>
      <c r="FO188" s="208"/>
      <c r="FP188" s="208"/>
      <c r="FQ188" s="208"/>
      <c r="FR188" s="208"/>
      <c r="FS188" s="208"/>
      <c r="FT188" s="208"/>
      <c r="FU188" s="208"/>
      <c r="FV188" s="208"/>
      <c r="FW188" s="208"/>
      <c r="FX188" s="208"/>
      <c r="FY188" s="208"/>
      <c r="FZ188" s="208"/>
      <c r="GA188" s="208"/>
      <c r="GB188" s="208"/>
      <c r="GC188" s="208"/>
      <c r="GD188" s="208"/>
      <c r="GE188" s="208"/>
      <c r="GF188" s="208"/>
    </row>
    <row r="189" spans="1:188" s="225" customFormat="1" ht="15" x14ac:dyDescent="0.25">
      <c r="A189" s="189" t="s">
        <v>4961</v>
      </c>
      <c r="B189" s="189"/>
      <c r="C189" s="190" t="s">
        <v>4962</v>
      </c>
      <c r="D189" s="191"/>
      <c r="E189" s="191"/>
      <c r="F189" s="191"/>
      <c r="G189" s="192"/>
      <c r="H189" s="193"/>
      <c r="I189" s="246"/>
      <c r="J189" s="194">
        <f>SUBTOTAL(109,J190:J204)</f>
        <v>1087250.3800000001</v>
      </c>
      <c r="K189" s="191"/>
      <c r="L189" s="191"/>
      <c r="M189" s="191"/>
      <c r="N189" s="191"/>
      <c r="O189" s="194">
        <f>SUBTOTAL(109,O190:O204)</f>
        <v>1294903.9700000002</v>
      </c>
      <c r="Q189" s="208"/>
      <c r="R189" s="208"/>
      <c r="S189"/>
      <c r="T189" s="208"/>
      <c r="U189" s="208"/>
      <c r="V189" s="208"/>
      <c r="W189" s="208"/>
      <c r="X189" s="208"/>
      <c r="Y189" s="208"/>
      <c r="Z189" s="208"/>
      <c r="AA189" s="208"/>
      <c r="AB189" s="208"/>
      <c r="AC189" s="208"/>
      <c r="AD189" s="208"/>
      <c r="AE189" s="208"/>
      <c r="AF189" s="208"/>
      <c r="AG189" s="208"/>
      <c r="AH189" s="208"/>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c r="BI189" s="208"/>
      <c r="BJ189" s="208"/>
      <c r="BK189" s="208"/>
      <c r="BL189" s="208"/>
      <c r="BM189" s="208"/>
      <c r="BN189" s="208"/>
      <c r="BO189" s="208"/>
      <c r="BP189" s="208"/>
      <c r="BQ189" s="208"/>
      <c r="BR189" s="208"/>
      <c r="BS189" s="208"/>
      <c r="BT189" s="208"/>
      <c r="BU189" s="208"/>
      <c r="BV189" s="208"/>
      <c r="BW189" s="208"/>
      <c r="BX189" s="208"/>
      <c r="BY189" s="208"/>
      <c r="BZ189" s="208"/>
      <c r="CA189" s="208"/>
      <c r="CB189" s="208"/>
      <c r="CC189" s="208"/>
      <c r="CD189" s="208"/>
      <c r="CE189" s="208"/>
      <c r="CF189" s="208"/>
      <c r="CG189" s="208"/>
      <c r="CH189" s="208"/>
      <c r="CI189" s="208"/>
      <c r="CJ189" s="208"/>
      <c r="CK189" s="208"/>
      <c r="CL189" s="208"/>
      <c r="CM189" s="208"/>
      <c r="CN189" s="208"/>
      <c r="CO189" s="208"/>
      <c r="CP189" s="208"/>
      <c r="CQ189" s="208"/>
      <c r="CR189" s="208"/>
      <c r="CS189" s="208"/>
      <c r="CT189" s="208"/>
      <c r="CU189" s="208"/>
      <c r="CV189" s="208"/>
      <c r="CW189" s="208"/>
      <c r="CX189" s="208"/>
      <c r="CY189" s="208"/>
      <c r="CZ189" s="208"/>
      <c r="DA189" s="208"/>
      <c r="DB189" s="208"/>
      <c r="DC189" s="208"/>
      <c r="DD189" s="208"/>
      <c r="DE189" s="208"/>
      <c r="DF189" s="208"/>
      <c r="DG189" s="208"/>
      <c r="DH189" s="208"/>
      <c r="DI189" s="208"/>
      <c r="DJ189" s="208"/>
      <c r="DK189" s="208"/>
      <c r="DL189" s="208"/>
      <c r="DM189" s="208"/>
      <c r="DN189" s="208"/>
      <c r="DO189" s="208"/>
      <c r="DP189" s="208"/>
      <c r="DQ189" s="208"/>
      <c r="DR189" s="208"/>
      <c r="DS189" s="208"/>
      <c r="DT189" s="208"/>
      <c r="DU189" s="208"/>
      <c r="DV189" s="208"/>
      <c r="DW189" s="208"/>
      <c r="DX189" s="208"/>
      <c r="DY189" s="208"/>
      <c r="DZ189" s="208"/>
      <c r="EA189" s="208"/>
      <c r="EB189" s="208"/>
      <c r="EC189" s="208"/>
      <c r="ED189" s="208"/>
      <c r="EE189" s="208"/>
      <c r="EF189" s="208"/>
      <c r="EG189" s="208"/>
      <c r="EH189" s="208"/>
      <c r="EI189" s="208"/>
      <c r="EJ189" s="208"/>
      <c r="EK189" s="208"/>
      <c r="EL189" s="208"/>
      <c r="EM189" s="208"/>
      <c r="EN189" s="208"/>
      <c r="EO189" s="208"/>
      <c r="EP189" s="208"/>
      <c r="EQ189" s="208"/>
      <c r="ER189" s="208"/>
      <c r="ES189" s="208"/>
      <c r="ET189" s="208"/>
      <c r="EU189" s="208"/>
      <c r="EV189" s="208"/>
      <c r="EW189" s="208"/>
      <c r="EX189" s="208"/>
      <c r="EY189" s="208"/>
      <c r="EZ189" s="208"/>
      <c r="FA189" s="208"/>
      <c r="FB189" s="208"/>
      <c r="FC189" s="208"/>
      <c r="FD189" s="208"/>
      <c r="FE189" s="208"/>
      <c r="FF189" s="208"/>
      <c r="FG189" s="208"/>
      <c r="FH189" s="208"/>
      <c r="FI189" s="208"/>
      <c r="FJ189" s="208"/>
      <c r="FK189" s="208"/>
      <c r="FL189" s="208"/>
      <c r="FM189" s="208"/>
      <c r="FN189" s="208"/>
      <c r="FO189" s="208"/>
      <c r="FP189" s="208"/>
      <c r="FQ189" s="208"/>
      <c r="FR189" s="208"/>
      <c r="FS189" s="208"/>
      <c r="FT189" s="208"/>
      <c r="FU189" s="208"/>
      <c r="FV189" s="208"/>
      <c r="FW189" s="208"/>
      <c r="FX189" s="208"/>
      <c r="FY189" s="208"/>
      <c r="FZ189" s="208"/>
      <c r="GA189" s="208"/>
      <c r="GB189" s="208"/>
      <c r="GC189" s="208"/>
      <c r="GD189" s="208"/>
      <c r="GE189" s="208"/>
      <c r="GF189" s="208"/>
    </row>
    <row r="190" spans="1:188" s="209" customFormat="1" ht="15" x14ac:dyDescent="0.25">
      <c r="A190" s="195" t="s">
        <v>4963</v>
      </c>
      <c r="B190" s="195" t="s">
        <v>1093</v>
      </c>
      <c r="C190" s="196" t="s">
        <v>2906</v>
      </c>
      <c r="D190" s="154" t="s">
        <v>78</v>
      </c>
      <c r="E190" s="154">
        <v>3000</v>
      </c>
      <c r="F190" s="154">
        <v>0.1</v>
      </c>
      <c r="G190" s="197"/>
      <c r="H190" s="198"/>
      <c r="I190" s="151">
        <f>IFERROR(INDEX(Composições!$A$5:$J$8391,MATCH(B190,Composições!$A$5:$A$8391,0)+2,8),"")</f>
        <v>22.791847699999998</v>
      </c>
      <c r="J190" s="152">
        <f t="shared" ref="J190:J204" si="33">IF(ISNUMBER(I190),ROUND(F190*E190*I190,2),"")</f>
        <v>6837.55</v>
      </c>
      <c r="K190" s="198">
        <f>BDI!$B$17</f>
        <v>0.191</v>
      </c>
      <c r="L190" s="198"/>
      <c r="M190" s="198"/>
      <c r="N190" s="153">
        <f t="shared" ref="N190:N204" si="34">IF(ISNUMBER(I190),ROUND(I190*(1+K190),2),"")</f>
        <v>27.15</v>
      </c>
      <c r="O190" s="152">
        <f t="shared" ref="O190:O204" si="35">IF(ISNUMBER(I190),ROUND(F190*N190*E190,2),"")</f>
        <v>8145</v>
      </c>
      <c r="P190" s="225"/>
      <c r="Q190" s="208"/>
      <c r="R190" s="208"/>
      <c r="S190"/>
      <c r="T190" s="208"/>
      <c r="U190" s="208"/>
      <c r="V190" s="208"/>
      <c r="W190" s="208"/>
      <c r="X190" s="208"/>
      <c r="Y190" s="208"/>
      <c r="Z190" s="208"/>
      <c r="AA190" s="208"/>
      <c r="AB190" s="208"/>
      <c r="AC190" s="208"/>
      <c r="AD190" s="208"/>
      <c r="AE190" s="208"/>
      <c r="AF190" s="208"/>
      <c r="AG190" s="208"/>
      <c r="AH190" s="208"/>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c r="BI190" s="208"/>
      <c r="BJ190" s="208"/>
      <c r="BK190" s="208"/>
      <c r="BL190" s="208"/>
      <c r="BM190" s="208"/>
      <c r="BN190" s="208"/>
      <c r="BO190" s="208"/>
      <c r="BP190" s="208"/>
      <c r="BQ190" s="208"/>
      <c r="BR190" s="208"/>
      <c r="BS190" s="208"/>
      <c r="BT190" s="208"/>
      <c r="BU190" s="208"/>
      <c r="BV190" s="208"/>
      <c r="BW190" s="208"/>
      <c r="BX190" s="208"/>
      <c r="BY190" s="208"/>
      <c r="BZ190" s="208"/>
      <c r="CA190" s="208"/>
      <c r="CB190" s="208"/>
      <c r="CC190" s="208"/>
      <c r="CD190" s="208"/>
      <c r="CE190" s="208"/>
      <c r="CF190" s="208"/>
      <c r="CG190" s="208"/>
      <c r="CH190" s="208"/>
      <c r="CI190" s="208"/>
      <c r="CJ190" s="208"/>
      <c r="CK190" s="208"/>
      <c r="CL190" s="208"/>
      <c r="CM190" s="208"/>
      <c r="CN190" s="208"/>
      <c r="CO190" s="208"/>
      <c r="CP190" s="208"/>
      <c r="CQ190" s="208"/>
      <c r="CR190" s="208"/>
      <c r="CS190" s="208"/>
      <c r="CT190" s="208"/>
      <c r="CU190" s="208"/>
      <c r="CV190" s="208"/>
      <c r="CW190" s="208"/>
      <c r="CX190" s="208"/>
      <c r="CY190" s="208"/>
      <c r="CZ190" s="208"/>
      <c r="DA190" s="208"/>
      <c r="DB190" s="208"/>
      <c r="DC190" s="208"/>
      <c r="DD190" s="208"/>
      <c r="DE190" s="208"/>
      <c r="DF190" s="208"/>
      <c r="DG190" s="208"/>
      <c r="DH190" s="208"/>
      <c r="DI190" s="208"/>
      <c r="DJ190" s="208"/>
      <c r="DK190" s="208"/>
      <c r="DL190" s="208"/>
      <c r="DM190" s="208"/>
      <c r="DN190" s="208"/>
      <c r="DO190" s="208"/>
      <c r="DP190" s="208"/>
      <c r="DQ190" s="208"/>
      <c r="DR190" s="208"/>
      <c r="DS190" s="208"/>
      <c r="DT190" s="208"/>
      <c r="DU190" s="208"/>
      <c r="DV190" s="208"/>
      <c r="DW190" s="208"/>
      <c r="DX190" s="208"/>
      <c r="DY190" s="208"/>
      <c r="DZ190" s="208"/>
      <c r="EA190" s="208"/>
      <c r="EB190" s="208"/>
      <c r="EC190" s="208"/>
      <c r="ED190" s="208"/>
      <c r="EE190" s="208"/>
      <c r="EF190" s="208"/>
      <c r="EG190" s="208"/>
      <c r="EH190" s="208"/>
      <c r="EI190" s="208"/>
      <c r="EJ190" s="208"/>
      <c r="EK190" s="208"/>
      <c r="EL190" s="208"/>
      <c r="EM190" s="208"/>
      <c r="EN190" s="208"/>
      <c r="EO190" s="208"/>
      <c r="EP190" s="208"/>
      <c r="EQ190" s="208"/>
      <c r="ER190" s="208"/>
      <c r="ES190" s="208"/>
      <c r="ET190" s="208"/>
      <c r="EU190" s="208"/>
      <c r="EV190" s="208"/>
      <c r="EW190" s="208"/>
      <c r="EX190" s="208"/>
      <c r="EY190" s="208"/>
      <c r="EZ190" s="208"/>
      <c r="FA190" s="208"/>
      <c r="FB190" s="208"/>
      <c r="FC190" s="208"/>
      <c r="FD190" s="208"/>
      <c r="FE190" s="208"/>
      <c r="FF190" s="208"/>
      <c r="FG190" s="208"/>
      <c r="FH190" s="208"/>
      <c r="FI190" s="208"/>
      <c r="FJ190" s="208"/>
      <c r="FK190" s="208"/>
      <c r="FL190" s="208"/>
      <c r="FM190" s="208"/>
      <c r="FN190" s="208"/>
      <c r="FO190" s="208"/>
      <c r="FP190" s="208"/>
      <c r="FQ190" s="208"/>
      <c r="FR190" s="208"/>
      <c r="FS190" s="208"/>
      <c r="FT190" s="208"/>
      <c r="FU190" s="208"/>
      <c r="FV190" s="208"/>
      <c r="FW190" s="208"/>
      <c r="FX190" s="208"/>
      <c r="FY190" s="208"/>
      <c r="FZ190" s="208"/>
      <c r="GA190" s="208"/>
      <c r="GB190" s="208"/>
      <c r="GC190" s="208"/>
      <c r="GD190" s="208"/>
      <c r="GE190" s="208"/>
      <c r="GF190" s="208"/>
    </row>
    <row r="191" spans="1:188" s="209" customFormat="1" ht="15" x14ac:dyDescent="0.25">
      <c r="A191" s="195" t="s">
        <v>4964</v>
      </c>
      <c r="B191" s="195" t="s">
        <v>2910</v>
      </c>
      <c r="C191" s="196" t="s">
        <v>2911</v>
      </c>
      <c r="D191" s="154" t="s">
        <v>82</v>
      </c>
      <c r="E191" s="154">
        <v>2030</v>
      </c>
      <c r="F191" s="154">
        <v>0.1</v>
      </c>
      <c r="G191" s="197"/>
      <c r="H191" s="198"/>
      <c r="I191" s="247">
        <v>392.23</v>
      </c>
      <c r="J191" s="152">
        <f t="shared" si="33"/>
        <v>79622.69</v>
      </c>
      <c r="K191" s="198">
        <f>BDI!$B$17</f>
        <v>0.191</v>
      </c>
      <c r="L191" s="198"/>
      <c r="M191" s="198"/>
      <c r="N191" s="153">
        <f t="shared" si="34"/>
        <v>467.15</v>
      </c>
      <c r="O191" s="152">
        <f t="shared" si="35"/>
        <v>94831.45</v>
      </c>
      <c r="P191" s="225"/>
      <c r="Q191" s="208"/>
      <c r="R191" s="208"/>
      <c r="S191"/>
      <c r="T191" s="208"/>
      <c r="U191" s="208"/>
      <c r="V191" s="208"/>
      <c r="W191" s="208"/>
      <c r="X191" s="208"/>
      <c r="Y191" s="208"/>
      <c r="Z191" s="208"/>
      <c r="AA191" s="208"/>
      <c r="AB191" s="208"/>
      <c r="AC191" s="208"/>
      <c r="AD191" s="208"/>
      <c r="AE191" s="208"/>
      <c r="AF191" s="208"/>
      <c r="AG191" s="208"/>
      <c r="AH191" s="208"/>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c r="BI191" s="208"/>
      <c r="BJ191" s="208"/>
      <c r="BK191" s="208"/>
      <c r="BL191" s="208"/>
      <c r="BM191" s="208"/>
      <c r="BN191" s="208"/>
      <c r="BO191" s="208"/>
      <c r="BP191" s="208"/>
      <c r="BQ191" s="208"/>
      <c r="BR191" s="208"/>
      <c r="BS191" s="208"/>
      <c r="BT191" s="208"/>
      <c r="BU191" s="208"/>
      <c r="BV191" s="208"/>
      <c r="BW191" s="208"/>
      <c r="BX191" s="208"/>
      <c r="BY191" s="208"/>
      <c r="BZ191" s="208"/>
      <c r="CA191" s="208"/>
      <c r="CB191" s="208"/>
      <c r="CC191" s="208"/>
      <c r="CD191" s="208"/>
      <c r="CE191" s="208"/>
      <c r="CF191" s="208"/>
      <c r="CG191" s="208"/>
      <c r="CH191" s="208"/>
      <c r="CI191" s="208"/>
      <c r="CJ191" s="208"/>
      <c r="CK191" s="208"/>
      <c r="CL191" s="208"/>
      <c r="CM191" s="208"/>
      <c r="CN191" s="208"/>
      <c r="CO191" s="208"/>
      <c r="CP191" s="208"/>
      <c r="CQ191" s="208"/>
      <c r="CR191" s="208"/>
      <c r="CS191" s="208"/>
      <c r="CT191" s="208"/>
      <c r="CU191" s="208"/>
      <c r="CV191" s="208"/>
      <c r="CW191" s="208"/>
      <c r="CX191" s="208"/>
      <c r="CY191" s="208"/>
      <c r="CZ191" s="208"/>
      <c r="DA191" s="208"/>
      <c r="DB191" s="208"/>
      <c r="DC191" s="208"/>
      <c r="DD191" s="208"/>
      <c r="DE191" s="208"/>
      <c r="DF191" s="208"/>
      <c r="DG191" s="208"/>
      <c r="DH191" s="208"/>
      <c r="DI191" s="208"/>
      <c r="DJ191" s="208"/>
      <c r="DK191" s="208"/>
      <c r="DL191" s="208"/>
      <c r="DM191" s="208"/>
      <c r="DN191" s="208"/>
      <c r="DO191" s="208"/>
      <c r="DP191" s="208"/>
      <c r="DQ191" s="208"/>
      <c r="DR191" s="208"/>
      <c r="DS191" s="208"/>
      <c r="DT191" s="208"/>
      <c r="DU191" s="208"/>
      <c r="DV191" s="208"/>
      <c r="DW191" s="208"/>
      <c r="DX191" s="208"/>
      <c r="DY191" s="208"/>
      <c r="DZ191" s="208"/>
      <c r="EA191" s="208"/>
      <c r="EB191" s="208"/>
      <c r="EC191" s="208"/>
      <c r="ED191" s="208"/>
      <c r="EE191" s="208"/>
      <c r="EF191" s="208"/>
      <c r="EG191" s="208"/>
      <c r="EH191" s="208"/>
      <c r="EI191" s="208"/>
      <c r="EJ191" s="208"/>
      <c r="EK191" s="208"/>
      <c r="EL191" s="208"/>
      <c r="EM191" s="208"/>
      <c r="EN191" s="208"/>
      <c r="EO191" s="208"/>
      <c r="EP191" s="208"/>
      <c r="EQ191" s="208"/>
      <c r="ER191" s="208"/>
      <c r="ES191" s="208"/>
      <c r="ET191" s="208"/>
      <c r="EU191" s="208"/>
      <c r="EV191" s="208"/>
      <c r="EW191" s="208"/>
      <c r="EX191" s="208"/>
      <c r="EY191" s="208"/>
      <c r="EZ191" s="208"/>
      <c r="FA191" s="208"/>
      <c r="FB191" s="208"/>
      <c r="FC191" s="208"/>
      <c r="FD191" s="208"/>
      <c r="FE191" s="208"/>
      <c r="FF191" s="208"/>
      <c r="FG191" s="208"/>
      <c r="FH191" s="208"/>
      <c r="FI191" s="208"/>
      <c r="FJ191" s="208"/>
      <c r="FK191" s="208"/>
      <c r="FL191" s="208"/>
      <c r="FM191" s="208"/>
      <c r="FN191" s="208"/>
      <c r="FO191" s="208"/>
      <c r="FP191" s="208"/>
      <c r="FQ191" s="208"/>
      <c r="FR191" s="208"/>
      <c r="FS191" s="208"/>
      <c r="FT191" s="208"/>
      <c r="FU191" s="208"/>
      <c r="FV191" s="208"/>
      <c r="FW191" s="208"/>
      <c r="FX191" s="208"/>
      <c r="FY191" s="208"/>
      <c r="FZ191" s="208"/>
      <c r="GA191" s="208"/>
      <c r="GB191" s="208"/>
      <c r="GC191" s="208"/>
      <c r="GD191" s="208"/>
      <c r="GE191" s="208"/>
      <c r="GF191" s="208"/>
    </row>
    <row r="192" spans="1:188" s="209" customFormat="1" ht="15" x14ac:dyDescent="0.25">
      <c r="A192" s="195" t="s">
        <v>4965</v>
      </c>
      <c r="B192" s="195" t="s">
        <v>1099</v>
      </c>
      <c r="C192" s="196" t="s">
        <v>2912</v>
      </c>
      <c r="D192" s="154" t="s">
        <v>121</v>
      </c>
      <c r="E192" s="154">
        <v>3280</v>
      </c>
      <c r="F192" s="154">
        <v>0.1</v>
      </c>
      <c r="G192" s="197"/>
      <c r="H192" s="198"/>
      <c r="I192" s="151">
        <f>IFERROR(INDEX(Composições!$A$5:$J$8391,MATCH(B192,Composições!$A$5:$A$8391,0)+2,8),"")</f>
        <v>167.21463356250001</v>
      </c>
      <c r="J192" s="152">
        <f t="shared" si="33"/>
        <v>54846.400000000001</v>
      </c>
      <c r="K192" s="198">
        <f>BDI!$B$17</f>
        <v>0.191</v>
      </c>
      <c r="L192" s="198"/>
      <c r="M192" s="198"/>
      <c r="N192" s="153">
        <f t="shared" si="34"/>
        <v>199.15</v>
      </c>
      <c r="O192" s="152">
        <f t="shared" si="35"/>
        <v>65321.2</v>
      </c>
      <c r="P192" s="225"/>
      <c r="Q192" s="208"/>
      <c r="R192" s="208"/>
      <c r="S192"/>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c r="BI192" s="208"/>
      <c r="BJ192" s="208"/>
      <c r="BK192" s="208"/>
      <c r="BL192" s="208"/>
      <c r="BM192" s="208"/>
      <c r="BN192" s="208"/>
      <c r="BO192" s="208"/>
      <c r="BP192" s="208"/>
      <c r="BQ192" s="208"/>
      <c r="BR192" s="208"/>
      <c r="BS192" s="208"/>
      <c r="BT192" s="208"/>
      <c r="BU192" s="208"/>
      <c r="BV192" s="208"/>
      <c r="BW192" s="208"/>
      <c r="BX192" s="208"/>
      <c r="BY192" s="208"/>
      <c r="BZ192" s="208"/>
      <c r="CA192" s="208"/>
      <c r="CB192" s="208"/>
      <c r="CC192" s="208"/>
      <c r="CD192" s="208"/>
      <c r="CE192" s="208"/>
      <c r="CF192" s="208"/>
      <c r="CG192" s="208"/>
      <c r="CH192" s="208"/>
      <c r="CI192" s="208"/>
      <c r="CJ192" s="208"/>
      <c r="CK192" s="208"/>
      <c r="CL192" s="208"/>
      <c r="CM192" s="208"/>
      <c r="CN192" s="208"/>
      <c r="CO192" s="208"/>
      <c r="CP192" s="208"/>
      <c r="CQ192" s="208"/>
      <c r="CR192" s="208"/>
      <c r="CS192" s="208"/>
      <c r="CT192" s="208"/>
      <c r="CU192" s="208"/>
      <c r="CV192" s="208"/>
      <c r="CW192" s="208"/>
      <c r="CX192" s="208"/>
      <c r="CY192" s="208"/>
      <c r="CZ192" s="208"/>
      <c r="DA192" s="208"/>
      <c r="DB192" s="208"/>
      <c r="DC192" s="208"/>
      <c r="DD192" s="208"/>
      <c r="DE192" s="208"/>
      <c r="DF192" s="208"/>
      <c r="DG192" s="208"/>
      <c r="DH192" s="208"/>
      <c r="DI192" s="208"/>
      <c r="DJ192" s="208"/>
      <c r="DK192" s="208"/>
      <c r="DL192" s="208"/>
      <c r="DM192" s="208"/>
      <c r="DN192" s="208"/>
      <c r="DO192" s="208"/>
      <c r="DP192" s="208"/>
      <c r="DQ192" s="208"/>
      <c r="DR192" s="208"/>
      <c r="DS192" s="208"/>
      <c r="DT192" s="208"/>
      <c r="DU192" s="208"/>
      <c r="DV192" s="208"/>
      <c r="DW192" s="208"/>
      <c r="DX192" s="208"/>
      <c r="DY192" s="208"/>
      <c r="DZ192" s="208"/>
      <c r="EA192" s="208"/>
      <c r="EB192" s="208"/>
      <c r="EC192" s="208"/>
      <c r="ED192" s="208"/>
      <c r="EE192" s="208"/>
      <c r="EF192" s="208"/>
      <c r="EG192" s="208"/>
      <c r="EH192" s="208"/>
      <c r="EI192" s="208"/>
      <c r="EJ192" s="208"/>
      <c r="EK192" s="208"/>
      <c r="EL192" s="208"/>
      <c r="EM192" s="208"/>
      <c r="EN192" s="208"/>
      <c r="EO192" s="208"/>
      <c r="EP192" s="208"/>
      <c r="EQ192" s="208"/>
      <c r="ER192" s="208"/>
      <c r="ES192" s="208"/>
      <c r="ET192" s="208"/>
      <c r="EU192" s="208"/>
      <c r="EV192" s="208"/>
      <c r="EW192" s="208"/>
      <c r="EX192" s="208"/>
      <c r="EY192" s="208"/>
      <c r="EZ192" s="208"/>
      <c r="FA192" s="208"/>
      <c r="FB192" s="208"/>
      <c r="FC192" s="208"/>
      <c r="FD192" s="208"/>
      <c r="FE192" s="208"/>
      <c r="FF192" s="208"/>
      <c r="FG192" s="208"/>
      <c r="FH192" s="208"/>
      <c r="FI192" s="208"/>
      <c r="FJ192" s="208"/>
      <c r="FK192" s="208"/>
      <c r="FL192" s="208"/>
      <c r="FM192" s="208"/>
      <c r="FN192" s="208"/>
      <c r="FO192" s="208"/>
      <c r="FP192" s="208"/>
      <c r="FQ192" s="208"/>
      <c r="FR192" s="208"/>
      <c r="FS192" s="208"/>
      <c r="FT192" s="208"/>
      <c r="FU192" s="208"/>
      <c r="FV192" s="208"/>
      <c r="FW192" s="208"/>
      <c r="FX192" s="208"/>
      <c r="FY192" s="208"/>
      <c r="FZ192" s="208"/>
      <c r="GA192" s="208"/>
      <c r="GB192" s="208"/>
      <c r="GC192" s="208"/>
      <c r="GD192" s="208"/>
      <c r="GE192" s="208"/>
      <c r="GF192" s="208"/>
    </row>
    <row r="193" spans="1:188" s="209" customFormat="1" ht="15" x14ac:dyDescent="0.25">
      <c r="A193" s="195" t="s">
        <v>4966</v>
      </c>
      <c r="B193" s="195" t="s">
        <v>1101</v>
      </c>
      <c r="C193" s="196" t="s">
        <v>2913</v>
      </c>
      <c r="D193" s="154" t="s">
        <v>78</v>
      </c>
      <c r="E193" s="154">
        <v>7880</v>
      </c>
      <c r="F193" s="154">
        <v>0.1</v>
      </c>
      <c r="G193" s="197"/>
      <c r="H193" s="198"/>
      <c r="I193" s="151">
        <f>IFERROR(INDEX(Composições!$A$5:$J$8391,MATCH(B193,Composições!$A$5:$A$8391,0)+2,8),"")</f>
        <v>15.146546350000001</v>
      </c>
      <c r="J193" s="152">
        <f t="shared" si="33"/>
        <v>11935.48</v>
      </c>
      <c r="K193" s="198">
        <f>BDI!$B$17</f>
        <v>0.191</v>
      </c>
      <c r="L193" s="198"/>
      <c r="M193" s="198"/>
      <c r="N193" s="153">
        <f t="shared" si="34"/>
        <v>18.04</v>
      </c>
      <c r="O193" s="152">
        <f t="shared" si="35"/>
        <v>14215.52</v>
      </c>
      <c r="P193" s="225"/>
      <c r="Q193" s="208"/>
      <c r="R193" s="208"/>
      <c r="S193"/>
      <c r="T193" s="208"/>
      <c r="U193" s="208"/>
      <c r="V193" s="208"/>
      <c r="W193" s="208"/>
      <c r="X193" s="208"/>
      <c r="Y193" s="208"/>
      <c r="Z193" s="208"/>
      <c r="AA193" s="208"/>
      <c r="AB193" s="208"/>
      <c r="AC193" s="208"/>
      <c r="AD193" s="208"/>
      <c r="AE193" s="208"/>
      <c r="AF193" s="208"/>
      <c r="AG193" s="208"/>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c r="BI193" s="208"/>
      <c r="BJ193" s="208"/>
      <c r="BK193" s="208"/>
      <c r="BL193" s="208"/>
      <c r="BM193" s="208"/>
      <c r="BN193" s="208"/>
      <c r="BO193" s="208"/>
      <c r="BP193" s="208"/>
      <c r="BQ193" s="208"/>
      <c r="BR193" s="208"/>
      <c r="BS193" s="208"/>
      <c r="BT193" s="208"/>
      <c r="BU193" s="208"/>
      <c r="BV193" s="208"/>
      <c r="BW193" s="208"/>
      <c r="BX193" s="208"/>
      <c r="BY193" s="208"/>
      <c r="BZ193" s="208"/>
      <c r="CA193" s="208"/>
      <c r="CB193" s="208"/>
      <c r="CC193" s="208"/>
      <c r="CD193" s="208"/>
      <c r="CE193" s="208"/>
      <c r="CF193" s="208"/>
      <c r="CG193" s="208"/>
      <c r="CH193" s="208"/>
      <c r="CI193" s="208"/>
      <c r="CJ193" s="208"/>
      <c r="CK193" s="208"/>
      <c r="CL193" s="208"/>
      <c r="CM193" s="208"/>
      <c r="CN193" s="208"/>
      <c r="CO193" s="208"/>
      <c r="CP193" s="208"/>
      <c r="CQ193" s="208"/>
      <c r="CR193" s="208"/>
      <c r="CS193" s="208"/>
      <c r="CT193" s="208"/>
      <c r="CU193" s="208"/>
      <c r="CV193" s="208"/>
      <c r="CW193" s="208"/>
      <c r="CX193" s="208"/>
      <c r="CY193" s="208"/>
      <c r="CZ193" s="208"/>
      <c r="DA193" s="208"/>
      <c r="DB193" s="208"/>
      <c r="DC193" s="208"/>
      <c r="DD193" s="208"/>
      <c r="DE193" s="208"/>
      <c r="DF193" s="208"/>
      <c r="DG193" s="208"/>
      <c r="DH193" s="208"/>
      <c r="DI193" s="208"/>
      <c r="DJ193" s="208"/>
      <c r="DK193" s="208"/>
      <c r="DL193" s="208"/>
      <c r="DM193" s="208"/>
      <c r="DN193" s="208"/>
      <c r="DO193" s="208"/>
      <c r="DP193" s="208"/>
      <c r="DQ193" s="208"/>
      <c r="DR193" s="208"/>
      <c r="DS193" s="208"/>
      <c r="DT193" s="208"/>
      <c r="DU193" s="208"/>
      <c r="DV193" s="208"/>
      <c r="DW193" s="208"/>
      <c r="DX193" s="208"/>
      <c r="DY193" s="208"/>
      <c r="DZ193" s="208"/>
      <c r="EA193" s="208"/>
      <c r="EB193" s="208"/>
      <c r="EC193" s="208"/>
      <c r="ED193" s="208"/>
      <c r="EE193" s="208"/>
      <c r="EF193" s="208"/>
      <c r="EG193" s="208"/>
      <c r="EH193" s="208"/>
      <c r="EI193" s="208"/>
      <c r="EJ193" s="208"/>
      <c r="EK193" s="208"/>
      <c r="EL193" s="208"/>
      <c r="EM193" s="208"/>
      <c r="EN193" s="208"/>
      <c r="EO193" s="208"/>
      <c r="EP193" s="208"/>
      <c r="EQ193" s="208"/>
      <c r="ER193" s="208"/>
      <c r="ES193" s="208"/>
      <c r="ET193" s="208"/>
      <c r="EU193" s="208"/>
      <c r="EV193" s="208"/>
      <c r="EW193" s="208"/>
      <c r="EX193" s="208"/>
      <c r="EY193" s="208"/>
      <c r="EZ193" s="208"/>
      <c r="FA193" s="208"/>
      <c r="FB193" s="208"/>
      <c r="FC193" s="208"/>
      <c r="FD193" s="208"/>
      <c r="FE193" s="208"/>
      <c r="FF193" s="208"/>
      <c r="FG193" s="208"/>
      <c r="FH193" s="208"/>
      <c r="FI193" s="208"/>
      <c r="FJ193" s="208"/>
      <c r="FK193" s="208"/>
      <c r="FL193" s="208"/>
      <c r="FM193" s="208"/>
      <c r="FN193" s="208"/>
      <c r="FO193" s="208"/>
      <c r="FP193" s="208"/>
      <c r="FQ193" s="208"/>
      <c r="FR193" s="208"/>
      <c r="FS193" s="208"/>
      <c r="FT193" s="208"/>
      <c r="FU193" s="208"/>
      <c r="FV193" s="208"/>
      <c r="FW193" s="208"/>
      <c r="FX193" s="208"/>
      <c r="FY193" s="208"/>
      <c r="FZ193" s="208"/>
      <c r="GA193" s="208"/>
      <c r="GB193" s="208"/>
      <c r="GC193" s="208"/>
      <c r="GD193" s="208"/>
      <c r="GE193" s="208"/>
      <c r="GF193" s="208"/>
    </row>
    <row r="194" spans="1:188" s="209" customFormat="1" ht="15" x14ac:dyDescent="0.25">
      <c r="A194" s="195" t="s">
        <v>4967</v>
      </c>
      <c r="B194" s="195" t="s">
        <v>1102</v>
      </c>
      <c r="C194" s="196" t="s">
        <v>2914</v>
      </c>
      <c r="D194" s="154" t="s">
        <v>78</v>
      </c>
      <c r="E194" s="154">
        <v>8100</v>
      </c>
      <c r="F194" s="154">
        <v>0.1</v>
      </c>
      <c r="G194" s="197"/>
      <c r="H194" s="198"/>
      <c r="I194" s="151">
        <f>IFERROR(INDEX(Composições!$A$5:$J$8391,MATCH(B194,Composições!$A$5:$A$8391,0)+2,8),"")</f>
        <v>53.265943300000004</v>
      </c>
      <c r="J194" s="152">
        <f t="shared" si="33"/>
        <v>43145.41</v>
      </c>
      <c r="K194" s="198">
        <f>BDI!$B$17</f>
        <v>0.191</v>
      </c>
      <c r="L194" s="198"/>
      <c r="M194" s="198"/>
      <c r="N194" s="153">
        <f t="shared" si="34"/>
        <v>63.44</v>
      </c>
      <c r="O194" s="152">
        <f t="shared" si="35"/>
        <v>51386.400000000001</v>
      </c>
      <c r="P194" s="225"/>
      <c r="Q194" s="208"/>
      <c r="R194" s="208"/>
      <c r="S194"/>
      <c r="T194" s="208"/>
      <c r="U194" s="208"/>
      <c r="V194" s="208"/>
      <c r="W194" s="208"/>
      <c r="X194" s="208"/>
      <c r="Y194" s="208"/>
      <c r="Z194" s="208"/>
      <c r="AA194" s="208"/>
      <c r="AB194" s="208"/>
      <c r="AC194" s="208"/>
      <c r="AD194" s="208"/>
      <c r="AE194" s="208"/>
      <c r="AF194" s="208"/>
      <c r="AG194" s="208"/>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c r="BI194" s="208"/>
      <c r="BJ194" s="208"/>
      <c r="BK194" s="208"/>
      <c r="BL194" s="208"/>
      <c r="BM194" s="208"/>
      <c r="BN194" s="208"/>
      <c r="BO194" s="208"/>
      <c r="BP194" s="208"/>
      <c r="BQ194" s="208"/>
      <c r="BR194" s="208"/>
      <c r="BS194" s="208"/>
      <c r="BT194" s="208"/>
      <c r="BU194" s="208"/>
      <c r="BV194" s="208"/>
      <c r="BW194" s="208"/>
      <c r="BX194" s="208"/>
      <c r="BY194" s="208"/>
      <c r="BZ194" s="208"/>
      <c r="CA194" s="208"/>
      <c r="CB194" s="208"/>
      <c r="CC194" s="208"/>
      <c r="CD194" s="208"/>
      <c r="CE194" s="208"/>
      <c r="CF194" s="208"/>
      <c r="CG194" s="208"/>
      <c r="CH194" s="208"/>
      <c r="CI194" s="208"/>
      <c r="CJ194" s="208"/>
      <c r="CK194" s="208"/>
      <c r="CL194" s="208"/>
      <c r="CM194" s="208"/>
      <c r="CN194" s="208"/>
      <c r="CO194" s="208"/>
      <c r="CP194" s="208"/>
      <c r="CQ194" s="208"/>
      <c r="CR194" s="208"/>
      <c r="CS194" s="208"/>
      <c r="CT194" s="208"/>
      <c r="CU194" s="208"/>
      <c r="CV194" s="208"/>
      <c r="CW194" s="208"/>
      <c r="CX194" s="208"/>
      <c r="CY194" s="208"/>
      <c r="CZ194" s="208"/>
      <c r="DA194" s="208"/>
      <c r="DB194" s="208"/>
      <c r="DC194" s="208"/>
      <c r="DD194" s="208"/>
      <c r="DE194" s="208"/>
      <c r="DF194" s="208"/>
      <c r="DG194" s="208"/>
      <c r="DH194" s="208"/>
      <c r="DI194" s="208"/>
      <c r="DJ194" s="208"/>
      <c r="DK194" s="208"/>
      <c r="DL194" s="208"/>
      <c r="DM194" s="208"/>
      <c r="DN194" s="208"/>
      <c r="DO194" s="208"/>
      <c r="DP194" s="208"/>
      <c r="DQ194" s="208"/>
      <c r="DR194" s="208"/>
      <c r="DS194" s="208"/>
      <c r="DT194" s="208"/>
      <c r="DU194" s="208"/>
      <c r="DV194" s="208"/>
      <c r="DW194" s="208"/>
      <c r="DX194" s="208"/>
      <c r="DY194" s="208"/>
      <c r="DZ194" s="208"/>
      <c r="EA194" s="208"/>
      <c r="EB194" s="208"/>
      <c r="EC194" s="208"/>
      <c r="ED194" s="208"/>
      <c r="EE194" s="208"/>
      <c r="EF194" s="208"/>
      <c r="EG194" s="208"/>
      <c r="EH194" s="208"/>
      <c r="EI194" s="208"/>
      <c r="EJ194" s="208"/>
      <c r="EK194" s="208"/>
      <c r="EL194" s="208"/>
      <c r="EM194" s="208"/>
      <c r="EN194" s="208"/>
      <c r="EO194" s="208"/>
      <c r="EP194" s="208"/>
      <c r="EQ194" s="208"/>
      <c r="ER194" s="208"/>
      <c r="ES194" s="208"/>
      <c r="ET194" s="208"/>
      <c r="EU194" s="208"/>
      <c r="EV194" s="208"/>
      <c r="EW194" s="208"/>
      <c r="EX194" s="208"/>
      <c r="EY194" s="208"/>
      <c r="EZ194" s="208"/>
      <c r="FA194" s="208"/>
      <c r="FB194" s="208"/>
      <c r="FC194" s="208"/>
      <c r="FD194" s="208"/>
      <c r="FE194" s="208"/>
      <c r="FF194" s="208"/>
      <c r="FG194" s="208"/>
      <c r="FH194" s="208"/>
      <c r="FI194" s="208"/>
      <c r="FJ194" s="208"/>
      <c r="FK194" s="208"/>
      <c r="FL194" s="208"/>
      <c r="FM194" s="208"/>
      <c r="FN194" s="208"/>
      <c r="FO194" s="208"/>
      <c r="FP194" s="208"/>
      <c r="FQ194" s="208"/>
      <c r="FR194" s="208"/>
      <c r="FS194" s="208"/>
      <c r="FT194" s="208"/>
      <c r="FU194" s="208"/>
      <c r="FV194" s="208"/>
      <c r="FW194" s="208"/>
      <c r="FX194" s="208"/>
      <c r="FY194" s="208"/>
      <c r="FZ194" s="208"/>
      <c r="GA194" s="208"/>
      <c r="GB194" s="208"/>
      <c r="GC194" s="208"/>
      <c r="GD194" s="208"/>
      <c r="GE194" s="208"/>
      <c r="GF194" s="208"/>
    </row>
    <row r="195" spans="1:188" s="209" customFormat="1" ht="15" x14ac:dyDescent="0.25">
      <c r="A195" s="195" t="s">
        <v>4968</v>
      </c>
      <c r="B195" s="195" t="s">
        <v>1103</v>
      </c>
      <c r="C195" s="196" t="s">
        <v>2915</v>
      </c>
      <c r="D195" s="154" t="s">
        <v>78</v>
      </c>
      <c r="E195" s="154">
        <v>1800</v>
      </c>
      <c r="F195" s="154">
        <v>0.1</v>
      </c>
      <c r="G195" s="197"/>
      <c r="H195" s="198"/>
      <c r="I195" s="151">
        <f>IFERROR(INDEX(Composições!$A$5:$J$8391,MATCH(B195,Composições!$A$5:$A$8391,0)+2,8),"")</f>
        <v>19.223289999999999</v>
      </c>
      <c r="J195" s="152">
        <f t="shared" si="33"/>
        <v>3460.19</v>
      </c>
      <c r="K195" s="198">
        <f>BDI!$B$17</f>
        <v>0.191</v>
      </c>
      <c r="L195" s="198"/>
      <c r="M195" s="198"/>
      <c r="N195" s="153">
        <f t="shared" si="34"/>
        <v>22.89</v>
      </c>
      <c r="O195" s="152">
        <f t="shared" si="35"/>
        <v>4120.2</v>
      </c>
      <c r="P195" s="225"/>
      <c r="Q195" s="208"/>
      <c r="R195" s="208"/>
      <c r="S195"/>
      <c r="T195" s="208"/>
      <c r="U195" s="208"/>
      <c r="V195" s="208"/>
      <c r="W195" s="208"/>
      <c r="X195" s="208"/>
      <c r="Y195" s="208"/>
      <c r="Z195" s="208"/>
      <c r="AA195" s="208"/>
      <c r="AB195" s="208"/>
      <c r="AC195" s="208"/>
      <c r="AD195" s="208"/>
      <c r="AE195" s="208"/>
      <c r="AF195" s="208"/>
      <c r="AG195" s="208"/>
      <c r="AH195" s="208"/>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208"/>
      <c r="CZ195" s="208"/>
      <c r="DA195" s="208"/>
      <c r="DB195" s="208"/>
      <c r="DC195" s="208"/>
      <c r="DD195" s="208"/>
      <c r="DE195" s="208"/>
      <c r="DF195" s="208"/>
      <c r="DG195" s="208"/>
      <c r="DH195" s="208"/>
      <c r="DI195" s="208"/>
      <c r="DJ195" s="208"/>
      <c r="DK195" s="208"/>
      <c r="DL195" s="208"/>
      <c r="DM195" s="208"/>
      <c r="DN195" s="208"/>
      <c r="DO195" s="208"/>
      <c r="DP195" s="208"/>
      <c r="DQ195" s="208"/>
      <c r="DR195" s="208"/>
      <c r="DS195" s="208"/>
      <c r="DT195" s="208"/>
      <c r="DU195" s="208"/>
      <c r="DV195" s="208"/>
      <c r="DW195" s="208"/>
      <c r="DX195" s="208"/>
      <c r="DY195" s="208"/>
      <c r="DZ195" s="208"/>
      <c r="EA195" s="208"/>
      <c r="EB195" s="208"/>
      <c r="EC195" s="208"/>
      <c r="ED195" s="208"/>
      <c r="EE195" s="208"/>
      <c r="EF195" s="208"/>
      <c r="EG195" s="208"/>
      <c r="EH195" s="208"/>
      <c r="EI195" s="208"/>
      <c r="EJ195" s="208"/>
      <c r="EK195" s="208"/>
      <c r="EL195" s="208"/>
      <c r="EM195" s="208"/>
      <c r="EN195" s="208"/>
      <c r="EO195" s="208"/>
      <c r="EP195" s="208"/>
      <c r="EQ195" s="208"/>
      <c r="ER195" s="208"/>
      <c r="ES195" s="208"/>
      <c r="ET195" s="208"/>
      <c r="EU195" s="208"/>
      <c r="EV195" s="208"/>
      <c r="EW195" s="208"/>
      <c r="EX195" s="208"/>
      <c r="EY195" s="208"/>
      <c r="EZ195" s="208"/>
      <c r="FA195" s="208"/>
      <c r="FB195" s="208"/>
      <c r="FC195" s="208"/>
      <c r="FD195" s="208"/>
      <c r="FE195" s="208"/>
      <c r="FF195" s="208"/>
      <c r="FG195" s="208"/>
      <c r="FH195" s="208"/>
      <c r="FI195" s="208"/>
      <c r="FJ195" s="208"/>
      <c r="FK195" s="208"/>
      <c r="FL195" s="208"/>
      <c r="FM195" s="208"/>
      <c r="FN195" s="208"/>
      <c r="FO195" s="208"/>
      <c r="FP195" s="208"/>
      <c r="FQ195" s="208"/>
      <c r="FR195" s="208"/>
      <c r="FS195" s="208"/>
      <c r="FT195" s="208"/>
      <c r="FU195" s="208"/>
      <c r="FV195" s="208"/>
      <c r="FW195" s="208"/>
      <c r="FX195" s="208"/>
      <c r="FY195" s="208"/>
      <c r="FZ195" s="208"/>
      <c r="GA195" s="208"/>
      <c r="GB195" s="208"/>
      <c r="GC195" s="208"/>
      <c r="GD195" s="208"/>
      <c r="GE195" s="208"/>
      <c r="GF195" s="208"/>
    </row>
    <row r="196" spans="1:188" s="209" customFormat="1" ht="15" x14ac:dyDescent="0.25">
      <c r="A196" s="195" t="s">
        <v>4969</v>
      </c>
      <c r="B196" s="195" t="s">
        <v>1106</v>
      </c>
      <c r="C196" s="196" t="s">
        <v>2916</v>
      </c>
      <c r="D196" s="154" t="s">
        <v>78</v>
      </c>
      <c r="E196" s="154">
        <v>6000</v>
      </c>
      <c r="F196" s="154">
        <v>0.1</v>
      </c>
      <c r="G196" s="197"/>
      <c r="H196" s="198"/>
      <c r="I196" s="151">
        <f>IFERROR(INDEX(Composições!$A$5:$J$8391,MATCH(B196,Composições!$A$5:$A$8391,0)+2,8),"")</f>
        <v>45.476500000000001</v>
      </c>
      <c r="J196" s="152">
        <f t="shared" si="33"/>
        <v>27285.9</v>
      </c>
      <c r="K196" s="198">
        <f>BDI!$B$17</f>
        <v>0.191</v>
      </c>
      <c r="L196" s="198"/>
      <c r="M196" s="198"/>
      <c r="N196" s="153">
        <f t="shared" si="34"/>
        <v>54.16</v>
      </c>
      <c r="O196" s="152">
        <f t="shared" si="35"/>
        <v>32496</v>
      </c>
      <c r="P196" s="225"/>
      <c r="Q196" s="208"/>
      <c r="R196" s="208"/>
      <c r="S196"/>
      <c r="T196" s="208"/>
      <c r="U196" s="208"/>
      <c r="V196" s="208"/>
      <c r="W196" s="208"/>
      <c r="X196" s="208"/>
      <c r="Y196" s="208"/>
      <c r="Z196" s="208"/>
      <c r="AA196" s="208"/>
      <c r="AB196" s="208"/>
      <c r="AC196" s="208"/>
      <c r="AD196" s="208"/>
      <c r="AE196" s="208"/>
      <c r="AF196" s="208"/>
      <c r="AG196" s="208"/>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c r="BI196" s="208"/>
      <c r="BJ196" s="208"/>
      <c r="BK196" s="208"/>
      <c r="BL196" s="208"/>
      <c r="BM196" s="208"/>
      <c r="BN196" s="208"/>
      <c r="BO196" s="208"/>
      <c r="BP196" s="208"/>
      <c r="BQ196" s="208"/>
      <c r="BR196" s="208"/>
      <c r="BS196" s="208"/>
      <c r="BT196" s="208"/>
      <c r="BU196" s="208"/>
      <c r="BV196" s="208"/>
      <c r="BW196" s="208"/>
      <c r="BX196" s="208"/>
      <c r="BY196" s="208"/>
      <c r="BZ196" s="208"/>
      <c r="CA196" s="208"/>
      <c r="CB196" s="208"/>
      <c r="CC196" s="208"/>
      <c r="CD196" s="208"/>
      <c r="CE196" s="208"/>
      <c r="CF196" s="208"/>
      <c r="CG196" s="208"/>
      <c r="CH196" s="208"/>
      <c r="CI196" s="208"/>
      <c r="CJ196" s="208"/>
      <c r="CK196" s="208"/>
      <c r="CL196" s="208"/>
      <c r="CM196" s="208"/>
      <c r="CN196" s="208"/>
      <c r="CO196" s="208"/>
      <c r="CP196" s="208"/>
      <c r="CQ196" s="208"/>
      <c r="CR196" s="208"/>
      <c r="CS196" s="208"/>
      <c r="CT196" s="208"/>
      <c r="CU196" s="208"/>
      <c r="CV196" s="208"/>
      <c r="CW196" s="208"/>
      <c r="CX196" s="208"/>
      <c r="CY196" s="208"/>
      <c r="CZ196" s="208"/>
      <c r="DA196" s="208"/>
      <c r="DB196" s="208"/>
      <c r="DC196" s="208"/>
      <c r="DD196" s="208"/>
      <c r="DE196" s="208"/>
      <c r="DF196" s="208"/>
      <c r="DG196" s="208"/>
      <c r="DH196" s="208"/>
      <c r="DI196" s="208"/>
      <c r="DJ196" s="208"/>
      <c r="DK196" s="208"/>
      <c r="DL196" s="208"/>
      <c r="DM196" s="208"/>
      <c r="DN196" s="208"/>
      <c r="DO196" s="208"/>
      <c r="DP196" s="208"/>
      <c r="DQ196" s="208"/>
      <c r="DR196" s="208"/>
      <c r="DS196" s="208"/>
      <c r="DT196" s="208"/>
      <c r="DU196" s="208"/>
      <c r="DV196" s="208"/>
      <c r="DW196" s="208"/>
      <c r="DX196" s="208"/>
      <c r="DY196" s="208"/>
      <c r="DZ196" s="208"/>
      <c r="EA196" s="208"/>
      <c r="EB196" s="208"/>
      <c r="EC196" s="208"/>
      <c r="ED196" s="208"/>
      <c r="EE196" s="208"/>
      <c r="EF196" s="208"/>
      <c r="EG196" s="208"/>
      <c r="EH196" s="208"/>
      <c r="EI196" s="208"/>
      <c r="EJ196" s="208"/>
      <c r="EK196" s="208"/>
      <c r="EL196" s="208"/>
      <c r="EM196" s="208"/>
      <c r="EN196" s="208"/>
      <c r="EO196" s="208"/>
      <c r="EP196" s="208"/>
      <c r="EQ196" s="208"/>
      <c r="ER196" s="208"/>
      <c r="ES196" s="208"/>
      <c r="ET196" s="208"/>
      <c r="EU196" s="208"/>
      <c r="EV196" s="208"/>
      <c r="EW196" s="208"/>
      <c r="EX196" s="208"/>
      <c r="EY196" s="208"/>
      <c r="EZ196" s="208"/>
      <c r="FA196" s="208"/>
      <c r="FB196" s="208"/>
      <c r="FC196" s="208"/>
      <c r="FD196" s="208"/>
      <c r="FE196" s="208"/>
      <c r="FF196" s="208"/>
      <c r="FG196" s="208"/>
      <c r="FH196" s="208"/>
      <c r="FI196" s="208"/>
      <c r="FJ196" s="208"/>
      <c r="FK196" s="208"/>
      <c r="FL196" s="208"/>
      <c r="FM196" s="208"/>
      <c r="FN196" s="208"/>
      <c r="FO196" s="208"/>
      <c r="FP196" s="208"/>
      <c r="FQ196" s="208"/>
      <c r="FR196" s="208"/>
      <c r="FS196" s="208"/>
      <c r="FT196" s="208"/>
      <c r="FU196" s="208"/>
      <c r="FV196" s="208"/>
      <c r="FW196" s="208"/>
      <c r="FX196" s="208"/>
      <c r="FY196" s="208"/>
      <c r="FZ196" s="208"/>
      <c r="GA196" s="208"/>
      <c r="GB196" s="208"/>
      <c r="GC196" s="208"/>
      <c r="GD196" s="208"/>
      <c r="GE196" s="208"/>
      <c r="GF196" s="208"/>
    </row>
    <row r="197" spans="1:188" s="209" customFormat="1" ht="15" x14ac:dyDescent="0.25">
      <c r="A197" s="195" t="s">
        <v>4970</v>
      </c>
      <c r="B197" s="195" t="s">
        <v>1997</v>
      </c>
      <c r="C197" s="196" t="s">
        <v>3721</v>
      </c>
      <c r="D197" s="154" t="s">
        <v>78</v>
      </c>
      <c r="E197" s="154">
        <v>50000</v>
      </c>
      <c r="F197" s="154">
        <v>0.1</v>
      </c>
      <c r="G197" s="197"/>
      <c r="H197" s="198"/>
      <c r="I197" s="151">
        <f>IFERROR(INDEX(Composições!$A$5:$J$8391,MATCH(B197,Composições!$A$5:$A$8391,0)+2,8),"")</f>
        <v>4.6482074999999998</v>
      </c>
      <c r="J197" s="152">
        <f t="shared" si="33"/>
        <v>23241.040000000001</v>
      </c>
      <c r="K197" s="198">
        <f>BDI!$B$17</f>
        <v>0.191</v>
      </c>
      <c r="L197" s="198"/>
      <c r="M197" s="198"/>
      <c r="N197" s="153">
        <f t="shared" si="34"/>
        <v>5.54</v>
      </c>
      <c r="O197" s="152">
        <f t="shared" si="35"/>
        <v>27700</v>
      </c>
      <c r="P197" s="225"/>
      <c r="Q197" s="208"/>
      <c r="R197" s="208"/>
      <c r="S197"/>
      <c r="T197" s="208"/>
      <c r="U197" s="208"/>
      <c r="V197" s="208"/>
      <c r="W197" s="208"/>
      <c r="X197" s="208"/>
      <c r="Y197" s="208"/>
      <c r="Z197" s="208"/>
      <c r="AA197" s="208"/>
      <c r="AB197" s="208"/>
      <c r="AC197" s="208"/>
      <c r="AD197" s="208"/>
      <c r="AE197" s="208"/>
      <c r="AF197" s="208"/>
      <c r="AG197" s="208"/>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c r="BI197" s="208"/>
      <c r="BJ197" s="208"/>
      <c r="BK197" s="208"/>
      <c r="BL197" s="208"/>
      <c r="BM197" s="208"/>
      <c r="BN197" s="208"/>
      <c r="BO197" s="208"/>
      <c r="BP197" s="208"/>
      <c r="BQ197" s="208"/>
      <c r="BR197" s="208"/>
      <c r="BS197" s="208"/>
      <c r="BT197" s="208"/>
      <c r="BU197" s="208"/>
      <c r="BV197" s="208"/>
      <c r="BW197" s="208"/>
      <c r="BX197" s="208"/>
      <c r="BY197" s="208"/>
      <c r="BZ197" s="208"/>
      <c r="CA197" s="208"/>
      <c r="CB197" s="208"/>
      <c r="CC197" s="208"/>
      <c r="CD197" s="208"/>
      <c r="CE197" s="208"/>
      <c r="CF197" s="208"/>
      <c r="CG197" s="208"/>
      <c r="CH197" s="208"/>
      <c r="CI197" s="208"/>
      <c r="CJ197" s="208"/>
      <c r="CK197" s="208"/>
      <c r="CL197" s="208"/>
      <c r="CM197" s="208"/>
      <c r="CN197" s="208"/>
      <c r="CO197" s="208"/>
      <c r="CP197" s="208"/>
      <c r="CQ197" s="208"/>
      <c r="CR197" s="208"/>
      <c r="CS197" s="208"/>
      <c r="CT197" s="208"/>
      <c r="CU197" s="208"/>
      <c r="CV197" s="208"/>
      <c r="CW197" s="208"/>
      <c r="CX197" s="208"/>
      <c r="CY197" s="208"/>
      <c r="CZ197" s="208"/>
      <c r="DA197" s="208"/>
      <c r="DB197" s="208"/>
      <c r="DC197" s="208"/>
      <c r="DD197" s="208"/>
      <c r="DE197" s="208"/>
      <c r="DF197" s="208"/>
      <c r="DG197" s="208"/>
      <c r="DH197" s="208"/>
      <c r="DI197" s="208"/>
      <c r="DJ197" s="208"/>
      <c r="DK197" s="208"/>
      <c r="DL197" s="208"/>
      <c r="DM197" s="208"/>
      <c r="DN197" s="208"/>
      <c r="DO197" s="208"/>
      <c r="DP197" s="208"/>
      <c r="DQ197" s="208"/>
      <c r="DR197" s="208"/>
      <c r="DS197" s="208"/>
      <c r="DT197" s="208"/>
      <c r="DU197" s="208"/>
      <c r="DV197" s="208"/>
      <c r="DW197" s="208"/>
      <c r="DX197" s="208"/>
      <c r="DY197" s="208"/>
      <c r="DZ197" s="208"/>
      <c r="EA197" s="208"/>
      <c r="EB197" s="208"/>
      <c r="EC197" s="208"/>
      <c r="ED197" s="208"/>
      <c r="EE197" s="208"/>
      <c r="EF197" s="208"/>
      <c r="EG197" s="208"/>
      <c r="EH197" s="208"/>
      <c r="EI197" s="208"/>
      <c r="EJ197" s="208"/>
      <c r="EK197" s="208"/>
      <c r="EL197" s="208"/>
      <c r="EM197" s="208"/>
      <c r="EN197" s="208"/>
      <c r="EO197" s="208"/>
      <c r="EP197" s="208"/>
      <c r="EQ197" s="208"/>
      <c r="ER197" s="208"/>
      <c r="ES197" s="208"/>
      <c r="ET197" s="208"/>
      <c r="EU197" s="208"/>
      <c r="EV197" s="208"/>
      <c r="EW197" s="208"/>
      <c r="EX197" s="208"/>
      <c r="EY197" s="208"/>
      <c r="EZ197" s="208"/>
      <c r="FA197" s="208"/>
      <c r="FB197" s="208"/>
      <c r="FC197" s="208"/>
      <c r="FD197" s="208"/>
      <c r="FE197" s="208"/>
      <c r="FF197" s="208"/>
      <c r="FG197" s="208"/>
      <c r="FH197" s="208"/>
      <c r="FI197" s="208"/>
      <c r="FJ197" s="208"/>
      <c r="FK197" s="208"/>
      <c r="FL197" s="208"/>
      <c r="FM197" s="208"/>
      <c r="FN197" s="208"/>
      <c r="FO197" s="208"/>
      <c r="FP197" s="208"/>
      <c r="FQ197" s="208"/>
      <c r="FR197" s="208"/>
      <c r="FS197" s="208"/>
      <c r="FT197" s="208"/>
      <c r="FU197" s="208"/>
      <c r="FV197" s="208"/>
      <c r="FW197" s="208"/>
      <c r="FX197" s="208"/>
      <c r="FY197" s="208"/>
      <c r="FZ197" s="208"/>
      <c r="GA197" s="208"/>
      <c r="GB197" s="208"/>
      <c r="GC197" s="208"/>
      <c r="GD197" s="208"/>
      <c r="GE197" s="208"/>
      <c r="GF197" s="208"/>
    </row>
    <row r="198" spans="1:188" s="209" customFormat="1" ht="15" x14ac:dyDescent="0.25">
      <c r="A198" s="195" t="s">
        <v>4971</v>
      </c>
      <c r="B198" s="195" t="s">
        <v>1080</v>
      </c>
      <c r="C198" s="196" t="s">
        <v>2897</v>
      </c>
      <c r="D198" s="154" t="s">
        <v>78</v>
      </c>
      <c r="E198" s="154">
        <v>83170</v>
      </c>
      <c r="F198" s="154">
        <v>0.1</v>
      </c>
      <c r="G198" s="197"/>
      <c r="H198" s="198"/>
      <c r="I198" s="151">
        <f>IFERROR(INDEX(Composições!$A$5:$J$8391,MATCH(B198,Composições!$A$5:$A$8391,0)+2,8),"")</f>
        <v>17.365145000000002</v>
      </c>
      <c r="J198" s="152">
        <f t="shared" si="33"/>
        <v>144425.91</v>
      </c>
      <c r="K198" s="198">
        <f>BDI!$B$17</f>
        <v>0.191</v>
      </c>
      <c r="L198" s="198"/>
      <c r="M198" s="198"/>
      <c r="N198" s="153">
        <f t="shared" si="34"/>
        <v>20.68</v>
      </c>
      <c r="O198" s="152">
        <f t="shared" si="35"/>
        <v>171995.56</v>
      </c>
      <c r="P198" s="225"/>
      <c r="Q198" s="208"/>
      <c r="R198" s="208"/>
      <c r="S198"/>
      <c r="T198" s="208"/>
      <c r="U198" s="208"/>
      <c r="V198" s="208"/>
      <c r="W198" s="208"/>
      <c r="X198" s="208"/>
      <c r="Y198" s="208"/>
      <c r="Z198" s="208"/>
      <c r="AA198" s="208"/>
      <c r="AB198" s="208"/>
      <c r="AC198" s="208"/>
      <c r="AD198" s="208"/>
      <c r="AE198" s="208"/>
      <c r="AF198" s="208"/>
      <c r="AG198" s="208"/>
      <c r="AH198" s="208"/>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c r="BI198" s="208"/>
      <c r="BJ198" s="208"/>
      <c r="BK198" s="208"/>
      <c r="BL198" s="208"/>
      <c r="BM198" s="208"/>
      <c r="BN198" s="208"/>
      <c r="BO198" s="208"/>
      <c r="BP198" s="208"/>
      <c r="BQ198" s="208"/>
      <c r="BR198" s="208"/>
      <c r="BS198" s="208"/>
      <c r="BT198" s="208"/>
      <c r="BU198" s="208"/>
      <c r="BV198" s="208"/>
      <c r="BW198" s="208"/>
      <c r="BX198" s="208"/>
      <c r="BY198" s="208"/>
      <c r="BZ198" s="208"/>
      <c r="CA198" s="208"/>
      <c r="CB198" s="208"/>
      <c r="CC198" s="208"/>
      <c r="CD198" s="208"/>
      <c r="CE198" s="208"/>
      <c r="CF198" s="208"/>
      <c r="CG198" s="208"/>
      <c r="CH198" s="208"/>
      <c r="CI198" s="208"/>
      <c r="CJ198" s="208"/>
      <c r="CK198" s="208"/>
      <c r="CL198" s="208"/>
      <c r="CM198" s="208"/>
      <c r="CN198" s="208"/>
      <c r="CO198" s="208"/>
      <c r="CP198" s="208"/>
      <c r="CQ198" s="208"/>
      <c r="CR198" s="208"/>
      <c r="CS198" s="208"/>
      <c r="CT198" s="208"/>
      <c r="CU198" s="208"/>
      <c r="CV198" s="208"/>
      <c r="CW198" s="208"/>
      <c r="CX198" s="208"/>
      <c r="CY198" s="208"/>
      <c r="CZ198" s="208"/>
      <c r="DA198" s="208"/>
      <c r="DB198" s="208"/>
      <c r="DC198" s="208"/>
      <c r="DD198" s="208"/>
      <c r="DE198" s="208"/>
      <c r="DF198" s="208"/>
      <c r="DG198" s="208"/>
      <c r="DH198" s="208"/>
      <c r="DI198" s="208"/>
      <c r="DJ198" s="208"/>
      <c r="DK198" s="208"/>
      <c r="DL198" s="208"/>
      <c r="DM198" s="208"/>
      <c r="DN198" s="208"/>
      <c r="DO198" s="208"/>
      <c r="DP198" s="208"/>
      <c r="DQ198" s="208"/>
      <c r="DR198" s="208"/>
      <c r="DS198" s="208"/>
      <c r="DT198" s="208"/>
      <c r="DU198" s="208"/>
      <c r="DV198" s="208"/>
      <c r="DW198" s="208"/>
      <c r="DX198" s="208"/>
      <c r="DY198" s="208"/>
      <c r="DZ198" s="208"/>
      <c r="EA198" s="208"/>
      <c r="EB198" s="208"/>
      <c r="EC198" s="208"/>
      <c r="ED198" s="208"/>
      <c r="EE198" s="208"/>
      <c r="EF198" s="208"/>
      <c r="EG198" s="208"/>
      <c r="EH198" s="208"/>
      <c r="EI198" s="208"/>
      <c r="EJ198" s="208"/>
      <c r="EK198" s="208"/>
      <c r="EL198" s="208"/>
      <c r="EM198" s="208"/>
      <c r="EN198" s="208"/>
      <c r="EO198" s="208"/>
      <c r="EP198" s="208"/>
      <c r="EQ198" s="208"/>
      <c r="ER198" s="208"/>
      <c r="ES198" s="208"/>
      <c r="ET198" s="208"/>
      <c r="EU198" s="208"/>
      <c r="EV198" s="208"/>
      <c r="EW198" s="208"/>
      <c r="EX198" s="208"/>
      <c r="EY198" s="208"/>
      <c r="EZ198" s="208"/>
      <c r="FA198" s="208"/>
      <c r="FB198" s="208"/>
      <c r="FC198" s="208"/>
      <c r="FD198" s="208"/>
      <c r="FE198" s="208"/>
      <c r="FF198" s="208"/>
      <c r="FG198" s="208"/>
      <c r="FH198" s="208"/>
      <c r="FI198" s="208"/>
      <c r="FJ198" s="208"/>
      <c r="FK198" s="208"/>
      <c r="FL198" s="208"/>
      <c r="FM198" s="208"/>
      <c r="FN198" s="208"/>
      <c r="FO198" s="208"/>
      <c r="FP198" s="208"/>
      <c r="FQ198" s="208"/>
      <c r="FR198" s="208"/>
      <c r="FS198" s="208"/>
      <c r="FT198" s="208"/>
      <c r="FU198" s="208"/>
      <c r="FV198" s="208"/>
      <c r="FW198" s="208"/>
      <c r="FX198" s="208"/>
      <c r="FY198" s="208"/>
      <c r="FZ198" s="208"/>
      <c r="GA198" s="208"/>
      <c r="GB198" s="208"/>
      <c r="GC198" s="208"/>
      <c r="GD198" s="208"/>
      <c r="GE198" s="208"/>
      <c r="GF198" s="208"/>
    </row>
    <row r="199" spans="1:188" s="209" customFormat="1" ht="15" x14ac:dyDescent="0.25">
      <c r="A199" s="195" t="s">
        <v>4972</v>
      </c>
      <c r="B199" s="195" t="s">
        <v>1084</v>
      </c>
      <c r="C199" s="196" t="s">
        <v>2898</v>
      </c>
      <c r="D199" s="154" t="s">
        <v>28</v>
      </c>
      <c r="E199" s="154">
        <v>2000</v>
      </c>
      <c r="F199" s="154">
        <v>0.1</v>
      </c>
      <c r="G199" s="197"/>
      <c r="H199" s="198"/>
      <c r="I199" s="151">
        <f>IFERROR(INDEX(Composições!$A$5:$J$8391,MATCH(B199,Composições!$A$5:$A$8391,0)+2,8),"")</f>
        <v>233.24169054999993</v>
      </c>
      <c r="J199" s="152">
        <f t="shared" si="33"/>
        <v>46648.34</v>
      </c>
      <c r="K199" s="198">
        <f>BDI!$B$17</f>
        <v>0.191</v>
      </c>
      <c r="L199" s="198"/>
      <c r="M199" s="198"/>
      <c r="N199" s="153">
        <f t="shared" si="34"/>
        <v>277.79000000000002</v>
      </c>
      <c r="O199" s="152">
        <f t="shared" si="35"/>
        <v>55558</v>
      </c>
      <c r="P199" s="225"/>
      <c r="Q199" s="208"/>
      <c r="R199" s="208"/>
      <c r="S199"/>
      <c r="T199" s="208"/>
      <c r="U199" s="208"/>
      <c r="V199" s="208"/>
      <c r="W199" s="208"/>
      <c r="X199" s="208"/>
      <c r="Y199" s="208"/>
      <c r="Z199" s="208"/>
      <c r="AA199" s="208"/>
      <c r="AB199" s="208"/>
      <c r="AC199" s="208"/>
      <c r="AD199" s="208"/>
      <c r="AE199" s="208"/>
      <c r="AF199" s="208"/>
      <c r="AG199" s="208"/>
      <c r="AH199" s="208"/>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c r="BI199" s="208"/>
      <c r="BJ199" s="208"/>
      <c r="BK199" s="208"/>
      <c r="BL199" s="208"/>
      <c r="BM199" s="208"/>
      <c r="BN199" s="208"/>
      <c r="BO199" s="208"/>
      <c r="BP199" s="208"/>
      <c r="BQ199" s="208"/>
      <c r="BR199" s="208"/>
      <c r="BS199" s="208"/>
      <c r="BT199" s="208"/>
      <c r="BU199" s="208"/>
      <c r="BV199" s="208"/>
      <c r="BW199" s="208"/>
      <c r="BX199" s="208"/>
      <c r="BY199" s="208"/>
      <c r="BZ199" s="208"/>
      <c r="CA199" s="208"/>
      <c r="CB199" s="208"/>
      <c r="CC199" s="208"/>
      <c r="CD199" s="208"/>
      <c r="CE199" s="208"/>
      <c r="CF199" s="208"/>
      <c r="CG199" s="208"/>
      <c r="CH199" s="208"/>
      <c r="CI199" s="208"/>
      <c r="CJ199" s="208"/>
      <c r="CK199" s="208"/>
      <c r="CL199" s="208"/>
      <c r="CM199" s="208"/>
      <c r="CN199" s="208"/>
      <c r="CO199" s="208"/>
      <c r="CP199" s="208"/>
      <c r="CQ199" s="208"/>
      <c r="CR199" s="208"/>
      <c r="CS199" s="208"/>
      <c r="CT199" s="208"/>
      <c r="CU199" s="208"/>
      <c r="CV199" s="208"/>
      <c r="CW199" s="208"/>
      <c r="CX199" s="208"/>
      <c r="CY199" s="208"/>
      <c r="CZ199" s="208"/>
      <c r="DA199" s="208"/>
      <c r="DB199" s="208"/>
      <c r="DC199" s="208"/>
      <c r="DD199" s="208"/>
      <c r="DE199" s="208"/>
      <c r="DF199" s="208"/>
      <c r="DG199" s="208"/>
      <c r="DH199" s="208"/>
      <c r="DI199" s="208"/>
      <c r="DJ199" s="208"/>
      <c r="DK199" s="208"/>
      <c r="DL199" s="208"/>
      <c r="DM199" s="208"/>
      <c r="DN199" s="208"/>
      <c r="DO199" s="208"/>
      <c r="DP199" s="208"/>
      <c r="DQ199" s="208"/>
      <c r="DR199" s="208"/>
      <c r="DS199" s="208"/>
      <c r="DT199" s="208"/>
      <c r="DU199" s="208"/>
      <c r="DV199" s="208"/>
      <c r="DW199" s="208"/>
      <c r="DX199" s="208"/>
      <c r="DY199" s="208"/>
      <c r="DZ199" s="208"/>
      <c r="EA199" s="208"/>
      <c r="EB199" s="208"/>
      <c r="EC199" s="208"/>
      <c r="ED199" s="208"/>
      <c r="EE199" s="208"/>
      <c r="EF199" s="208"/>
      <c r="EG199" s="208"/>
      <c r="EH199" s="208"/>
      <c r="EI199" s="208"/>
      <c r="EJ199" s="208"/>
      <c r="EK199" s="208"/>
      <c r="EL199" s="208"/>
      <c r="EM199" s="208"/>
      <c r="EN199" s="208"/>
      <c r="EO199" s="208"/>
      <c r="EP199" s="208"/>
      <c r="EQ199" s="208"/>
      <c r="ER199" s="208"/>
      <c r="ES199" s="208"/>
      <c r="ET199" s="208"/>
      <c r="EU199" s="208"/>
      <c r="EV199" s="208"/>
      <c r="EW199" s="208"/>
      <c r="EX199" s="208"/>
      <c r="EY199" s="208"/>
      <c r="EZ199" s="208"/>
      <c r="FA199" s="208"/>
      <c r="FB199" s="208"/>
      <c r="FC199" s="208"/>
      <c r="FD199" s="208"/>
      <c r="FE199" s="208"/>
      <c r="FF199" s="208"/>
      <c r="FG199" s="208"/>
      <c r="FH199" s="208"/>
      <c r="FI199" s="208"/>
      <c r="FJ199" s="208"/>
      <c r="FK199" s="208"/>
      <c r="FL199" s="208"/>
      <c r="FM199" s="208"/>
      <c r="FN199" s="208"/>
      <c r="FO199" s="208"/>
      <c r="FP199" s="208"/>
      <c r="FQ199" s="208"/>
      <c r="FR199" s="208"/>
      <c r="FS199" s="208"/>
      <c r="FT199" s="208"/>
      <c r="FU199" s="208"/>
      <c r="FV199" s="208"/>
      <c r="FW199" s="208"/>
      <c r="FX199" s="208"/>
      <c r="FY199" s="208"/>
      <c r="FZ199" s="208"/>
      <c r="GA199" s="208"/>
      <c r="GB199" s="208"/>
      <c r="GC199" s="208"/>
      <c r="GD199" s="208"/>
      <c r="GE199" s="208"/>
      <c r="GF199" s="208"/>
    </row>
    <row r="200" spans="1:188" s="209" customFormat="1" ht="15" x14ac:dyDescent="0.25">
      <c r="A200" s="195" t="s">
        <v>4973</v>
      </c>
      <c r="B200" s="195" t="s">
        <v>1085</v>
      </c>
      <c r="C200" s="196" t="s">
        <v>2899</v>
      </c>
      <c r="D200" s="154" t="s">
        <v>28</v>
      </c>
      <c r="E200" s="154">
        <v>2200</v>
      </c>
      <c r="F200" s="154">
        <v>0.1</v>
      </c>
      <c r="G200" s="197"/>
      <c r="H200" s="198"/>
      <c r="I200" s="151">
        <f>IFERROR(INDEX(Composições!$A$5:$J$8391,MATCH(B200,Composições!$A$5:$A$8391,0)+2,8),"")</f>
        <v>51.489197249999997</v>
      </c>
      <c r="J200" s="152">
        <f t="shared" si="33"/>
        <v>11327.62</v>
      </c>
      <c r="K200" s="198">
        <f>BDI!$B$17</f>
        <v>0.191</v>
      </c>
      <c r="L200" s="198"/>
      <c r="M200" s="198"/>
      <c r="N200" s="153">
        <f t="shared" si="34"/>
        <v>61.32</v>
      </c>
      <c r="O200" s="152">
        <f t="shared" si="35"/>
        <v>13490.4</v>
      </c>
      <c r="P200" s="225"/>
      <c r="Q200" s="208"/>
      <c r="R200" s="208"/>
      <c r="S200"/>
      <c r="T200" s="208"/>
      <c r="U200" s="208"/>
      <c r="V200" s="208"/>
      <c r="W200" s="208"/>
      <c r="X200" s="208"/>
      <c r="Y200" s="208"/>
      <c r="Z200" s="208"/>
      <c r="AA200" s="208"/>
      <c r="AB200" s="208"/>
      <c r="AC200" s="208"/>
      <c r="AD200" s="208"/>
      <c r="AE200" s="208"/>
      <c r="AF200" s="208"/>
      <c r="AG200" s="208"/>
      <c r="AH200" s="208"/>
      <c r="AI200" s="208"/>
      <c r="AJ200" s="208"/>
      <c r="AK200" s="208"/>
      <c r="AL200" s="208"/>
      <c r="AM200" s="208"/>
      <c r="AN200" s="208"/>
      <c r="AO200" s="208"/>
      <c r="AP200" s="208"/>
      <c r="AQ200" s="208"/>
      <c r="AR200" s="208"/>
      <c r="AS200" s="208"/>
      <c r="AT200" s="208"/>
      <c r="AU200" s="208"/>
      <c r="AV200" s="208"/>
      <c r="AW200" s="208"/>
      <c r="AX200" s="208"/>
      <c r="AY200" s="208"/>
      <c r="AZ200" s="208"/>
      <c r="BA200" s="208"/>
      <c r="BB200" s="208"/>
      <c r="BC200" s="208"/>
      <c r="BD200" s="208"/>
      <c r="BE200" s="208"/>
      <c r="BF200" s="208"/>
      <c r="BG200" s="208"/>
      <c r="BH200" s="208"/>
      <c r="BI200" s="208"/>
      <c r="BJ200" s="208"/>
      <c r="BK200" s="208"/>
      <c r="BL200" s="208"/>
      <c r="BM200" s="208"/>
      <c r="BN200" s="208"/>
      <c r="BO200" s="208"/>
      <c r="BP200" s="208"/>
      <c r="BQ200" s="208"/>
      <c r="BR200" s="208"/>
      <c r="BS200" s="208"/>
      <c r="BT200" s="208"/>
      <c r="BU200" s="208"/>
      <c r="BV200" s="208"/>
      <c r="BW200" s="208"/>
      <c r="BX200" s="208"/>
      <c r="BY200" s="208"/>
      <c r="BZ200" s="208"/>
      <c r="CA200" s="208"/>
      <c r="CB200" s="208"/>
      <c r="CC200" s="208"/>
      <c r="CD200" s="208"/>
      <c r="CE200" s="208"/>
      <c r="CF200" s="208"/>
      <c r="CG200" s="208"/>
      <c r="CH200" s="208"/>
      <c r="CI200" s="208"/>
      <c r="CJ200" s="208"/>
      <c r="CK200" s="208"/>
      <c r="CL200" s="208"/>
      <c r="CM200" s="208"/>
      <c r="CN200" s="208"/>
      <c r="CO200" s="208"/>
      <c r="CP200" s="208"/>
      <c r="CQ200" s="208"/>
      <c r="CR200" s="208"/>
      <c r="CS200" s="208"/>
      <c r="CT200" s="208"/>
      <c r="CU200" s="208"/>
      <c r="CV200" s="208"/>
      <c r="CW200" s="208"/>
      <c r="CX200" s="208"/>
      <c r="CY200" s="208"/>
      <c r="CZ200" s="208"/>
      <c r="DA200" s="208"/>
      <c r="DB200" s="208"/>
      <c r="DC200" s="208"/>
      <c r="DD200" s="208"/>
      <c r="DE200" s="208"/>
      <c r="DF200" s="208"/>
      <c r="DG200" s="208"/>
      <c r="DH200" s="208"/>
      <c r="DI200" s="208"/>
      <c r="DJ200" s="208"/>
      <c r="DK200" s="208"/>
      <c r="DL200" s="208"/>
      <c r="DM200" s="208"/>
      <c r="DN200" s="208"/>
      <c r="DO200" s="208"/>
      <c r="DP200" s="208"/>
      <c r="DQ200" s="208"/>
      <c r="DR200" s="208"/>
      <c r="DS200" s="208"/>
      <c r="DT200" s="208"/>
      <c r="DU200" s="208"/>
      <c r="DV200" s="208"/>
      <c r="DW200" s="208"/>
      <c r="DX200" s="208"/>
      <c r="DY200" s="208"/>
      <c r="DZ200" s="208"/>
      <c r="EA200" s="208"/>
      <c r="EB200" s="208"/>
      <c r="EC200" s="208"/>
      <c r="ED200" s="208"/>
      <c r="EE200" s="208"/>
      <c r="EF200" s="208"/>
      <c r="EG200" s="208"/>
      <c r="EH200" s="208"/>
      <c r="EI200" s="208"/>
      <c r="EJ200" s="208"/>
      <c r="EK200" s="208"/>
      <c r="EL200" s="208"/>
      <c r="EM200" s="208"/>
      <c r="EN200" s="208"/>
      <c r="EO200" s="208"/>
      <c r="EP200" s="208"/>
      <c r="EQ200" s="208"/>
      <c r="ER200" s="208"/>
      <c r="ES200" s="208"/>
      <c r="ET200" s="208"/>
      <c r="EU200" s="208"/>
      <c r="EV200" s="208"/>
      <c r="EW200" s="208"/>
      <c r="EX200" s="208"/>
      <c r="EY200" s="208"/>
      <c r="EZ200" s="208"/>
      <c r="FA200" s="208"/>
      <c r="FB200" s="208"/>
      <c r="FC200" s="208"/>
      <c r="FD200" s="208"/>
      <c r="FE200" s="208"/>
      <c r="FF200" s="208"/>
      <c r="FG200" s="208"/>
      <c r="FH200" s="208"/>
      <c r="FI200" s="208"/>
      <c r="FJ200" s="208"/>
      <c r="FK200" s="208"/>
      <c r="FL200" s="208"/>
      <c r="FM200" s="208"/>
      <c r="FN200" s="208"/>
      <c r="FO200" s="208"/>
      <c r="FP200" s="208"/>
      <c r="FQ200" s="208"/>
      <c r="FR200" s="208"/>
      <c r="FS200" s="208"/>
      <c r="FT200" s="208"/>
      <c r="FU200" s="208"/>
      <c r="FV200" s="208"/>
      <c r="FW200" s="208"/>
      <c r="FX200" s="208"/>
      <c r="FY200" s="208"/>
      <c r="FZ200" s="208"/>
      <c r="GA200" s="208"/>
      <c r="GB200" s="208"/>
      <c r="GC200" s="208"/>
      <c r="GD200" s="208"/>
      <c r="GE200" s="208"/>
      <c r="GF200" s="208"/>
    </row>
    <row r="201" spans="1:188" s="209" customFormat="1" ht="15" x14ac:dyDescent="0.25">
      <c r="A201" s="195" t="s">
        <v>4974</v>
      </c>
      <c r="B201" s="195" t="s">
        <v>1086</v>
      </c>
      <c r="C201" s="196" t="s">
        <v>2900</v>
      </c>
      <c r="D201" s="154" t="s">
        <v>78</v>
      </c>
      <c r="E201" s="154">
        <v>88620</v>
      </c>
      <c r="F201" s="154">
        <v>0.1</v>
      </c>
      <c r="G201" s="197"/>
      <c r="H201" s="198"/>
      <c r="I201" s="151">
        <f>IFERROR(INDEX(Composições!$A$5:$J$8391,MATCH(B201,Composições!$A$5:$A$8391,0)+2,8),"")</f>
        <v>45.483905532150011</v>
      </c>
      <c r="J201" s="152">
        <f t="shared" si="33"/>
        <v>403078.37</v>
      </c>
      <c r="K201" s="198">
        <f>BDI!$B$17</f>
        <v>0.191</v>
      </c>
      <c r="L201" s="198"/>
      <c r="M201" s="198"/>
      <c r="N201" s="153">
        <f t="shared" si="34"/>
        <v>54.17</v>
      </c>
      <c r="O201" s="152">
        <f t="shared" si="35"/>
        <v>480054.54</v>
      </c>
      <c r="P201" s="225"/>
      <c r="Q201" s="208"/>
      <c r="R201" s="208"/>
      <c r="S201"/>
      <c r="T201" s="208"/>
      <c r="U201" s="208"/>
      <c r="V201" s="208"/>
      <c r="W201" s="208"/>
      <c r="X201" s="208"/>
      <c r="Y201" s="208"/>
      <c r="Z201" s="208"/>
      <c r="AA201" s="208"/>
      <c r="AB201" s="208"/>
      <c r="AC201" s="208"/>
      <c r="AD201" s="208"/>
      <c r="AE201" s="208"/>
      <c r="AF201" s="208"/>
      <c r="AG201" s="208"/>
      <c r="AH201" s="208"/>
      <c r="AI201" s="208"/>
      <c r="AJ201" s="208"/>
      <c r="AK201" s="208"/>
      <c r="AL201" s="208"/>
      <c r="AM201" s="208"/>
      <c r="AN201" s="208"/>
      <c r="AO201" s="208"/>
      <c r="AP201" s="208"/>
      <c r="AQ201" s="208"/>
      <c r="AR201" s="208"/>
      <c r="AS201" s="208"/>
      <c r="AT201" s="208"/>
      <c r="AU201" s="208"/>
      <c r="AV201" s="208"/>
      <c r="AW201" s="208"/>
      <c r="AX201" s="208"/>
      <c r="AY201" s="208"/>
      <c r="AZ201" s="208"/>
      <c r="BA201" s="208"/>
      <c r="BB201" s="208"/>
      <c r="BC201" s="208"/>
      <c r="BD201" s="208"/>
      <c r="BE201" s="208"/>
      <c r="BF201" s="208"/>
      <c r="BG201" s="208"/>
      <c r="BH201" s="208"/>
      <c r="BI201" s="208"/>
      <c r="BJ201" s="208"/>
      <c r="BK201" s="208"/>
      <c r="BL201" s="208"/>
      <c r="BM201" s="208"/>
      <c r="BN201" s="208"/>
      <c r="BO201" s="208"/>
      <c r="BP201" s="208"/>
      <c r="BQ201" s="208"/>
      <c r="BR201" s="208"/>
      <c r="BS201" s="208"/>
      <c r="BT201" s="208"/>
      <c r="BU201" s="208"/>
      <c r="BV201" s="208"/>
      <c r="BW201" s="208"/>
      <c r="BX201" s="208"/>
      <c r="BY201" s="208"/>
      <c r="BZ201" s="208"/>
      <c r="CA201" s="208"/>
      <c r="CB201" s="208"/>
      <c r="CC201" s="208"/>
      <c r="CD201" s="208"/>
      <c r="CE201" s="208"/>
      <c r="CF201" s="208"/>
      <c r="CG201" s="208"/>
      <c r="CH201" s="208"/>
      <c r="CI201" s="208"/>
      <c r="CJ201" s="208"/>
      <c r="CK201" s="208"/>
      <c r="CL201" s="208"/>
      <c r="CM201" s="208"/>
      <c r="CN201" s="208"/>
      <c r="CO201" s="208"/>
      <c r="CP201" s="208"/>
      <c r="CQ201" s="208"/>
      <c r="CR201" s="208"/>
      <c r="CS201" s="208"/>
      <c r="CT201" s="208"/>
      <c r="CU201" s="208"/>
      <c r="CV201" s="208"/>
      <c r="CW201" s="208"/>
      <c r="CX201" s="208"/>
      <c r="CY201" s="208"/>
      <c r="CZ201" s="208"/>
      <c r="DA201" s="208"/>
      <c r="DB201" s="208"/>
      <c r="DC201" s="208"/>
      <c r="DD201" s="208"/>
      <c r="DE201" s="208"/>
      <c r="DF201" s="208"/>
      <c r="DG201" s="208"/>
      <c r="DH201" s="208"/>
      <c r="DI201" s="208"/>
      <c r="DJ201" s="208"/>
      <c r="DK201" s="208"/>
      <c r="DL201" s="208"/>
      <c r="DM201" s="208"/>
      <c r="DN201" s="208"/>
      <c r="DO201" s="208"/>
      <c r="DP201" s="208"/>
      <c r="DQ201" s="208"/>
      <c r="DR201" s="208"/>
      <c r="DS201" s="208"/>
      <c r="DT201" s="208"/>
      <c r="DU201" s="208"/>
      <c r="DV201" s="208"/>
      <c r="DW201" s="208"/>
      <c r="DX201" s="208"/>
      <c r="DY201" s="208"/>
      <c r="DZ201" s="208"/>
      <c r="EA201" s="208"/>
      <c r="EB201" s="208"/>
      <c r="EC201" s="208"/>
      <c r="ED201" s="208"/>
      <c r="EE201" s="208"/>
      <c r="EF201" s="208"/>
      <c r="EG201" s="208"/>
      <c r="EH201" s="208"/>
      <c r="EI201" s="208"/>
      <c r="EJ201" s="208"/>
      <c r="EK201" s="208"/>
      <c r="EL201" s="208"/>
      <c r="EM201" s="208"/>
      <c r="EN201" s="208"/>
      <c r="EO201" s="208"/>
      <c r="EP201" s="208"/>
      <c r="EQ201" s="208"/>
      <c r="ER201" s="208"/>
      <c r="ES201" s="208"/>
      <c r="ET201" s="208"/>
      <c r="EU201" s="208"/>
      <c r="EV201" s="208"/>
      <c r="EW201" s="208"/>
      <c r="EX201" s="208"/>
      <c r="EY201" s="208"/>
      <c r="EZ201" s="208"/>
      <c r="FA201" s="208"/>
      <c r="FB201" s="208"/>
      <c r="FC201" s="208"/>
      <c r="FD201" s="208"/>
      <c r="FE201" s="208"/>
      <c r="FF201" s="208"/>
      <c r="FG201" s="208"/>
      <c r="FH201" s="208"/>
      <c r="FI201" s="208"/>
      <c r="FJ201" s="208"/>
      <c r="FK201" s="208"/>
      <c r="FL201" s="208"/>
      <c r="FM201" s="208"/>
      <c r="FN201" s="208"/>
      <c r="FO201" s="208"/>
      <c r="FP201" s="208"/>
      <c r="FQ201" s="208"/>
      <c r="FR201" s="208"/>
      <c r="FS201" s="208"/>
      <c r="FT201" s="208"/>
      <c r="FU201" s="208"/>
      <c r="FV201" s="208"/>
      <c r="FW201" s="208"/>
      <c r="FX201" s="208"/>
      <c r="FY201" s="208"/>
      <c r="FZ201" s="208"/>
      <c r="GA201" s="208"/>
      <c r="GB201" s="208"/>
      <c r="GC201" s="208"/>
      <c r="GD201" s="208"/>
      <c r="GE201" s="208"/>
      <c r="GF201" s="208"/>
    </row>
    <row r="202" spans="1:188" s="209" customFormat="1" ht="15" x14ac:dyDescent="0.25">
      <c r="A202" s="195" t="s">
        <v>4975</v>
      </c>
      <c r="B202" s="195" t="s">
        <v>1087</v>
      </c>
      <c r="C202" s="196" t="s">
        <v>2901</v>
      </c>
      <c r="D202" s="154" t="s">
        <v>78</v>
      </c>
      <c r="E202" s="154">
        <v>4530</v>
      </c>
      <c r="F202" s="154">
        <v>0.1</v>
      </c>
      <c r="G202" s="197"/>
      <c r="H202" s="198"/>
      <c r="I202" s="151">
        <f>IFERROR(INDEX(Composições!$A$5:$J$8391,MATCH(B202,Composições!$A$5:$A$8391,0)+2,8),"")</f>
        <v>61.187760841650011</v>
      </c>
      <c r="J202" s="152">
        <f t="shared" si="33"/>
        <v>27718.06</v>
      </c>
      <c r="K202" s="198">
        <f>BDI!$B$17</f>
        <v>0.191</v>
      </c>
      <c r="L202" s="198"/>
      <c r="M202" s="198"/>
      <c r="N202" s="153">
        <f t="shared" si="34"/>
        <v>72.87</v>
      </c>
      <c r="O202" s="152">
        <f t="shared" si="35"/>
        <v>33010.11</v>
      </c>
      <c r="P202" s="225"/>
      <c r="Q202" s="208"/>
      <c r="R202" s="208"/>
      <c r="S202"/>
      <c r="T202" s="208"/>
      <c r="U202" s="208"/>
      <c r="V202" s="208"/>
      <c r="W202" s="208"/>
      <c r="X202" s="208"/>
      <c r="Y202" s="208"/>
      <c r="Z202" s="208"/>
      <c r="AA202" s="208"/>
      <c r="AB202" s="208"/>
      <c r="AC202" s="208"/>
      <c r="AD202" s="208"/>
      <c r="AE202" s="208"/>
      <c r="AF202" s="208"/>
      <c r="AG202" s="208"/>
      <c r="AH202" s="208"/>
      <c r="AI202" s="208"/>
      <c r="AJ202" s="208"/>
      <c r="AK202" s="208"/>
      <c r="AL202" s="208"/>
      <c r="AM202" s="208"/>
      <c r="AN202" s="208"/>
      <c r="AO202" s="208"/>
      <c r="AP202" s="208"/>
      <c r="AQ202" s="208"/>
      <c r="AR202" s="208"/>
      <c r="AS202" s="208"/>
      <c r="AT202" s="208"/>
      <c r="AU202" s="208"/>
      <c r="AV202" s="208"/>
      <c r="AW202" s="208"/>
      <c r="AX202" s="208"/>
      <c r="AY202" s="208"/>
      <c r="AZ202" s="208"/>
      <c r="BA202" s="208"/>
      <c r="BB202" s="208"/>
      <c r="BC202" s="208"/>
      <c r="BD202" s="208"/>
      <c r="BE202" s="208"/>
      <c r="BF202" s="208"/>
      <c r="BG202" s="208"/>
      <c r="BH202" s="208"/>
      <c r="BI202" s="208"/>
      <c r="BJ202" s="208"/>
      <c r="BK202" s="208"/>
      <c r="BL202" s="208"/>
      <c r="BM202" s="208"/>
      <c r="BN202" s="208"/>
      <c r="BO202" s="208"/>
      <c r="BP202" s="208"/>
      <c r="BQ202" s="208"/>
      <c r="BR202" s="208"/>
      <c r="BS202" s="208"/>
      <c r="BT202" s="208"/>
      <c r="BU202" s="208"/>
      <c r="BV202" s="208"/>
      <c r="BW202" s="208"/>
      <c r="BX202" s="208"/>
      <c r="BY202" s="208"/>
      <c r="BZ202" s="208"/>
      <c r="CA202" s="208"/>
      <c r="CB202" s="208"/>
      <c r="CC202" s="208"/>
      <c r="CD202" s="208"/>
      <c r="CE202" s="208"/>
      <c r="CF202" s="208"/>
      <c r="CG202" s="208"/>
      <c r="CH202" s="208"/>
      <c r="CI202" s="208"/>
      <c r="CJ202" s="208"/>
      <c r="CK202" s="208"/>
      <c r="CL202" s="208"/>
      <c r="CM202" s="208"/>
      <c r="CN202" s="208"/>
      <c r="CO202" s="208"/>
      <c r="CP202" s="208"/>
      <c r="CQ202" s="208"/>
      <c r="CR202" s="208"/>
      <c r="CS202" s="208"/>
      <c r="CT202" s="208"/>
      <c r="CU202" s="208"/>
      <c r="CV202" s="208"/>
      <c r="CW202" s="208"/>
      <c r="CX202" s="208"/>
      <c r="CY202" s="208"/>
      <c r="CZ202" s="208"/>
      <c r="DA202" s="208"/>
      <c r="DB202" s="208"/>
      <c r="DC202" s="208"/>
      <c r="DD202" s="208"/>
      <c r="DE202" s="208"/>
      <c r="DF202" s="208"/>
      <c r="DG202" s="208"/>
      <c r="DH202" s="208"/>
      <c r="DI202" s="208"/>
      <c r="DJ202" s="208"/>
      <c r="DK202" s="208"/>
      <c r="DL202" s="208"/>
      <c r="DM202" s="208"/>
      <c r="DN202" s="208"/>
      <c r="DO202" s="208"/>
      <c r="DP202" s="208"/>
      <c r="DQ202" s="208"/>
      <c r="DR202" s="208"/>
      <c r="DS202" s="208"/>
      <c r="DT202" s="208"/>
      <c r="DU202" s="208"/>
      <c r="DV202" s="208"/>
      <c r="DW202" s="208"/>
      <c r="DX202" s="208"/>
      <c r="DY202" s="208"/>
      <c r="DZ202" s="208"/>
      <c r="EA202" s="208"/>
      <c r="EB202" s="208"/>
      <c r="EC202" s="208"/>
      <c r="ED202" s="208"/>
      <c r="EE202" s="208"/>
      <c r="EF202" s="208"/>
      <c r="EG202" s="208"/>
      <c r="EH202" s="208"/>
      <c r="EI202" s="208"/>
      <c r="EJ202" s="208"/>
      <c r="EK202" s="208"/>
      <c r="EL202" s="208"/>
      <c r="EM202" s="208"/>
      <c r="EN202" s="208"/>
      <c r="EO202" s="208"/>
      <c r="EP202" s="208"/>
      <c r="EQ202" s="208"/>
      <c r="ER202" s="208"/>
      <c r="ES202" s="208"/>
      <c r="ET202" s="208"/>
      <c r="EU202" s="208"/>
      <c r="EV202" s="208"/>
      <c r="EW202" s="208"/>
      <c r="EX202" s="208"/>
      <c r="EY202" s="208"/>
      <c r="EZ202" s="208"/>
      <c r="FA202" s="208"/>
      <c r="FB202" s="208"/>
      <c r="FC202" s="208"/>
      <c r="FD202" s="208"/>
      <c r="FE202" s="208"/>
      <c r="FF202" s="208"/>
      <c r="FG202" s="208"/>
      <c r="FH202" s="208"/>
      <c r="FI202" s="208"/>
      <c r="FJ202" s="208"/>
      <c r="FK202" s="208"/>
      <c r="FL202" s="208"/>
      <c r="FM202" s="208"/>
      <c r="FN202" s="208"/>
      <c r="FO202" s="208"/>
      <c r="FP202" s="208"/>
      <c r="FQ202" s="208"/>
      <c r="FR202" s="208"/>
      <c r="FS202" s="208"/>
      <c r="FT202" s="208"/>
      <c r="FU202" s="208"/>
      <c r="FV202" s="208"/>
      <c r="FW202" s="208"/>
      <c r="FX202" s="208"/>
      <c r="FY202" s="208"/>
      <c r="FZ202" s="208"/>
      <c r="GA202" s="208"/>
      <c r="GB202" s="208"/>
      <c r="GC202" s="208"/>
      <c r="GD202" s="208"/>
      <c r="GE202" s="208"/>
      <c r="GF202" s="208"/>
    </row>
    <row r="203" spans="1:188" s="209" customFormat="1" ht="15" x14ac:dyDescent="0.25">
      <c r="A203" s="195" t="s">
        <v>4976</v>
      </c>
      <c r="B203" s="195" t="s">
        <v>908</v>
      </c>
      <c r="C203" s="196" t="s">
        <v>2762</v>
      </c>
      <c r="D203" s="154" t="s">
        <v>121</v>
      </c>
      <c r="E203" s="154">
        <v>10160</v>
      </c>
      <c r="F203" s="154">
        <v>0.1</v>
      </c>
      <c r="G203" s="197"/>
      <c r="H203" s="198"/>
      <c r="I203" s="151">
        <f>IFERROR(INDEX(Composições!$A$5:$J$8391,MATCH(B203,Composições!$A$5:$A$8391,0)+2,8),"")</f>
        <v>95.760152000000005</v>
      </c>
      <c r="J203" s="152">
        <f t="shared" si="33"/>
        <v>97292.31</v>
      </c>
      <c r="K203" s="198">
        <f>BDI!$B$17</f>
        <v>0.191</v>
      </c>
      <c r="L203" s="198"/>
      <c r="M203" s="198"/>
      <c r="N203" s="153">
        <f t="shared" si="34"/>
        <v>114.05</v>
      </c>
      <c r="O203" s="152">
        <f t="shared" si="35"/>
        <v>115874.8</v>
      </c>
      <c r="P203" s="225"/>
      <c r="Q203" s="208"/>
      <c r="R203" s="208"/>
      <c r="S203"/>
      <c r="T203" s="208"/>
      <c r="U203" s="208"/>
      <c r="V203" s="208"/>
      <c r="W203" s="208"/>
      <c r="X203" s="208"/>
      <c r="Y203" s="208"/>
      <c r="Z203" s="208"/>
      <c r="AA203" s="208"/>
      <c r="AB203" s="208"/>
      <c r="AC203" s="208"/>
      <c r="AD203" s="208"/>
      <c r="AE203" s="208"/>
      <c r="AF203" s="208"/>
      <c r="AG203" s="208"/>
      <c r="AH203" s="208"/>
      <c r="AI203" s="208"/>
      <c r="AJ203" s="208"/>
      <c r="AK203" s="208"/>
      <c r="AL203" s="208"/>
      <c r="AM203" s="208"/>
      <c r="AN203" s="208"/>
      <c r="AO203" s="208"/>
      <c r="AP203" s="208"/>
      <c r="AQ203" s="208"/>
      <c r="AR203" s="208"/>
      <c r="AS203" s="208"/>
      <c r="AT203" s="208"/>
      <c r="AU203" s="208"/>
      <c r="AV203" s="208"/>
      <c r="AW203" s="208"/>
      <c r="AX203" s="208"/>
      <c r="AY203" s="208"/>
      <c r="AZ203" s="208"/>
      <c r="BA203" s="208"/>
      <c r="BB203" s="208"/>
      <c r="BC203" s="208"/>
      <c r="BD203" s="208"/>
      <c r="BE203" s="208"/>
      <c r="BF203" s="208"/>
      <c r="BG203" s="208"/>
      <c r="BH203" s="208"/>
      <c r="BI203" s="208"/>
      <c r="BJ203" s="208"/>
      <c r="BK203" s="208"/>
      <c r="BL203" s="208"/>
      <c r="BM203" s="208"/>
      <c r="BN203" s="208"/>
      <c r="BO203" s="208"/>
      <c r="BP203" s="208"/>
      <c r="BQ203" s="208"/>
      <c r="BR203" s="208"/>
      <c r="BS203" s="208"/>
      <c r="BT203" s="208"/>
      <c r="BU203" s="208"/>
      <c r="BV203" s="208"/>
      <c r="BW203" s="208"/>
      <c r="BX203" s="208"/>
      <c r="BY203" s="208"/>
      <c r="BZ203" s="208"/>
      <c r="CA203" s="208"/>
      <c r="CB203" s="208"/>
      <c r="CC203" s="208"/>
      <c r="CD203" s="208"/>
      <c r="CE203" s="208"/>
      <c r="CF203" s="208"/>
      <c r="CG203" s="208"/>
      <c r="CH203" s="208"/>
      <c r="CI203" s="208"/>
      <c r="CJ203" s="208"/>
      <c r="CK203" s="208"/>
      <c r="CL203" s="208"/>
      <c r="CM203" s="208"/>
      <c r="CN203" s="208"/>
      <c r="CO203" s="208"/>
      <c r="CP203" s="208"/>
      <c r="CQ203" s="208"/>
      <c r="CR203" s="208"/>
      <c r="CS203" s="208"/>
      <c r="CT203" s="208"/>
      <c r="CU203" s="208"/>
      <c r="CV203" s="208"/>
      <c r="CW203" s="208"/>
      <c r="CX203" s="208"/>
      <c r="CY203" s="208"/>
      <c r="CZ203" s="208"/>
      <c r="DA203" s="208"/>
      <c r="DB203" s="208"/>
      <c r="DC203" s="208"/>
      <c r="DD203" s="208"/>
      <c r="DE203" s="208"/>
      <c r="DF203" s="208"/>
      <c r="DG203" s="208"/>
      <c r="DH203" s="208"/>
      <c r="DI203" s="208"/>
      <c r="DJ203" s="208"/>
      <c r="DK203" s="208"/>
      <c r="DL203" s="208"/>
      <c r="DM203" s="208"/>
      <c r="DN203" s="208"/>
      <c r="DO203" s="208"/>
      <c r="DP203" s="208"/>
      <c r="DQ203" s="208"/>
      <c r="DR203" s="208"/>
      <c r="DS203" s="208"/>
      <c r="DT203" s="208"/>
      <c r="DU203" s="208"/>
      <c r="DV203" s="208"/>
      <c r="DW203" s="208"/>
      <c r="DX203" s="208"/>
      <c r="DY203" s="208"/>
      <c r="DZ203" s="208"/>
      <c r="EA203" s="208"/>
      <c r="EB203" s="208"/>
      <c r="EC203" s="208"/>
      <c r="ED203" s="208"/>
      <c r="EE203" s="208"/>
      <c r="EF203" s="208"/>
      <c r="EG203" s="208"/>
      <c r="EH203" s="208"/>
      <c r="EI203" s="208"/>
      <c r="EJ203" s="208"/>
      <c r="EK203" s="208"/>
      <c r="EL203" s="208"/>
      <c r="EM203" s="208"/>
      <c r="EN203" s="208"/>
      <c r="EO203" s="208"/>
      <c r="EP203" s="208"/>
      <c r="EQ203" s="208"/>
      <c r="ER203" s="208"/>
      <c r="ES203" s="208"/>
      <c r="ET203" s="208"/>
      <c r="EU203" s="208"/>
      <c r="EV203" s="208"/>
      <c r="EW203" s="208"/>
      <c r="EX203" s="208"/>
      <c r="EY203" s="208"/>
      <c r="EZ203" s="208"/>
      <c r="FA203" s="208"/>
      <c r="FB203" s="208"/>
      <c r="FC203" s="208"/>
      <c r="FD203" s="208"/>
      <c r="FE203" s="208"/>
      <c r="FF203" s="208"/>
      <c r="FG203" s="208"/>
      <c r="FH203" s="208"/>
      <c r="FI203" s="208"/>
      <c r="FJ203" s="208"/>
      <c r="FK203" s="208"/>
      <c r="FL203" s="208"/>
      <c r="FM203" s="208"/>
      <c r="FN203" s="208"/>
      <c r="FO203" s="208"/>
      <c r="FP203" s="208"/>
      <c r="FQ203" s="208"/>
      <c r="FR203" s="208"/>
      <c r="FS203" s="208"/>
      <c r="FT203" s="208"/>
      <c r="FU203" s="208"/>
      <c r="FV203" s="208"/>
      <c r="FW203" s="208"/>
      <c r="FX203" s="208"/>
      <c r="FY203" s="208"/>
      <c r="FZ203" s="208"/>
      <c r="GA203" s="208"/>
      <c r="GB203" s="208"/>
      <c r="GC203" s="208"/>
      <c r="GD203" s="208"/>
      <c r="GE203" s="208"/>
      <c r="GF203" s="208"/>
    </row>
    <row r="204" spans="1:188" s="209" customFormat="1" ht="15" x14ac:dyDescent="0.25">
      <c r="A204" s="195" t="s">
        <v>4977</v>
      </c>
      <c r="B204" s="195" t="s">
        <v>1006</v>
      </c>
      <c r="C204" s="196" t="s">
        <v>2854</v>
      </c>
      <c r="D204" s="154" t="s">
        <v>121</v>
      </c>
      <c r="E204" s="154">
        <v>14670</v>
      </c>
      <c r="F204" s="154">
        <v>0.1</v>
      </c>
      <c r="G204" s="197"/>
      <c r="H204" s="198"/>
      <c r="I204" s="151">
        <f>IFERROR(INDEX(Composições!$A$5:$J$8391,MATCH(B204,Composições!$A$5:$A$8391,0)+2,8),"")</f>
        <v>72.518820000000005</v>
      </c>
      <c r="J204" s="152">
        <f t="shared" si="33"/>
        <v>106385.11</v>
      </c>
      <c r="K204" s="198">
        <f>BDI!$B$17</f>
        <v>0.191</v>
      </c>
      <c r="L204" s="198"/>
      <c r="M204" s="198"/>
      <c r="N204" s="153">
        <f t="shared" si="34"/>
        <v>86.37</v>
      </c>
      <c r="O204" s="152">
        <f t="shared" si="35"/>
        <v>126704.79</v>
      </c>
      <c r="P204" s="225"/>
      <c r="Q204" s="208"/>
      <c r="R204" s="208"/>
      <c r="S204"/>
      <c r="T204" s="208"/>
      <c r="U204" s="208"/>
      <c r="V204" s="208"/>
      <c r="W204" s="208"/>
      <c r="X204" s="208"/>
      <c r="Y204" s="208"/>
      <c r="Z204" s="208"/>
      <c r="AA204" s="208"/>
      <c r="AB204" s="208"/>
      <c r="AC204" s="208"/>
      <c r="AD204" s="208"/>
      <c r="AE204" s="208"/>
      <c r="AF204" s="208"/>
      <c r="AG204" s="208"/>
      <c r="AH204" s="208"/>
      <c r="AI204" s="208"/>
      <c r="AJ204" s="208"/>
      <c r="AK204" s="208"/>
      <c r="AL204" s="208"/>
      <c r="AM204" s="208"/>
      <c r="AN204" s="208"/>
      <c r="AO204" s="208"/>
      <c r="AP204" s="208"/>
      <c r="AQ204" s="208"/>
      <c r="AR204" s="208"/>
      <c r="AS204" s="208"/>
      <c r="AT204" s="208"/>
      <c r="AU204" s="208"/>
      <c r="AV204" s="208"/>
      <c r="AW204" s="208"/>
      <c r="AX204" s="208"/>
      <c r="AY204" s="208"/>
      <c r="AZ204" s="208"/>
      <c r="BA204" s="208"/>
      <c r="BB204" s="208"/>
      <c r="BC204" s="208"/>
      <c r="BD204" s="208"/>
      <c r="BE204" s="208"/>
      <c r="BF204" s="208"/>
      <c r="BG204" s="208"/>
      <c r="BH204" s="208"/>
      <c r="BI204" s="208"/>
      <c r="BJ204" s="208"/>
      <c r="BK204" s="208"/>
      <c r="BL204" s="208"/>
      <c r="BM204" s="208"/>
      <c r="BN204" s="208"/>
      <c r="BO204" s="208"/>
      <c r="BP204" s="208"/>
      <c r="BQ204" s="208"/>
      <c r="BR204" s="208"/>
      <c r="BS204" s="208"/>
      <c r="BT204" s="208"/>
      <c r="BU204" s="208"/>
      <c r="BV204" s="208"/>
      <c r="BW204" s="208"/>
      <c r="BX204" s="208"/>
      <c r="BY204" s="208"/>
      <c r="BZ204" s="208"/>
      <c r="CA204" s="208"/>
      <c r="CB204" s="208"/>
      <c r="CC204" s="208"/>
      <c r="CD204" s="208"/>
      <c r="CE204" s="208"/>
      <c r="CF204" s="208"/>
      <c r="CG204" s="208"/>
      <c r="CH204" s="208"/>
      <c r="CI204" s="208"/>
      <c r="CJ204" s="208"/>
      <c r="CK204" s="208"/>
      <c r="CL204" s="208"/>
      <c r="CM204" s="208"/>
      <c r="CN204" s="208"/>
      <c r="CO204" s="208"/>
      <c r="CP204" s="208"/>
      <c r="CQ204" s="208"/>
      <c r="CR204" s="208"/>
      <c r="CS204" s="208"/>
      <c r="CT204" s="208"/>
      <c r="CU204" s="208"/>
      <c r="CV204" s="208"/>
      <c r="CW204" s="208"/>
      <c r="CX204" s="208"/>
      <c r="CY204" s="208"/>
      <c r="CZ204" s="208"/>
      <c r="DA204" s="208"/>
      <c r="DB204" s="208"/>
      <c r="DC204" s="208"/>
      <c r="DD204" s="208"/>
      <c r="DE204" s="208"/>
      <c r="DF204" s="208"/>
      <c r="DG204" s="208"/>
      <c r="DH204" s="208"/>
      <c r="DI204" s="208"/>
      <c r="DJ204" s="208"/>
      <c r="DK204" s="208"/>
      <c r="DL204" s="208"/>
      <c r="DM204" s="208"/>
      <c r="DN204" s="208"/>
      <c r="DO204" s="208"/>
      <c r="DP204" s="208"/>
      <c r="DQ204" s="208"/>
      <c r="DR204" s="208"/>
      <c r="DS204" s="208"/>
      <c r="DT204" s="208"/>
      <c r="DU204" s="208"/>
      <c r="DV204" s="208"/>
      <c r="DW204" s="208"/>
      <c r="DX204" s="208"/>
      <c r="DY204" s="208"/>
      <c r="DZ204" s="208"/>
      <c r="EA204" s="208"/>
      <c r="EB204" s="208"/>
      <c r="EC204" s="208"/>
      <c r="ED204" s="208"/>
      <c r="EE204" s="208"/>
      <c r="EF204" s="208"/>
      <c r="EG204" s="208"/>
      <c r="EH204" s="208"/>
      <c r="EI204" s="208"/>
      <c r="EJ204" s="208"/>
      <c r="EK204" s="208"/>
      <c r="EL204" s="208"/>
      <c r="EM204" s="208"/>
      <c r="EN204" s="208"/>
      <c r="EO204" s="208"/>
      <c r="EP204" s="208"/>
      <c r="EQ204" s="208"/>
      <c r="ER204" s="208"/>
      <c r="ES204" s="208"/>
      <c r="ET204" s="208"/>
      <c r="EU204" s="208"/>
      <c r="EV204" s="208"/>
      <c r="EW204" s="208"/>
      <c r="EX204" s="208"/>
      <c r="EY204" s="208"/>
      <c r="EZ204" s="208"/>
      <c r="FA204" s="208"/>
      <c r="FB204" s="208"/>
      <c r="FC204" s="208"/>
      <c r="FD204" s="208"/>
      <c r="FE204" s="208"/>
      <c r="FF204" s="208"/>
      <c r="FG204" s="208"/>
      <c r="FH204" s="208"/>
      <c r="FI204" s="208"/>
      <c r="FJ204" s="208"/>
      <c r="FK204" s="208"/>
      <c r="FL204" s="208"/>
      <c r="FM204" s="208"/>
      <c r="FN204" s="208"/>
      <c r="FO204" s="208"/>
      <c r="FP204" s="208"/>
      <c r="FQ204" s="208"/>
      <c r="FR204" s="208"/>
      <c r="FS204" s="208"/>
      <c r="FT204" s="208"/>
      <c r="FU204" s="208"/>
      <c r="FV204" s="208"/>
      <c r="FW204" s="208"/>
      <c r="FX204" s="208"/>
      <c r="FY204" s="208"/>
      <c r="FZ204" s="208"/>
      <c r="GA204" s="208"/>
      <c r="GB204" s="208"/>
      <c r="GC204" s="208"/>
      <c r="GD204" s="208"/>
      <c r="GE204" s="208"/>
      <c r="GF204" s="208"/>
    </row>
    <row r="205" spans="1:188" s="225" customFormat="1" ht="15" x14ac:dyDescent="0.25">
      <c r="A205" s="189" t="s">
        <v>4978</v>
      </c>
      <c r="B205" s="189"/>
      <c r="C205" s="190" t="s">
        <v>4979</v>
      </c>
      <c r="D205" s="191"/>
      <c r="E205" s="191"/>
      <c r="F205" s="191"/>
      <c r="G205" s="192"/>
      <c r="H205" s="193"/>
      <c r="I205" s="246"/>
      <c r="J205" s="194">
        <f>SUBTOTAL(109,J206:J216)</f>
        <v>2233239.4</v>
      </c>
      <c r="K205" s="191"/>
      <c r="L205" s="191"/>
      <c r="M205" s="191"/>
      <c r="N205" s="191"/>
      <c r="O205" s="194">
        <f>SUBTOTAL(109,O206:O216)</f>
        <v>2659769.48</v>
      </c>
      <c r="Q205" s="208"/>
      <c r="R205" s="208"/>
      <c r="S205"/>
      <c r="T205" s="208"/>
      <c r="U205" s="208"/>
      <c r="V205" s="208"/>
      <c r="W205" s="208"/>
      <c r="X205" s="208"/>
      <c r="Y205" s="208"/>
      <c r="Z205" s="208"/>
      <c r="AA205" s="208"/>
      <c r="AB205" s="208"/>
      <c r="AC205" s="208"/>
      <c r="AD205" s="208"/>
      <c r="AE205" s="208"/>
      <c r="AF205" s="208"/>
      <c r="AG205" s="208"/>
      <c r="AH205" s="208"/>
      <c r="AI205" s="208"/>
      <c r="AJ205" s="208"/>
      <c r="AK205" s="208"/>
      <c r="AL205" s="208"/>
      <c r="AM205" s="208"/>
      <c r="AN205" s="208"/>
      <c r="AO205" s="208"/>
      <c r="AP205" s="208"/>
      <c r="AQ205" s="208"/>
      <c r="AR205" s="208"/>
      <c r="AS205" s="208"/>
      <c r="AT205" s="208"/>
      <c r="AU205" s="208"/>
      <c r="AV205" s="208"/>
      <c r="AW205" s="208"/>
      <c r="AX205" s="208"/>
      <c r="AY205" s="208"/>
      <c r="AZ205" s="208"/>
      <c r="BA205" s="208"/>
      <c r="BB205" s="208"/>
      <c r="BC205" s="208"/>
      <c r="BD205" s="208"/>
      <c r="BE205" s="208"/>
      <c r="BF205" s="208"/>
      <c r="BG205" s="208"/>
      <c r="BH205" s="208"/>
      <c r="BI205" s="208"/>
      <c r="BJ205" s="208"/>
      <c r="BK205" s="208"/>
      <c r="BL205" s="208"/>
      <c r="BM205" s="208"/>
      <c r="BN205" s="208"/>
      <c r="BO205" s="208"/>
      <c r="BP205" s="208"/>
      <c r="BQ205" s="208"/>
      <c r="BR205" s="208"/>
      <c r="BS205" s="208"/>
      <c r="BT205" s="208"/>
      <c r="BU205" s="208"/>
      <c r="BV205" s="208"/>
      <c r="BW205" s="208"/>
      <c r="BX205" s="208"/>
      <c r="BY205" s="208"/>
      <c r="BZ205" s="208"/>
      <c r="CA205" s="208"/>
      <c r="CB205" s="208"/>
      <c r="CC205" s="208"/>
      <c r="CD205" s="208"/>
      <c r="CE205" s="208"/>
      <c r="CF205" s="208"/>
      <c r="CG205" s="208"/>
      <c r="CH205" s="208"/>
      <c r="CI205" s="208"/>
      <c r="CJ205" s="208"/>
      <c r="CK205" s="208"/>
      <c r="CL205" s="208"/>
      <c r="CM205" s="208"/>
      <c r="CN205" s="208"/>
      <c r="CO205" s="208"/>
      <c r="CP205" s="208"/>
      <c r="CQ205" s="208"/>
      <c r="CR205" s="208"/>
      <c r="CS205" s="208"/>
      <c r="CT205" s="208"/>
      <c r="CU205" s="208"/>
      <c r="CV205" s="208"/>
      <c r="CW205" s="208"/>
      <c r="CX205" s="208"/>
      <c r="CY205" s="208"/>
      <c r="CZ205" s="208"/>
      <c r="DA205" s="208"/>
      <c r="DB205" s="208"/>
      <c r="DC205" s="208"/>
      <c r="DD205" s="208"/>
      <c r="DE205" s="208"/>
      <c r="DF205" s="208"/>
      <c r="DG205" s="208"/>
      <c r="DH205" s="208"/>
      <c r="DI205" s="208"/>
      <c r="DJ205" s="208"/>
      <c r="DK205" s="208"/>
      <c r="DL205" s="208"/>
      <c r="DM205" s="208"/>
      <c r="DN205" s="208"/>
      <c r="DO205" s="208"/>
      <c r="DP205" s="208"/>
      <c r="DQ205" s="208"/>
      <c r="DR205" s="208"/>
      <c r="DS205" s="208"/>
      <c r="DT205" s="208"/>
      <c r="DU205" s="208"/>
      <c r="DV205" s="208"/>
      <c r="DW205" s="208"/>
      <c r="DX205" s="208"/>
      <c r="DY205" s="208"/>
      <c r="DZ205" s="208"/>
      <c r="EA205" s="208"/>
      <c r="EB205" s="208"/>
      <c r="EC205" s="208"/>
      <c r="ED205" s="208"/>
      <c r="EE205" s="208"/>
      <c r="EF205" s="208"/>
      <c r="EG205" s="208"/>
      <c r="EH205" s="208"/>
      <c r="EI205" s="208"/>
      <c r="EJ205" s="208"/>
      <c r="EK205" s="208"/>
      <c r="EL205" s="208"/>
      <c r="EM205" s="208"/>
      <c r="EN205" s="208"/>
      <c r="EO205" s="208"/>
      <c r="EP205" s="208"/>
      <c r="EQ205" s="208"/>
      <c r="ER205" s="208"/>
      <c r="ES205" s="208"/>
      <c r="ET205" s="208"/>
      <c r="EU205" s="208"/>
      <c r="EV205" s="208"/>
      <c r="EW205" s="208"/>
      <c r="EX205" s="208"/>
      <c r="EY205" s="208"/>
      <c r="EZ205" s="208"/>
      <c r="FA205" s="208"/>
      <c r="FB205" s="208"/>
      <c r="FC205" s="208"/>
      <c r="FD205" s="208"/>
      <c r="FE205" s="208"/>
      <c r="FF205" s="208"/>
      <c r="FG205" s="208"/>
      <c r="FH205" s="208"/>
      <c r="FI205" s="208"/>
      <c r="FJ205" s="208"/>
      <c r="FK205" s="208"/>
      <c r="FL205" s="208"/>
      <c r="FM205" s="208"/>
      <c r="FN205" s="208"/>
      <c r="FO205" s="208"/>
      <c r="FP205" s="208"/>
      <c r="FQ205" s="208"/>
      <c r="FR205" s="208"/>
      <c r="FS205" s="208"/>
      <c r="FT205" s="208"/>
      <c r="FU205" s="208"/>
      <c r="FV205" s="208"/>
      <c r="FW205" s="208"/>
      <c r="FX205" s="208"/>
      <c r="FY205" s="208"/>
      <c r="FZ205" s="208"/>
      <c r="GA205" s="208"/>
      <c r="GB205" s="208"/>
      <c r="GC205" s="208"/>
      <c r="GD205" s="208"/>
      <c r="GE205" s="208"/>
      <c r="GF205" s="208"/>
    </row>
    <row r="206" spans="1:188" s="209" customFormat="1" ht="15" x14ac:dyDescent="0.25">
      <c r="A206" s="195" t="s">
        <v>4980</v>
      </c>
      <c r="B206" s="195" t="s">
        <v>103</v>
      </c>
      <c r="C206" s="196" t="s">
        <v>2130</v>
      </c>
      <c r="D206" s="154" t="s">
        <v>78</v>
      </c>
      <c r="E206" s="154">
        <v>10320</v>
      </c>
      <c r="F206" s="154">
        <v>0.1</v>
      </c>
      <c r="G206" s="197"/>
      <c r="H206" s="198"/>
      <c r="I206" s="151">
        <f>IFERROR(INDEX(Composições!$A$5:$J$8391,MATCH(B206,Composições!$A$5:$A$8391,0)+2,8),"")</f>
        <v>29.395773999999999</v>
      </c>
      <c r="J206" s="152">
        <f t="shared" ref="J206:J216" si="36">IF(ISNUMBER(I206),ROUND(F206*E206*I206,2),"")</f>
        <v>30336.44</v>
      </c>
      <c r="K206" s="198">
        <f>BDI!$B$17</f>
        <v>0.191</v>
      </c>
      <c r="L206" s="198"/>
      <c r="M206" s="198"/>
      <c r="N206" s="153">
        <f t="shared" ref="N206:N216" si="37">IF(ISNUMBER(I206),ROUND(I206*(1+K206),2),"")</f>
        <v>35.01</v>
      </c>
      <c r="O206" s="152">
        <f t="shared" ref="O206:O216" si="38">IF(ISNUMBER(I206),ROUND(F206*N206*E206,2),"")</f>
        <v>36130.32</v>
      </c>
      <c r="P206" s="225"/>
      <c r="Q206" s="208"/>
      <c r="R206" s="208"/>
      <c r="S206"/>
      <c r="T206" s="208"/>
      <c r="U206" s="208"/>
      <c r="V206" s="208"/>
      <c r="W206" s="208"/>
      <c r="X206" s="208"/>
      <c r="Y206" s="208"/>
      <c r="Z206" s="208"/>
      <c r="AA206" s="208"/>
      <c r="AB206" s="208"/>
      <c r="AC206" s="208"/>
      <c r="AD206" s="208"/>
      <c r="AE206" s="208"/>
      <c r="AF206" s="208"/>
      <c r="AG206" s="208"/>
      <c r="AH206" s="208"/>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c r="BI206" s="208"/>
      <c r="BJ206" s="208"/>
      <c r="BK206" s="208"/>
      <c r="BL206" s="208"/>
      <c r="BM206" s="208"/>
      <c r="BN206" s="208"/>
      <c r="BO206" s="208"/>
      <c r="BP206" s="208"/>
      <c r="BQ206" s="208"/>
      <c r="BR206" s="208"/>
      <c r="BS206" s="208"/>
      <c r="BT206" s="208"/>
      <c r="BU206" s="208"/>
      <c r="BV206" s="208"/>
      <c r="BW206" s="208"/>
      <c r="BX206" s="208"/>
      <c r="BY206" s="208"/>
      <c r="BZ206" s="208"/>
      <c r="CA206" s="208"/>
      <c r="CB206" s="208"/>
      <c r="CC206" s="208"/>
      <c r="CD206" s="208"/>
      <c r="CE206" s="208"/>
      <c r="CF206" s="208"/>
      <c r="CG206" s="208"/>
      <c r="CH206" s="208"/>
      <c r="CI206" s="208"/>
      <c r="CJ206" s="208"/>
      <c r="CK206" s="208"/>
      <c r="CL206" s="208"/>
      <c r="CM206" s="208"/>
      <c r="CN206" s="208"/>
      <c r="CO206" s="208"/>
      <c r="CP206" s="208"/>
      <c r="CQ206" s="208"/>
      <c r="CR206" s="208"/>
      <c r="CS206" s="208"/>
      <c r="CT206" s="208"/>
      <c r="CU206" s="208"/>
      <c r="CV206" s="208"/>
      <c r="CW206" s="208"/>
      <c r="CX206" s="208"/>
      <c r="CY206" s="208"/>
      <c r="CZ206" s="208"/>
      <c r="DA206" s="208"/>
      <c r="DB206" s="208"/>
      <c r="DC206" s="208"/>
      <c r="DD206" s="208"/>
      <c r="DE206" s="208"/>
      <c r="DF206" s="208"/>
      <c r="DG206" s="208"/>
      <c r="DH206" s="208"/>
      <c r="DI206" s="208"/>
      <c r="DJ206" s="208"/>
      <c r="DK206" s="208"/>
      <c r="DL206" s="208"/>
      <c r="DM206" s="208"/>
      <c r="DN206" s="208"/>
      <c r="DO206" s="208"/>
      <c r="DP206" s="208"/>
      <c r="DQ206" s="208"/>
      <c r="DR206" s="208"/>
      <c r="DS206" s="208"/>
      <c r="DT206" s="208"/>
      <c r="DU206" s="208"/>
      <c r="DV206" s="208"/>
      <c r="DW206" s="208"/>
      <c r="DX206" s="208"/>
      <c r="DY206" s="208"/>
      <c r="DZ206" s="208"/>
      <c r="EA206" s="208"/>
      <c r="EB206" s="208"/>
      <c r="EC206" s="208"/>
      <c r="ED206" s="208"/>
      <c r="EE206" s="208"/>
      <c r="EF206" s="208"/>
      <c r="EG206" s="208"/>
      <c r="EH206" s="208"/>
      <c r="EI206" s="208"/>
      <c r="EJ206" s="208"/>
      <c r="EK206" s="208"/>
      <c r="EL206" s="208"/>
      <c r="EM206" s="208"/>
      <c r="EN206" s="208"/>
      <c r="EO206" s="208"/>
      <c r="EP206" s="208"/>
      <c r="EQ206" s="208"/>
      <c r="ER206" s="208"/>
      <c r="ES206" s="208"/>
      <c r="ET206" s="208"/>
      <c r="EU206" s="208"/>
      <c r="EV206" s="208"/>
      <c r="EW206" s="208"/>
      <c r="EX206" s="208"/>
      <c r="EY206" s="208"/>
      <c r="EZ206" s="208"/>
      <c r="FA206" s="208"/>
      <c r="FB206" s="208"/>
      <c r="FC206" s="208"/>
      <c r="FD206" s="208"/>
      <c r="FE206" s="208"/>
      <c r="FF206" s="208"/>
      <c r="FG206" s="208"/>
      <c r="FH206" s="208"/>
      <c r="FI206" s="208"/>
      <c r="FJ206" s="208"/>
      <c r="FK206" s="208"/>
      <c r="FL206" s="208"/>
      <c r="FM206" s="208"/>
      <c r="FN206" s="208"/>
      <c r="FO206" s="208"/>
      <c r="FP206" s="208"/>
      <c r="FQ206" s="208"/>
      <c r="FR206" s="208"/>
      <c r="FS206" s="208"/>
      <c r="FT206" s="208"/>
      <c r="FU206" s="208"/>
      <c r="FV206" s="208"/>
      <c r="FW206" s="208"/>
      <c r="FX206" s="208"/>
      <c r="FY206" s="208"/>
      <c r="FZ206" s="208"/>
      <c r="GA206" s="208"/>
      <c r="GB206" s="208"/>
      <c r="GC206" s="208"/>
      <c r="GD206" s="208"/>
      <c r="GE206" s="208"/>
      <c r="GF206" s="208"/>
    </row>
    <row r="207" spans="1:188" s="209" customFormat="1" ht="15" x14ac:dyDescent="0.25">
      <c r="A207" s="195" t="s">
        <v>4981</v>
      </c>
      <c r="B207" s="195" t="s">
        <v>866</v>
      </c>
      <c r="C207" s="196" t="s">
        <v>2738</v>
      </c>
      <c r="D207" s="154" t="s">
        <v>78</v>
      </c>
      <c r="E207" s="154">
        <v>7000</v>
      </c>
      <c r="F207" s="154">
        <v>0.1</v>
      </c>
      <c r="G207" s="197"/>
      <c r="H207" s="198"/>
      <c r="I207" s="151">
        <f>IFERROR(INDEX(Composições!$A$5:$J$8391,MATCH(B207,Composições!$A$5:$A$8391,0)+2,8),"")</f>
        <v>52.381194999999998</v>
      </c>
      <c r="J207" s="152">
        <f t="shared" si="36"/>
        <v>36666.839999999997</v>
      </c>
      <c r="K207" s="198">
        <f>BDI!$B$17</f>
        <v>0.191</v>
      </c>
      <c r="L207" s="198"/>
      <c r="M207" s="198"/>
      <c r="N207" s="153">
        <f t="shared" si="37"/>
        <v>62.39</v>
      </c>
      <c r="O207" s="152">
        <f t="shared" si="38"/>
        <v>43673</v>
      </c>
      <c r="P207" s="225"/>
      <c r="Q207" s="208"/>
      <c r="R207" s="208"/>
      <c r="S207"/>
      <c r="T207" s="208"/>
      <c r="U207" s="208"/>
      <c r="V207" s="208"/>
      <c r="W207" s="208"/>
      <c r="X207" s="208"/>
      <c r="Y207" s="208"/>
      <c r="Z207" s="208"/>
      <c r="AA207" s="208"/>
      <c r="AB207" s="208"/>
      <c r="AC207" s="208"/>
      <c r="AD207" s="208"/>
      <c r="AE207" s="208"/>
      <c r="AF207" s="208"/>
      <c r="AG207" s="208"/>
      <c r="AH207" s="208"/>
      <c r="AI207" s="208"/>
      <c r="AJ207" s="208"/>
      <c r="AK207" s="208"/>
      <c r="AL207" s="208"/>
      <c r="AM207" s="208"/>
      <c r="AN207" s="208"/>
      <c r="AO207" s="208"/>
      <c r="AP207" s="208"/>
      <c r="AQ207" s="208"/>
      <c r="AR207" s="208"/>
      <c r="AS207" s="208"/>
      <c r="AT207" s="208"/>
      <c r="AU207" s="208"/>
      <c r="AV207" s="208"/>
      <c r="AW207" s="208"/>
      <c r="AX207" s="208"/>
      <c r="AY207" s="208"/>
      <c r="AZ207" s="208"/>
      <c r="BA207" s="208"/>
      <c r="BB207" s="208"/>
      <c r="BC207" s="208"/>
      <c r="BD207" s="208"/>
      <c r="BE207" s="208"/>
      <c r="BF207" s="208"/>
      <c r="BG207" s="208"/>
      <c r="BH207" s="208"/>
      <c r="BI207" s="208"/>
      <c r="BJ207" s="208"/>
      <c r="BK207" s="208"/>
      <c r="BL207" s="208"/>
      <c r="BM207" s="208"/>
      <c r="BN207" s="208"/>
      <c r="BO207" s="208"/>
      <c r="BP207" s="208"/>
      <c r="BQ207" s="208"/>
      <c r="BR207" s="208"/>
      <c r="BS207" s="208"/>
      <c r="BT207" s="208"/>
      <c r="BU207" s="208"/>
      <c r="BV207" s="208"/>
      <c r="BW207" s="208"/>
      <c r="BX207" s="208"/>
      <c r="BY207" s="208"/>
      <c r="BZ207" s="208"/>
      <c r="CA207" s="208"/>
      <c r="CB207" s="208"/>
      <c r="CC207" s="208"/>
      <c r="CD207" s="208"/>
      <c r="CE207" s="208"/>
      <c r="CF207" s="208"/>
      <c r="CG207" s="208"/>
      <c r="CH207" s="208"/>
      <c r="CI207" s="208"/>
      <c r="CJ207" s="208"/>
      <c r="CK207" s="208"/>
      <c r="CL207" s="208"/>
      <c r="CM207" s="208"/>
      <c r="CN207" s="208"/>
      <c r="CO207" s="208"/>
      <c r="CP207" s="208"/>
      <c r="CQ207" s="208"/>
      <c r="CR207" s="208"/>
      <c r="CS207" s="208"/>
      <c r="CT207" s="208"/>
      <c r="CU207" s="208"/>
      <c r="CV207" s="208"/>
      <c r="CW207" s="208"/>
      <c r="CX207" s="208"/>
      <c r="CY207" s="208"/>
      <c r="CZ207" s="208"/>
      <c r="DA207" s="208"/>
      <c r="DB207" s="208"/>
      <c r="DC207" s="208"/>
      <c r="DD207" s="208"/>
      <c r="DE207" s="208"/>
      <c r="DF207" s="208"/>
      <c r="DG207" s="208"/>
      <c r="DH207" s="208"/>
      <c r="DI207" s="208"/>
      <c r="DJ207" s="208"/>
      <c r="DK207" s="208"/>
      <c r="DL207" s="208"/>
      <c r="DM207" s="208"/>
      <c r="DN207" s="208"/>
      <c r="DO207" s="208"/>
      <c r="DP207" s="208"/>
      <c r="DQ207" s="208"/>
      <c r="DR207" s="208"/>
      <c r="DS207" s="208"/>
      <c r="DT207" s="208"/>
      <c r="DU207" s="208"/>
      <c r="DV207" s="208"/>
      <c r="DW207" s="208"/>
      <c r="DX207" s="208"/>
      <c r="DY207" s="208"/>
      <c r="DZ207" s="208"/>
      <c r="EA207" s="208"/>
      <c r="EB207" s="208"/>
      <c r="EC207" s="208"/>
      <c r="ED207" s="208"/>
      <c r="EE207" s="208"/>
      <c r="EF207" s="208"/>
      <c r="EG207" s="208"/>
      <c r="EH207" s="208"/>
      <c r="EI207" s="208"/>
      <c r="EJ207" s="208"/>
      <c r="EK207" s="208"/>
      <c r="EL207" s="208"/>
      <c r="EM207" s="208"/>
      <c r="EN207" s="208"/>
      <c r="EO207" s="208"/>
      <c r="EP207" s="208"/>
      <c r="EQ207" s="208"/>
      <c r="ER207" s="208"/>
      <c r="ES207" s="208"/>
      <c r="ET207" s="208"/>
      <c r="EU207" s="208"/>
      <c r="EV207" s="208"/>
      <c r="EW207" s="208"/>
      <c r="EX207" s="208"/>
      <c r="EY207" s="208"/>
      <c r="EZ207" s="208"/>
      <c r="FA207" s="208"/>
      <c r="FB207" s="208"/>
      <c r="FC207" s="208"/>
      <c r="FD207" s="208"/>
      <c r="FE207" s="208"/>
      <c r="FF207" s="208"/>
      <c r="FG207" s="208"/>
      <c r="FH207" s="208"/>
      <c r="FI207" s="208"/>
      <c r="FJ207" s="208"/>
      <c r="FK207" s="208"/>
      <c r="FL207" s="208"/>
      <c r="FM207" s="208"/>
      <c r="FN207" s="208"/>
      <c r="FO207" s="208"/>
      <c r="FP207" s="208"/>
      <c r="FQ207" s="208"/>
      <c r="FR207" s="208"/>
      <c r="FS207" s="208"/>
      <c r="FT207" s="208"/>
      <c r="FU207" s="208"/>
      <c r="FV207" s="208"/>
      <c r="FW207" s="208"/>
      <c r="FX207" s="208"/>
      <c r="FY207" s="208"/>
      <c r="FZ207" s="208"/>
      <c r="GA207" s="208"/>
      <c r="GB207" s="208"/>
      <c r="GC207" s="208"/>
      <c r="GD207" s="208"/>
      <c r="GE207" s="208"/>
      <c r="GF207" s="208"/>
    </row>
    <row r="208" spans="1:188" s="209" customFormat="1" ht="15" x14ac:dyDescent="0.25">
      <c r="A208" s="195" t="s">
        <v>4982</v>
      </c>
      <c r="B208" s="195" t="s">
        <v>1123</v>
      </c>
      <c r="C208" s="196" t="s">
        <v>2923</v>
      </c>
      <c r="D208" s="154" t="s">
        <v>78</v>
      </c>
      <c r="E208" s="154">
        <v>7000</v>
      </c>
      <c r="F208" s="154">
        <v>0.1</v>
      </c>
      <c r="G208" s="197"/>
      <c r="H208" s="198"/>
      <c r="I208" s="151">
        <f>IFERROR(INDEX(Composições!$A$5:$J$8391,MATCH(B208,Composições!$A$5:$A$8391,0)+2,8),"")</f>
        <v>50.659111000000003</v>
      </c>
      <c r="J208" s="152">
        <f t="shared" si="36"/>
        <v>35461.379999999997</v>
      </c>
      <c r="K208" s="198">
        <f>BDI!$B$17</f>
        <v>0.191</v>
      </c>
      <c r="L208" s="198"/>
      <c r="M208" s="198"/>
      <c r="N208" s="153">
        <f t="shared" si="37"/>
        <v>60.34</v>
      </c>
      <c r="O208" s="152">
        <f t="shared" si="38"/>
        <v>42238</v>
      </c>
      <c r="P208" s="225"/>
      <c r="Q208" s="208"/>
      <c r="R208" s="208"/>
      <c r="S208"/>
      <c r="T208" s="208"/>
      <c r="U208" s="208"/>
      <c r="V208" s="208"/>
      <c r="W208" s="208"/>
      <c r="X208" s="208"/>
      <c r="Y208" s="208"/>
      <c r="Z208" s="208"/>
      <c r="AA208" s="208"/>
      <c r="AB208" s="208"/>
      <c r="AC208" s="208"/>
      <c r="AD208" s="208"/>
      <c r="AE208" s="208"/>
      <c r="AF208" s="208"/>
      <c r="AG208" s="208"/>
      <c r="AH208" s="208"/>
      <c r="AI208" s="208"/>
      <c r="AJ208" s="208"/>
      <c r="AK208" s="208"/>
      <c r="AL208" s="208"/>
      <c r="AM208" s="208"/>
      <c r="AN208" s="208"/>
      <c r="AO208" s="208"/>
      <c r="AP208" s="208"/>
      <c r="AQ208" s="208"/>
      <c r="AR208" s="208"/>
      <c r="AS208" s="208"/>
      <c r="AT208" s="208"/>
      <c r="AU208" s="208"/>
      <c r="AV208" s="208"/>
      <c r="AW208" s="208"/>
      <c r="AX208" s="208"/>
      <c r="AY208" s="208"/>
      <c r="AZ208" s="208"/>
      <c r="BA208" s="208"/>
      <c r="BB208" s="208"/>
      <c r="BC208" s="208"/>
      <c r="BD208" s="208"/>
      <c r="BE208" s="208"/>
      <c r="BF208" s="208"/>
      <c r="BG208" s="208"/>
      <c r="BH208" s="208"/>
      <c r="BI208" s="208"/>
      <c r="BJ208" s="208"/>
      <c r="BK208" s="208"/>
      <c r="BL208" s="208"/>
      <c r="BM208" s="208"/>
      <c r="BN208" s="208"/>
      <c r="BO208" s="208"/>
      <c r="BP208" s="208"/>
      <c r="BQ208" s="208"/>
      <c r="BR208" s="208"/>
      <c r="BS208" s="208"/>
      <c r="BT208" s="208"/>
      <c r="BU208" s="208"/>
      <c r="BV208" s="208"/>
      <c r="BW208" s="208"/>
      <c r="BX208" s="208"/>
      <c r="BY208" s="208"/>
      <c r="BZ208" s="208"/>
      <c r="CA208" s="208"/>
      <c r="CB208" s="208"/>
      <c r="CC208" s="208"/>
      <c r="CD208" s="208"/>
      <c r="CE208" s="208"/>
      <c r="CF208" s="208"/>
      <c r="CG208" s="208"/>
      <c r="CH208" s="208"/>
      <c r="CI208" s="208"/>
      <c r="CJ208" s="208"/>
      <c r="CK208" s="208"/>
      <c r="CL208" s="208"/>
      <c r="CM208" s="208"/>
      <c r="CN208" s="208"/>
      <c r="CO208" s="208"/>
      <c r="CP208" s="208"/>
      <c r="CQ208" s="208"/>
      <c r="CR208" s="208"/>
      <c r="CS208" s="208"/>
      <c r="CT208" s="208"/>
      <c r="CU208" s="208"/>
      <c r="CV208" s="208"/>
      <c r="CW208" s="208"/>
      <c r="CX208" s="208"/>
      <c r="CY208" s="208"/>
      <c r="CZ208" s="208"/>
      <c r="DA208" s="208"/>
      <c r="DB208" s="208"/>
      <c r="DC208" s="208"/>
      <c r="DD208" s="208"/>
      <c r="DE208" s="208"/>
      <c r="DF208" s="208"/>
      <c r="DG208" s="208"/>
      <c r="DH208" s="208"/>
      <c r="DI208" s="208"/>
      <c r="DJ208" s="208"/>
      <c r="DK208" s="208"/>
      <c r="DL208" s="208"/>
      <c r="DM208" s="208"/>
      <c r="DN208" s="208"/>
      <c r="DO208" s="208"/>
      <c r="DP208" s="208"/>
      <c r="DQ208" s="208"/>
      <c r="DR208" s="208"/>
      <c r="DS208" s="208"/>
      <c r="DT208" s="208"/>
      <c r="DU208" s="208"/>
      <c r="DV208" s="208"/>
      <c r="DW208" s="208"/>
      <c r="DX208" s="208"/>
      <c r="DY208" s="208"/>
      <c r="DZ208" s="208"/>
      <c r="EA208" s="208"/>
      <c r="EB208" s="208"/>
      <c r="EC208" s="208"/>
      <c r="ED208" s="208"/>
      <c r="EE208" s="208"/>
      <c r="EF208" s="208"/>
      <c r="EG208" s="208"/>
      <c r="EH208" s="208"/>
      <c r="EI208" s="208"/>
      <c r="EJ208" s="208"/>
      <c r="EK208" s="208"/>
      <c r="EL208" s="208"/>
      <c r="EM208" s="208"/>
      <c r="EN208" s="208"/>
      <c r="EO208" s="208"/>
      <c r="EP208" s="208"/>
      <c r="EQ208" s="208"/>
      <c r="ER208" s="208"/>
      <c r="ES208" s="208"/>
      <c r="ET208" s="208"/>
      <c r="EU208" s="208"/>
      <c r="EV208" s="208"/>
      <c r="EW208" s="208"/>
      <c r="EX208" s="208"/>
      <c r="EY208" s="208"/>
      <c r="EZ208" s="208"/>
      <c r="FA208" s="208"/>
      <c r="FB208" s="208"/>
      <c r="FC208" s="208"/>
      <c r="FD208" s="208"/>
      <c r="FE208" s="208"/>
      <c r="FF208" s="208"/>
      <c r="FG208" s="208"/>
      <c r="FH208" s="208"/>
      <c r="FI208" s="208"/>
      <c r="FJ208" s="208"/>
      <c r="FK208" s="208"/>
      <c r="FL208" s="208"/>
      <c r="FM208" s="208"/>
      <c r="FN208" s="208"/>
      <c r="FO208" s="208"/>
      <c r="FP208" s="208"/>
      <c r="FQ208" s="208"/>
      <c r="FR208" s="208"/>
      <c r="FS208" s="208"/>
      <c r="FT208" s="208"/>
      <c r="FU208" s="208"/>
      <c r="FV208" s="208"/>
      <c r="FW208" s="208"/>
      <c r="FX208" s="208"/>
      <c r="FY208" s="208"/>
      <c r="FZ208" s="208"/>
      <c r="GA208" s="208"/>
      <c r="GB208" s="208"/>
      <c r="GC208" s="208"/>
      <c r="GD208" s="208"/>
      <c r="GE208" s="208"/>
      <c r="GF208" s="208"/>
    </row>
    <row r="209" spans="1:188" s="209" customFormat="1" ht="15" x14ac:dyDescent="0.25">
      <c r="A209" s="195" t="s">
        <v>4983</v>
      </c>
      <c r="B209" s="195" t="s">
        <v>1113</v>
      </c>
      <c r="C209" s="196" t="s">
        <v>2919</v>
      </c>
      <c r="D209" s="154" t="s">
        <v>78</v>
      </c>
      <c r="E209" s="154">
        <v>350</v>
      </c>
      <c r="F209" s="154">
        <v>0.1</v>
      </c>
      <c r="G209" s="197"/>
      <c r="H209" s="198"/>
      <c r="I209" s="151">
        <f>IFERROR(INDEX(Composições!$A$5:$J$8391,MATCH(B209,Composições!$A$5:$A$8391,0)+2,8),"")</f>
        <v>152.64201</v>
      </c>
      <c r="J209" s="152">
        <f t="shared" si="36"/>
        <v>5342.47</v>
      </c>
      <c r="K209" s="198">
        <f>BDI!$B$17</f>
        <v>0.191</v>
      </c>
      <c r="L209" s="198"/>
      <c r="M209" s="198"/>
      <c r="N209" s="153">
        <f t="shared" si="37"/>
        <v>181.8</v>
      </c>
      <c r="O209" s="152">
        <f t="shared" si="38"/>
        <v>6363</v>
      </c>
      <c r="P209" s="225"/>
      <c r="Q209" s="208"/>
      <c r="R209" s="208"/>
      <c r="S209"/>
      <c r="T209" s="208"/>
      <c r="U209" s="208"/>
      <c r="V209" s="208"/>
      <c r="W209" s="208"/>
      <c r="X209" s="208"/>
      <c r="Y209" s="208"/>
      <c r="Z209" s="208"/>
      <c r="AA209" s="208"/>
      <c r="AB209" s="208"/>
      <c r="AC209" s="208"/>
      <c r="AD209" s="208"/>
      <c r="AE209" s="208"/>
      <c r="AF209" s="208"/>
      <c r="AG209" s="208"/>
      <c r="AH209" s="208"/>
      <c r="AI209" s="208"/>
      <c r="AJ209" s="208"/>
      <c r="AK209" s="208"/>
      <c r="AL209" s="208"/>
      <c r="AM209" s="208"/>
      <c r="AN209" s="208"/>
      <c r="AO209" s="208"/>
      <c r="AP209" s="208"/>
      <c r="AQ209" s="208"/>
      <c r="AR209" s="208"/>
      <c r="AS209" s="208"/>
      <c r="AT209" s="208"/>
      <c r="AU209" s="208"/>
      <c r="AV209" s="208"/>
      <c r="AW209" s="208"/>
      <c r="AX209" s="208"/>
      <c r="AY209" s="208"/>
      <c r="AZ209" s="208"/>
      <c r="BA209" s="208"/>
      <c r="BB209" s="208"/>
      <c r="BC209" s="208"/>
      <c r="BD209" s="208"/>
      <c r="BE209" s="208"/>
      <c r="BF209" s="208"/>
      <c r="BG209" s="208"/>
      <c r="BH209" s="208"/>
      <c r="BI209" s="208"/>
      <c r="BJ209" s="208"/>
      <c r="BK209" s="208"/>
      <c r="BL209" s="208"/>
      <c r="BM209" s="208"/>
      <c r="BN209" s="208"/>
      <c r="BO209" s="208"/>
      <c r="BP209" s="208"/>
      <c r="BQ209" s="208"/>
      <c r="BR209" s="208"/>
      <c r="BS209" s="208"/>
      <c r="BT209" s="208"/>
      <c r="BU209" s="208"/>
      <c r="BV209" s="208"/>
      <c r="BW209" s="208"/>
      <c r="BX209" s="208"/>
      <c r="BY209" s="208"/>
      <c r="BZ209" s="208"/>
      <c r="CA209" s="208"/>
      <c r="CB209" s="208"/>
      <c r="CC209" s="208"/>
      <c r="CD209" s="208"/>
      <c r="CE209" s="208"/>
      <c r="CF209" s="208"/>
      <c r="CG209" s="208"/>
      <c r="CH209" s="208"/>
      <c r="CI209" s="208"/>
      <c r="CJ209" s="208"/>
      <c r="CK209" s="208"/>
      <c r="CL209" s="208"/>
      <c r="CM209" s="208"/>
      <c r="CN209" s="208"/>
      <c r="CO209" s="208"/>
      <c r="CP209" s="208"/>
      <c r="CQ209" s="208"/>
      <c r="CR209" s="208"/>
      <c r="CS209" s="208"/>
      <c r="CT209" s="208"/>
      <c r="CU209" s="208"/>
      <c r="CV209" s="208"/>
      <c r="CW209" s="208"/>
      <c r="CX209" s="208"/>
      <c r="CY209" s="208"/>
      <c r="CZ209" s="208"/>
      <c r="DA209" s="208"/>
      <c r="DB209" s="208"/>
      <c r="DC209" s="208"/>
      <c r="DD209" s="208"/>
      <c r="DE209" s="208"/>
      <c r="DF209" s="208"/>
      <c r="DG209" s="208"/>
      <c r="DH209" s="208"/>
      <c r="DI209" s="208"/>
      <c r="DJ209" s="208"/>
      <c r="DK209" s="208"/>
      <c r="DL209" s="208"/>
      <c r="DM209" s="208"/>
      <c r="DN209" s="208"/>
      <c r="DO209" s="208"/>
      <c r="DP209" s="208"/>
      <c r="DQ209" s="208"/>
      <c r="DR209" s="208"/>
      <c r="DS209" s="208"/>
      <c r="DT209" s="208"/>
      <c r="DU209" s="208"/>
      <c r="DV209" s="208"/>
      <c r="DW209" s="208"/>
      <c r="DX209" s="208"/>
      <c r="DY209" s="208"/>
      <c r="DZ209" s="208"/>
      <c r="EA209" s="208"/>
      <c r="EB209" s="208"/>
      <c r="EC209" s="208"/>
      <c r="ED209" s="208"/>
      <c r="EE209" s="208"/>
      <c r="EF209" s="208"/>
      <c r="EG209" s="208"/>
      <c r="EH209" s="208"/>
      <c r="EI209" s="208"/>
      <c r="EJ209" s="208"/>
      <c r="EK209" s="208"/>
      <c r="EL209" s="208"/>
      <c r="EM209" s="208"/>
      <c r="EN209" s="208"/>
      <c r="EO209" s="208"/>
      <c r="EP209" s="208"/>
      <c r="EQ209" s="208"/>
      <c r="ER209" s="208"/>
      <c r="ES209" s="208"/>
      <c r="ET209" s="208"/>
      <c r="EU209" s="208"/>
      <c r="EV209" s="208"/>
      <c r="EW209" s="208"/>
      <c r="EX209" s="208"/>
      <c r="EY209" s="208"/>
      <c r="EZ209" s="208"/>
      <c r="FA209" s="208"/>
      <c r="FB209" s="208"/>
      <c r="FC209" s="208"/>
      <c r="FD209" s="208"/>
      <c r="FE209" s="208"/>
      <c r="FF209" s="208"/>
      <c r="FG209" s="208"/>
      <c r="FH209" s="208"/>
      <c r="FI209" s="208"/>
      <c r="FJ209" s="208"/>
      <c r="FK209" s="208"/>
      <c r="FL209" s="208"/>
      <c r="FM209" s="208"/>
      <c r="FN209" s="208"/>
      <c r="FO209" s="208"/>
      <c r="FP209" s="208"/>
      <c r="FQ209" s="208"/>
      <c r="FR209" s="208"/>
      <c r="FS209" s="208"/>
      <c r="FT209" s="208"/>
      <c r="FU209" s="208"/>
      <c r="FV209" s="208"/>
      <c r="FW209" s="208"/>
      <c r="FX209" s="208"/>
      <c r="FY209" s="208"/>
      <c r="FZ209" s="208"/>
      <c r="GA209" s="208"/>
      <c r="GB209" s="208"/>
      <c r="GC209" s="208"/>
      <c r="GD209" s="208"/>
      <c r="GE209" s="208"/>
      <c r="GF209" s="208"/>
    </row>
    <row r="210" spans="1:188" s="209" customFormat="1" ht="15" x14ac:dyDescent="0.25">
      <c r="A210" s="195" t="s">
        <v>4984</v>
      </c>
      <c r="B210" s="195" t="s">
        <v>1114</v>
      </c>
      <c r="C210" s="196" t="s">
        <v>2920</v>
      </c>
      <c r="D210" s="154" t="s">
        <v>78</v>
      </c>
      <c r="E210" s="154">
        <v>87610</v>
      </c>
      <c r="F210" s="154">
        <v>0.1</v>
      </c>
      <c r="G210" s="197"/>
      <c r="H210" s="198"/>
      <c r="I210" s="151">
        <f>IFERROR(INDEX(Composições!$A$5:$J$8391,MATCH(B210,Composições!$A$5:$A$8391,0)+2,8),"")</f>
        <v>117.139731</v>
      </c>
      <c r="J210" s="152">
        <f t="shared" si="36"/>
        <v>1026261.18</v>
      </c>
      <c r="K210" s="198">
        <f>BDI!$B$17</f>
        <v>0.191</v>
      </c>
      <c r="L210" s="198"/>
      <c r="M210" s="198"/>
      <c r="N210" s="153">
        <f t="shared" si="37"/>
        <v>139.51</v>
      </c>
      <c r="O210" s="152">
        <f t="shared" si="38"/>
        <v>1222247.1100000001</v>
      </c>
      <c r="P210" s="225"/>
      <c r="Q210" s="208"/>
      <c r="R210" s="208"/>
      <c r="S210"/>
      <c r="T210" s="208"/>
      <c r="U210" s="208"/>
      <c r="V210" s="208"/>
      <c r="W210" s="208"/>
      <c r="X210" s="208"/>
      <c r="Y210" s="208"/>
      <c r="Z210" s="208"/>
      <c r="AA210" s="208"/>
      <c r="AB210" s="208"/>
      <c r="AC210" s="208"/>
      <c r="AD210" s="208"/>
      <c r="AE210" s="208"/>
      <c r="AF210" s="208"/>
      <c r="AG210" s="208"/>
      <c r="AH210" s="208"/>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c r="BI210" s="208"/>
      <c r="BJ210" s="208"/>
      <c r="BK210" s="208"/>
      <c r="BL210" s="208"/>
      <c r="BM210" s="208"/>
      <c r="BN210" s="208"/>
      <c r="BO210" s="208"/>
      <c r="BP210" s="208"/>
      <c r="BQ210" s="208"/>
      <c r="BR210" s="208"/>
      <c r="BS210" s="208"/>
      <c r="BT210" s="208"/>
      <c r="BU210" s="208"/>
      <c r="BV210" s="208"/>
      <c r="BW210" s="208"/>
      <c r="BX210" s="208"/>
      <c r="BY210" s="208"/>
      <c r="BZ210" s="208"/>
      <c r="CA210" s="208"/>
      <c r="CB210" s="208"/>
      <c r="CC210" s="208"/>
      <c r="CD210" s="208"/>
      <c r="CE210" s="208"/>
      <c r="CF210" s="208"/>
      <c r="CG210" s="208"/>
      <c r="CH210" s="208"/>
      <c r="CI210" s="208"/>
      <c r="CJ210" s="208"/>
      <c r="CK210" s="208"/>
      <c r="CL210" s="208"/>
      <c r="CM210" s="208"/>
      <c r="CN210" s="208"/>
      <c r="CO210" s="208"/>
      <c r="CP210" s="208"/>
      <c r="CQ210" s="208"/>
      <c r="CR210" s="208"/>
      <c r="CS210" s="208"/>
      <c r="CT210" s="208"/>
      <c r="CU210" s="208"/>
      <c r="CV210" s="208"/>
      <c r="CW210" s="208"/>
      <c r="CX210" s="208"/>
      <c r="CY210" s="208"/>
      <c r="CZ210" s="208"/>
      <c r="DA210" s="208"/>
      <c r="DB210" s="208"/>
      <c r="DC210" s="208"/>
      <c r="DD210" s="208"/>
      <c r="DE210" s="208"/>
      <c r="DF210" s="208"/>
      <c r="DG210" s="208"/>
      <c r="DH210" s="208"/>
      <c r="DI210" s="208"/>
      <c r="DJ210" s="208"/>
      <c r="DK210" s="208"/>
      <c r="DL210" s="208"/>
      <c r="DM210" s="208"/>
      <c r="DN210" s="208"/>
      <c r="DO210" s="208"/>
      <c r="DP210" s="208"/>
      <c r="DQ210" s="208"/>
      <c r="DR210" s="208"/>
      <c r="DS210" s="208"/>
      <c r="DT210" s="208"/>
      <c r="DU210" s="208"/>
      <c r="DV210" s="208"/>
      <c r="DW210" s="208"/>
      <c r="DX210" s="208"/>
      <c r="DY210" s="208"/>
      <c r="DZ210" s="208"/>
      <c r="EA210" s="208"/>
      <c r="EB210" s="208"/>
      <c r="EC210" s="208"/>
      <c r="ED210" s="208"/>
      <c r="EE210" s="208"/>
      <c r="EF210" s="208"/>
      <c r="EG210" s="208"/>
      <c r="EH210" s="208"/>
      <c r="EI210" s="208"/>
      <c r="EJ210" s="208"/>
      <c r="EK210" s="208"/>
      <c r="EL210" s="208"/>
      <c r="EM210" s="208"/>
      <c r="EN210" s="208"/>
      <c r="EO210" s="208"/>
      <c r="EP210" s="208"/>
      <c r="EQ210" s="208"/>
      <c r="ER210" s="208"/>
      <c r="ES210" s="208"/>
      <c r="ET210" s="208"/>
      <c r="EU210" s="208"/>
      <c r="EV210" s="208"/>
      <c r="EW210" s="208"/>
      <c r="EX210" s="208"/>
      <c r="EY210" s="208"/>
      <c r="EZ210" s="208"/>
      <c r="FA210" s="208"/>
      <c r="FB210" s="208"/>
      <c r="FC210" s="208"/>
      <c r="FD210" s="208"/>
      <c r="FE210" s="208"/>
      <c r="FF210" s="208"/>
      <c r="FG210" s="208"/>
      <c r="FH210" s="208"/>
      <c r="FI210" s="208"/>
      <c r="FJ210" s="208"/>
      <c r="FK210" s="208"/>
      <c r="FL210" s="208"/>
      <c r="FM210" s="208"/>
      <c r="FN210" s="208"/>
      <c r="FO210" s="208"/>
      <c r="FP210" s="208"/>
      <c r="FQ210" s="208"/>
      <c r="FR210" s="208"/>
      <c r="FS210" s="208"/>
      <c r="FT210" s="208"/>
      <c r="FU210" s="208"/>
      <c r="FV210" s="208"/>
      <c r="FW210" s="208"/>
      <c r="FX210" s="208"/>
      <c r="FY210" s="208"/>
      <c r="FZ210" s="208"/>
      <c r="GA210" s="208"/>
      <c r="GB210" s="208"/>
      <c r="GC210" s="208"/>
      <c r="GD210" s="208"/>
      <c r="GE210" s="208"/>
      <c r="GF210" s="208"/>
    </row>
    <row r="211" spans="1:188" s="209" customFormat="1" ht="15" x14ac:dyDescent="0.25">
      <c r="A211" s="195" t="s">
        <v>4985</v>
      </c>
      <c r="B211" s="195" t="s">
        <v>1115</v>
      </c>
      <c r="C211" s="196" t="s">
        <v>2921</v>
      </c>
      <c r="D211" s="154" t="s">
        <v>78</v>
      </c>
      <c r="E211" s="154">
        <v>12370</v>
      </c>
      <c r="F211" s="154">
        <v>0.1</v>
      </c>
      <c r="G211" s="197"/>
      <c r="H211" s="198"/>
      <c r="I211" s="151">
        <f>IFERROR(INDEX(Composições!$A$5:$J$8391,MATCH(B211,Composições!$A$5:$A$8391,0)+2,8),"")</f>
        <v>96.234981000000005</v>
      </c>
      <c r="J211" s="152">
        <f t="shared" si="36"/>
        <v>119042.67</v>
      </c>
      <c r="K211" s="198">
        <f>BDI!$B$17</f>
        <v>0.191</v>
      </c>
      <c r="L211" s="198"/>
      <c r="M211" s="198"/>
      <c r="N211" s="153">
        <f t="shared" si="37"/>
        <v>114.62</v>
      </c>
      <c r="O211" s="152">
        <f t="shared" si="38"/>
        <v>141784.94</v>
      </c>
      <c r="P211" s="225"/>
      <c r="Q211" s="208"/>
      <c r="R211" s="208"/>
      <c r="S211"/>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c r="BI211" s="208"/>
      <c r="BJ211" s="208"/>
      <c r="BK211" s="208"/>
      <c r="BL211" s="208"/>
      <c r="BM211" s="208"/>
      <c r="BN211" s="208"/>
      <c r="BO211" s="208"/>
      <c r="BP211" s="208"/>
      <c r="BQ211" s="208"/>
      <c r="BR211" s="208"/>
      <c r="BS211" s="208"/>
      <c r="BT211" s="208"/>
      <c r="BU211" s="208"/>
      <c r="BV211" s="208"/>
      <c r="BW211" s="208"/>
      <c r="BX211" s="208"/>
      <c r="BY211" s="208"/>
      <c r="BZ211" s="208"/>
      <c r="CA211" s="208"/>
      <c r="CB211" s="208"/>
      <c r="CC211" s="208"/>
      <c r="CD211" s="208"/>
      <c r="CE211" s="208"/>
      <c r="CF211" s="208"/>
      <c r="CG211" s="208"/>
      <c r="CH211" s="208"/>
      <c r="CI211" s="208"/>
      <c r="CJ211" s="208"/>
      <c r="CK211" s="208"/>
      <c r="CL211" s="208"/>
      <c r="CM211" s="208"/>
      <c r="CN211" s="208"/>
      <c r="CO211" s="208"/>
      <c r="CP211" s="208"/>
      <c r="CQ211" s="208"/>
      <c r="CR211" s="208"/>
      <c r="CS211" s="208"/>
      <c r="CT211" s="208"/>
      <c r="CU211" s="208"/>
      <c r="CV211" s="208"/>
      <c r="CW211" s="208"/>
      <c r="CX211" s="208"/>
      <c r="CY211" s="208"/>
      <c r="CZ211" s="208"/>
      <c r="DA211" s="208"/>
      <c r="DB211" s="208"/>
      <c r="DC211" s="208"/>
      <c r="DD211" s="208"/>
      <c r="DE211" s="208"/>
      <c r="DF211" s="208"/>
      <c r="DG211" s="208"/>
      <c r="DH211" s="208"/>
      <c r="DI211" s="208"/>
      <c r="DJ211" s="208"/>
      <c r="DK211" s="208"/>
      <c r="DL211" s="208"/>
      <c r="DM211" s="208"/>
      <c r="DN211" s="208"/>
      <c r="DO211" s="208"/>
      <c r="DP211" s="208"/>
      <c r="DQ211" s="208"/>
      <c r="DR211" s="208"/>
      <c r="DS211" s="208"/>
      <c r="DT211" s="208"/>
      <c r="DU211" s="208"/>
      <c r="DV211" s="208"/>
      <c r="DW211" s="208"/>
      <c r="DX211" s="208"/>
      <c r="DY211" s="208"/>
      <c r="DZ211" s="208"/>
      <c r="EA211" s="208"/>
      <c r="EB211" s="208"/>
      <c r="EC211" s="208"/>
      <c r="ED211" s="208"/>
      <c r="EE211" s="208"/>
      <c r="EF211" s="208"/>
      <c r="EG211" s="208"/>
      <c r="EH211" s="208"/>
      <c r="EI211" s="208"/>
      <c r="EJ211" s="208"/>
      <c r="EK211" s="208"/>
      <c r="EL211" s="208"/>
      <c r="EM211" s="208"/>
      <c r="EN211" s="208"/>
      <c r="EO211" s="208"/>
      <c r="EP211" s="208"/>
      <c r="EQ211" s="208"/>
      <c r="ER211" s="208"/>
      <c r="ES211" s="208"/>
      <c r="ET211" s="208"/>
      <c r="EU211" s="208"/>
      <c r="EV211" s="208"/>
      <c r="EW211" s="208"/>
      <c r="EX211" s="208"/>
      <c r="EY211" s="208"/>
      <c r="EZ211" s="208"/>
      <c r="FA211" s="208"/>
      <c r="FB211" s="208"/>
      <c r="FC211" s="208"/>
      <c r="FD211" s="208"/>
      <c r="FE211" s="208"/>
      <c r="FF211" s="208"/>
      <c r="FG211" s="208"/>
      <c r="FH211" s="208"/>
      <c r="FI211" s="208"/>
      <c r="FJ211" s="208"/>
      <c r="FK211" s="208"/>
      <c r="FL211" s="208"/>
      <c r="FM211" s="208"/>
      <c r="FN211" s="208"/>
      <c r="FO211" s="208"/>
      <c r="FP211" s="208"/>
      <c r="FQ211" s="208"/>
      <c r="FR211" s="208"/>
      <c r="FS211" s="208"/>
      <c r="FT211" s="208"/>
      <c r="FU211" s="208"/>
      <c r="FV211" s="208"/>
      <c r="FW211" s="208"/>
      <c r="FX211" s="208"/>
      <c r="FY211" s="208"/>
      <c r="FZ211" s="208"/>
      <c r="GA211" s="208"/>
      <c r="GB211" s="208"/>
      <c r="GC211" s="208"/>
      <c r="GD211" s="208"/>
      <c r="GE211" s="208"/>
      <c r="GF211" s="208"/>
    </row>
    <row r="212" spans="1:188" s="209" customFormat="1" ht="15" x14ac:dyDescent="0.25">
      <c r="A212" s="195" t="s">
        <v>4986</v>
      </c>
      <c r="B212" s="195" t="s">
        <v>1117</v>
      </c>
      <c r="C212" s="196" t="s">
        <v>2922</v>
      </c>
      <c r="D212" s="154" t="s">
        <v>78</v>
      </c>
      <c r="E212" s="154">
        <v>2000</v>
      </c>
      <c r="F212" s="154">
        <v>0.1</v>
      </c>
      <c r="G212" s="197"/>
      <c r="H212" s="198"/>
      <c r="I212" s="151">
        <f>IFERROR(INDEX(Composições!$A$5:$J$8391,MATCH(B212,Composições!$A$5:$A$8391,0)+2,8),"")</f>
        <v>197.30455000000001</v>
      </c>
      <c r="J212" s="152">
        <f t="shared" si="36"/>
        <v>39460.910000000003</v>
      </c>
      <c r="K212" s="198">
        <f>BDI!$B$17</f>
        <v>0.191</v>
      </c>
      <c r="L212" s="198"/>
      <c r="M212" s="198"/>
      <c r="N212" s="153">
        <f t="shared" si="37"/>
        <v>234.99</v>
      </c>
      <c r="O212" s="152">
        <f t="shared" si="38"/>
        <v>46998</v>
      </c>
      <c r="P212" s="225"/>
      <c r="Q212" s="208"/>
      <c r="R212" s="208"/>
      <c r="S212"/>
      <c r="T212" s="208"/>
      <c r="U212" s="208"/>
      <c r="V212" s="208"/>
      <c r="W212" s="208"/>
      <c r="X212" s="208"/>
      <c r="Y212" s="208"/>
      <c r="Z212" s="208"/>
      <c r="AA212" s="208"/>
      <c r="AB212" s="208"/>
      <c r="AC212" s="208"/>
      <c r="AD212" s="208"/>
      <c r="AE212" s="208"/>
      <c r="AF212" s="208"/>
      <c r="AG212" s="208"/>
      <c r="AH212" s="208"/>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c r="BI212" s="208"/>
      <c r="BJ212" s="208"/>
      <c r="BK212" s="208"/>
      <c r="BL212" s="208"/>
      <c r="BM212" s="208"/>
      <c r="BN212" s="208"/>
      <c r="BO212" s="208"/>
      <c r="BP212" s="208"/>
      <c r="BQ212" s="208"/>
      <c r="BR212" s="208"/>
      <c r="BS212" s="208"/>
      <c r="BT212" s="208"/>
      <c r="BU212" s="208"/>
      <c r="BV212" s="208"/>
      <c r="BW212" s="208"/>
      <c r="BX212" s="208"/>
      <c r="BY212" s="208"/>
      <c r="BZ212" s="208"/>
      <c r="CA212" s="208"/>
      <c r="CB212" s="208"/>
      <c r="CC212" s="208"/>
      <c r="CD212" s="208"/>
      <c r="CE212" s="208"/>
      <c r="CF212" s="208"/>
      <c r="CG212" s="208"/>
      <c r="CH212" s="208"/>
      <c r="CI212" s="208"/>
      <c r="CJ212" s="208"/>
      <c r="CK212" s="208"/>
      <c r="CL212" s="208"/>
      <c r="CM212" s="208"/>
      <c r="CN212" s="208"/>
      <c r="CO212" s="208"/>
      <c r="CP212" s="208"/>
      <c r="CQ212" s="208"/>
      <c r="CR212" s="208"/>
      <c r="CS212" s="208"/>
      <c r="CT212" s="208"/>
      <c r="CU212" s="208"/>
      <c r="CV212" s="208"/>
      <c r="CW212" s="208"/>
      <c r="CX212" s="208"/>
      <c r="CY212" s="208"/>
      <c r="CZ212" s="208"/>
      <c r="DA212" s="208"/>
      <c r="DB212" s="208"/>
      <c r="DC212" s="208"/>
      <c r="DD212" s="208"/>
      <c r="DE212" s="208"/>
      <c r="DF212" s="208"/>
      <c r="DG212" s="208"/>
      <c r="DH212" s="208"/>
      <c r="DI212" s="208"/>
      <c r="DJ212" s="208"/>
      <c r="DK212" s="208"/>
      <c r="DL212" s="208"/>
      <c r="DM212" s="208"/>
      <c r="DN212" s="208"/>
      <c r="DO212" s="208"/>
      <c r="DP212" s="208"/>
      <c r="DQ212" s="208"/>
      <c r="DR212" s="208"/>
      <c r="DS212" s="208"/>
      <c r="DT212" s="208"/>
      <c r="DU212" s="208"/>
      <c r="DV212" s="208"/>
      <c r="DW212" s="208"/>
      <c r="DX212" s="208"/>
      <c r="DY212" s="208"/>
      <c r="DZ212" s="208"/>
      <c r="EA212" s="208"/>
      <c r="EB212" s="208"/>
      <c r="EC212" s="208"/>
      <c r="ED212" s="208"/>
      <c r="EE212" s="208"/>
      <c r="EF212" s="208"/>
      <c r="EG212" s="208"/>
      <c r="EH212" s="208"/>
      <c r="EI212" s="208"/>
      <c r="EJ212" s="208"/>
      <c r="EK212" s="208"/>
      <c r="EL212" s="208"/>
      <c r="EM212" s="208"/>
      <c r="EN212" s="208"/>
      <c r="EO212" s="208"/>
      <c r="EP212" s="208"/>
      <c r="EQ212" s="208"/>
      <c r="ER212" s="208"/>
      <c r="ES212" s="208"/>
      <c r="ET212" s="208"/>
      <c r="EU212" s="208"/>
      <c r="EV212" s="208"/>
      <c r="EW212" s="208"/>
      <c r="EX212" s="208"/>
      <c r="EY212" s="208"/>
      <c r="EZ212" s="208"/>
      <c r="FA212" s="208"/>
      <c r="FB212" s="208"/>
      <c r="FC212" s="208"/>
      <c r="FD212" s="208"/>
      <c r="FE212" s="208"/>
      <c r="FF212" s="208"/>
      <c r="FG212" s="208"/>
      <c r="FH212" s="208"/>
      <c r="FI212" s="208"/>
      <c r="FJ212" s="208"/>
      <c r="FK212" s="208"/>
      <c r="FL212" s="208"/>
      <c r="FM212" s="208"/>
      <c r="FN212" s="208"/>
      <c r="FO212" s="208"/>
      <c r="FP212" s="208"/>
      <c r="FQ212" s="208"/>
      <c r="FR212" s="208"/>
      <c r="FS212" s="208"/>
      <c r="FT212" s="208"/>
      <c r="FU212" s="208"/>
      <c r="FV212" s="208"/>
      <c r="FW212" s="208"/>
      <c r="FX212" s="208"/>
      <c r="FY212" s="208"/>
      <c r="FZ212" s="208"/>
      <c r="GA212" s="208"/>
      <c r="GB212" s="208"/>
      <c r="GC212" s="208"/>
      <c r="GD212" s="208"/>
      <c r="GE212" s="208"/>
      <c r="GF212" s="208"/>
    </row>
    <row r="213" spans="1:188" s="209" customFormat="1" ht="15" x14ac:dyDescent="0.25">
      <c r="A213" s="195" t="s">
        <v>4987</v>
      </c>
      <c r="B213" s="195" t="s">
        <v>1128</v>
      </c>
      <c r="C213" s="196" t="s">
        <v>2925</v>
      </c>
      <c r="D213" s="154" t="s">
        <v>78</v>
      </c>
      <c r="E213" s="154">
        <v>16950</v>
      </c>
      <c r="F213" s="154">
        <v>0.1</v>
      </c>
      <c r="G213" s="197"/>
      <c r="H213" s="198"/>
      <c r="I213" s="151">
        <f>IFERROR(INDEX(Composições!$A$5:$J$8391,MATCH(B213,Composições!$A$5:$A$8391,0)+2,8),"")</f>
        <v>192.01956700000002</v>
      </c>
      <c r="J213" s="152">
        <f t="shared" si="36"/>
        <v>325473.17</v>
      </c>
      <c r="K213" s="198">
        <f>BDI!$B$17</f>
        <v>0.191</v>
      </c>
      <c r="L213" s="198"/>
      <c r="M213" s="198"/>
      <c r="N213" s="153">
        <f t="shared" si="37"/>
        <v>228.7</v>
      </c>
      <c r="O213" s="152">
        <f t="shared" si="38"/>
        <v>387646.5</v>
      </c>
      <c r="P213" s="225"/>
      <c r="Q213" s="208"/>
      <c r="R213" s="208"/>
      <c r="S213"/>
      <c r="T213" s="208"/>
      <c r="U213" s="208"/>
      <c r="V213" s="208"/>
      <c r="W213" s="208"/>
      <c r="X213" s="208"/>
      <c r="Y213" s="208"/>
      <c r="Z213" s="208"/>
      <c r="AA213" s="208"/>
      <c r="AB213" s="208"/>
      <c r="AC213" s="208"/>
      <c r="AD213" s="208"/>
      <c r="AE213" s="208"/>
      <c r="AF213" s="208"/>
      <c r="AG213" s="208"/>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c r="BI213" s="208"/>
      <c r="BJ213" s="208"/>
      <c r="BK213" s="208"/>
      <c r="BL213" s="208"/>
      <c r="BM213" s="208"/>
      <c r="BN213" s="208"/>
      <c r="BO213" s="208"/>
      <c r="BP213" s="208"/>
      <c r="BQ213" s="208"/>
      <c r="BR213" s="208"/>
      <c r="BS213" s="208"/>
      <c r="BT213" s="208"/>
      <c r="BU213" s="208"/>
      <c r="BV213" s="208"/>
      <c r="BW213" s="208"/>
      <c r="BX213" s="208"/>
      <c r="BY213" s="208"/>
      <c r="BZ213" s="208"/>
      <c r="CA213" s="208"/>
      <c r="CB213" s="208"/>
      <c r="CC213" s="208"/>
      <c r="CD213" s="208"/>
      <c r="CE213" s="208"/>
      <c r="CF213" s="208"/>
      <c r="CG213" s="208"/>
      <c r="CH213" s="208"/>
      <c r="CI213" s="208"/>
      <c r="CJ213" s="208"/>
      <c r="CK213" s="208"/>
      <c r="CL213" s="208"/>
      <c r="CM213" s="208"/>
      <c r="CN213" s="208"/>
      <c r="CO213" s="208"/>
      <c r="CP213" s="208"/>
      <c r="CQ213" s="208"/>
      <c r="CR213" s="208"/>
      <c r="CS213" s="208"/>
      <c r="CT213" s="208"/>
      <c r="CU213" s="208"/>
      <c r="CV213" s="208"/>
      <c r="CW213" s="208"/>
      <c r="CX213" s="208"/>
      <c r="CY213" s="208"/>
      <c r="CZ213" s="208"/>
      <c r="DA213" s="208"/>
      <c r="DB213" s="208"/>
      <c r="DC213" s="208"/>
      <c r="DD213" s="208"/>
      <c r="DE213" s="208"/>
      <c r="DF213" s="208"/>
      <c r="DG213" s="208"/>
      <c r="DH213" s="208"/>
      <c r="DI213" s="208"/>
      <c r="DJ213" s="208"/>
      <c r="DK213" s="208"/>
      <c r="DL213" s="208"/>
      <c r="DM213" s="208"/>
      <c r="DN213" s="208"/>
      <c r="DO213" s="208"/>
      <c r="DP213" s="208"/>
      <c r="DQ213" s="208"/>
      <c r="DR213" s="208"/>
      <c r="DS213" s="208"/>
      <c r="DT213" s="208"/>
      <c r="DU213" s="208"/>
      <c r="DV213" s="208"/>
      <c r="DW213" s="208"/>
      <c r="DX213" s="208"/>
      <c r="DY213" s="208"/>
      <c r="DZ213" s="208"/>
      <c r="EA213" s="208"/>
      <c r="EB213" s="208"/>
      <c r="EC213" s="208"/>
      <c r="ED213" s="208"/>
      <c r="EE213" s="208"/>
      <c r="EF213" s="208"/>
      <c r="EG213" s="208"/>
      <c r="EH213" s="208"/>
      <c r="EI213" s="208"/>
      <c r="EJ213" s="208"/>
      <c r="EK213" s="208"/>
      <c r="EL213" s="208"/>
      <c r="EM213" s="208"/>
      <c r="EN213" s="208"/>
      <c r="EO213" s="208"/>
      <c r="EP213" s="208"/>
      <c r="EQ213" s="208"/>
      <c r="ER213" s="208"/>
      <c r="ES213" s="208"/>
      <c r="ET213" s="208"/>
      <c r="EU213" s="208"/>
      <c r="EV213" s="208"/>
      <c r="EW213" s="208"/>
      <c r="EX213" s="208"/>
      <c r="EY213" s="208"/>
      <c r="EZ213" s="208"/>
      <c r="FA213" s="208"/>
      <c r="FB213" s="208"/>
      <c r="FC213" s="208"/>
      <c r="FD213" s="208"/>
      <c r="FE213" s="208"/>
      <c r="FF213" s="208"/>
      <c r="FG213" s="208"/>
      <c r="FH213" s="208"/>
      <c r="FI213" s="208"/>
      <c r="FJ213" s="208"/>
      <c r="FK213" s="208"/>
      <c r="FL213" s="208"/>
      <c r="FM213" s="208"/>
      <c r="FN213" s="208"/>
      <c r="FO213" s="208"/>
      <c r="FP213" s="208"/>
      <c r="FQ213" s="208"/>
      <c r="FR213" s="208"/>
      <c r="FS213" s="208"/>
      <c r="FT213" s="208"/>
      <c r="FU213" s="208"/>
      <c r="FV213" s="208"/>
      <c r="FW213" s="208"/>
      <c r="FX213" s="208"/>
      <c r="FY213" s="208"/>
      <c r="FZ213" s="208"/>
      <c r="GA213" s="208"/>
      <c r="GB213" s="208"/>
      <c r="GC213" s="208"/>
      <c r="GD213" s="208"/>
      <c r="GE213" s="208"/>
      <c r="GF213" s="208"/>
    </row>
    <row r="214" spans="1:188" s="209" customFormat="1" ht="15" x14ac:dyDescent="0.25">
      <c r="A214" s="195" t="s">
        <v>4988</v>
      </c>
      <c r="B214" s="195" t="s">
        <v>1129</v>
      </c>
      <c r="C214" s="196" t="s">
        <v>2926</v>
      </c>
      <c r="D214" s="154" t="s">
        <v>78</v>
      </c>
      <c r="E214" s="154">
        <v>24790</v>
      </c>
      <c r="F214" s="154">
        <v>0.1</v>
      </c>
      <c r="G214" s="197"/>
      <c r="H214" s="198"/>
      <c r="I214" s="151">
        <f>IFERROR(INDEX(Composições!$A$5:$J$8391,MATCH(B214,Composições!$A$5:$A$8391,0)+2,8),"")</f>
        <v>224.678259</v>
      </c>
      <c r="J214" s="152">
        <f t="shared" si="36"/>
        <v>556977.4</v>
      </c>
      <c r="K214" s="198">
        <f>BDI!$B$17</f>
        <v>0.191</v>
      </c>
      <c r="L214" s="198"/>
      <c r="M214" s="198"/>
      <c r="N214" s="153">
        <f t="shared" si="37"/>
        <v>267.58999999999997</v>
      </c>
      <c r="O214" s="152">
        <f t="shared" si="38"/>
        <v>663355.61</v>
      </c>
      <c r="P214" s="225"/>
      <c r="Q214" s="208"/>
      <c r="R214" s="208"/>
      <c r="S214"/>
      <c r="T214" s="208"/>
      <c r="U214" s="208"/>
      <c r="V214" s="208"/>
      <c r="W214" s="208"/>
      <c r="X214" s="208"/>
      <c r="Y214" s="208"/>
      <c r="Z214" s="208"/>
      <c r="AA214" s="208"/>
      <c r="AB214" s="208"/>
      <c r="AC214" s="208"/>
      <c r="AD214" s="208"/>
      <c r="AE214" s="208"/>
      <c r="AF214" s="208"/>
      <c r="AG214" s="208"/>
      <c r="AH214" s="208"/>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c r="BI214" s="208"/>
      <c r="BJ214" s="208"/>
      <c r="BK214" s="208"/>
      <c r="BL214" s="208"/>
      <c r="BM214" s="208"/>
      <c r="BN214" s="208"/>
      <c r="BO214" s="208"/>
      <c r="BP214" s="208"/>
      <c r="BQ214" s="208"/>
      <c r="BR214" s="208"/>
      <c r="BS214" s="208"/>
      <c r="BT214" s="208"/>
      <c r="BU214" s="208"/>
      <c r="BV214" s="208"/>
      <c r="BW214" s="208"/>
      <c r="BX214" s="208"/>
      <c r="BY214" s="208"/>
      <c r="BZ214" s="208"/>
      <c r="CA214" s="208"/>
      <c r="CB214" s="208"/>
      <c r="CC214" s="208"/>
      <c r="CD214" s="208"/>
      <c r="CE214" s="208"/>
      <c r="CF214" s="208"/>
      <c r="CG214" s="208"/>
      <c r="CH214" s="208"/>
      <c r="CI214" s="208"/>
      <c r="CJ214" s="208"/>
      <c r="CK214" s="208"/>
      <c r="CL214" s="208"/>
      <c r="CM214" s="208"/>
      <c r="CN214" s="208"/>
      <c r="CO214" s="208"/>
      <c r="CP214" s="208"/>
      <c r="CQ214" s="208"/>
      <c r="CR214" s="208"/>
      <c r="CS214" s="208"/>
      <c r="CT214" s="208"/>
      <c r="CU214" s="208"/>
      <c r="CV214" s="208"/>
      <c r="CW214" s="208"/>
      <c r="CX214" s="208"/>
      <c r="CY214" s="208"/>
      <c r="CZ214" s="208"/>
      <c r="DA214" s="208"/>
      <c r="DB214" s="208"/>
      <c r="DC214" s="208"/>
      <c r="DD214" s="208"/>
      <c r="DE214" s="208"/>
      <c r="DF214" s="208"/>
      <c r="DG214" s="208"/>
      <c r="DH214" s="208"/>
      <c r="DI214" s="208"/>
      <c r="DJ214" s="208"/>
      <c r="DK214" s="208"/>
      <c r="DL214" s="208"/>
      <c r="DM214" s="208"/>
      <c r="DN214" s="208"/>
      <c r="DO214" s="208"/>
      <c r="DP214" s="208"/>
      <c r="DQ214" s="208"/>
      <c r="DR214" s="208"/>
      <c r="DS214" s="208"/>
      <c r="DT214" s="208"/>
      <c r="DU214" s="208"/>
      <c r="DV214" s="208"/>
      <c r="DW214" s="208"/>
      <c r="DX214" s="208"/>
      <c r="DY214" s="208"/>
      <c r="DZ214" s="208"/>
      <c r="EA214" s="208"/>
      <c r="EB214" s="208"/>
      <c r="EC214" s="208"/>
      <c r="ED214" s="208"/>
      <c r="EE214" s="208"/>
      <c r="EF214" s="208"/>
      <c r="EG214" s="208"/>
      <c r="EH214" s="208"/>
      <c r="EI214" s="208"/>
      <c r="EJ214" s="208"/>
      <c r="EK214" s="208"/>
      <c r="EL214" s="208"/>
      <c r="EM214" s="208"/>
      <c r="EN214" s="208"/>
      <c r="EO214" s="208"/>
      <c r="EP214" s="208"/>
      <c r="EQ214" s="208"/>
      <c r="ER214" s="208"/>
      <c r="ES214" s="208"/>
      <c r="ET214" s="208"/>
      <c r="EU214" s="208"/>
      <c r="EV214" s="208"/>
      <c r="EW214" s="208"/>
      <c r="EX214" s="208"/>
      <c r="EY214" s="208"/>
      <c r="EZ214" s="208"/>
      <c r="FA214" s="208"/>
      <c r="FB214" s="208"/>
      <c r="FC214" s="208"/>
      <c r="FD214" s="208"/>
      <c r="FE214" s="208"/>
      <c r="FF214" s="208"/>
      <c r="FG214" s="208"/>
      <c r="FH214" s="208"/>
      <c r="FI214" s="208"/>
      <c r="FJ214" s="208"/>
      <c r="FK214" s="208"/>
      <c r="FL214" s="208"/>
      <c r="FM214" s="208"/>
      <c r="FN214" s="208"/>
      <c r="FO214" s="208"/>
      <c r="FP214" s="208"/>
      <c r="FQ214" s="208"/>
      <c r="FR214" s="208"/>
      <c r="FS214" s="208"/>
      <c r="FT214" s="208"/>
      <c r="FU214" s="208"/>
      <c r="FV214" s="208"/>
      <c r="FW214" s="208"/>
      <c r="FX214" s="208"/>
      <c r="FY214" s="208"/>
      <c r="FZ214" s="208"/>
      <c r="GA214" s="208"/>
      <c r="GB214" s="208"/>
      <c r="GC214" s="208"/>
      <c r="GD214" s="208"/>
      <c r="GE214" s="208"/>
      <c r="GF214" s="208"/>
    </row>
    <row r="215" spans="1:188" s="209" customFormat="1" ht="15" x14ac:dyDescent="0.25">
      <c r="A215" s="195" t="s">
        <v>4989</v>
      </c>
      <c r="B215" s="195" t="s">
        <v>1124</v>
      </c>
      <c r="C215" s="196" t="s">
        <v>2924</v>
      </c>
      <c r="D215" s="154" t="s">
        <v>78</v>
      </c>
      <c r="E215" s="154">
        <v>9000</v>
      </c>
      <c r="F215" s="154">
        <v>0.1</v>
      </c>
      <c r="G215" s="197"/>
      <c r="H215" s="198"/>
      <c r="I215" s="151">
        <f>IFERROR(INDEX(Composições!$A$5:$J$8391,MATCH(B215,Composições!$A$5:$A$8391,0)+2,8),"")</f>
        <v>51.3307</v>
      </c>
      <c r="J215" s="152">
        <f t="shared" si="36"/>
        <v>46197.63</v>
      </c>
      <c r="K215" s="198">
        <f>BDI!$B$17</f>
        <v>0.191</v>
      </c>
      <c r="L215" s="198"/>
      <c r="M215" s="198"/>
      <c r="N215" s="153">
        <f t="shared" si="37"/>
        <v>61.13</v>
      </c>
      <c r="O215" s="152">
        <f t="shared" si="38"/>
        <v>55017</v>
      </c>
      <c r="P215" s="225"/>
      <c r="Q215" s="208"/>
      <c r="R215" s="208"/>
      <c r="S215"/>
      <c r="T215" s="208"/>
      <c r="U215" s="208"/>
      <c r="V215" s="208"/>
      <c r="W215" s="208"/>
      <c r="X215" s="208"/>
      <c r="Y215" s="208"/>
      <c r="Z215" s="208"/>
      <c r="AA215" s="208"/>
      <c r="AB215" s="208"/>
      <c r="AC215" s="208"/>
      <c r="AD215" s="208"/>
      <c r="AE215" s="208"/>
      <c r="AF215" s="208"/>
      <c r="AG215" s="208"/>
      <c r="AH215" s="208"/>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c r="BI215" s="208"/>
      <c r="BJ215" s="208"/>
      <c r="BK215" s="208"/>
      <c r="BL215" s="208"/>
      <c r="BM215" s="208"/>
      <c r="BN215" s="208"/>
      <c r="BO215" s="208"/>
      <c r="BP215" s="208"/>
      <c r="BQ215" s="208"/>
      <c r="BR215" s="208"/>
      <c r="BS215" s="208"/>
      <c r="BT215" s="208"/>
      <c r="BU215" s="208"/>
      <c r="BV215" s="208"/>
      <c r="BW215" s="208"/>
      <c r="BX215" s="208"/>
      <c r="BY215" s="208"/>
      <c r="BZ215" s="208"/>
      <c r="CA215" s="208"/>
      <c r="CB215" s="208"/>
      <c r="CC215" s="208"/>
      <c r="CD215" s="208"/>
      <c r="CE215" s="208"/>
      <c r="CF215" s="208"/>
      <c r="CG215" s="208"/>
      <c r="CH215" s="208"/>
      <c r="CI215" s="208"/>
      <c r="CJ215" s="208"/>
      <c r="CK215" s="208"/>
      <c r="CL215" s="208"/>
      <c r="CM215" s="208"/>
      <c r="CN215" s="208"/>
      <c r="CO215" s="208"/>
      <c r="CP215" s="208"/>
      <c r="CQ215" s="208"/>
      <c r="CR215" s="208"/>
      <c r="CS215" s="208"/>
      <c r="CT215" s="208"/>
      <c r="CU215" s="208"/>
      <c r="CV215" s="208"/>
      <c r="CW215" s="208"/>
      <c r="CX215" s="208"/>
      <c r="CY215" s="208"/>
      <c r="CZ215" s="208"/>
      <c r="DA215" s="208"/>
      <c r="DB215" s="208"/>
      <c r="DC215" s="208"/>
      <c r="DD215" s="208"/>
      <c r="DE215" s="208"/>
      <c r="DF215" s="208"/>
      <c r="DG215" s="208"/>
      <c r="DH215" s="208"/>
      <c r="DI215" s="208"/>
      <c r="DJ215" s="208"/>
      <c r="DK215" s="208"/>
      <c r="DL215" s="208"/>
      <c r="DM215" s="208"/>
      <c r="DN215" s="208"/>
      <c r="DO215" s="208"/>
      <c r="DP215" s="208"/>
      <c r="DQ215" s="208"/>
      <c r="DR215" s="208"/>
      <c r="DS215" s="208"/>
      <c r="DT215" s="208"/>
      <c r="DU215" s="208"/>
      <c r="DV215" s="208"/>
      <c r="DW215" s="208"/>
      <c r="DX215" s="208"/>
      <c r="DY215" s="208"/>
      <c r="DZ215" s="208"/>
      <c r="EA215" s="208"/>
      <c r="EB215" s="208"/>
      <c r="EC215" s="208"/>
      <c r="ED215" s="208"/>
      <c r="EE215" s="208"/>
      <c r="EF215" s="208"/>
      <c r="EG215" s="208"/>
      <c r="EH215" s="208"/>
      <c r="EI215" s="208"/>
      <c r="EJ215" s="208"/>
      <c r="EK215" s="208"/>
      <c r="EL215" s="208"/>
      <c r="EM215" s="208"/>
      <c r="EN215" s="208"/>
      <c r="EO215" s="208"/>
      <c r="EP215" s="208"/>
      <c r="EQ215" s="208"/>
      <c r="ER215" s="208"/>
      <c r="ES215" s="208"/>
      <c r="ET215" s="208"/>
      <c r="EU215" s="208"/>
      <c r="EV215" s="208"/>
      <c r="EW215" s="208"/>
      <c r="EX215" s="208"/>
      <c r="EY215" s="208"/>
      <c r="EZ215" s="208"/>
      <c r="FA215" s="208"/>
      <c r="FB215" s="208"/>
      <c r="FC215" s="208"/>
      <c r="FD215" s="208"/>
      <c r="FE215" s="208"/>
      <c r="FF215" s="208"/>
      <c r="FG215" s="208"/>
      <c r="FH215" s="208"/>
      <c r="FI215" s="208"/>
      <c r="FJ215" s="208"/>
      <c r="FK215" s="208"/>
      <c r="FL215" s="208"/>
      <c r="FM215" s="208"/>
      <c r="FN215" s="208"/>
      <c r="FO215" s="208"/>
      <c r="FP215" s="208"/>
      <c r="FQ215" s="208"/>
      <c r="FR215" s="208"/>
      <c r="FS215" s="208"/>
      <c r="FT215" s="208"/>
      <c r="FU215" s="208"/>
      <c r="FV215" s="208"/>
      <c r="FW215" s="208"/>
      <c r="FX215" s="208"/>
      <c r="FY215" s="208"/>
      <c r="FZ215" s="208"/>
      <c r="GA215" s="208"/>
      <c r="GB215" s="208"/>
      <c r="GC215" s="208"/>
      <c r="GD215" s="208"/>
      <c r="GE215" s="208"/>
      <c r="GF215" s="208"/>
    </row>
    <row r="216" spans="1:188" s="209" customFormat="1" ht="15" x14ac:dyDescent="0.25">
      <c r="A216" s="195" t="s">
        <v>4990</v>
      </c>
      <c r="B216" s="195" t="s">
        <v>2015</v>
      </c>
      <c r="C216" s="196" t="s">
        <v>3733</v>
      </c>
      <c r="D216" s="154" t="s">
        <v>78</v>
      </c>
      <c r="E216" s="154">
        <v>2000</v>
      </c>
      <c r="F216" s="154">
        <v>0.1</v>
      </c>
      <c r="G216" s="197"/>
      <c r="H216" s="198"/>
      <c r="I216" s="151">
        <f>IFERROR(INDEX(Composições!$A$5:$J$8391,MATCH(B216,Composições!$A$5:$A$8391,0)+2,8),"")</f>
        <v>60.096573999999997</v>
      </c>
      <c r="J216" s="152">
        <f t="shared" si="36"/>
        <v>12019.31</v>
      </c>
      <c r="K216" s="198">
        <f>BDI!$B$17</f>
        <v>0.191</v>
      </c>
      <c r="L216" s="198"/>
      <c r="M216" s="198"/>
      <c r="N216" s="153">
        <f t="shared" si="37"/>
        <v>71.58</v>
      </c>
      <c r="O216" s="152">
        <f t="shared" si="38"/>
        <v>14316</v>
      </c>
      <c r="P216" s="225"/>
      <c r="Q216" s="208"/>
      <c r="R216" s="208"/>
      <c r="S216"/>
      <c r="T216" s="208"/>
      <c r="U216" s="208"/>
      <c r="V216" s="208"/>
      <c r="W216" s="208"/>
      <c r="X216" s="208"/>
      <c r="Y216" s="208"/>
      <c r="Z216" s="208"/>
      <c r="AA216" s="208"/>
      <c r="AB216" s="208"/>
      <c r="AC216" s="208"/>
      <c r="AD216" s="208"/>
      <c r="AE216" s="208"/>
      <c r="AF216" s="208"/>
      <c r="AG216" s="208"/>
      <c r="AH216" s="208"/>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c r="BI216" s="208"/>
      <c r="BJ216" s="208"/>
      <c r="BK216" s="208"/>
      <c r="BL216" s="208"/>
      <c r="BM216" s="208"/>
      <c r="BN216" s="208"/>
      <c r="BO216" s="208"/>
      <c r="BP216" s="208"/>
      <c r="BQ216" s="208"/>
      <c r="BR216" s="208"/>
      <c r="BS216" s="208"/>
      <c r="BT216" s="208"/>
      <c r="BU216" s="208"/>
      <c r="BV216" s="208"/>
      <c r="BW216" s="208"/>
      <c r="BX216" s="208"/>
      <c r="BY216" s="208"/>
      <c r="BZ216" s="208"/>
      <c r="CA216" s="208"/>
      <c r="CB216" s="208"/>
      <c r="CC216" s="208"/>
      <c r="CD216" s="208"/>
      <c r="CE216" s="208"/>
      <c r="CF216" s="208"/>
      <c r="CG216" s="208"/>
      <c r="CH216" s="208"/>
      <c r="CI216" s="208"/>
      <c r="CJ216" s="208"/>
      <c r="CK216" s="208"/>
      <c r="CL216" s="208"/>
      <c r="CM216" s="208"/>
      <c r="CN216" s="208"/>
      <c r="CO216" s="208"/>
      <c r="CP216" s="208"/>
      <c r="CQ216" s="208"/>
      <c r="CR216" s="208"/>
      <c r="CS216" s="208"/>
      <c r="CT216" s="208"/>
      <c r="CU216" s="208"/>
      <c r="CV216" s="208"/>
      <c r="CW216" s="208"/>
      <c r="CX216" s="208"/>
      <c r="CY216" s="208"/>
      <c r="CZ216" s="208"/>
      <c r="DA216" s="208"/>
      <c r="DB216" s="208"/>
      <c r="DC216" s="208"/>
      <c r="DD216" s="208"/>
      <c r="DE216" s="208"/>
      <c r="DF216" s="208"/>
      <c r="DG216" s="208"/>
      <c r="DH216" s="208"/>
      <c r="DI216" s="208"/>
      <c r="DJ216" s="208"/>
      <c r="DK216" s="208"/>
      <c r="DL216" s="208"/>
      <c r="DM216" s="208"/>
      <c r="DN216" s="208"/>
      <c r="DO216" s="208"/>
      <c r="DP216" s="208"/>
      <c r="DQ216" s="208"/>
      <c r="DR216" s="208"/>
      <c r="DS216" s="208"/>
      <c r="DT216" s="208"/>
      <c r="DU216" s="208"/>
      <c r="DV216" s="208"/>
      <c r="DW216" s="208"/>
      <c r="DX216" s="208"/>
      <c r="DY216" s="208"/>
      <c r="DZ216" s="208"/>
      <c r="EA216" s="208"/>
      <c r="EB216" s="208"/>
      <c r="EC216" s="208"/>
      <c r="ED216" s="208"/>
      <c r="EE216" s="208"/>
      <c r="EF216" s="208"/>
      <c r="EG216" s="208"/>
      <c r="EH216" s="208"/>
      <c r="EI216" s="208"/>
      <c r="EJ216" s="208"/>
      <c r="EK216" s="208"/>
      <c r="EL216" s="208"/>
      <c r="EM216" s="208"/>
      <c r="EN216" s="208"/>
      <c r="EO216" s="208"/>
      <c r="EP216" s="208"/>
      <c r="EQ216" s="208"/>
      <c r="ER216" s="208"/>
      <c r="ES216" s="208"/>
      <c r="ET216" s="208"/>
      <c r="EU216" s="208"/>
      <c r="EV216" s="208"/>
      <c r="EW216" s="208"/>
      <c r="EX216" s="208"/>
      <c r="EY216" s="208"/>
      <c r="EZ216" s="208"/>
      <c r="FA216" s="208"/>
      <c r="FB216" s="208"/>
      <c r="FC216" s="208"/>
      <c r="FD216" s="208"/>
      <c r="FE216" s="208"/>
      <c r="FF216" s="208"/>
      <c r="FG216" s="208"/>
      <c r="FH216" s="208"/>
      <c r="FI216" s="208"/>
      <c r="FJ216" s="208"/>
      <c r="FK216" s="208"/>
      <c r="FL216" s="208"/>
      <c r="FM216" s="208"/>
      <c r="FN216" s="208"/>
      <c r="FO216" s="208"/>
      <c r="FP216" s="208"/>
      <c r="FQ216" s="208"/>
      <c r="FR216" s="208"/>
      <c r="FS216" s="208"/>
      <c r="FT216" s="208"/>
      <c r="FU216" s="208"/>
      <c r="FV216" s="208"/>
      <c r="FW216" s="208"/>
      <c r="FX216" s="208"/>
      <c r="FY216" s="208"/>
      <c r="FZ216" s="208"/>
      <c r="GA216" s="208"/>
      <c r="GB216" s="208"/>
      <c r="GC216" s="208"/>
      <c r="GD216" s="208"/>
      <c r="GE216" s="208"/>
      <c r="GF216" s="208"/>
    </row>
    <row r="217" spans="1:188" s="225" customFormat="1" ht="15" x14ac:dyDescent="0.25">
      <c r="A217" s="189" t="s">
        <v>4991</v>
      </c>
      <c r="B217" s="189"/>
      <c r="C217" s="190" t="s">
        <v>4992</v>
      </c>
      <c r="D217" s="191"/>
      <c r="E217" s="191"/>
      <c r="F217" s="191"/>
      <c r="G217" s="192"/>
      <c r="H217" s="193"/>
      <c r="I217" s="246"/>
      <c r="J217" s="194">
        <f>SUBTOTAL(109,J218:J222)</f>
        <v>462655</v>
      </c>
      <c r="K217" s="191"/>
      <c r="L217" s="191"/>
      <c r="M217" s="191"/>
      <c r="N217" s="191"/>
      <c r="O217" s="194">
        <f>SUBTOTAL(109,O218:O222)</f>
        <v>551019.72</v>
      </c>
      <c r="Q217" s="208"/>
      <c r="R217" s="208"/>
      <c r="S217"/>
      <c r="T217" s="208"/>
      <c r="U217" s="208"/>
      <c r="V217" s="208"/>
      <c r="W217" s="208"/>
      <c r="X217" s="208"/>
      <c r="Y217" s="208"/>
      <c r="Z217" s="208"/>
      <c r="AA217" s="208"/>
      <c r="AB217" s="208"/>
      <c r="AC217" s="208"/>
      <c r="AD217" s="208"/>
      <c r="AE217" s="208"/>
      <c r="AF217" s="208"/>
      <c r="AG217" s="208"/>
      <c r="AH217" s="208"/>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c r="BI217" s="208"/>
      <c r="BJ217" s="208"/>
      <c r="BK217" s="208"/>
      <c r="BL217" s="208"/>
      <c r="BM217" s="208"/>
      <c r="BN217" s="208"/>
      <c r="BO217" s="208"/>
      <c r="BP217" s="208"/>
      <c r="BQ217" s="208"/>
      <c r="BR217" s="208"/>
      <c r="BS217" s="208"/>
      <c r="BT217" s="208"/>
      <c r="BU217" s="208"/>
      <c r="BV217" s="208"/>
      <c r="BW217" s="208"/>
      <c r="BX217" s="208"/>
      <c r="BY217" s="208"/>
      <c r="BZ217" s="208"/>
      <c r="CA217" s="208"/>
      <c r="CB217" s="208"/>
      <c r="CC217" s="208"/>
      <c r="CD217" s="208"/>
      <c r="CE217" s="208"/>
      <c r="CF217" s="208"/>
      <c r="CG217" s="208"/>
      <c r="CH217" s="208"/>
      <c r="CI217" s="208"/>
      <c r="CJ217" s="208"/>
      <c r="CK217" s="208"/>
      <c r="CL217" s="208"/>
      <c r="CM217" s="208"/>
      <c r="CN217" s="208"/>
      <c r="CO217" s="208"/>
      <c r="CP217" s="208"/>
      <c r="CQ217" s="208"/>
      <c r="CR217" s="208"/>
      <c r="CS217" s="208"/>
      <c r="CT217" s="208"/>
      <c r="CU217" s="208"/>
      <c r="CV217" s="208"/>
      <c r="CW217" s="208"/>
      <c r="CX217" s="208"/>
      <c r="CY217" s="208"/>
      <c r="CZ217" s="208"/>
      <c r="DA217" s="208"/>
      <c r="DB217" s="208"/>
      <c r="DC217" s="208"/>
      <c r="DD217" s="208"/>
      <c r="DE217" s="208"/>
      <c r="DF217" s="208"/>
      <c r="DG217" s="208"/>
      <c r="DH217" s="208"/>
      <c r="DI217" s="208"/>
      <c r="DJ217" s="208"/>
      <c r="DK217" s="208"/>
      <c r="DL217" s="208"/>
      <c r="DM217" s="208"/>
      <c r="DN217" s="208"/>
      <c r="DO217" s="208"/>
      <c r="DP217" s="208"/>
      <c r="DQ217" s="208"/>
      <c r="DR217" s="208"/>
      <c r="DS217" s="208"/>
      <c r="DT217" s="208"/>
      <c r="DU217" s="208"/>
      <c r="DV217" s="208"/>
      <c r="DW217" s="208"/>
      <c r="DX217" s="208"/>
      <c r="DY217" s="208"/>
      <c r="DZ217" s="208"/>
      <c r="EA217" s="208"/>
      <c r="EB217" s="208"/>
      <c r="EC217" s="208"/>
      <c r="ED217" s="208"/>
      <c r="EE217" s="208"/>
      <c r="EF217" s="208"/>
      <c r="EG217" s="208"/>
      <c r="EH217" s="208"/>
      <c r="EI217" s="208"/>
      <c r="EJ217" s="208"/>
      <c r="EK217" s="208"/>
      <c r="EL217" s="208"/>
      <c r="EM217" s="208"/>
      <c r="EN217" s="208"/>
      <c r="EO217" s="208"/>
      <c r="EP217" s="208"/>
      <c r="EQ217" s="208"/>
      <c r="ER217" s="208"/>
      <c r="ES217" s="208"/>
      <c r="ET217" s="208"/>
      <c r="EU217" s="208"/>
      <c r="EV217" s="208"/>
      <c r="EW217" s="208"/>
      <c r="EX217" s="208"/>
      <c r="EY217" s="208"/>
      <c r="EZ217" s="208"/>
      <c r="FA217" s="208"/>
      <c r="FB217" s="208"/>
      <c r="FC217" s="208"/>
      <c r="FD217" s="208"/>
      <c r="FE217" s="208"/>
      <c r="FF217" s="208"/>
      <c r="FG217" s="208"/>
      <c r="FH217" s="208"/>
      <c r="FI217" s="208"/>
      <c r="FJ217" s="208"/>
      <c r="FK217" s="208"/>
      <c r="FL217" s="208"/>
      <c r="FM217" s="208"/>
      <c r="FN217" s="208"/>
      <c r="FO217" s="208"/>
      <c r="FP217" s="208"/>
      <c r="FQ217" s="208"/>
      <c r="FR217" s="208"/>
      <c r="FS217" s="208"/>
      <c r="FT217" s="208"/>
      <c r="FU217" s="208"/>
      <c r="FV217" s="208"/>
      <c r="FW217" s="208"/>
      <c r="FX217" s="208"/>
      <c r="FY217" s="208"/>
      <c r="FZ217" s="208"/>
      <c r="GA217" s="208"/>
      <c r="GB217" s="208"/>
      <c r="GC217" s="208"/>
      <c r="GD217" s="208"/>
      <c r="GE217" s="208"/>
      <c r="GF217" s="208"/>
    </row>
    <row r="218" spans="1:188" s="209" customFormat="1" ht="15" x14ac:dyDescent="0.25">
      <c r="A218" s="195" t="s">
        <v>4993</v>
      </c>
      <c r="B218" s="195" t="s">
        <v>59</v>
      </c>
      <c r="C218" s="196" t="s">
        <v>2067</v>
      </c>
      <c r="D218" s="154" t="s">
        <v>78</v>
      </c>
      <c r="E218" s="154">
        <v>6700</v>
      </c>
      <c r="F218" s="154">
        <v>0.1</v>
      </c>
      <c r="G218" s="197"/>
      <c r="H218" s="198"/>
      <c r="I218" s="151">
        <f>IFERROR(INDEX(Composições!$A$5:$J$8391,MATCH(B218,Composições!$A$5:$A$8391,0)+2,8),"")</f>
        <v>10.351199999999999</v>
      </c>
      <c r="J218" s="152">
        <f>IF(ISNUMBER(I218),ROUND(F218*E218*I218,2),"")</f>
        <v>6935.3</v>
      </c>
      <c r="K218" s="198">
        <f>BDI!$B$17</f>
        <v>0.191</v>
      </c>
      <c r="L218" s="198"/>
      <c r="M218" s="198"/>
      <c r="N218" s="153">
        <f>IF(ISNUMBER(I218),ROUND(I218*(1+K218),2),"")</f>
        <v>12.33</v>
      </c>
      <c r="O218" s="152">
        <f>IF(ISNUMBER(I218),ROUND(F218*N218*E218,2),"")</f>
        <v>8261.1</v>
      </c>
      <c r="P218" s="225"/>
      <c r="Q218" s="208"/>
      <c r="R218" s="208"/>
      <c r="S218"/>
      <c r="T218" s="208"/>
      <c r="U218" s="208"/>
      <c r="V218" s="208"/>
      <c r="W218" s="208"/>
      <c r="X218" s="208"/>
      <c r="Y218" s="208"/>
      <c r="Z218" s="208"/>
      <c r="AA218" s="208"/>
      <c r="AB218" s="208"/>
      <c r="AC218" s="208"/>
      <c r="AD218" s="208"/>
      <c r="AE218" s="208"/>
      <c r="AF218" s="208"/>
      <c r="AG218" s="208"/>
      <c r="AH218" s="208"/>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c r="BI218" s="208"/>
      <c r="BJ218" s="208"/>
      <c r="BK218" s="208"/>
      <c r="BL218" s="208"/>
      <c r="BM218" s="208"/>
      <c r="BN218" s="208"/>
      <c r="BO218" s="208"/>
      <c r="BP218" s="208"/>
      <c r="BQ218" s="208"/>
      <c r="BR218" s="208"/>
      <c r="BS218" s="208"/>
      <c r="BT218" s="208"/>
      <c r="BU218" s="208"/>
      <c r="BV218" s="208"/>
      <c r="BW218" s="208"/>
      <c r="BX218" s="208"/>
      <c r="BY218" s="208"/>
      <c r="BZ218" s="208"/>
      <c r="CA218" s="208"/>
      <c r="CB218" s="208"/>
      <c r="CC218" s="208"/>
      <c r="CD218" s="208"/>
      <c r="CE218" s="208"/>
      <c r="CF218" s="208"/>
      <c r="CG218" s="208"/>
      <c r="CH218" s="208"/>
      <c r="CI218" s="208"/>
      <c r="CJ218" s="208"/>
      <c r="CK218" s="208"/>
      <c r="CL218" s="208"/>
      <c r="CM218" s="208"/>
      <c r="CN218" s="208"/>
      <c r="CO218" s="208"/>
      <c r="CP218" s="208"/>
      <c r="CQ218" s="208"/>
      <c r="CR218" s="208"/>
      <c r="CS218" s="208"/>
      <c r="CT218" s="208"/>
      <c r="CU218" s="208"/>
      <c r="CV218" s="208"/>
      <c r="CW218" s="208"/>
      <c r="CX218" s="208"/>
      <c r="CY218" s="208"/>
      <c r="CZ218" s="208"/>
      <c r="DA218" s="208"/>
      <c r="DB218" s="208"/>
      <c r="DC218" s="208"/>
      <c r="DD218" s="208"/>
      <c r="DE218" s="208"/>
      <c r="DF218" s="208"/>
      <c r="DG218" s="208"/>
      <c r="DH218" s="208"/>
      <c r="DI218" s="208"/>
      <c r="DJ218" s="208"/>
      <c r="DK218" s="208"/>
      <c r="DL218" s="208"/>
      <c r="DM218" s="208"/>
      <c r="DN218" s="208"/>
      <c r="DO218" s="208"/>
      <c r="DP218" s="208"/>
      <c r="DQ218" s="208"/>
      <c r="DR218" s="208"/>
      <c r="DS218" s="208"/>
      <c r="DT218" s="208"/>
      <c r="DU218" s="208"/>
      <c r="DV218" s="208"/>
      <c r="DW218" s="208"/>
      <c r="DX218" s="208"/>
      <c r="DY218" s="208"/>
      <c r="DZ218" s="208"/>
      <c r="EA218" s="208"/>
      <c r="EB218" s="208"/>
      <c r="EC218" s="208"/>
      <c r="ED218" s="208"/>
      <c r="EE218" s="208"/>
      <c r="EF218" s="208"/>
      <c r="EG218" s="208"/>
      <c r="EH218" s="208"/>
      <c r="EI218" s="208"/>
      <c r="EJ218" s="208"/>
      <c r="EK218" s="208"/>
      <c r="EL218" s="208"/>
      <c r="EM218" s="208"/>
      <c r="EN218" s="208"/>
      <c r="EO218" s="208"/>
      <c r="EP218" s="208"/>
      <c r="EQ218" s="208"/>
      <c r="ER218" s="208"/>
      <c r="ES218" s="208"/>
      <c r="ET218" s="208"/>
      <c r="EU218" s="208"/>
      <c r="EV218" s="208"/>
      <c r="EW218" s="208"/>
      <c r="EX218" s="208"/>
      <c r="EY218" s="208"/>
      <c r="EZ218" s="208"/>
      <c r="FA218" s="208"/>
      <c r="FB218" s="208"/>
      <c r="FC218" s="208"/>
      <c r="FD218" s="208"/>
      <c r="FE218" s="208"/>
      <c r="FF218" s="208"/>
      <c r="FG218" s="208"/>
      <c r="FH218" s="208"/>
      <c r="FI218" s="208"/>
      <c r="FJ218" s="208"/>
      <c r="FK218" s="208"/>
      <c r="FL218" s="208"/>
      <c r="FM218" s="208"/>
      <c r="FN218" s="208"/>
      <c r="FO218" s="208"/>
      <c r="FP218" s="208"/>
      <c r="FQ218" s="208"/>
      <c r="FR218" s="208"/>
      <c r="FS218" s="208"/>
      <c r="FT218" s="208"/>
      <c r="FU218" s="208"/>
      <c r="FV218" s="208"/>
      <c r="FW218" s="208"/>
      <c r="FX218" s="208"/>
      <c r="FY218" s="208"/>
      <c r="FZ218" s="208"/>
      <c r="GA218" s="208"/>
      <c r="GB218" s="208"/>
      <c r="GC218" s="208"/>
      <c r="GD218" s="208"/>
      <c r="GE218" s="208"/>
      <c r="GF218" s="208"/>
    </row>
    <row r="219" spans="1:188" s="209" customFormat="1" ht="15" x14ac:dyDescent="0.25">
      <c r="A219" s="195" t="s">
        <v>4994</v>
      </c>
      <c r="B219" s="195" t="s">
        <v>807</v>
      </c>
      <c r="C219" s="196" t="s">
        <v>2692</v>
      </c>
      <c r="D219" s="154" t="s">
        <v>2693</v>
      </c>
      <c r="E219" s="154">
        <v>8200</v>
      </c>
      <c r="F219" s="154">
        <v>0.1</v>
      </c>
      <c r="G219" s="197"/>
      <c r="H219" s="198"/>
      <c r="I219" s="151">
        <f>IFERROR(INDEX(Composições!$A$5:$J$8391,MATCH(B219,Composições!$A$5:$A$8391,0)+2,8),"")</f>
        <v>60.799154499999993</v>
      </c>
      <c r="J219" s="152">
        <f>IF(ISNUMBER(I219),ROUND(F219*E219*I219,2),"")</f>
        <v>49855.31</v>
      </c>
      <c r="K219" s="198">
        <f>BDI!$B$17</f>
        <v>0.191</v>
      </c>
      <c r="L219" s="198"/>
      <c r="M219" s="198"/>
      <c r="N219" s="153">
        <f>IF(ISNUMBER(I219),ROUND(I219*(1+K219),2),"")</f>
        <v>72.41</v>
      </c>
      <c r="O219" s="152">
        <f>IF(ISNUMBER(I219),ROUND(F219*N219*E219,2),"")</f>
        <v>59376.2</v>
      </c>
      <c r="P219" s="225"/>
      <c r="Q219" s="208"/>
      <c r="R219" s="208"/>
      <c r="S219"/>
      <c r="T219" s="208"/>
      <c r="U219" s="208"/>
      <c r="V219" s="208"/>
      <c r="W219" s="208"/>
      <c r="X219" s="208"/>
      <c r="Y219" s="208"/>
      <c r="Z219" s="208"/>
      <c r="AA219" s="208"/>
      <c r="AB219" s="208"/>
      <c r="AC219" s="208"/>
      <c r="AD219" s="208"/>
      <c r="AE219" s="208"/>
      <c r="AF219" s="208"/>
      <c r="AG219" s="208"/>
      <c r="AH219" s="208"/>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c r="BI219" s="208"/>
      <c r="BJ219" s="208"/>
      <c r="BK219" s="208"/>
      <c r="BL219" s="208"/>
      <c r="BM219" s="208"/>
      <c r="BN219" s="208"/>
      <c r="BO219" s="208"/>
      <c r="BP219" s="208"/>
      <c r="BQ219" s="208"/>
      <c r="BR219" s="208"/>
      <c r="BS219" s="208"/>
      <c r="BT219" s="208"/>
      <c r="BU219" s="208"/>
      <c r="BV219" s="208"/>
      <c r="BW219" s="208"/>
      <c r="BX219" s="208"/>
      <c r="BY219" s="208"/>
      <c r="BZ219" s="208"/>
      <c r="CA219" s="208"/>
      <c r="CB219" s="208"/>
      <c r="CC219" s="208"/>
      <c r="CD219" s="208"/>
      <c r="CE219" s="208"/>
      <c r="CF219" s="208"/>
      <c r="CG219" s="208"/>
      <c r="CH219" s="208"/>
      <c r="CI219" s="208"/>
      <c r="CJ219" s="208"/>
      <c r="CK219" s="208"/>
      <c r="CL219" s="208"/>
      <c r="CM219" s="208"/>
      <c r="CN219" s="208"/>
      <c r="CO219" s="208"/>
      <c r="CP219" s="208"/>
      <c r="CQ219" s="208"/>
      <c r="CR219" s="208"/>
      <c r="CS219" s="208"/>
      <c r="CT219" s="208"/>
      <c r="CU219" s="208"/>
      <c r="CV219" s="208"/>
      <c r="CW219" s="208"/>
      <c r="CX219" s="208"/>
      <c r="CY219" s="208"/>
      <c r="CZ219" s="208"/>
      <c r="DA219" s="208"/>
      <c r="DB219" s="208"/>
      <c r="DC219" s="208"/>
      <c r="DD219" s="208"/>
      <c r="DE219" s="208"/>
      <c r="DF219" s="208"/>
      <c r="DG219" s="208"/>
      <c r="DH219" s="208"/>
      <c r="DI219" s="208"/>
      <c r="DJ219" s="208"/>
      <c r="DK219" s="208"/>
      <c r="DL219" s="208"/>
      <c r="DM219" s="208"/>
      <c r="DN219" s="208"/>
      <c r="DO219" s="208"/>
      <c r="DP219" s="208"/>
      <c r="DQ219" s="208"/>
      <c r="DR219" s="208"/>
      <c r="DS219" s="208"/>
      <c r="DT219" s="208"/>
      <c r="DU219" s="208"/>
      <c r="DV219" s="208"/>
      <c r="DW219" s="208"/>
      <c r="DX219" s="208"/>
      <c r="DY219" s="208"/>
      <c r="DZ219" s="208"/>
      <c r="EA219" s="208"/>
      <c r="EB219" s="208"/>
      <c r="EC219" s="208"/>
      <c r="ED219" s="208"/>
      <c r="EE219" s="208"/>
      <c r="EF219" s="208"/>
      <c r="EG219" s="208"/>
      <c r="EH219" s="208"/>
      <c r="EI219" s="208"/>
      <c r="EJ219" s="208"/>
      <c r="EK219" s="208"/>
      <c r="EL219" s="208"/>
      <c r="EM219" s="208"/>
      <c r="EN219" s="208"/>
      <c r="EO219" s="208"/>
      <c r="EP219" s="208"/>
      <c r="EQ219" s="208"/>
      <c r="ER219" s="208"/>
      <c r="ES219" s="208"/>
      <c r="ET219" s="208"/>
      <c r="EU219" s="208"/>
      <c r="EV219" s="208"/>
      <c r="EW219" s="208"/>
      <c r="EX219" s="208"/>
      <c r="EY219" s="208"/>
      <c r="EZ219" s="208"/>
      <c r="FA219" s="208"/>
      <c r="FB219" s="208"/>
      <c r="FC219" s="208"/>
      <c r="FD219" s="208"/>
      <c r="FE219" s="208"/>
      <c r="FF219" s="208"/>
      <c r="FG219" s="208"/>
      <c r="FH219" s="208"/>
      <c r="FI219" s="208"/>
      <c r="FJ219" s="208"/>
      <c r="FK219" s="208"/>
      <c r="FL219" s="208"/>
      <c r="FM219" s="208"/>
      <c r="FN219" s="208"/>
      <c r="FO219" s="208"/>
      <c r="FP219" s="208"/>
      <c r="FQ219" s="208"/>
      <c r="FR219" s="208"/>
      <c r="FS219" s="208"/>
      <c r="FT219" s="208"/>
      <c r="FU219" s="208"/>
      <c r="FV219" s="208"/>
      <c r="FW219" s="208"/>
      <c r="FX219" s="208"/>
      <c r="FY219" s="208"/>
      <c r="FZ219" s="208"/>
      <c r="GA219" s="208"/>
      <c r="GB219" s="208"/>
      <c r="GC219" s="208"/>
      <c r="GD219" s="208"/>
      <c r="GE219" s="208"/>
      <c r="GF219" s="208"/>
    </row>
    <row r="220" spans="1:188" s="209" customFormat="1" ht="15" x14ac:dyDescent="0.25">
      <c r="A220" s="195" t="s">
        <v>4995</v>
      </c>
      <c r="B220" s="195" t="s">
        <v>688</v>
      </c>
      <c r="C220" s="196" t="s">
        <v>2627</v>
      </c>
      <c r="D220" s="154" t="s">
        <v>78</v>
      </c>
      <c r="E220" s="154">
        <v>12600</v>
      </c>
      <c r="F220" s="154">
        <v>0.1</v>
      </c>
      <c r="G220" s="197"/>
      <c r="H220" s="198"/>
      <c r="I220" s="151">
        <f>IFERROR(INDEX(Composições!$A$5:$J$8391,MATCH(B220,Composições!$A$5:$A$8391,0)+2,8),"")</f>
        <v>33.838999999999999</v>
      </c>
      <c r="J220" s="152">
        <f>IF(ISNUMBER(I220),ROUND(F220*E220*I220,2),"")</f>
        <v>42637.14</v>
      </c>
      <c r="K220" s="198">
        <f>BDI!$B$17</f>
        <v>0.191</v>
      </c>
      <c r="L220" s="198"/>
      <c r="M220" s="198"/>
      <c r="N220" s="153">
        <f>IF(ISNUMBER(I220),ROUND(I220*(1+K220),2),"")</f>
        <v>40.299999999999997</v>
      </c>
      <c r="O220" s="152">
        <f>IF(ISNUMBER(I220),ROUND(F220*N220*E220,2),"")</f>
        <v>50778</v>
      </c>
      <c r="P220" s="225"/>
      <c r="Q220" s="208"/>
      <c r="R220" s="208"/>
      <c r="S220"/>
      <c r="T220" s="208"/>
      <c r="U220" s="208"/>
      <c r="V220" s="208"/>
      <c r="W220" s="208"/>
      <c r="X220" s="208"/>
      <c r="Y220" s="208"/>
      <c r="Z220" s="208"/>
      <c r="AA220" s="208"/>
      <c r="AB220" s="208"/>
      <c r="AC220" s="208"/>
      <c r="AD220" s="208"/>
      <c r="AE220" s="208"/>
      <c r="AF220" s="208"/>
      <c r="AG220" s="208"/>
      <c r="AH220" s="208"/>
      <c r="AI220" s="208"/>
      <c r="AJ220" s="208"/>
      <c r="AK220" s="208"/>
      <c r="AL220" s="208"/>
      <c r="AM220" s="208"/>
      <c r="AN220" s="208"/>
      <c r="AO220" s="208"/>
      <c r="AP220" s="208"/>
      <c r="AQ220" s="208"/>
      <c r="AR220" s="208"/>
      <c r="AS220" s="208"/>
      <c r="AT220" s="208"/>
      <c r="AU220" s="208"/>
      <c r="AV220" s="208"/>
      <c r="AW220" s="208"/>
      <c r="AX220" s="208"/>
      <c r="AY220" s="208"/>
      <c r="AZ220" s="208"/>
      <c r="BA220" s="208"/>
      <c r="BB220" s="208"/>
      <c r="BC220" s="208"/>
      <c r="BD220" s="208"/>
      <c r="BE220" s="208"/>
      <c r="BF220" s="208"/>
      <c r="BG220" s="208"/>
      <c r="BH220" s="208"/>
      <c r="BI220" s="208"/>
      <c r="BJ220" s="208"/>
      <c r="BK220" s="208"/>
      <c r="BL220" s="208"/>
      <c r="BM220" s="208"/>
      <c r="BN220" s="208"/>
      <c r="BO220" s="208"/>
      <c r="BP220" s="208"/>
      <c r="BQ220" s="208"/>
      <c r="BR220" s="208"/>
      <c r="BS220" s="208"/>
      <c r="BT220" s="208"/>
      <c r="BU220" s="208"/>
      <c r="BV220" s="208"/>
      <c r="BW220" s="208"/>
      <c r="BX220" s="208"/>
      <c r="BY220" s="208"/>
      <c r="BZ220" s="208"/>
      <c r="CA220" s="208"/>
      <c r="CB220" s="208"/>
      <c r="CC220" s="208"/>
      <c r="CD220" s="208"/>
      <c r="CE220" s="208"/>
      <c r="CF220" s="208"/>
      <c r="CG220" s="208"/>
      <c r="CH220" s="208"/>
      <c r="CI220" s="208"/>
      <c r="CJ220" s="208"/>
      <c r="CK220" s="208"/>
      <c r="CL220" s="208"/>
      <c r="CM220" s="208"/>
      <c r="CN220" s="208"/>
      <c r="CO220" s="208"/>
      <c r="CP220" s="208"/>
      <c r="CQ220" s="208"/>
      <c r="CR220" s="208"/>
      <c r="CS220" s="208"/>
      <c r="CT220" s="208"/>
      <c r="CU220" s="208"/>
      <c r="CV220" s="208"/>
      <c r="CW220" s="208"/>
      <c r="CX220" s="208"/>
      <c r="CY220" s="208"/>
      <c r="CZ220" s="208"/>
      <c r="DA220" s="208"/>
      <c r="DB220" s="208"/>
      <c r="DC220" s="208"/>
      <c r="DD220" s="208"/>
      <c r="DE220" s="208"/>
      <c r="DF220" s="208"/>
      <c r="DG220" s="208"/>
      <c r="DH220" s="208"/>
      <c r="DI220" s="208"/>
      <c r="DJ220" s="208"/>
      <c r="DK220" s="208"/>
      <c r="DL220" s="208"/>
      <c r="DM220" s="208"/>
      <c r="DN220" s="208"/>
      <c r="DO220" s="208"/>
      <c r="DP220" s="208"/>
      <c r="DQ220" s="208"/>
      <c r="DR220" s="208"/>
      <c r="DS220" s="208"/>
      <c r="DT220" s="208"/>
      <c r="DU220" s="208"/>
      <c r="DV220" s="208"/>
      <c r="DW220" s="208"/>
      <c r="DX220" s="208"/>
      <c r="DY220" s="208"/>
      <c r="DZ220" s="208"/>
      <c r="EA220" s="208"/>
      <c r="EB220" s="208"/>
      <c r="EC220" s="208"/>
      <c r="ED220" s="208"/>
      <c r="EE220" s="208"/>
      <c r="EF220" s="208"/>
      <c r="EG220" s="208"/>
      <c r="EH220" s="208"/>
      <c r="EI220" s="208"/>
      <c r="EJ220" s="208"/>
      <c r="EK220" s="208"/>
      <c r="EL220" s="208"/>
      <c r="EM220" s="208"/>
      <c r="EN220" s="208"/>
      <c r="EO220" s="208"/>
      <c r="EP220" s="208"/>
      <c r="EQ220" s="208"/>
      <c r="ER220" s="208"/>
      <c r="ES220" s="208"/>
      <c r="ET220" s="208"/>
      <c r="EU220" s="208"/>
      <c r="EV220" s="208"/>
      <c r="EW220" s="208"/>
      <c r="EX220" s="208"/>
      <c r="EY220" s="208"/>
      <c r="EZ220" s="208"/>
      <c r="FA220" s="208"/>
      <c r="FB220" s="208"/>
      <c r="FC220" s="208"/>
      <c r="FD220" s="208"/>
      <c r="FE220" s="208"/>
      <c r="FF220" s="208"/>
      <c r="FG220" s="208"/>
      <c r="FH220" s="208"/>
      <c r="FI220" s="208"/>
      <c r="FJ220" s="208"/>
      <c r="FK220" s="208"/>
      <c r="FL220" s="208"/>
      <c r="FM220" s="208"/>
      <c r="FN220" s="208"/>
      <c r="FO220" s="208"/>
      <c r="FP220" s="208"/>
      <c r="FQ220" s="208"/>
      <c r="FR220" s="208"/>
      <c r="FS220" s="208"/>
      <c r="FT220" s="208"/>
      <c r="FU220" s="208"/>
      <c r="FV220" s="208"/>
      <c r="FW220" s="208"/>
      <c r="FX220" s="208"/>
      <c r="FY220" s="208"/>
      <c r="FZ220" s="208"/>
      <c r="GA220" s="208"/>
      <c r="GB220" s="208"/>
      <c r="GC220" s="208"/>
      <c r="GD220" s="208"/>
      <c r="GE220" s="208"/>
      <c r="GF220" s="208"/>
    </row>
    <row r="221" spans="1:188" s="209" customFormat="1" ht="15" x14ac:dyDescent="0.25">
      <c r="A221" s="195" t="s">
        <v>4996</v>
      </c>
      <c r="B221" s="195" t="s">
        <v>2202</v>
      </c>
      <c r="C221" s="196" t="s">
        <v>2203</v>
      </c>
      <c r="D221" s="154" t="s">
        <v>78</v>
      </c>
      <c r="E221" s="154">
        <v>9390</v>
      </c>
      <c r="F221" s="154">
        <v>0.1</v>
      </c>
      <c r="G221" s="197"/>
      <c r="H221" s="198"/>
      <c r="I221" s="247">
        <v>57.75</v>
      </c>
      <c r="J221" s="152">
        <f>IF(ISNUMBER(I221),ROUND(F221*E221*I221,2),"")</f>
        <v>54227.25</v>
      </c>
      <c r="K221" s="198">
        <f>BDI!$B$17</f>
        <v>0.191</v>
      </c>
      <c r="L221" s="198"/>
      <c r="M221" s="198"/>
      <c r="N221" s="153">
        <f>IF(ISNUMBER(I221),ROUND(I221*(1+K221),2),"")</f>
        <v>68.78</v>
      </c>
      <c r="O221" s="152">
        <f>IF(ISNUMBER(I221),ROUND(F221*N221*E221,2),"")</f>
        <v>64584.42</v>
      </c>
      <c r="P221" s="225"/>
      <c r="Q221" s="208"/>
      <c r="R221" s="208"/>
      <c r="S221"/>
      <c r="T221" s="208"/>
      <c r="U221" s="208"/>
      <c r="V221" s="208"/>
      <c r="W221" s="208"/>
      <c r="X221" s="208"/>
      <c r="Y221" s="208"/>
      <c r="Z221" s="208"/>
      <c r="AA221" s="208"/>
      <c r="AB221" s="208"/>
      <c r="AC221" s="208"/>
      <c r="AD221" s="208"/>
      <c r="AE221" s="208"/>
      <c r="AF221" s="208"/>
      <c r="AG221" s="208"/>
      <c r="AH221" s="208"/>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c r="BI221" s="208"/>
      <c r="BJ221" s="208"/>
      <c r="BK221" s="208"/>
      <c r="BL221" s="208"/>
      <c r="BM221" s="208"/>
      <c r="BN221" s="208"/>
      <c r="BO221" s="208"/>
      <c r="BP221" s="208"/>
      <c r="BQ221" s="208"/>
      <c r="BR221" s="208"/>
      <c r="BS221" s="208"/>
      <c r="BT221" s="208"/>
      <c r="BU221" s="208"/>
      <c r="BV221" s="208"/>
      <c r="BW221" s="208"/>
      <c r="BX221" s="208"/>
      <c r="BY221" s="208"/>
      <c r="BZ221" s="208"/>
      <c r="CA221" s="208"/>
      <c r="CB221" s="208"/>
      <c r="CC221" s="208"/>
      <c r="CD221" s="208"/>
      <c r="CE221" s="208"/>
      <c r="CF221" s="208"/>
      <c r="CG221" s="208"/>
      <c r="CH221" s="208"/>
      <c r="CI221" s="208"/>
      <c r="CJ221" s="208"/>
      <c r="CK221" s="208"/>
      <c r="CL221" s="208"/>
      <c r="CM221" s="208"/>
      <c r="CN221" s="208"/>
      <c r="CO221" s="208"/>
      <c r="CP221" s="208"/>
      <c r="CQ221" s="208"/>
      <c r="CR221" s="208"/>
      <c r="CS221" s="208"/>
      <c r="CT221" s="208"/>
      <c r="CU221" s="208"/>
      <c r="CV221" s="208"/>
      <c r="CW221" s="208"/>
      <c r="CX221" s="208"/>
      <c r="CY221" s="208"/>
      <c r="CZ221" s="208"/>
      <c r="DA221" s="208"/>
      <c r="DB221" s="208"/>
      <c r="DC221" s="208"/>
      <c r="DD221" s="208"/>
      <c r="DE221" s="208"/>
      <c r="DF221" s="208"/>
      <c r="DG221" s="208"/>
      <c r="DH221" s="208"/>
      <c r="DI221" s="208"/>
      <c r="DJ221" s="208"/>
      <c r="DK221" s="208"/>
      <c r="DL221" s="208"/>
      <c r="DM221" s="208"/>
      <c r="DN221" s="208"/>
      <c r="DO221" s="208"/>
      <c r="DP221" s="208"/>
      <c r="DQ221" s="208"/>
      <c r="DR221" s="208"/>
      <c r="DS221" s="208"/>
      <c r="DT221" s="208"/>
      <c r="DU221" s="208"/>
      <c r="DV221" s="208"/>
      <c r="DW221" s="208"/>
      <c r="DX221" s="208"/>
      <c r="DY221" s="208"/>
      <c r="DZ221" s="208"/>
      <c r="EA221" s="208"/>
      <c r="EB221" s="208"/>
      <c r="EC221" s="208"/>
      <c r="ED221" s="208"/>
      <c r="EE221" s="208"/>
      <c r="EF221" s="208"/>
      <c r="EG221" s="208"/>
      <c r="EH221" s="208"/>
      <c r="EI221" s="208"/>
      <c r="EJ221" s="208"/>
      <c r="EK221" s="208"/>
      <c r="EL221" s="208"/>
      <c r="EM221" s="208"/>
      <c r="EN221" s="208"/>
      <c r="EO221" s="208"/>
      <c r="EP221" s="208"/>
      <c r="EQ221" s="208"/>
      <c r="ER221" s="208"/>
      <c r="ES221" s="208"/>
      <c r="ET221" s="208"/>
      <c r="EU221" s="208"/>
      <c r="EV221" s="208"/>
      <c r="EW221" s="208"/>
      <c r="EX221" s="208"/>
      <c r="EY221" s="208"/>
      <c r="EZ221" s="208"/>
      <c r="FA221" s="208"/>
      <c r="FB221" s="208"/>
      <c r="FC221" s="208"/>
      <c r="FD221" s="208"/>
      <c r="FE221" s="208"/>
      <c r="FF221" s="208"/>
      <c r="FG221" s="208"/>
      <c r="FH221" s="208"/>
      <c r="FI221" s="208"/>
      <c r="FJ221" s="208"/>
      <c r="FK221" s="208"/>
      <c r="FL221" s="208"/>
      <c r="FM221" s="208"/>
      <c r="FN221" s="208"/>
      <c r="FO221" s="208"/>
      <c r="FP221" s="208"/>
      <c r="FQ221" s="208"/>
      <c r="FR221" s="208"/>
      <c r="FS221" s="208"/>
      <c r="FT221" s="208"/>
      <c r="FU221" s="208"/>
      <c r="FV221" s="208"/>
      <c r="FW221" s="208"/>
      <c r="FX221" s="208"/>
      <c r="FY221" s="208"/>
      <c r="FZ221" s="208"/>
      <c r="GA221" s="208"/>
      <c r="GB221" s="208"/>
      <c r="GC221" s="208"/>
      <c r="GD221" s="208"/>
      <c r="GE221" s="208"/>
      <c r="GF221" s="208"/>
    </row>
    <row r="222" spans="1:188" s="209" customFormat="1" ht="15" x14ac:dyDescent="0.25">
      <c r="A222" s="195" t="s">
        <v>4997</v>
      </c>
      <c r="B222" s="195" t="s">
        <v>3703</v>
      </c>
      <c r="C222" s="196" t="s">
        <v>3704</v>
      </c>
      <c r="D222" s="154" t="s">
        <v>78</v>
      </c>
      <c r="E222" s="154">
        <v>2000</v>
      </c>
      <c r="F222" s="154">
        <v>0.1</v>
      </c>
      <c r="G222" s="197"/>
      <c r="H222" s="198"/>
      <c r="I222" s="247">
        <v>1545</v>
      </c>
      <c r="J222" s="152">
        <f>IF(ISNUMBER(I222),ROUND(F222*E222*I222,2),"")</f>
        <v>309000</v>
      </c>
      <c r="K222" s="198">
        <f>BDI!$B$17</f>
        <v>0.191</v>
      </c>
      <c r="L222" s="198"/>
      <c r="M222" s="198"/>
      <c r="N222" s="153">
        <f>IF(ISNUMBER(I222),ROUND(I222*(1+K222),2),"")</f>
        <v>1840.1</v>
      </c>
      <c r="O222" s="152">
        <f>IF(ISNUMBER(I222),ROUND(F222*N222*E222,2),"")</f>
        <v>368020</v>
      </c>
      <c r="P222" s="225"/>
      <c r="Q222" s="208"/>
      <c r="R222" s="208"/>
      <c r="S222"/>
      <c r="T222" s="208"/>
      <c r="U222" s="208"/>
      <c r="V222" s="208"/>
      <c r="W222" s="208"/>
      <c r="X222" s="208"/>
      <c r="Y222" s="208"/>
      <c r="Z222" s="208"/>
      <c r="AA222" s="208"/>
      <c r="AB222" s="208"/>
      <c r="AC222" s="208"/>
      <c r="AD222" s="208"/>
      <c r="AE222" s="208"/>
      <c r="AF222" s="208"/>
      <c r="AG222" s="208"/>
      <c r="AH222" s="208"/>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c r="BI222" s="208"/>
      <c r="BJ222" s="208"/>
      <c r="BK222" s="208"/>
      <c r="BL222" s="208"/>
      <c r="BM222" s="208"/>
      <c r="BN222" s="208"/>
      <c r="BO222" s="208"/>
      <c r="BP222" s="208"/>
      <c r="BQ222" s="208"/>
      <c r="BR222" s="208"/>
      <c r="BS222" s="208"/>
      <c r="BT222" s="208"/>
      <c r="BU222" s="208"/>
      <c r="BV222" s="208"/>
      <c r="BW222" s="208"/>
      <c r="BX222" s="208"/>
      <c r="BY222" s="208"/>
      <c r="BZ222" s="208"/>
      <c r="CA222" s="208"/>
      <c r="CB222" s="208"/>
      <c r="CC222" s="208"/>
      <c r="CD222" s="208"/>
      <c r="CE222" s="208"/>
      <c r="CF222" s="208"/>
      <c r="CG222" s="208"/>
      <c r="CH222" s="208"/>
      <c r="CI222" s="208"/>
      <c r="CJ222" s="208"/>
      <c r="CK222" s="208"/>
      <c r="CL222" s="208"/>
      <c r="CM222" s="208"/>
      <c r="CN222" s="208"/>
      <c r="CO222" s="208"/>
      <c r="CP222" s="208"/>
      <c r="CQ222" s="208"/>
      <c r="CR222" s="208"/>
      <c r="CS222" s="208"/>
      <c r="CT222" s="208"/>
      <c r="CU222" s="208"/>
      <c r="CV222" s="208"/>
      <c r="CW222" s="208"/>
      <c r="CX222" s="208"/>
      <c r="CY222" s="208"/>
      <c r="CZ222" s="208"/>
      <c r="DA222" s="208"/>
      <c r="DB222" s="208"/>
      <c r="DC222" s="208"/>
      <c r="DD222" s="208"/>
      <c r="DE222" s="208"/>
      <c r="DF222" s="208"/>
      <c r="DG222" s="208"/>
      <c r="DH222" s="208"/>
      <c r="DI222" s="208"/>
      <c r="DJ222" s="208"/>
      <c r="DK222" s="208"/>
      <c r="DL222" s="208"/>
      <c r="DM222" s="208"/>
      <c r="DN222" s="208"/>
      <c r="DO222" s="208"/>
      <c r="DP222" s="208"/>
      <c r="DQ222" s="208"/>
      <c r="DR222" s="208"/>
      <c r="DS222" s="208"/>
      <c r="DT222" s="208"/>
      <c r="DU222" s="208"/>
      <c r="DV222" s="208"/>
      <c r="DW222" s="208"/>
      <c r="DX222" s="208"/>
      <c r="DY222" s="208"/>
      <c r="DZ222" s="208"/>
      <c r="EA222" s="208"/>
      <c r="EB222" s="208"/>
      <c r="EC222" s="208"/>
      <c r="ED222" s="208"/>
      <c r="EE222" s="208"/>
      <c r="EF222" s="208"/>
      <c r="EG222" s="208"/>
      <c r="EH222" s="208"/>
      <c r="EI222" s="208"/>
      <c r="EJ222" s="208"/>
      <c r="EK222" s="208"/>
      <c r="EL222" s="208"/>
      <c r="EM222" s="208"/>
      <c r="EN222" s="208"/>
      <c r="EO222" s="208"/>
      <c r="EP222" s="208"/>
      <c r="EQ222" s="208"/>
      <c r="ER222" s="208"/>
      <c r="ES222" s="208"/>
      <c r="ET222" s="208"/>
      <c r="EU222" s="208"/>
      <c r="EV222" s="208"/>
      <c r="EW222" s="208"/>
      <c r="EX222" s="208"/>
      <c r="EY222" s="208"/>
      <c r="EZ222" s="208"/>
      <c r="FA222" s="208"/>
      <c r="FB222" s="208"/>
      <c r="FC222" s="208"/>
      <c r="FD222" s="208"/>
      <c r="FE222" s="208"/>
      <c r="FF222" s="208"/>
      <c r="FG222" s="208"/>
      <c r="FH222" s="208"/>
      <c r="FI222" s="208"/>
      <c r="FJ222" s="208"/>
      <c r="FK222" s="208"/>
      <c r="FL222" s="208"/>
      <c r="FM222" s="208"/>
      <c r="FN222" s="208"/>
      <c r="FO222" s="208"/>
      <c r="FP222" s="208"/>
      <c r="FQ222" s="208"/>
      <c r="FR222" s="208"/>
      <c r="FS222" s="208"/>
      <c r="FT222" s="208"/>
      <c r="FU222" s="208"/>
      <c r="FV222" s="208"/>
      <c r="FW222" s="208"/>
      <c r="FX222" s="208"/>
      <c r="FY222" s="208"/>
      <c r="FZ222" s="208"/>
      <c r="GA222" s="208"/>
      <c r="GB222" s="208"/>
      <c r="GC222" s="208"/>
      <c r="GD222" s="208"/>
      <c r="GE222" s="208"/>
      <c r="GF222" s="208"/>
    </row>
    <row r="223" spans="1:188" s="225" customFormat="1" ht="15" x14ac:dyDescent="0.25">
      <c r="A223" s="189" t="s">
        <v>4998</v>
      </c>
      <c r="B223" s="189"/>
      <c r="C223" s="190" t="s">
        <v>4999</v>
      </c>
      <c r="D223" s="191"/>
      <c r="E223" s="191"/>
      <c r="F223" s="191"/>
      <c r="G223" s="192"/>
      <c r="H223" s="193"/>
      <c r="I223" s="246"/>
      <c r="J223" s="194">
        <f>SUBTOTAL(109,J224:J228)</f>
        <v>301856.82</v>
      </c>
      <c r="K223" s="191"/>
      <c r="L223" s="191"/>
      <c r="M223" s="191"/>
      <c r="N223" s="191"/>
      <c r="O223" s="194">
        <f>SUBTOTAL(109,O224:O228)</f>
        <v>359500.78</v>
      </c>
      <c r="Q223" s="208"/>
      <c r="R223" s="208"/>
      <c r="S223"/>
      <c r="T223" s="208"/>
      <c r="U223" s="208"/>
      <c r="V223" s="208"/>
      <c r="W223" s="208"/>
      <c r="X223" s="208"/>
      <c r="Y223" s="208"/>
      <c r="Z223" s="208"/>
      <c r="AA223" s="208"/>
      <c r="AB223" s="208"/>
      <c r="AC223" s="208"/>
      <c r="AD223" s="208"/>
      <c r="AE223" s="208"/>
      <c r="AF223" s="208"/>
      <c r="AG223" s="208"/>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c r="BI223" s="208"/>
      <c r="BJ223" s="208"/>
      <c r="BK223" s="208"/>
      <c r="BL223" s="208"/>
      <c r="BM223" s="208"/>
      <c r="BN223" s="208"/>
      <c r="BO223" s="208"/>
      <c r="BP223" s="208"/>
      <c r="BQ223" s="208"/>
      <c r="BR223" s="208"/>
      <c r="BS223" s="208"/>
      <c r="BT223" s="208"/>
      <c r="BU223" s="208"/>
      <c r="BV223" s="208"/>
      <c r="BW223" s="208"/>
      <c r="BX223" s="208"/>
      <c r="BY223" s="208"/>
      <c r="BZ223" s="208"/>
      <c r="CA223" s="208"/>
      <c r="CB223" s="208"/>
      <c r="CC223" s="208"/>
      <c r="CD223" s="208"/>
      <c r="CE223" s="208"/>
      <c r="CF223" s="208"/>
      <c r="CG223" s="208"/>
      <c r="CH223" s="208"/>
      <c r="CI223" s="208"/>
      <c r="CJ223" s="208"/>
      <c r="CK223" s="208"/>
      <c r="CL223" s="208"/>
      <c r="CM223" s="208"/>
      <c r="CN223" s="208"/>
      <c r="CO223" s="208"/>
      <c r="CP223" s="208"/>
      <c r="CQ223" s="208"/>
      <c r="CR223" s="208"/>
      <c r="CS223" s="208"/>
      <c r="CT223" s="208"/>
      <c r="CU223" s="208"/>
      <c r="CV223" s="208"/>
      <c r="CW223" s="208"/>
      <c r="CX223" s="208"/>
      <c r="CY223" s="208"/>
      <c r="CZ223" s="208"/>
      <c r="DA223" s="208"/>
      <c r="DB223" s="208"/>
      <c r="DC223" s="208"/>
      <c r="DD223" s="208"/>
      <c r="DE223" s="208"/>
      <c r="DF223" s="208"/>
      <c r="DG223" s="208"/>
      <c r="DH223" s="208"/>
      <c r="DI223" s="208"/>
      <c r="DJ223" s="208"/>
      <c r="DK223" s="208"/>
      <c r="DL223" s="208"/>
      <c r="DM223" s="208"/>
      <c r="DN223" s="208"/>
      <c r="DO223" s="208"/>
      <c r="DP223" s="208"/>
      <c r="DQ223" s="208"/>
      <c r="DR223" s="208"/>
      <c r="DS223" s="208"/>
      <c r="DT223" s="208"/>
      <c r="DU223" s="208"/>
      <c r="DV223" s="208"/>
      <c r="DW223" s="208"/>
      <c r="DX223" s="208"/>
      <c r="DY223" s="208"/>
      <c r="DZ223" s="208"/>
      <c r="EA223" s="208"/>
      <c r="EB223" s="208"/>
      <c r="EC223" s="208"/>
      <c r="ED223" s="208"/>
      <c r="EE223" s="208"/>
      <c r="EF223" s="208"/>
      <c r="EG223" s="208"/>
      <c r="EH223" s="208"/>
      <c r="EI223" s="208"/>
      <c r="EJ223" s="208"/>
      <c r="EK223" s="208"/>
      <c r="EL223" s="208"/>
      <c r="EM223" s="208"/>
      <c r="EN223" s="208"/>
      <c r="EO223" s="208"/>
      <c r="EP223" s="208"/>
      <c r="EQ223" s="208"/>
      <c r="ER223" s="208"/>
      <c r="ES223" s="208"/>
      <c r="ET223" s="208"/>
      <c r="EU223" s="208"/>
      <c r="EV223" s="208"/>
      <c r="EW223" s="208"/>
      <c r="EX223" s="208"/>
      <c r="EY223" s="208"/>
      <c r="EZ223" s="208"/>
      <c r="FA223" s="208"/>
      <c r="FB223" s="208"/>
      <c r="FC223" s="208"/>
      <c r="FD223" s="208"/>
      <c r="FE223" s="208"/>
      <c r="FF223" s="208"/>
      <c r="FG223" s="208"/>
      <c r="FH223" s="208"/>
      <c r="FI223" s="208"/>
      <c r="FJ223" s="208"/>
      <c r="FK223" s="208"/>
      <c r="FL223" s="208"/>
      <c r="FM223" s="208"/>
      <c r="FN223" s="208"/>
      <c r="FO223" s="208"/>
      <c r="FP223" s="208"/>
      <c r="FQ223" s="208"/>
      <c r="FR223" s="208"/>
      <c r="FS223" s="208"/>
      <c r="FT223" s="208"/>
      <c r="FU223" s="208"/>
      <c r="FV223" s="208"/>
      <c r="FW223" s="208"/>
      <c r="FX223" s="208"/>
      <c r="FY223" s="208"/>
      <c r="FZ223" s="208"/>
      <c r="GA223" s="208"/>
      <c r="GB223" s="208"/>
      <c r="GC223" s="208"/>
      <c r="GD223" s="208"/>
      <c r="GE223" s="208"/>
      <c r="GF223" s="208"/>
    </row>
    <row r="224" spans="1:188" s="209" customFormat="1" ht="15" x14ac:dyDescent="0.25">
      <c r="A224" s="195" t="s">
        <v>5000</v>
      </c>
      <c r="B224" s="195" t="s">
        <v>910</v>
      </c>
      <c r="C224" s="196" t="s">
        <v>2763</v>
      </c>
      <c r="D224" s="154" t="s">
        <v>121</v>
      </c>
      <c r="E224" s="154">
        <v>10000</v>
      </c>
      <c r="F224" s="154">
        <v>0.1</v>
      </c>
      <c r="G224" s="197"/>
      <c r="H224" s="198"/>
      <c r="I224" s="151">
        <f>IFERROR(INDEX(Composições!$A$5:$J$8391,MATCH(B224,Composições!$A$5:$A$8391,0)+2,8),"")</f>
        <v>31.464892999999996</v>
      </c>
      <c r="J224" s="152">
        <f>IF(ISNUMBER(I224),ROUND(F224*E224*I224,2),"")</f>
        <v>31464.89</v>
      </c>
      <c r="K224" s="198">
        <f>BDI!$B$17</f>
        <v>0.191</v>
      </c>
      <c r="L224" s="198"/>
      <c r="M224" s="198"/>
      <c r="N224" s="153">
        <f>IF(ISNUMBER(I224),ROUND(I224*(1+K224),2),"")</f>
        <v>37.47</v>
      </c>
      <c r="O224" s="152">
        <f>IF(ISNUMBER(I224),ROUND(F224*N224*E224,2),"")</f>
        <v>37470</v>
      </c>
      <c r="P224" s="225"/>
      <c r="Q224" s="208"/>
      <c r="R224" s="208"/>
      <c r="S224"/>
      <c r="T224" s="208"/>
      <c r="U224" s="208"/>
      <c r="V224" s="208"/>
      <c r="W224" s="208"/>
      <c r="X224" s="208"/>
      <c r="Y224" s="208"/>
      <c r="Z224" s="208"/>
      <c r="AA224" s="208"/>
      <c r="AB224" s="208"/>
      <c r="AC224" s="208"/>
      <c r="AD224" s="208"/>
      <c r="AE224" s="208"/>
      <c r="AF224" s="208"/>
      <c r="AG224" s="208"/>
      <c r="AH224" s="208"/>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c r="BI224" s="208"/>
      <c r="BJ224" s="208"/>
      <c r="BK224" s="208"/>
      <c r="BL224" s="208"/>
      <c r="BM224" s="208"/>
      <c r="BN224" s="208"/>
      <c r="BO224" s="208"/>
      <c r="BP224" s="208"/>
      <c r="BQ224" s="208"/>
      <c r="BR224" s="208"/>
      <c r="BS224" s="208"/>
      <c r="BT224" s="208"/>
      <c r="BU224" s="208"/>
      <c r="BV224" s="208"/>
      <c r="BW224" s="208"/>
      <c r="BX224" s="208"/>
      <c r="BY224" s="208"/>
      <c r="BZ224" s="208"/>
      <c r="CA224" s="208"/>
      <c r="CB224" s="208"/>
      <c r="CC224" s="208"/>
      <c r="CD224" s="208"/>
      <c r="CE224" s="208"/>
      <c r="CF224" s="208"/>
      <c r="CG224" s="208"/>
      <c r="CH224" s="208"/>
      <c r="CI224" s="208"/>
      <c r="CJ224" s="208"/>
      <c r="CK224" s="208"/>
      <c r="CL224" s="208"/>
      <c r="CM224" s="208"/>
      <c r="CN224" s="208"/>
      <c r="CO224" s="208"/>
      <c r="CP224" s="208"/>
      <c r="CQ224" s="208"/>
      <c r="CR224" s="208"/>
      <c r="CS224" s="208"/>
      <c r="CT224" s="208"/>
      <c r="CU224" s="208"/>
      <c r="CV224" s="208"/>
      <c r="CW224" s="208"/>
      <c r="CX224" s="208"/>
      <c r="CY224" s="208"/>
      <c r="CZ224" s="208"/>
      <c r="DA224" s="208"/>
      <c r="DB224" s="208"/>
      <c r="DC224" s="208"/>
      <c r="DD224" s="208"/>
      <c r="DE224" s="208"/>
      <c r="DF224" s="208"/>
      <c r="DG224" s="208"/>
      <c r="DH224" s="208"/>
      <c r="DI224" s="208"/>
      <c r="DJ224" s="208"/>
      <c r="DK224" s="208"/>
      <c r="DL224" s="208"/>
      <c r="DM224" s="208"/>
      <c r="DN224" s="208"/>
      <c r="DO224" s="208"/>
      <c r="DP224" s="208"/>
      <c r="DQ224" s="208"/>
      <c r="DR224" s="208"/>
      <c r="DS224" s="208"/>
      <c r="DT224" s="208"/>
      <c r="DU224" s="208"/>
      <c r="DV224" s="208"/>
      <c r="DW224" s="208"/>
      <c r="DX224" s="208"/>
      <c r="DY224" s="208"/>
      <c r="DZ224" s="208"/>
      <c r="EA224" s="208"/>
      <c r="EB224" s="208"/>
      <c r="EC224" s="208"/>
      <c r="ED224" s="208"/>
      <c r="EE224" s="208"/>
      <c r="EF224" s="208"/>
      <c r="EG224" s="208"/>
      <c r="EH224" s="208"/>
      <c r="EI224" s="208"/>
      <c r="EJ224" s="208"/>
      <c r="EK224" s="208"/>
      <c r="EL224" s="208"/>
      <c r="EM224" s="208"/>
      <c r="EN224" s="208"/>
      <c r="EO224" s="208"/>
      <c r="EP224" s="208"/>
      <c r="EQ224" s="208"/>
      <c r="ER224" s="208"/>
      <c r="ES224" s="208"/>
      <c r="ET224" s="208"/>
      <c r="EU224" s="208"/>
      <c r="EV224" s="208"/>
      <c r="EW224" s="208"/>
      <c r="EX224" s="208"/>
      <c r="EY224" s="208"/>
      <c r="EZ224" s="208"/>
      <c r="FA224" s="208"/>
      <c r="FB224" s="208"/>
      <c r="FC224" s="208"/>
      <c r="FD224" s="208"/>
      <c r="FE224" s="208"/>
      <c r="FF224" s="208"/>
      <c r="FG224" s="208"/>
      <c r="FH224" s="208"/>
      <c r="FI224" s="208"/>
      <c r="FJ224" s="208"/>
      <c r="FK224" s="208"/>
      <c r="FL224" s="208"/>
      <c r="FM224" s="208"/>
      <c r="FN224" s="208"/>
      <c r="FO224" s="208"/>
      <c r="FP224" s="208"/>
      <c r="FQ224" s="208"/>
      <c r="FR224" s="208"/>
      <c r="FS224" s="208"/>
      <c r="FT224" s="208"/>
      <c r="FU224" s="208"/>
      <c r="FV224" s="208"/>
      <c r="FW224" s="208"/>
      <c r="FX224" s="208"/>
      <c r="FY224" s="208"/>
      <c r="FZ224" s="208"/>
      <c r="GA224" s="208"/>
      <c r="GB224" s="208"/>
      <c r="GC224" s="208"/>
      <c r="GD224" s="208"/>
      <c r="GE224" s="208"/>
      <c r="GF224" s="208"/>
    </row>
    <row r="225" spans="1:188" s="209" customFormat="1" ht="15" x14ac:dyDescent="0.25">
      <c r="A225" s="195" t="s">
        <v>5001</v>
      </c>
      <c r="B225" s="195" t="s">
        <v>214</v>
      </c>
      <c r="C225" s="196" t="s">
        <v>2196</v>
      </c>
      <c r="D225" s="154" t="s">
        <v>121</v>
      </c>
      <c r="E225" s="154">
        <v>22970</v>
      </c>
      <c r="F225" s="154">
        <v>0.1</v>
      </c>
      <c r="G225" s="197"/>
      <c r="H225" s="198"/>
      <c r="I225" s="151">
        <f>IFERROR(INDEX(Composições!$A$5:$J$8391,MATCH(B225,Composições!$A$5:$A$8391,0)+2,8),"")</f>
        <v>22.7152125</v>
      </c>
      <c r="J225" s="152">
        <f>IF(ISNUMBER(I225),ROUND(F225*E225*I225,2),"")</f>
        <v>52176.84</v>
      </c>
      <c r="K225" s="198">
        <f>BDI!$B$17</f>
        <v>0.191</v>
      </c>
      <c r="L225" s="198"/>
      <c r="M225" s="198"/>
      <c r="N225" s="153">
        <f>IF(ISNUMBER(I225),ROUND(I225*(1+K225),2),"")</f>
        <v>27.05</v>
      </c>
      <c r="O225" s="152">
        <f>IF(ISNUMBER(I225),ROUND(F225*N225*E225,2),"")</f>
        <v>62133.85</v>
      </c>
      <c r="P225" s="225"/>
      <c r="Q225" s="208"/>
      <c r="R225" s="208"/>
      <c r="S225"/>
      <c r="T225" s="208"/>
      <c r="U225" s="208"/>
      <c r="V225" s="208"/>
      <c r="W225" s="208"/>
      <c r="X225" s="208"/>
      <c r="Y225" s="208"/>
      <c r="Z225" s="208"/>
      <c r="AA225" s="208"/>
      <c r="AB225" s="208"/>
      <c r="AC225" s="208"/>
      <c r="AD225" s="208"/>
      <c r="AE225" s="208"/>
      <c r="AF225" s="208"/>
      <c r="AG225" s="208"/>
      <c r="AH225" s="208"/>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c r="BI225" s="208"/>
      <c r="BJ225" s="208"/>
      <c r="BK225" s="208"/>
      <c r="BL225" s="208"/>
      <c r="BM225" s="208"/>
      <c r="BN225" s="208"/>
      <c r="BO225" s="208"/>
      <c r="BP225" s="208"/>
      <c r="BQ225" s="208"/>
      <c r="BR225" s="208"/>
      <c r="BS225" s="208"/>
      <c r="BT225" s="208"/>
      <c r="BU225" s="208"/>
      <c r="BV225" s="208"/>
      <c r="BW225" s="208"/>
      <c r="BX225" s="208"/>
      <c r="BY225" s="208"/>
      <c r="BZ225" s="208"/>
      <c r="CA225" s="208"/>
      <c r="CB225" s="208"/>
      <c r="CC225" s="208"/>
      <c r="CD225" s="208"/>
      <c r="CE225" s="208"/>
      <c r="CF225" s="208"/>
      <c r="CG225" s="208"/>
      <c r="CH225" s="208"/>
      <c r="CI225" s="208"/>
      <c r="CJ225" s="208"/>
      <c r="CK225" s="208"/>
      <c r="CL225" s="208"/>
      <c r="CM225" s="208"/>
      <c r="CN225" s="208"/>
      <c r="CO225" s="208"/>
      <c r="CP225" s="208"/>
      <c r="CQ225" s="208"/>
      <c r="CR225" s="208"/>
      <c r="CS225" s="208"/>
      <c r="CT225" s="208"/>
      <c r="CU225" s="208"/>
      <c r="CV225" s="208"/>
      <c r="CW225" s="208"/>
      <c r="CX225" s="208"/>
      <c r="CY225" s="208"/>
      <c r="CZ225" s="208"/>
      <c r="DA225" s="208"/>
      <c r="DB225" s="208"/>
      <c r="DC225" s="208"/>
      <c r="DD225" s="208"/>
      <c r="DE225" s="208"/>
      <c r="DF225" s="208"/>
      <c r="DG225" s="208"/>
      <c r="DH225" s="208"/>
      <c r="DI225" s="208"/>
      <c r="DJ225" s="208"/>
      <c r="DK225" s="208"/>
      <c r="DL225" s="208"/>
      <c r="DM225" s="208"/>
      <c r="DN225" s="208"/>
      <c r="DO225" s="208"/>
      <c r="DP225" s="208"/>
      <c r="DQ225" s="208"/>
      <c r="DR225" s="208"/>
      <c r="DS225" s="208"/>
      <c r="DT225" s="208"/>
      <c r="DU225" s="208"/>
      <c r="DV225" s="208"/>
      <c r="DW225" s="208"/>
      <c r="DX225" s="208"/>
      <c r="DY225" s="208"/>
      <c r="DZ225" s="208"/>
      <c r="EA225" s="208"/>
      <c r="EB225" s="208"/>
      <c r="EC225" s="208"/>
      <c r="ED225" s="208"/>
      <c r="EE225" s="208"/>
      <c r="EF225" s="208"/>
      <c r="EG225" s="208"/>
      <c r="EH225" s="208"/>
      <c r="EI225" s="208"/>
      <c r="EJ225" s="208"/>
      <c r="EK225" s="208"/>
      <c r="EL225" s="208"/>
      <c r="EM225" s="208"/>
      <c r="EN225" s="208"/>
      <c r="EO225" s="208"/>
      <c r="EP225" s="208"/>
      <c r="EQ225" s="208"/>
      <c r="ER225" s="208"/>
      <c r="ES225" s="208"/>
      <c r="ET225" s="208"/>
      <c r="EU225" s="208"/>
      <c r="EV225" s="208"/>
      <c r="EW225" s="208"/>
      <c r="EX225" s="208"/>
      <c r="EY225" s="208"/>
      <c r="EZ225" s="208"/>
      <c r="FA225" s="208"/>
      <c r="FB225" s="208"/>
      <c r="FC225" s="208"/>
      <c r="FD225" s="208"/>
      <c r="FE225" s="208"/>
      <c r="FF225" s="208"/>
      <c r="FG225" s="208"/>
      <c r="FH225" s="208"/>
      <c r="FI225" s="208"/>
      <c r="FJ225" s="208"/>
      <c r="FK225" s="208"/>
      <c r="FL225" s="208"/>
      <c r="FM225" s="208"/>
      <c r="FN225" s="208"/>
      <c r="FO225" s="208"/>
      <c r="FP225" s="208"/>
      <c r="FQ225" s="208"/>
      <c r="FR225" s="208"/>
      <c r="FS225" s="208"/>
      <c r="FT225" s="208"/>
      <c r="FU225" s="208"/>
      <c r="FV225" s="208"/>
      <c r="FW225" s="208"/>
      <c r="FX225" s="208"/>
      <c r="FY225" s="208"/>
      <c r="FZ225" s="208"/>
      <c r="GA225" s="208"/>
      <c r="GB225" s="208"/>
      <c r="GC225" s="208"/>
      <c r="GD225" s="208"/>
      <c r="GE225" s="208"/>
      <c r="GF225" s="208"/>
    </row>
    <row r="226" spans="1:188" s="209" customFormat="1" ht="15" x14ac:dyDescent="0.25">
      <c r="A226" s="195" t="s">
        <v>5002</v>
      </c>
      <c r="B226" s="195" t="s">
        <v>810</v>
      </c>
      <c r="C226" s="196" t="s">
        <v>2696</v>
      </c>
      <c r="D226" s="154" t="s">
        <v>121</v>
      </c>
      <c r="E226" s="154">
        <v>73190</v>
      </c>
      <c r="F226" s="154">
        <v>0.1</v>
      </c>
      <c r="G226" s="197"/>
      <c r="H226" s="198"/>
      <c r="I226" s="151">
        <f>IFERROR(INDEX(Composições!$A$5:$J$8391,MATCH(B226,Composições!$A$5:$A$8391,0)+2,8),"")</f>
        <v>26.103625000000001</v>
      </c>
      <c r="J226" s="152">
        <f>IF(ISNUMBER(I226),ROUND(F226*E226*I226,2),"")</f>
        <v>191052.43</v>
      </c>
      <c r="K226" s="198">
        <f>BDI!$B$17</f>
        <v>0.191</v>
      </c>
      <c r="L226" s="198"/>
      <c r="M226" s="198"/>
      <c r="N226" s="153">
        <f>IF(ISNUMBER(I226),ROUND(I226*(1+K226),2),"")</f>
        <v>31.09</v>
      </c>
      <c r="O226" s="152">
        <f>IF(ISNUMBER(I226),ROUND(F226*N226*E226,2),"")</f>
        <v>227547.71</v>
      </c>
      <c r="P226" s="225"/>
      <c r="Q226" s="208"/>
      <c r="R226" s="208"/>
      <c r="S226"/>
      <c r="T226" s="208"/>
      <c r="U226" s="208"/>
      <c r="V226" s="208"/>
      <c r="W226" s="208"/>
      <c r="X226" s="208"/>
      <c r="Y226" s="208"/>
      <c r="Z226" s="208"/>
      <c r="AA226" s="208"/>
      <c r="AB226" s="208"/>
      <c r="AC226" s="208"/>
      <c r="AD226" s="208"/>
      <c r="AE226" s="208"/>
      <c r="AF226" s="208"/>
      <c r="AG226" s="208"/>
      <c r="AH226" s="208"/>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c r="BI226" s="208"/>
      <c r="BJ226" s="208"/>
      <c r="BK226" s="208"/>
      <c r="BL226" s="208"/>
      <c r="BM226" s="208"/>
      <c r="BN226" s="208"/>
      <c r="BO226" s="208"/>
      <c r="BP226" s="208"/>
      <c r="BQ226" s="208"/>
      <c r="BR226" s="208"/>
      <c r="BS226" s="208"/>
      <c r="BT226" s="208"/>
      <c r="BU226" s="208"/>
      <c r="BV226" s="208"/>
      <c r="BW226" s="208"/>
      <c r="BX226" s="208"/>
      <c r="BY226" s="208"/>
      <c r="BZ226" s="208"/>
      <c r="CA226" s="208"/>
      <c r="CB226" s="208"/>
      <c r="CC226" s="208"/>
      <c r="CD226" s="208"/>
      <c r="CE226" s="208"/>
      <c r="CF226" s="208"/>
      <c r="CG226" s="208"/>
      <c r="CH226" s="208"/>
      <c r="CI226" s="208"/>
      <c r="CJ226" s="208"/>
      <c r="CK226" s="208"/>
      <c r="CL226" s="208"/>
      <c r="CM226" s="208"/>
      <c r="CN226" s="208"/>
      <c r="CO226" s="208"/>
      <c r="CP226" s="208"/>
      <c r="CQ226" s="208"/>
      <c r="CR226" s="208"/>
      <c r="CS226" s="208"/>
      <c r="CT226" s="208"/>
      <c r="CU226" s="208"/>
      <c r="CV226" s="208"/>
      <c r="CW226" s="208"/>
      <c r="CX226" s="208"/>
      <c r="CY226" s="208"/>
      <c r="CZ226" s="208"/>
      <c r="DA226" s="208"/>
      <c r="DB226" s="208"/>
      <c r="DC226" s="208"/>
      <c r="DD226" s="208"/>
      <c r="DE226" s="208"/>
      <c r="DF226" s="208"/>
      <c r="DG226" s="208"/>
      <c r="DH226" s="208"/>
      <c r="DI226" s="208"/>
      <c r="DJ226" s="208"/>
      <c r="DK226" s="208"/>
      <c r="DL226" s="208"/>
      <c r="DM226" s="208"/>
      <c r="DN226" s="208"/>
      <c r="DO226" s="208"/>
      <c r="DP226" s="208"/>
      <c r="DQ226" s="208"/>
      <c r="DR226" s="208"/>
      <c r="DS226" s="208"/>
      <c r="DT226" s="208"/>
      <c r="DU226" s="208"/>
      <c r="DV226" s="208"/>
      <c r="DW226" s="208"/>
      <c r="DX226" s="208"/>
      <c r="DY226" s="208"/>
      <c r="DZ226" s="208"/>
      <c r="EA226" s="208"/>
      <c r="EB226" s="208"/>
      <c r="EC226" s="208"/>
      <c r="ED226" s="208"/>
      <c r="EE226" s="208"/>
      <c r="EF226" s="208"/>
      <c r="EG226" s="208"/>
      <c r="EH226" s="208"/>
      <c r="EI226" s="208"/>
      <c r="EJ226" s="208"/>
      <c r="EK226" s="208"/>
      <c r="EL226" s="208"/>
      <c r="EM226" s="208"/>
      <c r="EN226" s="208"/>
      <c r="EO226" s="208"/>
      <c r="EP226" s="208"/>
      <c r="EQ226" s="208"/>
      <c r="ER226" s="208"/>
      <c r="ES226" s="208"/>
      <c r="ET226" s="208"/>
      <c r="EU226" s="208"/>
      <c r="EV226" s="208"/>
      <c r="EW226" s="208"/>
      <c r="EX226" s="208"/>
      <c r="EY226" s="208"/>
      <c r="EZ226" s="208"/>
      <c r="FA226" s="208"/>
      <c r="FB226" s="208"/>
      <c r="FC226" s="208"/>
      <c r="FD226" s="208"/>
      <c r="FE226" s="208"/>
      <c r="FF226" s="208"/>
      <c r="FG226" s="208"/>
      <c r="FH226" s="208"/>
      <c r="FI226" s="208"/>
      <c r="FJ226" s="208"/>
      <c r="FK226" s="208"/>
      <c r="FL226" s="208"/>
      <c r="FM226" s="208"/>
      <c r="FN226" s="208"/>
      <c r="FO226" s="208"/>
      <c r="FP226" s="208"/>
      <c r="FQ226" s="208"/>
      <c r="FR226" s="208"/>
      <c r="FS226" s="208"/>
      <c r="FT226" s="208"/>
      <c r="FU226" s="208"/>
      <c r="FV226" s="208"/>
      <c r="FW226" s="208"/>
      <c r="FX226" s="208"/>
      <c r="FY226" s="208"/>
      <c r="FZ226" s="208"/>
      <c r="GA226" s="208"/>
      <c r="GB226" s="208"/>
      <c r="GC226" s="208"/>
      <c r="GD226" s="208"/>
      <c r="GE226" s="208"/>
      <c r="GF226" s="208"/>
    </row>
    <row r="227" spans="1:188" s="209" customFormat="1" ht="15" x14ac:dyDescent="0.25">
      <c r="A227" s="195" t="s">
        <v>5003</v>
      </c>
      <c r="B227" s="195" t="s">
        <v>208</v>
      </c>
      <c r="C227" s="196" t="s">
        <v>209</v>
      </c>
      <c r="D227" s="154" t="s">
        <v>121</v>
      </c>
      <c r="E227" s="154">
        <v>5990</v>
      </c>
      <c r="F227" s="154">
        <v>0.1</v>
      </c>
      <c r="G227" s="197"/>
      <c r="H227" s="198"/>
      <c r="I227" s="151">
        <f>IFERROR(INDEX(Composições!$A$5:$J$8391,MATCH(B227,Composições!$A$5:$A$8391,0)+2,8),"")</f>
        <v>10.900499999999999</v>
      </c>
      <c r="J227" s="152">
        <f>IF(ISNUMBER(I227),ROUND(F227*E227*I227,2),"")</f>
        <v>6529.4</v>
      </c>
      <c r="K227" s="198">
        <f>BDI!$B$17</f>
        <v>0.191</v>
      </c>
      <c r="L227" s="198"/>
      <c r="M227" s="198"/>
      <c r="N227" s="153">
        <f>IF(ISNUMBER(I227),ROUND(I227*(1+K227),2),"")</f>
        <v>12.98</v>
      </c>
      <c r="O227" s="152">
        <f>IF(ISNUMBER(I227),ROUND(F227*N227*E227,2),"")</f>
        <v>7775.02</v>
      </c>
      <c r="P227" s="225"/>
      <c r="Q227" s="208"/>
      <c r="R227" s="208"/>
      <c r="S227"/>
      <c r="T227" s="208"/>
      <c r="U227" s="208"/>
      <c r="V227" s="208"/>
      <c r="W227" s="208"/>
      <c r="X227" s="208"/>
      <c r="Y227" s="208"/>
      <c r="Z227" s="208"/>
      <c r="AA227" s="208"/>
      <c r="AB227" s="208"/>
      <c r="AC227" s="208"/>
      <c r="AD227" s="208"/>
      <c r="AE227" s="208"/>
      <c r="AF227" s="208"/>
      <c r="AG227" s="208"/>
      <c r="AH227" s="208"/>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c r="BI227" s="208"/>
      <c r="BJ227" s="208"/>
      <c r="BK227" s="208"/>
      <c r="BL227" s="208"/>
      <c r="BM227" s="208"/>
      <c r="BN227" s="208"/>
      <c r="BO227" s="208"/>
      <c r="BP227" s="208"/>
      <c r="BQ227" s="208"/>
      <c r="BR227" s="208"/>
      <c r="BS227" s="208"/>
      <c r="BT227" s="208"/>
      <c r="BU227" s="208"/>
      <c r="BV227" s="208"/>
      <c r="BW227" s="208"/>
      <c r="BX227" s="208"/>
      <c r="BY227" s="208"/>
      <c r="BZ227" s="208"/>
      <c r="CA227" s="208"/>
      <c r="CB227" s="208"/>
      <c r="CC227" s="208"/>
      <c r="CD227" s="208"/>
      <c r="CE227" s="208"/>
      <c r="CF227" s="208"/>
      <c r="CG227" s="208"/>
      <c r="CH227" s="208"/>
      <c r="CI227" s="208"/>
      <c r="CJ227" s="208"/>
      <c r="CK227" s="208"/>
      <c r="CL227" s="208"/>
      <c r="CM227" s="208"/>
      <c r="CN227" s="208"/>
      <c r="CO227" s="208"/>
      <c r="CP227" s="208"/>
      <c r="CQ227" s="208"/>
      <c r="CR227" s="208"/>
      <c r="CS227" s="208"/>
      <c r="CT227" s="208"/>
      <c r="CU227" s="208"/>
      <c r="CV227" s="208"/>
      <c r="CW227" s="208"/>
      <c r="CX227" s="208"/>
      <c r="CY227" s="208"/>
      <c r="CZ227" s="208"/>
      <c r="DA227" s="208"/>
      <c r="DB227" s="208"/>
      <c r="DC227" s="208"/>
      <c r="DD227" s="208"/>
      <c r="DE227" s="208"/>
      <c r="DF227" s="208"/>
      <c r="DG227" s="208"/>
      <c r="DH227" s="208"/>
      <c r="DI227" s="208"/>
      <c r="DJ227" s="208"/>
      <c r="DK227" s="208"/>
      <c r="DL227" s="208"/>
      <c r="DM227" s="208"/>
      <c r="DN227" s="208"/>
      <c r="DO227" s="208"/>
      <c r="DP227" s="208"/>
      <c r="DQ227" s="208"/>
      <c r="DR227" s="208"/>
      <c r="DS227" s="208"/>
      <c r="DT227" s="208"/>
      <c r="DU227" s="208"/>
      <c r="DV227" s="208"/>
      <c r="DW227" s="208"/>
      <c r="DX227" s="208"/>
      <c r="DY227" s="208"/>
      <c r="DZ227" s="208"/>
      <c r="EA227" s="208"/>
      <c r="EB227" s="208"/>
      <c r="EC227" s="208"/>
      <c r="ED227" s="208"/>
      <c r="EE227" s="208"/>
      <c r="EF227" s="208"/>
      <c r="EG227" s="208"/>
      <c r="EH227" s="208"/>
      <c r="EI227" s="208"/>
      <c r="EJ227" s="208"/>
      <c r="EK227" s="208"/>
      <c r="EL227" s="208"/>
      <c r="EM227" s="208"/>
      <c r="EN227" s="208"/>
      <c r="EO227" s="208"/>
      <c r="EP227" s="208"/>
      <c r="EQ227" s="208"/>
      <c r="ER227" s="208"/>
      <c r="ES227" s="208"/>
      <c r="ET227" s="208"/>
      <c r="EU227" s="208"/>
      <c r="EV227" s="208"/>
      <c r="EW227" s="208"/>
      <c r="EX227" s="208"/>
      <c r="EY227" s="208"/>
      <c r="EZ227" s="208"/>
      <c r="FA227" s="208"/>
      <c r="FB227" s="208"/>
      <c r="FC227" s="208"/>
      <c r="FD227" s="208"/>
      <c r="FE227" s="208"/>
      <c r="FF227" s="208"/>
      <c r="FG227" s="208"/>
      <c r="FH227" s="208"/>
      <c r="FI227" s="208"/>
      <c r="FJ227" s="208"/>
      <c r="FK227" s="208"/>
      <c r="FL227" s="208"/>
      <c r="FM227" s="208"/>
      <c r="FN227" s="208"/>
      <c r="FO227" s="208"/>
      <c r="FP227" s="208"/>
      <c r="FQ227" s="208"/>
      <c r="FR227" s="208"/>
      <c r="FS227" s="208"/>
      <c r="FT227" s="208"/>
      <c r="FU227" s="208"/>
      <c r="FV227" s="208"/>
      <c r="FW227" s="208"/>
      <c r="FX227" s="208"/>
      <c r="FY227" s="208"/>
      <c r="FZ227" s="208"/>
      <c r="GA227" s="208"/>
      <c r="GB227" s="208"/>
      <c r="GC227" s="208"/>
      <c r="GD227" s="208"/>
      <c r="GE227" s="208"/>
      <c r="GF227" s="208"/>
    </row>
    <row r="228" spans="1:188" s="209" customFormat="1" ht="15" x14ac:dyDescent="0.25">
      <c r="A228" s="195" t="s">
        <v>5004</v>
      </c>
      <c r="B228" s="195" t="s">
        <v>1994</v>
      </c>
      <c r="C228" s="196" t="s">
        <v>3709</v>
      </c>
      <c r="D228" s="154" t="s">
        <v>78</v>
      </c>
      <c r="E228" s="154">
        <v>200</v>
      </c>
      <c r="F228" s="154">
        <v>0.1</v>
      </c>
      <c r="G228" s="197"/>
      <c r="H228" s="198"/>
      <c r="I228" s="151">
        <f>IFERROR(INDEX(Composições!$A$5:$J$8391,MATCH(B228,Composições!$A$5:$A$8391,0)+2,8),"")</f>
        <v>1031.662836</v>
      </c>
      <c r="J228" s="152">
        <f>IF(ISNUMBER(I228),ROUND(F228*E228*I228,2),"")</f>
        <v>20633.259999999998</v>
      </c>
      <c r="K228" s="198">
        <f>BDI!$B$17</f>
        <v>0.191</v>
      </c>
      <c r="L228" s="198"/>
      <c r="M228" s="198"/>
      <c r="N228" s="153">
        <f>IF(ISNUMBER(I228),ROUND(I228*(1+K228),2),"")</f>
        <v>1228.71</v>
      </c>
      <c r="O228" s="152">
        <f>IF(ISNUMBER(I228),ROUND(F228*N228*E228,2),"")</f>
        <v>24574.2</v>
      </c>
      <c r="P228" s="225"/>
      <c r="Q228" s="208"/>
      <c r="R228" s="208"/>
      <c r="S228"/>
      <c r="T228" s="208"/>
      <c r="U228" s="208"/>
      <c r="V228" s="208"/>
      <c r="W228" s="208"/>
      <c r="X228" s="208"/>
      <c r="Y228" s="208"/>
      <c r="Z228" s="208"/>
      <c r="AA228" s="208"/>
      <c r="AB228" s="208"/>
      <c r="AC228" s="208"/>
      <c r="AD228" s="208"/>
      <c r="AE228" s="208"/>
      <c r="AF228" s="208"/>
      <c r="AG228" s="208"/>
      <c r="AH228" s="208"/>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c r="BI228" s="208"/>
      <c r="BJ228" s="208"/>
      <c r="BK228" s="208"/>
      <c r="BL228" s="208"/>
      <c r="BM228" s="208"/>
      <c r="BN228" s="208"/>
      <c r="BO228" s="208"/>
      <c r="BP228" s="208"/>
      <c r="BQ228" s="208"/>
      <c r="BR228" s="208"/>
      <c r="BS228" s="208"/>
      <c r="BT228" s="208"/>
      <c r="BU228" s="208"/>
      <c r="BV228" s="208"/>
      <c r="BW228" s="208"/>
      <c r="BX228" s="208"/>
      <c r="BY228" s="208"/>
      <c r="BZ228" s="208"/>
      <c r="CA228" s="208"/>
      <c r="CB228" s="208"/>
      <c r="CC228" s="208"/>
      <c r="CD228" s="208"/>
      <c r="CE228" s="208"/>
      <c r="CF228" s="208"/>
      <c r="CG228" s="208"/>
      <c r="CH228" s="208"/>
      <c r="CI228" s="208"/>
      <c r="CJ228" s="208"/>
      <c r="CK228" s="208"/>
      <c r="CL228" s="208"/>
      <c r="CM228" s="208"/>
      <c r="CN228" s="208"/>
      <c r="CO228" s="208"/>
      <c r="CP228" s="208"/>
      <c r="CQ228" s="208"/>
      <c r="CR228" s="208"/>
      <c r="CS228" s="208"/>
      <c r="CT228" s="208"/>
      <c r="CU228" s="208"/>
      <c r="CV228" s="208"/>
      <c r="CW228" s="208"/>
      <c r="CX228" s="208"/>
      <c r="CY228" s="208"/>
      <c r="CZ228" s="208"/>
      <c r="DA228" s="208"/>
      <c r="DB228" s="208"/>
      <c r="DC228" s="208"/>
      <c r="DD228" s="208"/>
      <c r="DE228" s="208"/>
      <c r="DF228" s="208"/>
      <c r="DG228" s="208"/>
      <c r="DH228" s="208"/>
      <c r="DI228" s="208"/>
      <c r="DJ228" s="208"/>
      <c r="DK228" s="208"/>
      <c r="DL228" s="208"/>
      <c r="DM228" s="208"/>
      <c r="DN228" s="208"/>
      <c r="DO228" s="208"/>
      <c r="DP228" s="208"/>
      <c r="DQ228" s="208"/>
      <c r="DR228" s="208"/>
      <c r="DS228" s="208"/>
      <c r="DT228" s="208"/>
      <c r="DU228" s="208"/>
      <c r="DV228" s="208"/>
      <c r="DW228" s="208"/>
      <c r="DX228" s="208"/>
      <c r="DY228" s="208"/>
      <c r="DZ228" s="208"/>
      <c r="EA228" s="208"/>
      <c r="EB228" s="208"/>
      <c r="EC228" s="208"/>
      <c r="ED228" s="208"/>
      <c r="EE228" s="208"/>
      <c r="EF228" s="208"/>
      <c r="EG228" s="208"/>
      <c r="EH228" s="208"/>
      <c r="EI228" s="208"/>
      <c r="EJ228" s="208"/>
      <c r="EK228" s="208"/>
      <c r="EL228" s="208"/>
      <c r="EM228" s="208"/>
      <c r="EN228" s="208"/>
      <c r="EO228" s="208"/>
      <c r="EP228" s="208"/>
      <c r="EQ228" s="208"/>
      <c r="ER228" s="208"/>
      <c r="ES228" s="208"/>
      <c r="ET228" s="208"/>
      <c r="EU228" s="208"/>
      <c r="EV228" s="208"/>
      <c r="EW228" s="208"/>
      <c r="EX228" s="208"/>
      <c r="EY228" s="208"/>
      <c r="EZ228" s="208"/>
      <c r="FA228" s="208"/>
      <c r="FB228" s="208"/>
      <c r="FC228" s="208"/>
      <c r="FD228" s="208"/>
      <c r="FE228" s="208"/>
      <c r="FF228" s="208"/>
      <c r="FG228" s="208"/>
      <c r="FH228" s="208"/>
      <c r="FI228" s="208"/>
      <c r="FJ228" s="208"/>
      <c r="FK228" s="208"/>
      <c r="FL228" s="208"/>
      <c r="FM228" s="208"/>
      <c r="FN228" s="208"/>
      <c r="FO228" s="208"/>
      <c r="FP228" s="208"/>
      <c r="FQ228" s="208"/>
      <c r="FR228" s="208"/>
      <c r="FS228" s="208"/>
      <c r="FT228" s="208"/>
      <c r="FU228" s="208"/>
      <c r="FV228" s="208"/>
      <c r="FW228" s="208"/>
      <c r="FX228" s="208"/>
      <c r="FY228" s="208"/>
      <c r="FZ228" s="208"/>
      <c r="GA228" s="208"/>
      <c r="GB228" s="208"/>
      <c r="GC228" s="208"/>
      <c r="GD228" s="208"/>
      <c r="GE228" s="208"/>
      <c r="GF228" s="208"/>
    </row>
    <row r="229" spans="1:188" s="225" customFormat="1" ht="15" x14ac:dyDescent="0.25">
      <c r="A229" s="189" t="s">
        <v>5005</v>
      </c>
      <c r="B229" s="189"/>
      <c r="C229" s="190" t="s">
        <v>5006</v>
      </c>
      <c r="D229" s="191"/>
      <c r="E229" s="191"/>
      <c r="F229" s="191"/>
      <c r="G229" s="192"/>
      <c r="H229" s="193"/>
      <c r="I229" s="246"/>
      <c r="J229" s="194">
        <f>SUBTOTAL(109,J230:J241)</f>
        <v>275873.94999999995</v>
      </c>
      <c r="K229" s="191"/>
      <c r="L229" s="191"/>
      <c r="M229" s="191"/>
      <c r="N229" s="191"/>
      <c r="O229" s="194">
        <f>SUBTOTAL(109,O230:O241)</f>
        <v>328570.19999999995</v>
      </c>
      <c r="Q229" s="208"/>
      <c r="R229" s="208"/>
      <c r="S229"/>
      <c r="T229" s="208"/>
      <c r="U229" s="208"/>
      <c r="V229" s="208"/>
      <c r="W229" s="208"/>
      <c r="X229" s="208"/>
      <c r="Y229" s="208"/>
      <c r="Z229" s="208"/>
      <c r="AA229" s="208"/>
      <c r="AB229" s="208"/>
      <c r="AC229" s="208"/>
      <c r="AD229" s="208"/>
      <c r="AE229" s="208"/>
      <c r="AF229" s="208"/>
      <c r="AG229" s="208"/>
      <c r="AH229" s="208"/>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c r="BI229" s="208"/>
      <c r="BJ229" s="208"/>
      <c r="BK229" s="208"/>
      <c r="BL229" s="208"/>
      <c r="BM229" s="208"/>
      <c r="BN229" s="208"/>
      <c r="BO229" s="208"/>
      <c r="BP229" s="208"/>
      <c r="BQ229" s="208"/>
      <c r="BR229" s="208"/>
      <c r="BS229" s="208"/>
      <c r="BT229" s="208"/>
      <c r="BU229" s="208"/>
      <c r="BV229" s="208"/>
      <c r="BW229" s="208"/>
      <c r="BX229" s="208"/>
      <c r="BY229" s="208"/>
      <c r="BZ229" s="208"/>
      <c r="CA229" s="208"/>
      <c r="CB229" s="208"/>
      <c r="CC229" s="208"/>
      <c r="CD229" s="208"/>
      <c r="CE229" s="208"/>
      <c r="CF229" s="208"/>
      <c r="CG229" s="208"/>
      <c r="CH229" s="208"/>
      <c r="CI229" s="208"/>
      <c r="CJ229" s="208"/>
      <c r="CK229" s="208"/>
      <c r="CL229" s="208"/>
      <c r="CM229" s="208"/>
      <c r="CN229" s="208"/>
      <c r="CO229" s="208"/>
      <c r="CP229" s="208"/>
      <c r="CQ229" s="208"/>
      <c r="CR229" s="208"/>
      <c r="CS229" s="208"/>
      <c r="CT229" s="208"/>
      <c r="CU229" s="208"/>
      <c r="CV229" s="208"/>
      <c r="CW229" s="208"/>
      <c r="CX229" s="208"/>
      <c r="CY229" s="208"/>
      <c r="CZ229" s="208"/>
      <c r="DA229" s="208"/>
      <c r="DB229" s="208"/>
      <c r="DC229" s="208"/>
      <c r="DD229" s="208"/>
      <c r="DE229" s="208"/>
      <c r="DF229" s="208"/>
      <c r="DG229" s="208"/>
      <c r="DH229" s="208"/>
      <c r="DI229" s="208"/>
      <c r="DJ229" s="208"/>
      <c r="DK229" s="208"/>
      <c r="DL229" s="208"/>
      <c r="DM229" s="208"/>
      <c r="DN229" s="208"/>
      <c r="DO229" s="208"/>
      <c r="DP229" s="208"/>
      <c r="DQ229" s="208"/>
      <c r="DR229" s="208"/>
      <c r="DS229" s="208"/>
      <c r="DT229" s="208"/>
      <c r="DU229" s="208"/>
      <c r="DV229" s="208"/>
      <c r="DW229" s="208"/>
      <c r="DX229" s="208"/>
      <c r="DY229" s="208"/>
      <c r="DZ229" s="208"/>
      <c r="EA229" s="208"/>
      <c r="EB229" s="208"/>
      <c r="EC229" s="208"/>
      <c r="ED229" s="208"/>
      <c r="EE229" s="208"/>
      <c r="EF229" s="208"/>
      <c r="EG229" s="208"/>
      <c r="EH229" s="208"/>
      <c r="EI229" s="208"/>
      <c r="EJ229" s="208"/>
      <c r="EK229" s="208"/>
      <c r="EL229" s="208"/>
      <c r="EM229" s="208"/>
      <c r="EN229" s="208"/>
      <c r="EO229" s="208"/>
      <c r="EP229" s="208"/>
      <c r="EQ229" s="208"/>
      <c r="ER229" s="208"/>
      <c r="ES229" s="208"/>
      <c r="ET229" s="208"/>
      <c r="EU229" s="208"/>
      <c r="EV229" s="208"/>
      <c r="EW229" s="208"/>
      <c r="EX229" s="208"/>
      <c r="EY229" s="208"/>
      <c r="EZ229" s="208"/>
      <c r="FA229" s="208"/>
      <c r="FB229" s="208"/>
      <c r="FC229" s="208"/>
      <c r="FD229" s="208"/>
      <c r="FE229" s="208"/>
      <c r="FF229" s="208"/>
      <c r="FG229" s="208"/>
      <c r="FH229" s="208"/>
      <c r="FI229" s="208"/>
      <c r="FJ229" s="208"/>
      <c r="FK229" s="208"/>
      <c r="FL229" s="208"/>
      <c r="FM229" s="208"/>
      <c r="FN229" s="208"/>
      <c r="FO229" s="208"/>
      <c r="FP229" s="208"/>
      <c r="FQ229" s="208"/>
      <c r="FR229" s="208"/>
      <c r="FS229" s="208"/>
      <c r="FT229" s="208"/>
      <c r="FU229" s="208"/>
      <c r="FV229" s="208"/>
      <c r="FW229" s="208"/>
      <c r="FX229" s="208"/>
      <c r="FY229" s="208"/>
      <c r="FZ229" s="208"/>
      <c r="GA229" s="208"/>
      <c r="GB229" s="208"/>
      <c r="GC229" s="208"/>
      <c r="GD229" s="208"/>
      <c r="GE229" s="208"/>
      <c r="GF229" s="208"/>
    </row>
    <row r="230" spans="1:188" s="209" customFormat="1" ht="15" x14ac:dyDescent="0.25">
      <c r="A230" s="195" t="s">
        <v>5007</v>
      </c>
      <c r="B230" s="195" t="s">
        <v>70</v>
      </c>
      <c r="C230" s="196" t="s">
        <v>2077</v>
      </c>
      <c r="D230" s="154" t="s">
        <v>78</v>
      </c>
      <c r="E230" s="154">
        <v>10000</v>
      </c>
      <c r="F230" s="154">
        <v>0.1</v>
      </c>
      <c r="G230" s="197"/>
      <c r="H230" s="198"/>
      <c r="I230" s="151">
        <f>IFERROR(INDEX(Composições!$A$5:$J$8391,MATCH(B230,Composições!$A$5:$A$8391,0)+2,8),"")</f>
        <v>18.494732999999997</v>
      </c>
      <c r="J230" s="152">
        <f t="shared" ref="J230:J241" si="39">IF(ISNUMBER(I230),ROUND(F230*E230*I230,2),"")</f>
        <v>18494.73</v>
      </c>
      <c r="K230" s="198">
        <f>BDI!$B$17</f>
        <v>0.191</v>
      </c>
      <c r="L230" s="198"/>
      <c r="M230" s="198"/>
      <c r="N230" s="153">
        <f t="shared" ref="N230:N241" si="40">IF(ISNUMBER(I230),ROUND(I230*(1+K230),2),"")</f>
        <v>22.03</v>
      </c>
      <c r="O230" s="152">
        <f t="shared" ref="O230:O241" si="41">IF(ISNUMBER(I230),ROUND(F230*N230*E230,2),"")</f>
        <v>22030</v>
      </c>
      <c r="P230" s="225"/>
      <c r="Q230" s="208"/>
      <c r="R230" s="208"/>
      <c r="S230"/>
      <c r="T230" s="208"/>
      <c r="U230" s="208"/>
      <c r="V230" s="208"/>
      <c r="W230" s="208"/>
      <c r="X230" s="208"/>
      <c r="Y230" s="208"/>
      <c r="Z230" s="208"/>
      <c r="AA230" s="208"/>
      <c r="AB230" s="208"/>
      <c r="AC230" s="208"/>
      <c r="AD230" s="208"/>
      <c r="AE230" s="208"/>
      <c r="AF230" s="208"/>
      <c r="AG230" s="208"/>
      <c r="AH230" s="208"/>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c r="BI230" s="208"/>
      <c r="BJ230" s="208"/>
      <c r="BK230" s="208"/>
      <c r="BL230" s="208"/>
      <c r="BM230" s="208"/>
      <c r="BN230" s="208"/>
      <c r="BO230" s="208"/>
      <c r="BP230" s="208"/>
      <c r="BQ230" s="208"/>
      <c r="BR230" s="208"/>
      <c r="BS230" s="208"/>
      <c r="BT230" s="208"/>
      <c r="BU230" s="208"/>
      <c r="BV230" s="208"/>
      <c r="BW230" s="208"/>
      <c r="BX230" s="208"/>
      <c r="BY230" s="208"/>
      <c r="BZ230" s="208"/>
      <c r="CA230" s="208"/>
      <c r="CB230" s="208"/>
      <c r="CC230" s="208"/>
      <c r="CD230" s="208"/>
      <c r="CE230" s="208"/>
      <c r="CF230" s="208"/>
      <c r="CG230" s="208"/>
      <c r="CH230" s="208"/>
      <c r="CI230" s="208"/>
      <c r="CJ230" s="208"/>
      <c r="CK230" s="208"/>
      <c r="CL230" s="208"/>
      <c r="CM230" s="208"/>
      <c r="CN230" s="208"/>
      <c r="CO230" s="208"/>
      <c r="CP230" s="208"/>
      <c r="CQ230" s="208"/>
      <c r="CR230" s="208"/>
      <c r="CS230" s="208"/>
      <c r="CT230" s="208"/>
      <c r="CU230" s="208"/>
      <c r="CV230" s="208"/>
      <c r="CW230" s="208"/>
      <c r="CX230" s="208"/>
      <c r="CY230" s="208"/>
      <c r="CZ230" s="208"/>
      <c r="DA230" s="208"/>
      <c r="DB230" s="208"/>
      <c r="DC230" s="208"/>
      <c r="DD230" s="208"/>
      <c r="DE230" s="208"/>
      <c r="DF230" s="208"/>
      <c r="DG230" s="208"/>
      <c r="DH230" s="208"/>
      <c r="DI230" s="208"/>
      <c r="DJ230" s="208"/>
      <c r="DK230" s="208"/>
      <c r="DL230" s="208"/>
      <c r="DM230" s="208"/>
      <c r="DN230" s="208"/>
      <c r="DO230" s="208"/>
      <c r="DP230" s="208"/>
      <c r="DQ230" s="208"/>
      <c r="DR230" s="208"/>
      <c r="DS230" s="208"/>
      <c r="DT230" s="208"/>
      <c r="DU230" s="208"/>
      <c r="DV230" s="208"/>
      <c r="DW230" s="208"/>
      <c r="DX230" s="208"/>
      <c r="DY230" s="208"/>
      <c r="DZ230" s="208"/>
      <c r="EA230" s="208"/>
      <c r="EB230" s="208"/>
      <c r="EC230" s="208"/>
      <c r="ED230" s="208"/>
      <c r="EE230" s="208"/>
      <c r="EF230" s="208"/>
      <c r="EG230" s="208"/>
      <c r="EH230" s="208"/>
      <c r="EI230" s="208"/>
      <c r="EJ230" s="208"/>
      <c r="EK230" s="208"/>
      <c r="EL230" s="208"/>
      <c r="EM230" s="208"/>
      <c r="EN230" s="208"/>
      <c r="EO230" s="208"/>
      <c r="EP230" s="208"/>
      <c r="EQ230" s="208"/>
      <c r="ER230" s="208"/>
      <c r="ES230" s="208"/>
      <c r="ET230" s="208"/>
      <c r="EU230" s="208"/>
      <c r="EV230" s="208"/>
      <c r="EW230" s="208"/>
      <c r="EX230" s="208"/>
      <c r="EY230" s="208"/>
      <c r="EZ230" s="208"/>
      <c r="FA230" s="208"/>
      <c r="FB230" s="208"/>
      <c r="FC230" s="208"/>
      <c r="FD230" s="208"/>
      <c r="FE230" s="208"/>
      <c r="FF230" s="208"/>
      <c r="FG230" s="208"/>
      <c r="FH230" s="208"/>
      <c r="FI230" s="208"/>
      <c r="FJ230" s="208"/>
      <c r="FK230" s="208"/>
      <c r="FL230" s="208"/>
      <c r="FM230" s="208"/>
      <c r="FN230" s="208"/>
      <c r="FO230" s="208"/>
      <c r="FP230" s="208"/>
      <c r="FQ230" s="208"/>
      <c r="FR230" s="208"/>
      <c r="FS230" s="208"/>
      <c r="FT230" s="208"/>
      <c r="FU230" s="208"/>
      <c r="FV230" s="208"/>
      <c r="FW230" s="208"/>
      <c r="FX230" s="208"/>
      <c r="FY230" s="208"/>
      <c r="FZ230" s="208"/>
      <c r="GA230" s="208"/>
      <c r="GB230" s="208"/>
      <c r="GC230" s="208"/>
      <c r="GD230" s="208"/>
      <c r="GE230" s="208"/>
      <c r="GF230" s="208"/>
    </row>
    <row r="231" spans="1:188" s="209" customFormat="1" ht="15" x14ac:dyDescent="0.25">
      <c r="A231" s="195" t="s">
        <v>5008</v>
      </c>
      <c r="B231" s="195" t="s">
        <v>216</v>
      </c>
      <c r="C231" s="196" t="s">
        <v>2197</v>
      </c>
      <c r="D231" s="154" t="s">
        <v>78</v>
      </c>
      <c r="E231" s="154">
        <v>1470</v>
      </c>
      <c r="F231" s="154">
        <v>0.1</v>
      </c>
      <c r="G231" s="197"/>
      <c r="H231" s="198"/>
      <c r="I231" s="151">
        <f>IFERROR(INDEX(Composições!$A$5:$J$8391,MATCH(B231,Composições!$A$5:$A$8391,0)+2,8),"")</f>
        <v>107.85871549999999</v>
      </c>
      <c r="J231" s="152">
        <f t="shared" si="39"/>
        <v>15855.23</v>
      </c>
      <c r="K231" s="198">
        <f>BDI!$B$17</f>
        <v>0.191</v>
      </c>
      <c r="L231" s="198"/>
      <c r="M231" s="198"/>
      <c r="N231" s="153">
        <f t="shared" si="40"/>
        <v>128.46</v>
      </c>
      <c r="O231" s="152">
        <f t="shared" si="41"/>
        <v>18883.62</v>
      </c>
      <c r="P231" s="225"/>
      <c r="Q231" s="208"/>
      <c r="R231" s="208"/>
      <c r="S231"/>
      <c r="T231" s="208"/>
      <c r="U231" s="208"/>
      <c r="V231" s="208"/>
      <c r="W231" s="208"/>
      <c r="X231" s="208"/>
      <c r="Y231" s="208"/>
      <c r="Z231" s="208"/>
      <c r="AA231" s="208"/>
      <c r="AB231" s="208"/>
      <c r="AC231" s="208"/>
      <c r="AD231" s="208"/>
      <c r="AE231" s="208"/>
      <c r="AF231" s="208"/>
      <c r="AG231" s="208"/>
      <c r="AH231" s="208"/>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c r="BI231" s="208"/>
      <c r="BJ231" s="208"/>
      <c r="BK231" s="208"/>
      <c r="BL231" s="208"/>
      <c r="BM231" s="208"/>
      <c r="BN231" s="208"/>
      <c r="BO231" s="208"/>
      <c r="BP231" s="208"/>
      <c r="BQ231" s="208"/>
      <c r="BR231" s="208"/>
      <c r="BS231" s="208"/>
      <c r="BT231" s="208"/>
      <c r="BU231" s="208"/>
      <c r="BV231" s="208"/>
      <c r="BW231" s="208"/>
      <c r="BX231" s="208"/>
      <c r="BY231" s="208"/>
      <c r="BZ231" s="208"/>
      <c r="CA231" s="208"/>
      <c r="CB231" s="208"/>
      <c r="CC231" s="208"/>
      <c r="CD231" s="208"/>
      <c r="CE231" s="208"/>
      <c r="CF231" s="208"/>
      <c r="CG231" s="208"/>
      <c r="CH231" s="208"/>
      <c r="CI231" s="208"/>
      <c r="CJ231" s="208"/>
      <c r="CK231" s="208"/>
      <c r="CL231" s="208"/>
      <c r="CM231" s="208"/>
      <c r="CN231" s="208"/>
      <c r="CO231" s="208"/>
      <c r="CP231" s="208"/>
      <c r="CQ231" s="208"/>
      <c r="CR231" s="208"/>
      <c r="CS231" s="208"/>
      <c r="CT231" s="208"/>
      <c r="CU231" s="208"/>
      <c r="CV231" s="208"/>
      <c r="CW231" s="208"/>
      <c r="CX231" s="208"/>
      <c r="CY231" s="208"/>
      <c r="CZ231" s="208"/>
      <c r="DA231" s="208"/>
      <c r="DB231" s="208"/>
      <c r="DC231" s="208"/>
      <c r="DD231" s="208"/>
      <c r="DE231" s="208"/>
      <c r="DF231" s="208"/>
      <c r="DG231" s="208"/>
      <c r="DH231" s="208"/>
      <c r="DI231" s="208"/>
      <c r="DJ231" s="208"/>
      <c r="DK231" s="208"/>
      <c r="DL231" s="208"/>
      <c r="DM231" s="208"/>
      <c r="DN231" s="208"/>
      <c r="DO231" s="208"/>
      <c r="DP231" s="208"/>
      <c r="DQ231" s="208"/>
      <c r="DR231" s="208"/>
      <c r="DS231" s="208"/>
      <c r="DT231" s="208"/>
      <c r="DU231" s="208"/>
      <c r="DV231" s="208"/>
      <c r="DW231" s="208"/>
      <c r="DX231" s="208"/>
      <c r="DY231" s="208"/>
      <c r="DZ231" s="208"/>
      <c r="EA231" s="208"/>
      <c r="EB231" s="208"/>
      <c r="EC231" s="208"/>
      <c r="ED231" s="208"/>
      <c r="EE231" s="208"/>
      <c r="EF231" s="208"/>
      <c r="EG231" s="208"/>
      <c r="EH231" s="208"/>
      <c r="EI231" s="208"/>
      <c r="EJ231" s="208"/>
      <c r="EK231" s="208"/>
      <c r="EL231" s="208"/>
      <c r="EM231" s="208"/>
      <c r="EN231" s="208"/>
      <c r="EO231" s="208"/>
      <c r="EP231" s="208"/>
      <c r="EQ231" s="208"/>
      <c r="ER231" s="208"/>
      <c r="ES231" s="208"/>
      <c r="ET231" s="208"/>
      <c r="EU231" s="208"/>
      <c r="EV231" s="208"/>
      <c r="EW231" s="208"/>
      <c r="EX231" s="208"/>
      <c r="EY231" s="208"/>
      <c r="EZ231" s="208"/>
      <c r="FA231" s="208"/>
      <c r="FB231" s="208"/>
      <c r="FC231" s="208"/>
      <c r="FD231" s="208"/>
      <c r="FE231" s="208"/>
      <c r="FF231" s="208"/>
      <c r="FG231" s="208"/>
      <c r="FH231" s="208"/>
      <c r="FI231" s="208"/>
      <c r="FJ231" s="208"/>
      <c r="FK231" s="208"/>
      <c r="FL231" s="208"/>
      <c r="FM231" s="208"/>
      <c r="FN231" s="208"/>
      <c r="FO231" s="208"/>
      <c r="FP231" s="208"/>
      <c r="FQ231" s="208"/>
      <c r="FR231" s="208"/>
      <c r="FS231" s="208"/>
      <c r="FT231" s="208"/>
      <c r="FU231" s="208"/>
      <c r="FV231" s="208"/>
      <c r="FW231" s="208"/>
      <c r="FX231" s="208"/>
      <c r="FY231" s="208"/>
      <c r="FZ231" s="208"/>
      <c r="GA231" s="208"/>
      <c r="GB231" s="208"/>
      <c r="GC231" s="208"/>
      <c r="GD231" s="208"/>
      <c r="GE231" s="208"/>
      <c r="GF231" s="208"/>
    </row>
    <row r="232" spans="1:188" s="209" customFormat="1" ht="15" x14ac:dyDescent="0.25">
      <c r="A232" s="195" t="s">
        <v>5009</v>
      </c>
      <c r="B232" s="195" t="s">
        <v>690</v>
      </c>
      <c r="C232" s="196" t="s">
        <v>2629</v>
      </c>
      <c r="D232" s="154" t="s">
        <v>78</v>
      </c>
      <c r="E232" s="154">
        <v>2830</v>
      </c>
      <c r="F232" s="154">
        <v>0.1</v>
      </c>
      <c r="G232" s="197"/>
      <c r="H232" s="198"/>
      <c r="I232" s="151">
        <f>IFERROR(INDEX(Composições!$A$5:$J$8391,MATCH(B232,Composições!$A$5:$A$8391,0)+2,8),"")</f>
        <v>106.79899999999999</v>
      </c>
      <c r="J232" s="152">
        <f t="shared" si="39"/>
        <v>30224.12</v>
      </c>
      <c r="K232" s="198">
        <f>BDI!$B$17</f>
        <v>0.191</v>
      </c>
      <c r="L232" s="198"/>
      <c r="M232" s="198"/>
      <c r="N232" s="153">
        <f t="shared" si="40"/>
        <v>127.2</v>
      </c>
      <c r="O232" s="152">
        <f t="shared" si="41"/>
        <v>35997.599999999999</v>
      </c>
      <c r="P232" s="225"/>
      <c r="Q232" s="208"/>
      <c r="R232" s="208"/>
      <c r="S232"/>
      <c r="T232" s="208"/>
      <c r="U232" s="208"/>
      <c r="V232" s="208"/>
      <c r="W232" s="208"/>
      <c r="X232" s="208"/>
      <c r="Y232" s="208"/>
      <c r="Z232" s="208"/>
      <c r="AA232" s="208"/>
      <c r="AB232" s="208"/>
      <c r="AC232" s="208"/>
      <c r="AD232" s="208"/>
      <c r="AE232" s="208"/>
      <c r="AF232" s="208"/>
      <c r="AG232" s="208"/>
      <c r="AH232" s="208"/>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c r="BI232" s="208"/>
      <c r="BJ232" s="208"/>
      <c r="BK232" s="208"/>
      <c r="BL232" s="208"/>
      <c r="BM232" s="208"/>
      <c r="BN232" s="208"/>
      <c r="BO232" s="208"/>
      <c r="BP232" s="208"/>
      <c r="BQ232" s="208"/>
      <c r="BR232" s="208"/>
      <c r="BS232" s="208"/>
      <c r="BT232" s="208"/>
      <c r="BU232" s="208"/>
      <c r="BV232" s="208"/>
      <c r="BW232" s="208"/>
      <c r="BX232" s="208"/>
      <c r="BY232" s="208"/>
      <c r="BZ232" s="208"/>
      <c r="CA232" s="208"/>
      <c r="CB232" s="208"/>
      <c r="CC232" s="208"/>
      <c r="CD232" s="208"/>
      <c r="CE232" s="208"/>
      <c r="CF232" s="208"/>
      <c r="CG232" s="208"/>
      <c r="CH232" s="208"/>
      <c r="CI232" s="208"/>
      <c r="CJ232" s="208"/>
      <c r="CK232" s="208"/>
      <c r="CL232" s="208"/>
      <c r="CM232" s="208"/>
      <c r="CN232" s="208"/>
      <c r="CO232" s="208"/>
      <c r="CP232" s="208"/>
      <c r="CQ232" s="208"/>
      <c r="CR232" s="208"/>
      <c r="CS232" s="208"/>
      <c r="CT232" s="208"/>
      <c r="CU232" s="208"/>
      <c r="CV232" s="208"/>
      <c r="CW232" s="208"/>
      <c r="CX232" s="208"/>
      <c r="CY232" s="208"/>
      <c r="CZ232" s="208"/>
      <c r="DA232" s="208"/>
      <c r="DB232" s="208"/>
      <c r="DC232" s="208"/>
      <c r="DD232" s="208"/>
      <c r="DE232" s="208"/>
      <c r="DF232" s="208"/>
      <c r="DG232" s="208"/>
      <c r="DH232" s="208"/>
      <c r="DI232" s="208"/>
      <c r="DJ232" s="208"/>
      <c r="DK232" s="208"/>
      <c r="DL232" s="208"/>
      <c r="DM232" s="208"/>
      <c r="DN232" s="208"/>
      <c r="DO232" s="208"/>
      <c r="DP232" s="208"/>
      <c r="DQ232" s="208"/>
      <c r="DR232" s="208"/>
      <c r="DS232" s="208"/>
      <c r="DT232" s="208"/>
      <c r="DU232" s="208"/>
      <c r="DV232" s="208"/>
      <c r="DW232" s="208"/>
      <c r="DX232" s="208"/>
      <c r="DY232" s="208"/>
      <c r="DZ232" s="208"/>
      <c r="EA232" s="208"/>
      <c r="EB232" s="208"/>
      <c r="EC232" s="208"/>
      <c r="ED232" s="208"/>
      <c r="EE232" s="208"/>
      <c r="EF232" s="208"/>
      <c r="EG232" s="208"/>
      <c r="EH232" s="208"/>
      <c r="EI232" s="208"/>
      <c r="EJ232" s="208"/>
      <c r="EK232" s="208"/>
      <c r="EL232" s="208"/>
      <c r="EM232" s="208"/>
      <c r="EN232" s="208"/>
      <c r="EO232" s="208"/>
      <c r="EP232" s="208"/>
      <c r="EQ232" s="208"/>
      <c r="ER232" s="208"/>
      <c r="ES232" s="208"/>
      <c r="ET232" s="208"/>
      <c r="EU232" s="208"/>
      <c r="EV232" s="208"/>
      <c r="EW232" s="208"/>
      <c r="EX232" s="208"/>
      <c r="EY232" s="208"/>
      <c r="EZ232" s="208"/>
      <c r="FA232" s="208"/>
      <c r="FB232" s="208"/>
      <c r="FC232" s="208"/>
      <c r="FD232" s="208"/>
      <c r="FE232" s="208"/>
      <c r="FF232" s="208"/>
      <c r="FG232" s="208"/>
      <c r="FH232" s="208"/>
      <c r="FI232" s="208"/>
      <c r="FJ232" s="208"/>
      <c r="FK232" s="208"/>
      <c r="FL232" s="208"/>
      <c r="FM232" s="208"/>
      <c r="FN232" s="208"/>
      <c r="FO232" s="208"/>
      <c r="FP232" s="208"/>
      <c r="FQ232" s="208"/>
      <c r="FR232" s="208"/>
      <c r="FS232" s="208"/>
      <c r="FT232" s="208"/>
      <c r="FU232" s="208"/>
      <c r="FV232" s="208"/>
      <c r="FW232" s="208"/>
      <c r="FX232" s="208"/>
      <c r="FY232" s="208"/>
      <c r="FZ232" s="208"/>
      <c r="GA232" s="208"/>
      <c r="GB232" s="208"/>
      <c r="GC232" s="208"/>
      <c r="GD232" s="208"/>
      <c r="GE232" s="208"/>
      <c r="GF232" s="208"/>
    </row>
    <row r="233" spans="1:188" s="209" customFormat="1" ht="15" x14ac:dyDescent="0.25">
      <c r="A233" s="195" t="s">
        <v>5010</v>
      </c>
      <c r="B233" s="195" t="s">
        <v>217</v>
      </c>
      <c r="C233" s="196" t="s">
        <v>2198</v>
      </c>
      <c r="D233" s="154" t="s">
        <v>78</v>
      </c>
      <c r="E233" s="154">
        <v>5300</v>
      </c>
      <c r="F233" s="154">
        <v>0.1</v>
      </c>
      <c r="G233" s="197"/>
      <c r="H233" s="198"/>
      <c r="I233" s="151">
        <f>IFERROR(INDEX(Composições!$A$5:$J$8391,MATCH(B233,Composições!$A$5:$A$8391,0)+2,8),"")</f>
        <v>116.572581</v>
      </c>
      <c r="J233" s="152">
        <f t="shared" si="39"/>
        <v>61783.47</v>
      </c>
      <c r="K233" s="198">
        <f>BDI!$B$17</f>
        <v>0.191</v>
      </c>
      <c r="L233" s="198"/>
      <c r="M233" s="198"/>
      <c r="N233" s="153">
        <f t="shared" si="40"/>
        <v>138.84</v>
      </c>
      <c r="O233" s="152">
        <f t="shared" si="41"/>
        <v>73585.2</v>
      </c>
      <c r="P233" s="225"/>
      <c r="Q233" s="208"/>
      <c r="R233" s="208"/>
      <c r="S233"/>
      <c r="T233" s="208"/>
      <c r="U233" s="208"/>
      <c r="V233" s="208"/>
      <c r="W233" s="208"/>
      <c r="X233" s="208"/>
      <c r="Y233" s="208"/>
      <c r="Z233" s="208"/>
      <c r="AA233" s="208"/>
      <c r="AB233" s="208"/>
      <c r="AC233" s="208"/>
      <c r="AD233" s="208"/>
      <c r="AE233" s="208"/>
      <c r="AF233" s="208"/>
      <c r="AG233" s="208"/>
      <c r="AH233" s="208"/>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c r="BI233" s="208"/>
      <c r="BJ233" s="208"/>
      <c r="BK233" s="208"/>
      <c r="BL233" s="208"/>
      <c r="BM233" s="208"/>
      <c r="BN233" s="208"/>
      <c r="BO233" s="208"/>
      <c r="BP233" s="208"/>
      <c r="BQ233" s="208"/>
      <c r="BR233" s="208"/>
      <c r="BS233" s="208"/>
      <c r="BT233" s="208"/>
      <c r="BU233" s="208"/>
      <c r="BV233" s="208"/>
      <c r="BW233" s="208"/>
      <c r="BX233" s="208"/>
      <c r="BY233" s="208"/>
      <c r="BZ233" s="208"/>
      <c r="CA233" s="208"/>
      <c r="CB233" s="208"/>
      <c r="CC233" s="208"/>
      <c r="CD233" s="208"/>
      <c r="CE233" s="208"/>
      <c r="CF233" s="208"/>
      <c r="CG233" s="208"/>
      <c r="CH233" s="208"/>
      <c r="CI233" s="208"/>
      <c r="CJ233" s="208"/>
      <c r="CK233" s="208"/>
      <c r="CL233" s="208"/>
      <c r="CM233" s="208"/>
      <c r="CN233" s="208"/>
      <c r="CO233" s="208"/>
      <c r="CP233" s="208"/>
      <c r="CQ233" s="208"/>
      <c r="CR233" s="208"/>
      <c r="CS233" s="208"/>
      <c r="CT233" s="208"/>
      <c r="CU233" s="208"/>
      <c r="CV233" s="208"/>
      <c r="CW233" s="208"/>
      <c r="CX233" s="208"/>
      <c r="CY233" s="208"/>
      <c r="CZ233" s="208"/>
      <c r="DA233" s="208"/>
      <c r="DB233" s="208"/>
      <c r="DC233" s="208"/>
      <c r="DD233" s="208"/>
      <c r="DE233" s="208"/>
      <c r="DF233" s="208"/>
      <c r="DG233" s="208"/>
      <c r="DH233" s="208"/>
      <c r="DI233" s="208"/>
      <c r="DJ233" s="208"/>
      <c r="DK233" s="208"/>
      <c r="DL233" s="208"/>
      <c r="DM233" s="208"/>
      <c r="DN233" s="208"/>
      <c r="DO233" s="208"/>
      <c r="DP233" s="208"/>
      <c r="DQ233" s="208"/>
      <c r="DR233" s="208"/>
      <c r="DS233" s="208"/>
      <c r="DT233" s="208"/>
      <c r="DU233" s="208"/>
      <c r="DV233" s="208"/>
      <c r="DW233" s="208"/>
      <c r="DX233" s="208"/>
      <c r="DY233" s="208"/>
      <c r="DZ233" s="208"/>
      <c r="EA233" s="208"/>
      <c r="EB233" s="208"/>
      <c r="EC233" s="208"/>
      <c r="ED233" s="208"/>
      <c r="EE233" s="208"/>
      <c r="EF233" s="208"/>
      <c r="EG233" s="208"/>
      <c r="EH233" s="208"/>
      <c r="EI233" s="208"/>
      <c r="EJ233" s="208"/>
      <c r="EK233" s="208"/>
      <c r="EL233" s="208"/>
      <c r="EM233" s="208"/>
      <c r="EN233" s="208"/>
      <c r="EO233" s="208"/>
      <c r="EP233" s="208"/>
      <c r="EQ233" s="208"/>
      <c r="ER233" s="208"/>
      <c r="ES233" s="208"/>
      <c r="ET233" s="208"/>
      <c r="EU233" s="208"/>
      <c r="EV233" s="208"/>
      <c r="EW233" s="208"/>
      <c r="EX233" s="208"/>
      <c r="EY233" s="208"/>
      <c r="EZ233" s="208"/>
      <c r="FA233" s="208"/>
      <c r="FB233" s="208"/>
      <c r="FC233" s="208"/>
      <c r="FD233" s="208"/>
      <c r="FE233" s="208"/>
      <c r="FF233" s="208"/>
      <c r="FG233" s="208"/>
      <c r="FH233" s="208"/>
      <c r="FI233" s="208"/>
      <c r="FJ233" s="208"/>
      <c r="FK233" s="208"/>
      <c r="FL233" s="208"/>
      <c r="FM233" s="208"/>
      <c r="FN233" s="208"/>
      <c r="FO233" s="208"/>
      <c r="FP233" s="208"/>
      <c r="FQ233" s="208"/>
      <c r="FR233" s="208"/>
      <c r="FS233" s="208"/>
      <c r="FT233" s="208"/>
      <c r="FU233" s="208"/>
      <c r="FV233" s="208"/>
      <c r="FW233" s="208"/>
      <c r="FX233" s="208"/>
      <c r="FY233" s="208"/>
      <c r="FZ233" s="208"/>
      <c r="GA233" s="208"/>
      <c r="GB233" s="208"/>
      <c r="GC233" s="208"/>
      <c r="GD233" s="208"/>
      <c r="GE233" s="208"/>
      <c r="GF233" s="208"/>
    </row>
    <row r="234" spans="1:188" s="209" customFormat="1" ht="15" x14ac:dyDescent="0.25">
      <c r="A234" s="195" t="s">
        <v>5011</v>
      </c>
      <c r="B234" s="195" t="s">
        <v>808</v>
      </c>
      <c r="C234" s="196" t="s">
        <v>2694</v>
      </c>
      <c r="D234" s="154" t="s">
        <v>78</v>
      </c>
      <c r="E234" s="154">
        <v>30</v>
      </c>
      <c r="F234" s="154">
        <v>0.1</v>
      </c>
      <c r="G234" s="197"/>
      <c r="H234" s="198"/>
      <c r="I234" s="151">
        <f>IFERROR(INDEX(Composições!$A$5:$J$8391,MATCH(B234,Composições!$A$5:$A$8391,0)+2,8),"")</f>
        <v>111.73899999999999</v>
      </c>
      <c r="J234" s="152">
        <f t="shared" si="39"/>
        <v>335.22</v>
      </c>
      <c r="K234" s="198">
        <f>BDI!$B$17</f>
        <v>0.191</v>
      </c>
      <c r="L234" s="198"/>
      <c r="M234" s="198"/>
      <c r="N234" s="153">
        <f t="shared" si="40"/>
        <v>133.08000000000001</v>
      </c>
      <c r="O234" s="152">
        <f t="shared" si="41"/>
        <v>399.24</v>
      </c>
      <c r="P234" s="225"/>
      <c r="Q234" s="208"/>
      <c r="R234" s="208"/>
      <c r="S234"/>
      <c r="T234" s="208"/>
      <c r="U234" s="208"/>
      <c r="V234" s="208"/>
      <c r="W234" s="208"/>
      <c r="X234" s="208"/>
      <c r="Y234" s="208"/>
      <c r="Z234" s="208"/>
      <c r="AA234" s="208"/>
      <c r="AB234" s="208"/>
      <c r="AC234" s="208"/>
      <c r="AD234" s="208"/>
      <c r="AE234" s="208"/>
      <c r="AF234" s="208"/>
      <c r="AG234" s="208"/>
      <c r="AH234" s="208"/>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c r="BI234" s="208"/>
      <c r="BJ234" s="208"/>
      <c r="BK234" s="208"/>
      <c r="BL234" s="208"/>
      <c r="BM234" s="208"/>
      <c r="BN234" s="208"/>
      <c r="BO234" s="208"/>
      <c r="BP234" s="208"/>
      <c r="BQ234" s="208"/>
      <c r="BR234" s="208"/>
      <c r="BS234" s="208"/>
      <c r="BT234" s="208"/>
      <c r="BU234" s="208"/>
      <c r="BV234" s="208"/>
      <c r="BW234" s="208"/>
      <c r="BX234" s="208"/>
      <c r="BY234" s="208"/>
      <c r="BZ234" s="208"/>
      <c r="CA234" s="208"/>
      <c r="CB234" s="208"/>
      <c r="CC234" s="208"/>
      <c r="CD234" s="208"/>
      <c r="CE234" s="208"/>
      <c r="CF234" s="208"/>
      <c r="CG234" s="208"/>
      <c r="CH234" s="208"/>
      <c r="CI234" s="208"/>
      <c r="CJ234" s="208"/>
      <c r="CK234" s="208"/>
      <c r="CL234" s="208"/>
      <c r="CM234" s="208"/>
      <c r="CN234" s="208"/>
      <c r="CO234" s="208"/>
      <c r="CP234" s="208"/>
      <c r="CQ234" s="208"/>
      <c r="CR234" s="208"/>
      <c r="CS234" s="208"/>
      <c r="CT234" s="208"/>
      <c r="CU234" s="208"/>
      <c r="CV234" s="208"/>
      <c r="CW234" s="208"/>
      <c r="CX234" s="208"/>
      <c r="CY234" s="208"/>
      <c r="CZ234" s="208"/>
      <c r="DA234" s="208"/>
      <c r="DB234" s="208"/>
      <c r="DC234" s="208"/>
      <c r="DD234" s="208"/>
      <c r="DE234" s="208"/>
      <c r="DF234" s="208"/>
      <c r="DG234" s="208"/>
      <c r="DH234" s="208"/>
      <c r="DI234" s="208"/>
      <c r="DJ234" s="208"/>
      <c r="DK234" s="208"/>
      <c r="DL234" s="208"/>
      <c r="DM234" s="208"/>
      <c r="DN234" s="208"/>
      <c r="DO234" s="208"/>
      <c r="DP234" s="208"/>
      <c r="DQ234" s="208"/>
      <c r="DR234" s="208"/>
      <c r="DS234" s="208"/>
      <c r="DT234" s="208"/>
      <c r="DU234" s="208"/>
      <c r="DV234" s="208"/>
      <c r="DW234" s="208"/>
      <c r="DX234" s="208"/>
      <c r="DY234" s="208"/>
      <c r="DZ234" s="208"/>
      <c r="EA234" s="208"/>
      <c r="EB234" s="208"/>
      <c r="EC234" s="208"/>
      <c r="ED234" s="208"/>
      <c r="EE234" s="208"/>
      <c r="EF234" s="208"/>
      <c r="EG234" s="208"/>
      <c r="EH234" s="208"/>
      <c r="EI234" s="208"/>
      <c r="EJ234" s="208"/>
      <c r="EK234" s="208"/>
      <c r="EL234" s="208"/>
      <c r="EM234" s="208"/>
      <c r="EN234" s="208"/>
      <c r="EO234" s="208"/>
      <c r="EP234" s="208"/>
      <c r="EQ234" s="208"/>
      <c r="ER234" s="208"/>
      <c r="ES234" s="208"/>
      <c r="ET234" s="208"/>
      <c r="EU234" s="208"/>
      <c r="EV234" s="208"/>
      <c r="EW234" s="208"/>
      <c r="EX234" s="208"/>
      <c r="EY234" s="208"/>
      <c r="EZ234" s="208"/>
      <c r="FA234" s="208"/>
      <c r="FB234" s="208"/>
      <c r="FC234" s="208"/>
      <c r="FD234" s="208"/>
      <c r="FE234" s="208"/>
      <c r="FF234" s="208"/>
      <c r="FG234" s="208"/>
      <c r="FH234" s="208"/>
      <c r="FI234" s="208"/>
      <c r="FJ234" s="208"/>
      <c r="FK234" s="208"/>
      <c r="FL234" s="208"/>
      <c r="FM234" s="208"/>
      <c r="FN234" s="208"/>
      <c r="FO234" s="208"/>
      <c r="FP234" s="208"/>
      <c r="FQ234" s="208"/>
      <c r="FR234" s="208"/>
      <c r="FS234" s="208"/>
      <c r="FT234" s="208"/>
      <c r="FU234" s="208"/>
      <c r="FV234" s="208"/>
      <c r="FW234" s="208"/>
      <c r="FX234" s="208"/>
      <c r="FY234" s="208"/>
      <c r="FZ234" s="208"/>
      <c r="GA234" s="208"/>
      <c r="GB234" s="208"/>
      <c r="GC234" s="208"/>
      <c r="GD234" s="208"/>
      <c r="GE234" s="208"/>
      <c r="GF234" s="208"/>
    </row>
    <row r="235" spans="1:188" s="209" customFormat="1" ht="15" x14ac:dyDescent="0.25">
      <c r="A235" s="195" t="s">
        <v>5012</v>
      </c>
      <c r="B235" s="195" t="s">
        <v>809</v>
      </c>
      <c r="C235" s="196" t="s">
        <v>2695</v>
      </c>
      <c r="D235" s="154" t="s">
        <v>78</v>
      </c>
      <c r="E235" s="154">
        <v>900</v>
      </c>
      <c r="F235" s="154">
        <v>0.1</v>
      </c>
      <c r="G235" s="197"/>
      <c r="H235" s="198"/>
      <c r="I235" s="151">
        <f>IFERROR(INDEX(Composições!$A$5:$J$8391,MATCH(B235,Composições!$A$5:$A$8391,0)+2,8),"")</f>
        <v>149.64400000000001</v>
      </c>
      <c r="J235" s="152">
        <f t="shared" si="39"/>
        <v>13467.96</v>
      </c>
      <c r="K235" s="198">
        <f>BDI!$B$17</f>
        <v>0.191</v>
      </c>
      <c r="L235" s="198"/>
      <c r="M235" s="198"/>
      <c r="N235" s="153">
        <f t="shared" si="40"/>
        <v>178.23</v>
      </c>
      <c r="O235" s="152">
        <f t="shared" si="41"/>
        <v>16040.7</v>
      </c>
      <c r="P235" s="225"/>
      <c r="Q235" s="208"/>
      <c r="R235" s="208"/>
      <c r="S235"/>
      <c r="T235" s="208"/>
      <c r="U235" s="208"/>
      <c r="V235" s="208"/>
      <c r="W235" s="208"/>
      <c r="X235" s="208"/>
      <c r="Y235" s="208"/>
      <c r="Z235" s="208"/>
      <c r="AA235" s="208"/>
      <c r="AB235" s="208"/>
      <c r="AC235" s="208"/>
      <c r="AD235" s="208"/>
      <c r="AE235" s="208"/>
      <c r="AF235" s="208"/>
      <c r="AG235" s="208"/>
      <c r="AH235" s="208"/>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c r="BI235" s="208"/>
      <c r="BJ235" s="208"/>
      <c r="BK235" s="208"/>
      <c r="BL235" s="208"/>
      <c r="BM235" s="208"/>
      <c r="BN235" s="208"/>
      <c r="BO235" s="208"/>
      <c r="BP235" s="208"/>
      <c r="BQ235" s="208"/>
      <c r="BR235" s="208"/>
      <c r="BS235" s="208"/>
      <c r="BT235" s="208"/>
      <c r="BU235" s="208"/>
      <c r="BV235" s="208"/>
      <c r="BW235" s="208"/>
      <c r="BX235" s="208"/>
      <c r="BY235" s="208"/>
      <c r="BZ235" s="208"/>
      <c r="CA235" s="208"/>
      <c r="CB235" s="208"/>
      <c r="CC235" s="208"/>
      <c r="CD235" s="208"/>
      <c r="CE235" s="208"/>
      <c r="CF235" s="208"/>
      <c r="CG235" s="208"/>
      <c r="CH235" s="208"/>
      <c r="CI235" s="208"/>
      <c r="CJ235" s="208"/>
      <c r="CK235" s="208"/>
      <c r="CL235" s="208"/>
      <c r="CM235" s="208"/>
      <c r="CN235" s="208"/>
      <c r="CO235" s="208"/>
      <c r="CP235" s="208"/>
      <c r="CQ235" s="208"/>
      <c r="CR235" s="208"/>
      <c r="CS235" s="208"/>
      <c r="CT235" s="208"/>
      <c r="CU235" s="208"/>
      <c r="CV235" s="208"/>
      <c r="CW235" s="208"/>
      <c r="CX235" s="208"/>
      <c r="CY235" s="208"/>
      <c r="CZ235" s="208"/>
      <c r="DA235" s="208"/>
      <c r="DB235" s="208"/>
      <c r="DC235" s="208"/>
      <c r="DD235" s="208"/>
      <c r="DE235" s="208"/>
      <c r="DF235" s="208"/>
      <c r="DG235" s="208"/>
      <c r="DH235" s="208"/>
      <c r="DI235" s="208"/>
      <c r="DJ235" s="208"/>
      <c r="DK235" s="208"/>
      <c r="DL235" s="208"/>
      <c r="DM235" s="208"/>
      <c r="DN235" s="208"/>
      <c r="DO235" s="208"/>
      <c r="DP235" s="208"/>
      <c r="DQ235" s="208"/>
      <c r="DR235" s="208"/>
      <c r="DS235" s="208"/>
      <c r="DT235" s="208"/>
      <c r="DU235" s="208"/>
      <c r="DV235" s="208"/>
      <c r="DW235" s="208"/>
      <c r="DX235" s="208"/>
      <c r="DY235" s="208"/>
      <c r="DZ235" s="208"/>
      <c r="EA235" s="208"/>
      <c r="EB235" s="208"/>
      <c r="EC235" s="208"/>
      <c r="ED235" s="208"/>
      <c r="EE235" s="208"/>
      <c r="EF235" s="208"/>
      <c r="EG235" s="208"/>
      <c r="EH235" s="208"/>
      <c r="EI235" s="208"/>
      <c r="EJ235" s="208"/>
      <c r="EK235" s="208"/>
      <c r="EL235" s="208"/>
      <c r="EM235" s="208"/>
      <c r="EN235" s="208"/>
      <c r="EO235" s="208"/>
      <c r="EP235" s="208"/>
      <c r="EQ235" s="208"/>
      <c r="ER235" s="208"/>
      <c r="ES235" s="208"/>
      <c r="ET235" s="208"/>
      <c r="EU235" s="208"/>
      <c r="EV235" s="208"/>
      <c r="EW235" s="208"/>
      <c r="EX235" s="208"/>
      <c r="EY235" s="208"/>
      <c r="EZ235" s="208"/>
      <c r="FA235" s="208"/>
      <c r="FB235" s="208"/>
      <c r="FC235" s="208"/>
      <c r="FD235" s="208"/>
      <c r="FE235" s="208"/>
      <c r="FF235" s="208"/>
      <c r="FG235" s="208"/>
      <c r="FH235" s="208"/>
      <c r="FI235" s="208"/>
      <c r="FJ235" s="208"/>
      <c r="FK235" s="208"/>
      <c r="FL235" s="208"/>
      <c r="FM235" s="208"/>
      <c r="FN235" s="208"/>
      <c r="FO235" s="208"/>
      <c r="FP235" s="208"/>
      <c r="FQ235" s="208"/>
      <c r="FR235" s="208"/>
      <c r="FS235" s="208"/>
      <c r="FT235" s="208"/>
      <c r="FU235" s="208"/>
      <c r="FV235" s="208"/>
      <c r="FW235" s="208"/>
      <c r="FX235" s="208"/>
      <c r="FY235" s="208"/>
      <c r="FZ235" s="208"/>
      <c r="GA235" s="208"/>
      <c r="GB235" s="208"/>
      <c r="GC235" s="208"/>
      <c r="GD235" s="208"/>
      <c r="GE235" s="208"/>
      <c r="GF235" s="208"/>
    </row>
    <row r="236" spans="1:188" s="209" customFormat="1" ht="15" x14ac:dyDescent="0.25">
      <c r="A236" s="195" t="s">
        <v>5013</v>
      </c>
      <c r="B236" s="195" t="s">
        <v>811</v>
      </c>
      <c r="C236" s="196" t="s">
        <v>2697</v>
      </c>
      <c r="D236" s="154" t="s">
        <v>78</v>
      </c>
      <c r="E236" s="154">
        <v>320</v>
      </c>
      <c r="F236" s="154">
        <v>0.1</v>
      </c>
      <c r="G236" s="197"/>
      <c r="H236" s="198"/>
      <c r="I236" s="151">
        <f>IFERROR(INDEX(Composições!$A$5:$J$8391,MATCH(B236,Composições!$A$5:$A$8391,0)+2,8),"")</f>
        <v>59.631499999999988</v>
      </c>
      <c r="J236" s="152">
        <f t="shared" si="39"/>
        <v>1908.21</v>
      </c>
      <c r="K236" s="198">
        <f>BDI!$B$17</f>
        <v>0.191</v>
      </c>
      <c r="L236" s="198"/>
      <c r="M236" s="198"/>
      <c r="N236" s="153">
        <f t="shared" si="40"/>
        <v>71.02</v>
      </c>
      <c r="O236" s="152">
        <f t="shared" si="41"/>
        <v>2272.64</v>
      </c>
      <c r="P236" s="225"/>
      <c r="Q236" s="208"/>
      <c r="R236" s="208"/>
      <c r="S236"/>
      <c r="T236" s="208"/>
      <c r="U236" s="208"/>
      <c r="V236" s="208"/>
      <c r="W236" s="208"/>
      <c r="X236" s="208"/>
      <c r="Y236" s="208"/>
      <c r="Z236" s="208"/>
      <c r="AA236" s="208"/>
      <c r="AB236" s="208"/>
      <c r="AC236" s="208"/>
      <c r="AD236" s="208"/>
      <c r="AE236" s="208"/>
      <c r="AF236" s="208"/>
      <c r="AG236" s="208"/>
      <c r="AH236" s="208"/>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c r="BI236" s="208"/>
      <c r="BJ236" s="208"/>
      <c r="BK236" s="208"/>
      <c r="BL236" s="208"/>
      <c r="BM236" s="208"/>
      <c r="BN236" s="208"/>
      <c r="BO236" s="208"/>
      <c r="BP236" s="208"/>
      <c r="BQ236" s="208"/>
      <c r="BR236" s="208"/>
      <c r="BS236" s="208"/>
      <c r="BT236" s="208"/>
      <c r="BU236" s="208"/>
      <c r="BV236" s="208"/>
      <c r="BW236" s="208"/>
      <c r="BX236" s="208"/>
      <c r="BY236" s="208"/>
      <c r="BZ236" s="208"/>
      <c r="CA236" s="208"/>
      <c r="CB236" s="208"/>
      <c r="CC236" s="208"/>
      <c r="CD236" s="208"/>
      <c r="CE236" s="208"/>
      <c r="CF236" s="208"/>
      <c r="CG236" s="208"/>
      <c r="CH236" s="208"/>
      <c r="CI236" s="208"/>
      <c r="CJ236" s="208"/>
      <c r="CK236" s="208"/>
      <c r="CL236" s="208"/>
      <c r="CM236" s="208"/>
      <c r="CN236" s="208"/>
      <c r="CO236" s="208"/>
      <c r="CP236" s="208"/>
      <c r="CQ236" s="208"/>
      <c r="CR236" s="208"/>
      <c r="CS236" s="208"/>
      <c r="CT236" s="208"/>
      <c r="CU236" s="208"/>
      <c r="CV236" s="208"/>
      <c r="CW236" s="208"/>
      <c r="CX236" s="208"/>
      <c r="CY236" s="208"/>
      <c r="CZ236" s="208"/>
      <c r="DA236" s="208"/>
      <c r="DB236" s="208"/>
      <c r="DC236" s="208"/>
      <c r="DD236" s="208"/>
      <c r="DE236" s="208"/>
      <c r="DF236" s="208"/>
      <c r="DG236" s="208"/>
      <c r="DH236" s="208"/>
      <c r="DI236" s="208"/>
      <c r="DJ236" s="208"/>
      <c r="DK236" s="208"/>
      <c r="DL236" s="208"/>
      <c r="DM236" s="208"/>
      <c r="DN236" s="208"/>
      <c r="DO236" s="208"/>
      <c r="DP236" s="208"/>
      <c r="DQ236" s="208"/>
      <c r="DR236" s="208"/>
      <c r="DS236" s="208"/>
      <c r="DT236" s="208"/>
      <c r="DU236" s="208"/>
      <c r="DV236" s="208"/>
      <c r="DW236" s="208"/>
      <c r="DX236" s="208"/>
      <c r="DY236" s="208"/>
      <c r="DZ236" s="208"/>
      <c r="EA236" s="208"/>
      <c r="EB236" s="208"/>
      <c r="EC236" s="208"/>
      <c r="ED236" s="208"/>
      <c r="EE236" s="208"/>
      <c r="EF236" s="208"/>
      <c r="EG236" s="208"/>
      <c r="EH236" s="208"/>
      <c r="EI236" s="208"/>
      <c r="EJ236" s="208"/>
      <c r="EK236" s="208"/>
      <c r="EL236" s="208"/>
      <c r="EM236" s="208"/>
      <c r="EN236" s="208"/>
      <c r="EO236" s="208"/>
      <c r="EP236" s="208"/>
      <c r="EQ236" s="208"/>
      <c r="ER236" s="208"/>
      <c r="ES236" s="208"/>
      <c r="ET236" s="208"/>
      <c r="EU236" s="208"/>
      <c r="EV236" s="208"/>
      <c r="EW236" s="208"/>
      <c r="EX236" s="208"/>
      <c r="EY236" s="208"/>
      <c r="EZ236" s="208"/>
      <c r="FA236" s="208"/>
      <c r="FB236" s="208"/>
      <c r="FC236" s="208"/>
      <c r="FD236" s="208"/>
      <c r="FE236" s="208"/>
      <c r="FF236" s="208"/>
      <c r="FG236" s="208"/>
      <c r="FH236" s="208"/>
      <c r="FI236" s="208"/>
      <c r="FJ236" s="208"/>
      <c r="FK236" s="208"/>
      <c r="FL236" s="208"/>
      <c r="FM236" s="208"/>
      <c r="FN236" s="208"/>
      <c r="FO236" s="208"/>
      <c r="FP236" s="208"/>
      <c r="FQ236" s="208"/>
      <c r="FR236" s="208"/>
      <c r="FS236" s="208"/>
      <c r="FT236" s="208"/>
      <c r="FU236" s="208"/>
      <c r="FV236" s="208"/>
      <c r="FW236" s="208"/>
      <c r="FX236" s="208"/>
      <c r="FY236" s="208"/>
      <c r="FZ236" s="208"/>
      <c r="GA236" s="208"/>
      <c r="GB236" s="208"/>
      <c r="GC236" s="208"/>
      <c r="GD236" s="208"/>
      <c r="GE236" s="208"/>
      <c r="GF236" s="208"/>
    </row>
    <row r="237" spans="1:188" s="209" customFormat="1" ht="15" x14ac:dyDescent="0.25">
      <c r="A237" s="195" t="s">
        <v>5014</v>
      </c>
      <c r="B237" s="195" t="s">
        <v>211</v>
      </c>
      <c r="C237" s="196" t="s">
        <v>2194</v>
      </c>
      <c r="D237" s="154" t="s">
        <v>78</v>
      </c>
      <c r="E237" s="154">
        <v>1500</v>
      </c>
      <c r="F237" s="154">
        <v>0.1</v>
      </c>
      <c r="G237" s="197"/>
      <c r="H237" s="198"/>
      <c r="I237" s="151">
        <f>IFERROR(INDEX(Composições!$A$5:$J$8391,MATCH(B237,Composições!$A$5:$A$8391,0)+2,8),"")</f>
        <v>769.45724999999993</v>
      </c>
      <c r="J237" s="152">
        <f t="shared" si="39"/>
        <v>115418.59</v>
      </c>
      <c r="K237" s="198">
        <f>BDI!$B$17</f>
        <v>0.191</v>
      </c>
      <c r="L237" s="198"/>
      <c r="M237" s="198"/>
      <c r="N237" s="153">
        <f t="shared" si="40"/>
        <v>916.42</v>
      </c>
      <c r="O237" s="152">
        <f t="shared" si="41"/>
        <v>137463</v>
      </c>
      <c r="P237" s="225"/>
      <c r="Q237" s="208"/>
      <c r="R237" s="208"/>
      <c r="S237"/>
      <c r="T237" s="208"/>
      <c r="U237" s="208"/>
      <c r="V237" s="208"/>
      <c r="W237" s="208"/>
      <c r="X237" s="208"/>
      <c r="Y237" s="208"/>
      <c r="Z237" s="208"/>
      <c r="AA237" s="208"/>
      <c r="AB237" s="208"/>
      <c r="AC237" s="208"/>
      <c r="AD237" s="208"/>
      <c r="AE237" s="208"/>
      <c r="AF237" s="208"/>
      <c r="AG237" s="208"/>
      <c r="AH237" s="208"/>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c r="BI237" s="208"/>
      <c r="BJ237" s="208"/>
      <c r="BK237" s="208"/>
      <c r="BL237" s="208"/>
      <c r="BM237" s="208"/>
      <c r="BN237" s="208"/>
      <c r="BO237" s="208"/>
      <c r="BP237" s="208"/>
      <c r="BQ237" s="208"/>
      <c r="BR237" s="208"/>
      <c r="BS237" s="208"/>
      <c r="BT237" s="208"/>
      <c r="BU237" s="208"/>
      <c r="BV237" s="208"/>
      <c r="BW237" s="208"/>
      <c r="BX237" s="208"/>
      <c r="BY237" s="208"/>
      <c r="BZ237" s="208"/>
      <c r="CA237" s="208"/>
      <c r="CB237" s="208"/>
      <c r="CC237" s="208"/>
      <c r="CD237" s="208"/>
      <c r="CE237" s="208"/>
      <c r="CF237" s="208"/>
      <c r="CG237" s="208"/>
      <c r="CH237" s="208"/>
      <c r="CI237" s="208"/>
      <c r="CJ237" s="208"/>
      <c r="CK237" s="208"/>
      <c r="CL237" s="208"/>
      <c r="CM237" s="208"/>
      <c r="CN237" s="208"/>
      <c r="CO237" s="208"/>
      <c r="CP237" s="208"/>
      <c r="CQ237" s="208"/>
      <c r="CR237" s="208"/>
      <c r="CS237" s="208"/>
      <c r="CT237" s="208"/>
      <c r="CU237" s="208"/>
      <c r="CV237" s="208"/>
      <c r="CW237" s="208"/>
      <c r="CX237" s="208"/>
      <c r="CY237" s="208"/>
      <c r="CZ237" s="208"/>
      <c r="DA237" s="208"/>
      <c r="DB237" s="208"/>
      <c r="DC237" s="208"/>
      <c r="DD237" s="208"/>
      <c r="DE237" s="208"/>
      <c r="DF237" s="208"/>
      <c r="DG237" s="208"/>
      <c r="DH237" s="208"/>
      <c r="DI237" s="208"/>
      <c r="DJ237" s="208"/>
      <c r="DK237" s="208"/>
      <c r="DL237" s="208"/>
      <c r="DM237" s="208"/>
      <c r="DN237" s="208"/>
      <c r="DO237" s="208"/>
      <c r="DP237" s="208"/>
      <c r="DQ237" s="208"/>
      <c r="DR237" s="208"/>
      <c r="DS237" s="208"/>
      <c r="DT237" s="208"/>
      <c r="DU237" s="208"/>
      <c r="DV237" s="208"/>
      <c r="DW237" s="208"/>
      <c r="DX237" s="208"/>
      <c r="DY237" s="208"/>
      <c r="DZ237" s="208"/>
      <c r="EA237" s="208"/>
      <c r="EB237" s="208"/>
      <c r="EC237" s="208"/>
      <c r="ED237" s="208"/>
      <c r="EE237" s="208"/>
      <c r="EF237" s="208"/>
      <c r="EG237" s="208"/>
      <c r="EH237" s="208"/>
      <c r="EI237" s="208"/>
      <c r="EJ237" s="208"/>
      <c r="EK237" s="208"/>
      <c r="EL237" s="208"/>
      <c r="EM237" s="208"/>
      <c r="EN237" s="208"/>
      <c r="EO237" s="208"/>
      <c r="EP237" s="208"/>
      <c r="EQ237" s="208"/>
      <c r="ER237" s="208"/>
      <c r="ES237" s="208"/>
      <c r="ET237" s="208"/>
      <c r="EU237" s="208"/>
      <c r="EV237" s="208"/>
      <c r="EW237" s="208"/>
      <c r="EX237" s="208"/>
      <c r="EY237" s="208"/>
      <c r="EZ237" s="208"/>
      <c r="FA237" s="208"/>
      <c r="FB237" s="208"/>
      <c r="FC237" s="208"/>
      <c r="FD237" s="208"/>
      <c r="FE237" s="208"/>
      <c r="FF237" s="208"/>
      <c r="FG237" s="208"/>
      <c r="FH237" s="208"/>
      <c r="FI237" s="208"/>
      <c r="FJ237" s="208"/>
      <c r="FK237" s="208"/>
      <c r="FL237" s="208"/>
      <c r="FM237" s="208"/>
      <c r="FN237" s="208"/>
      <c r="FO237" s="208"/>
      <c r="FP237" s="208"/>
      <c r="FQ237" s="208"/>
      <c r="FR237" s="208"/>
      <c r="FS237" s="208"/>
      <c r="FT237" s="208"/>
      <c r="FU237" s="208"/>
      <c r="FV237" s="208"/>
      <c r="FW237" s="208"/>
      <c r="FX237" s="208"/>
      <c r="FY237" s="208"/>
      <c r="FZ237" s="208"/>
      <c r="GA237" s="208"/>
      <c r="GB237" s="208"/>
      <c r="GC237" s="208"/>
      <c r="GD237" s="208"/>
      <c r="GE237" s="208"/>
      <c r="GF237" s="208"/>
    </row>
    <row r="238" spans="1:188" s="209" customFormat="1" ht="15" x14ac:dyDescent="0.25">
      <c r="A238" s="195" t="s">
        <v>5015</v>
      </c>
      <c r="B238" s="195" t="s">
        <v>812</v>
      </c>
      <c r="C238" s="196" t="s">
        <v>813</v>
      </c>
      <c r="D238" s="154" t="s">
        <v>78</v>
      </c>
      <c r="E238" s="154">
        <v>220</v>
      </c>
      <c r="F238" s="154">
        <v>0.1</v>
      </c>
      <c r="G238" s="197"/>
      <c r="H238" s="198"/>
      <c r="I238" s="151">
        <f>IFERROR(INDEX(Composições!$A$5:$J$8391,MATCH(B238,Composições!$A$5:$A$8391,0)+2,8),"")</f>
        <v>709.63149999999996</v>
      </c>
      <c r="J238" s="152">
        <f t="shared" si="39"/>
        <v>15611.89</v>
      </c>
      <c r="K238" s="198">
        <f>BDI!$B$17</f>
        <v>0.191</v>
      </c>
      <c r="L238" s="198"/>
      <c r="M238" s="198"/>
      <c r="N238" s="153">
        <f t="shared" si="40"/>
        <v>845.17</v>
      </c>
      <c r="O238" s="152">
        <f t="shared" si="41"/>
        <v>18593.740000000002</v>
      </c>
      <c r="P238" s="225"/>
      <c r="Q238" s="208"/>
      <c r="R238" s="208"/>
      <c r="S238"/>
      <c r="T238" s="208"/>
      <c r="U238" s="208"/>
      <c r="V238" s="208"/>
      <c r="W238" s="208"/>
      <c r="X238" s="208"/>
      <c r="Y238" s="208"/>
      <c r="Z238" s="208"/>
      <c r="AA238" s="208"/>
      <c r="AB238" s="208"/>
      <c r="AC238" s="208"/>
      <c r="AD238" s="208"/>
      <c r="AE238" s="208"/>
      <c r="AF238" s="208"/>
      <c r="AG238" s="208"/>
      <c r="AH238" s="208"/>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c r="BI238" s="208"/>
      <c r="BJ238" s="208"/>
      <c r="BK238" s="208"/>
      <c r="BL238" s="208"/>
      <c r="BM238" s="208"/>
      <c r="BN238" s="208"/>
      <c r="BO238" s="208"/>
      <c r="BP238" s="208"/>
      <c r="BQ238" s="208"/>
      <c r="BR238" s="208"/>
      <c r="BS238" s="208"/>
      <c r="BT238" s="208"/>
      <c r="BU238" s="208"/>
      <c r="BV238" s="208"/>
      <c r="BW238" s="208"/>
      <c r="BX238" s="208"/>
      <c r="BY238" s="208"/>
      <c r="BZ238" s="208"/>
      <c r="CA238" s="208"/>
      <c r="CB238" s="208"/>
      <c r="CC238" s="208"/>
      <c r="CD238" s="208"/>
      <c r="CE238" s="208"/>
      <c r="CF238" s="208"/>
      <c r="CG238" s="208"/>
      <c r="CH238" s="208"/>
      <c r="CI238" s="208"/>
      <c r="CJ238" s="208"/>
      <c r="CK238" s="208"/>
      <c r="CL238" s="208"/>
      <c r="CM238" s="208"/>
      <c r="CN238" s="208"/>
      <c r="CO238" s="208"/>
      <c r="CP238" s="208"/>
      <c r="CQ238" s="208"/>
      <c r="CR238" s="208"/>
      <c r="CS238" s="208"/>
      <c r="CT238" s="208"/>
      <c r="CU238" s="208"/>
      <c r="CV238" s="208"/>
      <c r="CW238" s="208"/>
      <c r="CX238" s="208"/>
      <c r="CY238" s="208"/>
      <c r="CZ238" s="208"/>
      <c r="DA238" s="208"/>
      <c r="DB238" s="208"/>
      <c r="DC238" s="208"/>
      <c r="DD238" s="208"/>
      <c r="DE238" s="208"/>
      <c r="DF238" s="208"/>
      <c r="DG238" s="208"/>
      <c r="DH238" s="208"/>
      <c r="DI238" s="208"/>
      <c r="DJ238" s="208"/>
      <c r="DK238" s="208"/>
      <c r="DL238" s="208"/>
      <c r="DM238" s="208"/>
      <c r="DN238" s="208"/>
      <c r="DO238" s="208"/>
      <c r="DP238" s="208"/>
      <c r="DQ238" s="208"/>
      <c r="DR238" s="208"/>
      <c r="DS238" s="208"/>
      <c r="DT238" s="208"/>
      <c r="DU238" s="208"/>
      <c r="DV238" s="208"/>
      <c r="DW238" s="208"/>
      <c r="DX238" s="208"/>
      <c r="DY238" s="208"/>
      <c r="DZ238" s="208"/>
      <c r="EA238" s="208"/>
      <c r="EB238" s="208"/>
      <c r="EC238" s="208"/>
      <c r="ED238" s="208"/>
      <c r="EE238" s="208"/>
      <c r="EF238" s="208"/>
      <c r="EG238" s="208"/>
      <c r="EH238" s="208"/>
      <c r="EI238" s="208"/>
      <c r="EJ238" s="208"/>
      <c r="EK238" s="208"/>
      <c r="EL238" s="208"/>
      <c r="EM238" s="208"/>
      <c r="EN238" s="208"/>
      <c r="EO238" s="208"/>
      <c r="EP238" s="208"/>
      <c r="EQ238" s="208"/>
      <c r="ER238" s="208"/>
      <c r="ES238" s="208"/>
      <c r="ET238" s="208"/>
      <c r="EU238" s="208"/>
      <c r="EV238" s="208"/>
      <c r="EW238" s="208"/>
      <c r="EX238" s="208"/>
      <c r="EY238" s="208"/>
      <c r="EZ238" s="208"/>
      <c r="FA238" s="208"/>
      <c r="FB238" s="208"/>
      <c r="FC238" s="208"/>
      <c r="FD238" s="208"/>
      <c r="FE238" s="208"/>
      <c r="FF238" s="208"/>
      <c r="FG238" s="208"/>
      <c r="FH238" s="208"/>
      <c r="FI238" s="208"/>
      <c r="FJ238" s="208"/>
      <c r="FK238" s="208"/>
      <c r="FL238" s="208"/>
      <c r="FM238" s="208"/>
      <c r="FN238" s="208"/>
      <c r="FO238" s="208"/>
      <c r="FP238" s="208"/>
      <c r="FQ238" s="208"/>
      <c r="FR238" s="208"/>
      <c r="FS238" s="208"/>
      <c r="FT238" s="208"/>
      <c r="FU238" s="208"/>
      <c r="FV238" s="208"/>
      <c r="FW238" s="208"/>
      <c r="FX238" s="208"/>
      <c r="FY238" s="208"/>
      <c r="FZ238" s="208"/>
      <c r="GA238" s="208"/>
      <c r="GB238" s="208"/>
      <c r="GC238" s="208"/>
      <c r="GD238" s="208"/>
      <c r="GE238" s="208"/>
      <c r="GF238" s="208"/>
    </row>
    <row r="239" spans="1:188" s="209" customFormat="1" ht="15" x14ac:dyDescent="0.25">
      <c r="A239" s="195" t="s">
        <v>5016</v>
      </c>
      <c r="B239" s="195" t="s">
        <v>814</v>
      </c>
      <c r="C239" s="196" t="s">
        <v>2698</v>
      </c>
      <c r="D239" s="154" t="s">
        <v>28</v>
      </c>
      <c r="E239" s="154">
        <v>1440</v>
      </c>
      <c r="F239" s="154">
        <v>0.1</v>
      </c>
      <c r="G239" s="197"/>
      <c r="H239" s="198"/>
      <c r="I239" s="151">
        <f>IFERROR(INDEX(Composições!$A$5:$J$8391,MATCH(B239,Composições!$A$5:$A$8391,0)+2,8),"")</f>
        <v>10.026299999999999</v>
      </c>
      <c r="J239" s="152">
        <f t="shared" si="39"/>
        <v>1443.79</v>
      </c>
      <c r="K239" s="198">
        <f>BDI!$B$17</f>
        <v>0.191</v>
      </c>
      <c r="L239" s="198"/>
      <c r="M239" s="198"/>
      <c r="N239" s="153">
        <f t="shared" si="40"/>
        <v>11.94</v>
      </c>
      <c r="O239" s="152">
        <f t="shared" si="41"/>
        <v>1719.36</v>
      </c>
      <c r="P239" s="225"/>
      <c r="Q239" s="208"/>
      <c r="R239" s="208"/>
      <c r="S239"/>
      <c r="T239" s="208"/>
      <c r="U239" s="208"/>
      <c r="V239" s="208"/>
      <c r="W239" s="208"/>
      <c r="X239" s="208"/>
      <c r="Y239" s="208"/>
      <c r="Z239" s="208"/>
      <c r="AA239" s="208"/>
      <c r="AB239" s="208"/>
      <c r="AC239" s="208"/>
      <c r="AD239" s="208"/>
      <c r="AE239" s="208"/>
      <c r="AF239" s="208"/>
      <c r="AG239" s="208"/>
      <c r="AH239" s="208"/>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c r="BI239" s="208"/>
      <c r="BJ239" s="208"/>
      <c r="BK239" s="208"/>
      <c r="BL239" s="208"/>
      <c r="BM239" s="208"/>
      <c r="BN239" s="208"/>
      <c r="BO239" s="208"/>
      <c r="BP239" s="208"/>
      <c r="BQ239" s="208"/>
      <c r="BR239" s="208"/>
      <c r="BS239" s="208"/>
      <c r="BT239" s="208"/>
      <c r="BU239" s="208"/>
      <c r="BV239" s="208"/>
      <c r="BW239" s="208"/>
      <c r="BX239" s="208"/>
      <c r="BY239" s="208"/>
      <c r="BZ239" s="208"/>
      <c r="CA239" s="208"/>
      <c r="CB239" s="208"/>
      <c r="CC239" s="208"/>
      <c r="CD239" s="208"/>
      <c r="CE239" s="208"/>
      <c r="CF239" s="208"/>
      <c r="CG239" s="208"/>
      <c r="CH239" s="208"/>
      <c r="CI239" s="208"/>
      <c r="CJ239" s="208"/>
      <c r="CK239" s="208"/>
      <c r="CL239" s="208"/>
      <c r="CM239" s="208"/>
      <c r="CN239" s="208"/>
      <c r="CO239" s="208"/>
      <c r="CP239" s="208"/>
      <c r="CQ239" s="208"/>
      <c r="CR239" s="208"/>
      <c r="CS239" s="208"/>
      <c r="CT239" s="208"/>
      <c r="CU239" s="208"/>
      <c r="CV239" s="208"/>
      <c r="CW239" s="208"/>
      <c r="CX239" s="208"/>
      <c r="CY239" s="208"/>
      <c r="CZ239" s="208"/>
      <c r="DA239" s="208"/>
      <c r="DB239" s="208"/>
      <c r="DC239" s="208"/>
      <c r="DD239" s="208"/>
      <c r="DE239" s="208"/>
      <c r="DF239" s="208"/>
      <c r="DG239" s="208"/>
      <c r="DH239" s="208"/>
      <c r="DI239" s="208"/>
      <c r="DJ239" s="208"/>
      <c r="DK239" s="208"/>
      <c r="DL239" s="208"/>
      <c r="DM239" s="208"/>
      <c r="DN239" s="208"/>
      <c r="DO239" s="208"/>
      <c r="DP239" s="208"/>
      <c r="DQ239" s="208"/>
      <c r="DR239" s="208"/>
      <c r="DS239" s="208"/>
      <c r="DT239" s="208"/>
      <c r="DU239" s="208"/>
      <c r="DV239" s="208"/>
      <c r="DW239" s="208"/>
      <c r="DX239" s="208"/>
      <c r="DY239" s="208"/>
      <c r="DZ239" s="208"/>
      <c r="EA239" s="208"/>
      <c r="EB239" s="208"/>
      <c r="EC239" s="208"/>
      <c r="ED239" s="208"/>
      <c r="EE239" s="208"/>
      <c r="EF239" s="208"/>
      <c r="EG239" s="208"/>
      <c r="EH239" s="208"/>
      <c r="EI239" s="208"/>
      <c r="EJ239" s="208"/>
      <c r="EK239" s="208"/>
      <c r="EL239" s="208"/>
      <c r="EM239" s="208"/>
      <c r="EN239" s="208"/>
      <c r="EO239" s="208"/>
      <c r="EP239" s="208"/>
      <c r="EQ239" s="208"/>
      <c r="ER239" s="208"/>
      <c r="ES239" s="208"/>
      <c r="ET239" s="208"/>
      <c r="EU239" s="208"/>
      <c r="EV239" s="208"/>
      <c r="EW239" s="208"/>
      <c r="EX239" s="208"/>
      <c r="EY239" s="208"/>
      <c r="EZ239" s="208"/>
      <c r="FA239" s="208"/>
      <c r="FB239" s="208"/>
      <c r="FC239" s="208"/>
      <c r="FD239" s="208"/>
      <c r="FE239" s="208"/>
      <c r="FF239" s="208"/>
      <c r="FG239" s="208"/>
      <c r="FH239" s="208"/>
      <c r="FI239" s="208"/>
      <c r="FJ239" s="208"/>
      <c r="FK239" s="208"/>
      <c r="FL239" s="208"/>
      <c r="FM239" s="208"/>
      <c r="FN239" s="208"/>
      <c r="FO239" s="208"/>
      <c r="FP239" s="208"/>
      <c r="FQ239" s="208"/>
      <c r="FR239" s="208"/>
      <c r="FS239" s="208"/>
      <c r="FT239" s="208"/>
      <c r="FU239" s="208"/>
      <c r="FV239" s="208"/>
      <c r="FW239" s="208"/>
      <c r="FX239" s="208"/>
      <c r="FY239" s="208"/>
      <c r="FZ239" s="208"/>
      <c r="GA239" s="208"/>
      <c r="GB239" s="208"/>
      <c r="GC239" s="208"/>
      <c r="GD239" s="208"/>
      <c r="GE239" s="208"/>
      <c r="GF239" s="208"/>
    </row>
    <row r="240" spans="1:188" s="209" customFormat="1" ht="15" x14ac:dyDescent="0.25">
      <c r="A240" s="195" t="s">
        <v>5017</v>
      </c>
      <c r="B240" s="195" t="s">
        <v>691</v>
      </c>
      <c r="C240" s="196" t="s">
        <v>2630</v>
      </c>
      <c r="D240" s="154" t="s">
        <v>121</v>
      </c>
      <c r="E240" s="154">
        <v>360</v>
      </c>
      <c r="F240" s="154">
        <v>0.1</v>
      </c>
      <c r="G240" s="197"/>
      <c r="H240" s="198"/>
      <c r="I240" s="151">
        <f>IFERROR(INDEX(Composições!$A$5:$J$8391,MATCH(B240,Composições!$A$5:$A$8391,0)+2,8),"")</f>
        <v>23.346249999999998</v>
      </c>
      <c r="J240" s="152">
        <f t="shared" si="39"/>
        <v>840.47</v>
      </c>
      <c r="K240" s="198">
        <f>BDI!$B$17</f>
        <v>0.191</v>
      </c>
      <c r="L240" s="198"/>
      <c r="M240" s="198"/>
      <c r="N240" s="153">
        <f t="shared" si="40"/>
        <v>27.81</v>
      </c>
      <c r="O240" s="152">
        <f t="shared" si="41"/>
        <v>1001.16</v>
      </c>
      <c r="P240" s="225"/>
      <c r="Q240" s="208"/>
      <c r="R240" s="208"/>
      <c r="S240"/>
      <c r="T240" s="208"/>
      <c r="U240" s="208"/>
      <c r="V240" s="208"/>
      <c r="W240" s="208"/>
      <c r="X240" s="208"/>
      <c r="Y240" s="208"/>
      <c r="Z240" s="208"/>
      <c r="AA240" s="208"/>
      <c r="AB240" s="208"/>
      <c r="AC240" s="208"/>
      <c r="AD240" s="208"/>
      <c r="AE240" s="208"/>
      <c r="AF240" s="208"/>
      <c r="AG240" s="208"/>
      <c r="AH240" s="208"/>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c r="BI240" s="208"/>
      <c r="BJ240" s="208"/>
      <c r="BK240" s="208"/>
      <c r="BL240" s="208"/>
      <c r="BM240" s="208"/>
      <c r="BN240" s="208"/>
      <c r="BO240" s="208"/>
      <c r="BP240" s="208"/>
      <c r="BQ240" s="208"/>
      <c r="BR240" s="208"/>
      <c r="BS240" s="208"/>
      <c r="BT240" s="208"/>
      <c r="BU240" s="208"/>
      <c r="BV240" s="208"/>
      <c r="BW240" s="208"/>
      <c r="BX240" s="208"/>
      <c r="BY240" s="208"/>
      <c r="BZ240" s="208"/>
      <c r="CA240" s="208"/>
      <c r="CB240" s="208"/>
      <c r="CC240" s="208"/>
      <c r="CD240" s="208"/>
      <c r="CE240" s="208"/>
      <c r="CF240" s="208"/>
      <c r="CG240" s="208"/>
      <c r="CH240" s="208"/>
      <c r="CI240" s="208"/>
      <c r="CJ240" s="208"/>
      <c r="CK240" s="208"/>
      <c r="CL240" s="208"/>
      <c r="CM240" s="208"/>
      <c r="CN240" s="208"/>
      <c r="CO240" s="208"/>
      <c r="CP240" s="208"/>
      <c r="CQ240" s="208"/>
      <c r="CR240" s="208"/>
      <c r="CS240" s="208"/>
      <c r="CT240" s="208"/>
      <c r="CU240" s="208"/>
      <c r="CV240" s="208"/>
      <c r="CW240" s="208"/>
      <c r="CX240" s="208"/>
      <c r="CY240" s="208"/>
      <c r="CZ240" s="208"/>
      <c r="DA240" s="208"/>
      <c r="DB240" s="208"/>
      <c r="DC240" s="208"/>
      <c r="DD240" s="208"/>
      <c r="DE240" s="208"/>
      <c r="DF240" s="208"/>
      <c r="DG240" s="208"/>
      <c r="DH240" s="208"/>
      <c r="DI240" s="208"/>
      <c r="DJ240" s="208"/>
      <c r="DK240" s="208"/>
      <c r="DL240" s="208"/>
      <c r="DM240" s="208"/>
      <c r="DN240" s="208"/>
      <c r="DO240" s="208"/>
      <c r="DP240" s="208"/>
      <c r="DQ240" s="208"/>
      <c r="DR240" s="208"/>
      <c r="DS240" s="208"/>
      <c r="DT240" s="208"/>
      <c r="DU240" s="208"/>
      <c r="DV240" s="208"/>
      <c r="DW240" s="208"/>
      <c r="DX240" s="208"/>
      <c r="DY240" s="208"/>
      <c r="DZ240" s="208"/>
      <c r="EA240" s="208"/>
      <c r="EB240" s="208"/>
      <c r="EC240" s="208"/>
      <c r="ED240" s="208"/>
      <c r="EE240" s="208"/>
      <c r="EF240" s="208"/>
      <c r="EG240" s="208"/>
      <c r="EH240" s="208"/>
      <c r="EI240" s="208"/>
      <c r="EJ240" s="208"/>
      <c r="EK240" s="208"/>
      <c r="EL240" s="208"/>
      <c r="EM240" s="208"/>
      <c r="EN240" s="208"/>
      <c r="EO240" s="208"/>
      <c r="EP240" s="208"/>
      <c r="EQ240" s="208"/>
      <c r="ER240" s="208"/>
      <c r="ES240" s="208"/>
      <c r="ET240" s="208"/>
      <c r="EU240" s="208"/>
      <c r="EV240" s="208"/>
      <c r="EW240" s="208"/>
      <c r="EX240" s="208"/>
      <c r="EY240" s="208"/>
      <c r="EZ240" s="208"/>
      <c r="FA240" s="208"/>
      <c r="FB240" s="208"/>
      <c r="FC240" s="208"/>
      <c r="FD240" s="208"/>
      <c r="FE240" s="208"/>
      <c r="FF240" s="208"/>
      <c r="FG240" s="208"/>
      <c r="FH240" s="208"/>
      <c r="FI240" s="208"/>
      <c r="FJ240" s="208"/>
      <c r="FK240" s="208"/>
      <c r="FL240" s="208"/>
      <c r="FM240" s="208"/>
      <c r="FN240" s="208"/>
      <c r="FO240" s="208"/>
      <c r="FP240" s="208"/>
      <c r="FQ240" s="208"/>
      <c r="FR240" s="208"/>
      <c r="FS240" s="208"/>
      <c r="FT240" s="208"/>
      <c r="FU240" s="208"/>
      <c r="FV240" s="208"/>
      <c r="FW240" s="208"/>
      <c r="FX240" s="208"/>
      <c r="FY240" s="208"/>
      <c r="FZ240" s="208"/>
      <c r="GA240" s="208"/>
      <c r="GB240" s="208"/>
      <c r="GC240" s="208"/>
      <c r="GD240" s="208"/>
      <c r="GE240" s="208"/>
      <c r="GF240" s="208"/>
    </row>
    <row r="241" spans="1:188" s="209" customFormat="1" ht="15" x14ac:dyDescent="0.25">
      <c r="A241" s="195" t="s">
        <v>5018</v>
      </c>
      <c r="B241" s="195" t="s">
        <v>692</v>
      </c>
      <c r="C241" s="196" t="s">
        <v>2631</v>
      </c>
      <c r="D241" s="154" t="s">
        <v>121</v>
      </c>
      <c r="E241" s="154">
        <v>140</v>
      </c>
      <c r="F241" s="154">
        <v>0.1</v>
      </c>
      <c r="G241" s="197"/>
      <c r="H241" s="198"/>
      <c r="I241" s="151">
        <f>IFERROR(INDEX(Composições!$A$5:$J$8391,MATCH(B241,Composições!$A$5:$A$8391,0)+2,8),"")</f>
        <v>35.019374999999997</v>
      </c>
      <c r="J241" s="152">
        <f t="shared" si="39"/>
        <v>490.27</v>
      </c>
      <c r="K241" s="198">
        <f>BDI!$B$17</f>
        <v>0.191</v>
      </c>
      <c r="L241" s="198"/>
      <c r="M241" s="198"/>
      <c r="N241" s="153">
        <f t="shared" si="40"/>
        <v>41.71</v>
      </c>
      <c r="O241" s="152">
        <f t="shared" si="41"/>
        <v>583.94000000000005</v>
      </c>
      <c r="P241" s="225"/>
      <c r="Q241" s="208"/>
      <c r="R241" s="208"/>
      <c r="S241"/>
      <c r="T241" s="208"/>
      <c r="U241" s="208"/>
      <c r="V241" s="208"/>
      <c r="W241" s="208"/>
      <c r="X241" s="208"/>
      <c r="Y241" s="208"/>
      <c r="Z241" s="208"/>
      <c r="AA241" s="208"/>
      <c r="AB241" s="208"/>
      <c r="AC241" s="208"/>
      <c r="AD241" s="208"/>
      <c r="AE241" s="208"/>
      <c r="AF241" s="208"/>
      <c r="AG241" s="208"/>
      <c r="AH241" s="208"/>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c r="BI241" s="208"/>
      <c r="BJ241" s="208"/>
      <c r="BK241" s="208"/>
      <c r="BL241" s="208"/>
      <c r="BM241" s="208"/>
      <c r="BN241" s="208"/>
      <c r="BO241" s="208"/>
      <c r="BP241" s="208"/>
      <c r="BQ241" s="208"/>
      <c r="BR241" s="208"/>
      <c r="BS241" s="208"/>
      <c r="BT241" s="208"/>
      <c r="BU241" s="208"/>
      <c r="BV241" s="208"/>
      <c r="BW241" s="208"/>
      <c r="BX241" s="208"/>
      <c r="BY241" s="208"/>
      <c r="BZ241" s="208"/>
      <c r="CA241" s="208"/>
      <c r="CB241" s="208"/>
      <c r="CC241" s="208"/>
      <c r="CD241" s="208"/>
      <c r="CE241" s="208"/>
      <c r="CF241" s="208"/>
      <c r="CG241" s="208"/>
      <c r="CH241" s="208"/>
      <c r="CI241" s="208"/>
      <c r="CJ241" s="208"/>
      <c r="CK241" s="208"/>
      <c r="CL241" s="208"/>
      <c r="CM241" s="208"/>
      <c r="CN241" s="208"/>
      <c r="CO241" s="208"/>
      <c r="CP241" s="208"/>
      <c r="CQ241" s="208"/>
      <c r="CR241" s="208"/>
      <c r="CS241" s="208"/>
      <c r="CT241" s="208"/>
      <c r="CU241" s="208"/>
      <c r="CV241" s="208"/>
      <c r="CW241" s="208"/>
      <c r="CX241" s="208"/>
      <c r="CY241" s="208"/>
      <c r="CZ241" s="208"/>
      <c r="DA241" s="208"/>
      <c r="DB241" s="208"/>
      <c r="DC241" s="208"/>
      <c r="DD241" s="208"/>
      <c r="DE241" s="208"/>
      <c r="DF241" s="208"/>
      <c r="DG241" s="208"/>
      <c r="DH241" s="208"/>
      <c r="DI241" s="208"/>
      <c r="DJ241" s="208"/>
      <c r="DK241" s="208"/>
      <c r="DL241" s="208"/>
      <c r="DM241" s="208"/>
      <c r="DN241" s="208"/>
      <c r="DO241" s="208"/>
      <c r="DP241" s="208"/>
      <c r="DQ241" s="208"/>
      <c r="DR241" s="208"/>
      <c r="DS241" s="208"/>
      <c r="DT241" s="208"/>
      <c r="DU241" s="208"/>
      <c r="DV241" s="208"/>
      <c r="DW241" s="208"/>
      <c r="DX241" s="208"/>
      <c r="DY241" s="208"/>
      <c r="DZ241" s="208"/>
      <c r="EA241" s="208"/>
      <c r="EB241" s="208"/>
      <c r="EC241" s="208"/>
      <c r="ED241" s="208"/>
      <c r="EE241" s="208"/>
      <c r="EF241" s="208"/>
      <c r="EG241" s="208"/>
      <c r="EH241" s="208"/>
      <c r="EI241" s="208"/>
      <c r="EJ241" s="208"/>
      <c r="EK241" s="208"/>
      <c r="EL241" s="208"/>
      <c r="EM241" s="208"/>
      <c r="EN241" s="208"/>
      <c r="EO241" s="208"/>
      <c r="EP241" s="208"/>
      <c r="EQ241" s="208"/>
      <c r="ER241" s="208"/>
      <c r="ES241" s="208"/>
      <c r="ET241" s="208"/>
      <c r="EU241" s="208"/>
      <c r="EV241" s="208"/>
      <c r="EW241" s="208"/>
      <c r="EX241" s="208"/>
      <c r="EY241" s="208"/>
      <c r="EZ241" s="208"/>
      <c r="FA241" s="208"/>
      <c r="FB241" s="208"/>
      <c r="FC241" s="208"/>
      <c r="FD241" s="208"/>
      <c r="FE241" s="208"/>
      <c r="FF241" s="208"/>
      <c r="FG241" s="208"/>
      <c r="FH241" s="208"/>
      <c r="FI241" s="208"/>
      <c r="FJ241" s="208"/>
      <c r="FK241" s="208"/>
      <c r="FL241" s="208"/>
      <c r="FM241" s="208"/>
      <c r="FN241" s="208"/>
      <c r="FO241" s="208"/>
      <c r="FP241" s="208"/>
      <c r="FQ241" s="208"/>
      <c r="FR241" s="208"/>
      <c r="FS241" s="208"/>
      <c r="FT241" s="208"/>
      <c r="FU241" s="208"/>
      <c r="FV241" s="208"/>
      <c r="FW241" s="208"/>
      <c r="FX241" s="208"/>
      <c r="FY241" s="208"/>
      <c r="FZ241" s="208"/>
      <c r="GA241" s="208"/>
      <c r="GB241" s="208"/>
      <c r="GC241" s="208"/>
      <c r="GD241" s="208"/>
      <c r="GE241" s="208"/>
      <c r="GF241" s="208"/>
    </row>
    <row r="242" spans="1:188" s="225" customFormat="1" ht="15" x14ac:dyDescent="0.25">
      <c r="A242" s="189" t="s">
        <v>5019</v>
      </c>
      <c r="B242" s="189"/>
      <c r="C242" s="190" t="s">
        <v>5020</v>
      </c>
      <c r="D242" s="191"/>
      <c r="E242" s="191"/>
      <c r="F242" s="191"/>
      <c r="G242" s="192"/>
      <c r="H242" s="193"/>
      <c r="I242" s="246"/>
      <c r="J242" s="194">
        <f>SUBTOTAL(109,J243:J249)</f>
        <v>195744.25</v>
      </c>
      <c r="K242" s="191"/>
      <c r="L242" s="191"/>
      <c r="M242" s="191"/>
      <c r="N242" s="191"/>
      <c r="O242" s="194">
        <f>SUBTOTAL(109,O243:O249)</f>
        <v>233127.19</v>
      </c>
      <c r="Q242" s="208"/>
      <c r="R242" s="208"/>
      <c r="S242"/>
      <c r="T242" s="208"/>
      <c r="U242" s="208"/>
      <c r="V242" s="208"/>
      <c r="W242" s="208"/>
      <c r="X242" s="208"/>
      <c r="Y242" s="208"/>
      <c r="Z242" s="208"/>
      <c r="AA242" s="208"/>
      <c r="AB242" s="208"/>
      <c r="AC242" s="208"/>
      <c r="AD242" s="208"/>
      <c r="AE242" s="208"/>
      <c r="AF242" s="208"/>
      <c r="AG242" s="208"/>
      <c r="AH242" s="208"/>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c r="BI242" s="208"/>
      <c r="BJ242" s="208"/>
      <c r="BK242" s="208"/>
      <c r="BL242" s="208"/>
      <c r="BM242" s="208"/>
      <c r="BN242" s="208"/>
      <c r="BO242" s="208"/>
      <c r="BP242" s="208"/>
      <c r="BQ242" s="208"/>
      <c r="BR242" s="208"/>
      <c r="BS242" s="208"/>
      <c r="BT242" s="208"/>
      <c r="BU242" s="208"/>
      <c r="BV242" s="208"/>
      <c r="BW242" s="208"/>
      <c r="BX242" s="208"/>
      <c r="BY242" s="208"/>
      <c r="BZ242" s="208"/>
      <c r="CA242" s="208"/>
      <c r="CB242" s="208"/>
      <c r="CC242" s="208"/>
      <c r="CD242" s="208"/>
      <c r="CE242" s="208"/>
      <c r="CF242" s="208"/>
      <c r="CG242" s="208"/>
      <c r="CH242" s="208"/>
      <c r="CI242" s="208"/>
      <c r="CJ242" s="208"/>
      <c r="CK242" s="208"/>
      <c r="CL242" s="208"/>
      <c r="CM242" s="208"/>
      <c r="CN242" s="208"/>
      <c r="CO242" s="208"/>
      <c r="CP242" s="208"/>
      <c r="CQ242" s="208"/>
      <c r="CR242" s="208"/>
      <c r="CS242" s="208"/>
      <c r="CT242" s="208"/>
      <c r="CU242" s="208"/>
      <c r="CV242" s="208"/>
      <c r="CW242" s="208"/>
      <c r="CX242" s="208"/>
      <c r="CY242" s="208"/>
      <c r="CZ242" s="208"/>
      <c r="DA242" s="208"/>
      <c r="DB242" s="208"/>
      <c r="DC242" s="208"/>
      <c r="DD242" s="208"/>
      <c r="DE242" s="208"/>
      <c r="DF242" s="208"/>
      <c r="DG242" s="208"/>
      <c r="DH242" s="208"/>
      <c r="DI242" s="208"/>
      <c r="DJ242" s="208"/>
      <c r="DK242" s="208"/>
      <c r="DL242" s="208"/>
      <c r="DM242" s="208"/>
      <c r="DN242" s="208"/>
      <c r="DO242" s="208"/>
      <c r="DP242" s="208"/>
      <c r="DQ242" s="208"/>
      <c r="DR242" s="208"/>
      <c r="DS242" s="208"/>
      <c r="DT242" s="208"/>
      <c r="DU242" s="208"/>
      <c r="DV242" s="208"/>
      <c r="DW242" s="208"/>
      <c r="DX242" s="208"/>
      <c r="DY242" s="208"/>
      <c r="DZ242" s="208"/>
      <c r="EA242" s="208"/>
      <c r="EB242" s="208"/>
      <c r="EC242" s="208"/>
      <c r="ED242" s="208"/>
      <c r="EE242" s="208"/>
      <c r="EF242" s="208"/>
      <c r="EG242" s="208"/>
      <c r="EH242" s="208"/>
      <c r="EI242" s="208"/>
      <c r="EJ242" s="208"/>
      <c r="EK242" s="208"/>
      <c r="EL242" s="208"/>
      <c r="EM242" s="208"/>
      <c r="EN242" s="208"/>
      <c r="EO242" s="208"/>
      <c r="EP242" s="208"/>
      <c r="EQ242" s="208"/>
      <c r="ER242" s="208"/>
      <c r="ES242" s="208"/>
      <c r="ET242" s="208"/>
      <c r="EU242" s="208"/>
      <c r="EV242" s="208"/>
      <c r="EW242" s="208"/>
      <c r="EX242" s="208"/>
      <c r="EY242" s="208"/>
      <c r="EZ242" s="208"/>
      <c r="FA242" s="208"/>
      <c r="FB242" s="208"/>
      <c r="FC242" s="208"/>
      <c r="FD242" s="208"/>
      <c r="FE242" s="208"/>
      <c r="FF242" s="208"/>
      <c r="FG242" s="208"/>
      <c r="FH242" s="208"/>
      <c r="FI242" s="208"/>
      <c r="FJ242" s="208"/>
      <c r="FK242" s="208"/>
      <c r="FL242" s="208"/>
      <c r="FM242" s="208"/>
      <c r="FN242" s="208"/>
      <c r="FO242" s="208"/>
      <c r="FP242" s="208"/>
      <c r="FQ242" s="208"/>
      <c r="FR242" s="208"/>
      <c r="FS242" s="208"/>
      <c r="FT242" s="208"/>
      <c r="FU242" s="208"/>
      <c r="FV242" s="208"/>
      <c r="FW242" s="208"/>
      <c r="FX242" s="208"/>
      <c r="FY242" s="208"/>
      <c r="FZ242" s="208"/>
      <c r="GA242" s="208"/>
      <c r="GB242" s="208"/>
      <c r="GC242" s="208"/>
      <c r="GD242" s="208"/>
      <c r="GE242" s="208"/>
      <c r="GF242" s="208"/>
    </row>
    <row r="243" spans="1:188" s="209" customFormat="1" ht="15" x14ac:dyDescent="0.25">
      <c r="A243" s="195" t="s">
        <v>5021</v>
      </c>
      <c r="B243" s="195" t="s">
        <v>58</v>
      </c>
      <c r="C243" s="196" t="s">
        <v>2066</v>
      </c>
      <c r="D243" s="154" t="s">
        <v>78</v>
      </c>
      <c r="E243" s="154">
        <v>12000</v>
      </c>
      <c r="F243" s="154">
        <v>0.1</v>
      </c>
      <c r="G243" s="197"/>
      <c r="H243" s="198"/>
      <c r="I243" s="151">
        <f>IFERROR(INDEX(Composições!$A$5:$J$8391,MATCH(B243,Composições!$A$5:$A$8391,0)+2,8),"")</f>
        <v>16.040844999999997</v>
      </c>
      <c r="J243" s="152">
        <f t="shared" ref="J243:J249" si="42">IF(ISNUMBER(I243),ROUND(F243*E243*I243,2),"")</f>
        <v>19249.009999999998</v>
      </c>
      <c r="K243" s="198">
        <f>BDI!$B$17</f>
        <v>0.191</v>
      </c>
      <c r="L243" s="198"/>
      <c r="M243" s="198"/>
      <c r="N243" s="153">
        <f t="shared" ref="N243:N249" si="43">IF(ISNUMBER(I243),ROUND(I243*(1+K243),2),"")</f>
        <v>19.100000000000001</v>
      </c>
      <c r="O243" s="152">
        <f t="shared" ref="O243:O249" si="44">IF(ISNUMBER(I243),ROUND(F243*N243*E243,2),"")</f>
        <v>22920</v>
      </c>
      <c r="P243" s="225"/>
      <c r="Q243" s="208"/>
      <c r="R243" s="208"/>
      <c r="S243"/>
      <c r="T243" s="208"/>
      <c r="U243" s="208"/>
      <c r="V243" s="208"/>
      <c r="W243" s="208"/>
      <c r="X243" s="208"/>
      <c r="Y243" s="208"/>
      <c r="Z243" s="208"/>
      <c r="AA243" s="208"/>
      <c r="AB243" s="208"/>
      <c r="AC243" s="208"/>
      <c r="AD243" s="208"/>
      <c r="AE243" s="208"/>
      <c r="AF243" s="208"/>
      <c r="AG243" s="208"/>
      <c r="AH243" s="208"/>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c r="BI243" s="208"/>
      <c r="BJ243" s="208"/>
      <c r="BK243" s="208"/>
      <c r="BL243" s="208"/>
      <c r="BM243" s="208"/>
      <c r="BN243" s="208"/>
      <c r="BO243" s="208"/>
      <c r="BP243" s="208"/>
      <c r="BQ243" s="208"/>
      <c r="BR243" s="208"/>
      <c r="BS243" s="208"/>
      <c r="BT243" s="208"/>
      <c r="BU243" s="208"/>
      <c r="BV243" s="208"/>
      <c r="BW243" s="208"/>
      <c r="BX243" s="208"/>
      <c r="BY243" s="208"/>
      <c r="BZ243" s="208"/>
      <c r="CA243" s="208"/>
      <c r="CB243" s="208"/>
      <c r="CC243" s="208"/>
      <c r="CD243" s="208"/>
      <c r="CE243" s="208"/>
      <c r="CF243" s="208"/>
      <c r="CG243" s="208"/>
      <c r="CH243" s="208"/>
      <c r="CI243" s="208"/>
      <c r="CJ243" s="208"/>
      <c r="CK243" s="208"/>
      <c r="CL243" s="208"/>
      <c r="CM243" s="208"/>
      <c r="CN243" s="208"/>
      <c r="CO243" s="208"/>
      <c r="CP243" s="208"/>
      <c r="CQ243" s="208"/>
      <c r="CR243" s="208"/>
      <c r="CS243" s="208"/>
      <c r="CT243" s="208"/>
      <c r="CU243" s="208"/>
      <c r="CV243" s="208"/>
      <c r="CW243" s="208"/>
      <c r="CX243" s="208"/>
      <c r="CY243" s="208"/>
      <c r="CZ243" s="208"/>
      <c r="DA243" s="208"/>
      <c r="DB243" s="208"/>
      <c r="DC243" s="208"/>
      <c r="DD243" s="208"/>
      <c r="DE243" s="208"/>
      <c r="DF243" s="208"/>
      <c r="DG243" s="208"/>
      <c r="DH243" s="208"/>
      <c r="DI243" s="208"/>
      <c r="DJ243" s="208"/>
      <c r="DK243" s="208"/>
      <c r="DL243" s="208"/>
      <c r="DM243" s="208"/>
      <c r="DN243" s="208"/>
      <c r="DO243" s="208"/>
      <c r="DP243" s="208"/>
      <c r="DQ243" s="208"/>
      <c r="DR243" s="208"/>
      <c r="DS243" s="208"/>
      <c r="DT243" s="208"/>
      <c r="DU243" s="208"/>
      <c r="DV243" s="208"/>
      <c r="DW243" s="208"/>
      <c r="DX243" s="208"/>
      <c r="DY243" s="208"/>
      <c r="DZ243" s="208"/>
      <c r="EA243" s="208"/>
      <c r="EB243" s="208"/>
      <c r="EC243" s="208"/>
      <c r="ED243" s="208"/>
      <c r="EE243" s="208"/>
      <c r="EF243" s="208"/>
      <c r="EG243" s="208"/>
      <c r="EH243" s="208"/>
      <c r="EI243" s="208"/>
      <c r="EJ243" s="208"/>
      <c r="EK243" s="208"/>
      <c r="EL243" s="208"/>
      <c r="EM243" s="208"/>
      <c r="EN243" s="208"/>
      <c r="EO243" s="208"/>
      <c r="EP243" s="208"/>
      <c r="EQ243" s="208"/>
      <c r="ER243" s="208"/>
      <c r="ES243" s="208"/>
      <c r="ET243" s="208"/>
      <c r="EU243" s="208"/>
      <c r="EV243" s="208"/>
      <c r="EW243" s="208"/>
      <c r="EX243" s="208"/>
      <c r="EY243" s="208"/>
      <c r="EZ243" s="208"/>
      <c r="FA243" s="208"/>
      <c r="FB243" s="208"/>
      <c r="FC243" s="208"/>
      <c r="FD243" s="208"/>
      <c r="FE243" s="208"/>
      <c r="FF243" s="208"/>
      <c r="FG243" s="208"/>
      <c r="FH243" s="208"/>
      <c r="FI243" s="208"/>
      <c r="FJ243" s="208"/>
      <c r="FK243" s="208"/>
      <c r="FL243" s="208"/>
      <c r="FM243" s="208"/>
      <c r="FN243" s="208"/>
      <c r="FO243" s="208"/>
      <c r="FP243" s="208"/>
      <c r="FQ243" s="208"/>
      <c r="FR243" s="208"/>
      <c r="FS243" s="208"/>
      <c r="FT243" s="208"/>
      <c r="FU243" s="208"/>
      <c r="FV243" s="208"/>
      <c r="FW243" s="208"/>
      <c r="FX243" s="208"/>
      <c r="FY243" s="208"/>
      <c r="FZ243" s="208"/>
      <c r="GA243" s="208"/>
      <c r="GB243" s="208"/>
      <c r="GC243" s="208"/>
      <c r="GD243" s="208"/>
      <c r="GE243" s="208"/>
      <c r="GF243" s="208"/>
    </row>
    <row r="244" spans="1:188" s="209" customFormat="1" ht="15" x14ac:dyDescent="0.25">
      <c r="A244" s="195" t="s">
        <v>5022</v>
      </c>
      <c r="B244" s="195" t="s">
        <v>693</v>
      </c>
      <c r="C244" s="196" t="s">
        <v>2632</v>
      </c>
      <c r="D244" s="154" t="s">
        <v>78</v>
      </c>
      <c r="E244" s="154">
        <v>1280</v>
      </c>
      <c r="F244" s="154">
        <v>0.1</v>
      </c>
      <c r="G244" s="197"/>
      <c r="H244" s="198"/>
      <c r="I244" s="151">
        <f>IFERROR(INDEX(Composições!$A$5:$J$8391,MATCH(B244,Composições!$A$5:$A$8391,0)+2,8),"")</f>
        <v>313.93385549999999</v>
      </c>
      <c r="J244" s="152">
        <f t="shared" si="42"/>
        <v>40183.53</v>
      </c>
      <c r="K244" s="198">
        <f>BDI!$B$17</f>
        <v>0.191</v>
      </c>
      <c r="L244" s="198"/>
      <c r="M244" s="198"/>
      <c r="N244" s="153">
        <f t="shared" si="43"/>
        <v>373.9</v>
      </c>
      <c r="O244" s="152">
        <f t="shared" si="44"/>
        <v>47859.199999999997</v>
      </c>
      <c r="P244" s="225"/>
      <c r="Q244" s="208"/>
      <c r="R244" s="208"/>
      <c r="S244"/>
      <c r="T244" s="208"/>
      <c r="U244" s="208"/>
      <c r="V244" s="208"/>
      <c r="W244" s="208"/>
      <c r="X244" s="208"/>
      <c r="Y244" s="208"/>
      <c r="Z244" s="208"/>
      <c r="AA244" s="208"/>
      <c r="AB244" s="208"/>
      <c r="AC244" s="208"/>
      <c r="AD244" s="208"/>
      <c r="AE244" s="208"/>
      <c r="AF244" s="208"/>
      <c r="AG244" s="208"/>
      <c r="AH244" s="208"/>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c r="BI244" s="208"/>
      <c r="BJ244" s="208"/>
      <c r="BK244" s="208"/>
      <c r="BL244" s="208"/>
      <c r="BM244" s="208"/>
      <c r="BN244" s="208"/>
      <c r="BO244" s="208"/>
      <c r="BP244" s="208"/>
      <c r="BQ244" s="208"/>
      <c r="BR244" s="208"/>
      <c r="BS244" s="208"/>
      <c r="BT244" s="208"/>
      <c r="BU244" s="208"/>
      <c r="BV244" s="208"/>
      <c r="BW244" s="208"/>
      <c r="BX244" s="208"/>
      <c r="BY244" s="208"/>
      <c r="BZ244" s="208"/>
      <c r="CA244" s="208"/>
      <c r="CB244" s="208"/>
      <c r="CC244" s="208"/>
      <c r="CD244" s="208"/>
      <c r="CE244" s="208"/>
      <c r="CF244" s="208"/>
      <c r="CG244" s="208"/>
      <c r="CH244" s="208"/>
      <c r="CI244" s="208"/>
      <c r="CJ244" s="208"/>
      <c r="CK244" s="208"/>
      <c r="CL244" s="208"/>
      <c r="CM244" s="208"/>
      <c r="CN244" s="208"/>
      <c r="CO244" s="208"/>
      <c r="CP244" s="208"/>
      <c r="CQ244" s="208"/>
      <c r="CR244" s="208"/>
      <c r="CS244" s="208"/>
      <c r="CT244" s="208"/>
      <c r="CU244" s="208"/>
      <c r="CV244" s="208"/>
      <c r="CW244" s="208"/>
      <c r="CX244" s="208"/>
      <c r="CY244" s="208"/>
      <c r="CZ244" s="208"/>
      <c r="DA244" s="208"/>
      <c r="DB244" s="208"/>
      <c r="DC244" s="208"/>
      <c r="DD244" s="208"/>
      <c r="DE244" s="208"/>
      <c r="DF244" s="208"/>
      <c r="DG244" s="208"/>
      <c r="DH244" s="208"/>
      <c r="DI244" s="208"/>
      <c r="DJ244" s="208"/>
      <c r="DK244" s="208"/>
      <c r="DL244" s="208"/>
      <c r="DM244" s="208"/>
      <c r="DN244" s="208"/>
      <c r="DO244" s="208"/>
      <c r="DP244" s="208"/>
      <c r="DQ244" s="208"/>
      <c r="DR244" s="208"/>
      <c r="DS244" s="208"/>
      <c r="DT244" s="208"/>
      <c r="DU244" s="208"/>
      <c r="DV244" s="208"/>
      <c r="DW244" s="208"/>
      <c r="DX244" s="208"/>
      <c r="DY244" s="208"/>
      <c r="DZ244" s="208"/>
      <c r="EA244" s="208"/>
      <c r="EB244" s="208"/>
      <c r="EC244" s="208"/>
      <c r="ED244" s="208"/>
      <c r="EE244" s="208"/>
      <c r="EF244" s="208"/>
      <c r="EG244" s="208"/>
      <c r="EH244" s="208"/>
      <c r="EI244" s="208"/>
      <c r="EJ244" s="208"/>
      <c r="EK244" s="208"/>
      <c r="EL244" s="208"/>
      <c r="EM244" s="208"/>
      <c r="EN244" s="208"/>
      <c r="EO244" s="208"/>
      <c r="EP244" s="208"/>
      <c r="EQ244" s="208"/>
      <c r="ER244" s="208"/>
      <c r="ES244" s="208"/>
      <c r="ET244" s="208"/>
      <c r="EU244" s="208"/>
      <c r="EV244" s="208"/>
      <c r="EW244" s="208"/>
      <c r="EX244" s="208"/>
      <c r="EY244" s="208"/>
      <c r="EZ244" s="208"/>
      <c r="FA244" s="208"/>
      <c r="FB244" s="208"/>
      <c r="FC244" s="208"/>
      <c r="FD244" s="208"/>
      <c r="FE244" s="208"/>
      <c r="FF244" s="208"/>
      <c r="FG244" s="208"/>
      <c r="FH244" s="208"/>
      <c r="FI244" s="208"/>
      <c r="FJ244" s="208"/>
      <c r="FK244" s="208"/>
      <c r="FL244" s="208"/>
      <c r="FM244" s="208"/>
      <c r="FN244" s="208"/>
      <c r="FO244" s="208"/>
      <c r="FP244" s="208"/>
      <c r="FQ244" s="208"/>
      <c r="FR244" s="208"/>
      <c r="FS244" s="208"/>
      <c r="FT244" s="208"/>
      <c r="FU244" s="208"/>
      <c r="FV244" s="208"/>
      <c r="FW244" s="208"/>
      <c r="FX244" s="208"/>
      <c r="FY244" s="208"/>
      <c r="FZ244" s="208"/>
      <c r="GA244" s="208"/>
      <c r="GB244" s="208"/>
      <c r="GC244" s="208"/>
      <c r="GD244" s="208"/>
      <c r="GE244" s="208"/>
      <c r="GF244" s="208"/>
    </row>
    <row r="245" spans="1:188" s="209" customFormat="1" ht="15" x14ac:dyDescent="0.25">
      <c r="A245" s="195" t="s">
        <v>5023</v>
      </c>
      <c r="B245" s="195" t="s">
        <v>689</v>
      </c>
      <c r="C245" s="196" t="s">
        <v>2628</v>
      </c>
      <c r="D245" s="154" t="s">
        <v>78</v>
      </c>
      <c r="E245" s="154">
        <v>2440</v>
      </c>
      <c r="F245" s="154">
        <v>0.1</v>
      </c>
      <c r="G245" s="197"/>
      <c r="H245" s="198"/>
      <c r="I245" s="151">
        <f>IFERROR(INDEX(Composições!$A$5:$J$8391,MATCH(B245,Composições!$A$5:$A$8391,0)+2,8),"")</f>
        <v>275.93390300000004</v>
      </c>
      <c r="J245" s="152">
        <f t="shared" si="42"/>
        <v>67327.87</v>
      </c>
      <c r="K245" s="198">
        <f>BDI!$B$17</f>
        <v>0.191</v>
      </c>
      <c r="L245" s="198"/>
      <c r="M245" s="198"/>
      <c r="N245" s="153">
        <f t="shared" si="43"/>
        <v>328.64</v>
      </c>
      <c r="O245" s="152">
        <f t="shared" si="44"/>
        <v>80188.160000000003</v>
      </c>
      <c r="P245" s="225"/>
      <c r="Q245" s="208"/>
      <c r="R245" s="208"/>
      <c r="S245"/>
      <c r="T245" s="208"/>
      <c r="U245" s="208"/>
      <c r="V245" s="208"/>
      <c r="W245" s="208"/>
      <c r="X245" s="208"/>
      <c r="Y245" s="208"/>
      <c r="Z245" s="208"/>
      <c r="AA245" s="208"/>
      <c r="AB245" s="208"/>
      <c r="AC245" s="208"/>
      <c r="AD245" s="208"/>
      <c r="AE245" s="208"/>
      <c r="AF245" s="208"/>
      <c r="AG245" s="208"/>
      <c r="AH245" s="208"/>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c r="BI245" s="208"/>
      <c r="BJ245" s="208"/>
      <c r="BK245" s="208"/>
      <c r="BL245" s="208"/>
      <c r="BM245" s="208"/>
      <c r="BN245" s="208"/>
      <c r="BO245" s="208"/>
      <c r="BP245" s="208"/>
      <c r="BQ245" s="208"/>
      <c r="BR245" s="208"/>
      <c r="BS245" s="208"/>
      <c r="BT245" s="208"/>
      <c r="BU245" s="208"/>
      <c r="BV245" s="208"/>
      <c r="BW245" s="208"/>
      <c r="BX245" s="208"/>
      <c r="BY245" s="208"/>
      <c r="BZ245" s="208"/>
      <c r="CA245" s="208"/>
      <c r="CB245" s="208"/>
      <c r="CC245" s="208"/>
      <c r="CD245" s="208"/>
      <c r="CE245" s="208"/>
      <c r="CF245" s="208"/>
      <c r="CG245" s="208"/>
      <c r="CH245" s="208"/>
      <c r="CI245" s="208"/>
      <c r="CJ245" s="208"/>
      <c r="CK245" s="208"/>
      <c r="CL245" s="208"/>
      <c r="CM245" s="208"/>
      <c r="CN245" s="208"/>
      <c r="CO245" s="208"/>
      <c r="CP245" s="208"/>
      <c r="CQ245" s="208"/>
      <c r="CR245" s="208"/>
      <c r="CS245" s="208"/>
      <c r="CT245" s="208"/>
      <c r="CU245" s="208"/>
      <c r="CV245" s="208"/>
      <c r="CW245" s="208"/>
      <c r="CX245" s="208"/>
      <c r="CY245" s="208"/>
      <c r="CZ245" s="208"/>
      <c r="DA245" s="208"/>
      <c r="DB245" s="208"/>
      <c r="DC245" s="208"/>
      <c r="DD245" s="208"/>
      <c r="DE245" s="208"/>
      <c r="DF245" s="208"/>
      <c r="DG245" s="208"/>
      <c r="DH245" s="208"/>
      <c r="DI245" s="208"/>
      <c r="DJ245" s="208"/>
      <c r="DK245" s="208"/>
      <c r="DL245" s="208"/>
      <c r="DM245" s="208"/>
      <c r="DN245" s="208"/>
      <c r="DO245" s="208"/>
      <c r="DP245" s="208"/>
      <c r="DQ245" s="208"/>
      <c r="DR245" s="208"/>
      <c r="DS245" s="208"/>
      <c r="DT245" s="208"/>
      <c r="DU245" s="208"/>
      <c r="DV245" s="208"/>
      <c r="DW245" s="208"/>
      <c r="DX245" s="208"/>
      <c r="DY245" s="208"/>
      <c r="DZ245" s="208"/>
      <c r="EA245" s="208"/>
      <c r="EB245" s="208"/>
      <c r="EC245" s="208"/>
      <c r="ED245" s="208"/>
      <c r="EE245" s="208"/>
      <c r="EF245" s="208"/>
      <c r="EG245" s="208"/>
      <c r="EH245" s="208"/>
      <c r="EI245" s="208"/>
      <c r="EJ245" s="208"/>
      <c r="EK245" s="208"/>
      <c r="EL245" s="208"/>
      <c r="EM245" s="208"/>
      <c r="EN245" s="208"/>
      <c r="EO245" s="208"/>
      <c r="EP245" s="208"/>
      <c r="EQ245" s="208"/>
      <c r="ER245" s="208"/>
      <c r="ES245" s="208"/>
      <c r="ET245" s="208"/>
      <c r="EU245" s="208"/>
      <c r="EV245" s="208"/>
      <c r="EW245" s="208"/>
      <c r="EX245" s="208"/>
      <c r="EY245" s="208"/>
      <c r="EZ245" s="208"/>
      <c r="FA245" s="208"/>
      <c r="FB245" s="208"/>
      <c r="FC245" s="208"/>
      <c r="FD245" s="208"/>
      <c r="FE245" s="208"/>
      <c r="FF245" s="208"/>
      <c r="FG245" s="208"/>
      <c r="FH245" s="208"/>
      <c r="FI245" s="208"/>
      <c r="FJ245" s="208"/>
      <c r="FK245" s="208"/>
      <c r="FL245" s="208"/>
      <c r="FM245" s="208"/>
      <c r="FN245" s="208"/>
      <c r="FO245" s="208"/>
      <c r="FP245" s="208"/>
      <c r="FQ245" s="208"/>
      <c r="FR245" s="208"/>
      <c r="FS245" s="208"/>
      <c r="FT245" s="208"/>
      <c r="FU245" s="208"/>
      <c r="FV245" s="208"/>
      <c r="FW245" s="208"/>
      <c r="FX245" s="208"/>
      <c r="FY245" s="208"/>
      <c r="FZ245" s="208"/>
      <c r="GA245" s="208"/>
      <c r="GB245" s="208"/>
      <c r="GC245" s="208"/>
      <c r="GD245" s="208"/>
      <c r="GE245" s="208"/>
      <c r="GF245" s="208"/>
    </row>
    <row r="246" spans="1:188" s="209" customFormat="1" ht="15" x14ac:dyDescent="0.25">
      <c r="A246" s="195" t="s">
        <v>5024</v>
      </c>
      <c r="B246" s="195" t="s">
        <v>1979</v>
      </c>
      <c r="C246" s="196" t="s">
        <v>3688</v>
      </c>
      <c r="D246" s="154" t="s">
        <v>78</v>
      </c>
      <c r="E246" s="154">
        <v>300</v>
      </c>
      <c r="F246" s="154">
        <v>0.1</v>
      </c>
      <c r="G246" s="197"/>
      <c r="H246" s="198"/>
      <c r="I246" s="151">
        <f>IFERROR(INDEX(Composições!$A$5:$J$8391,MATCH(B246,Composições!$A$5:$A$8391,0)+2,8),"")</f>
        <v>249.21627399999994</v>
      </c>
      <c r="J246" s="152">
        <f t="shared" si="42"/>
        <v>7476.49</v>
      </c>
      <c r="K246" s="198">
        <f>BDI!$B$17</f>
        <v>0.191</v>
      </c>
      <c r="L246" s="198"/>
      <c r="M246" s="198"/>
      <c r="N246" s="153">
        <f t="shared" si="43"/>
        <v>296.82</v>
      </c>
      <c r="O246" s="152">
        <f t="shared" si="44"/>
        <v>8904.6</v>
      </c>
      <c r="P246" s="225"/>
      <c r="Q246" s="208"/>
      <c r="R246" s="208"/>
      <c r="S246"/>
      <c r="T246" s="208"/>
      <c r="U246" s="208"/>
      <c r="V246" s="208"/>
      <c r="W246" s="208"/>
      <c r="X246" s="208"/>
      <c r="Y246" s="208"/>
      <c r="Z246" s="208"/>
      <c r="AA246" s="208"/>
      <c r="AB246" s="208"/>
      <c r="AC246" s="208"/>
      <c r="AD246" s="208"/>
      <c r="AE246" s="208"/>
      <c r="AF246" s="208"/>
      <c r="AG246" s="208"/>
      <c r="AH246" s="208"/>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c r="BI246" s="208"/>
      <c r="BJ246" s="208"/>
      <c r="BK246" s="208"/>
      <c r="BL246" s="208"/>
      <c r="BM246" s="208"/>
      <c r="BN246" s="208"/>
      <c r="BO246" s="208"/>
      <c r="BP246" s="208"/>
      <c r="BQ246" s="208"/>
      <c r="BR246" s="208"/>
      <c r="BS246" s="208"/>
      <c r="BT246" s="208"/>
      <c r="BU246" s="208"/>
      <c r="BV246" s="208"/>
      <c r="BW246" s="208"/>
      <c r="BX246" s="208"/>
      <c r="BY246" s="208"/>
      <c r="BZ246" s="208"/>
      <c r="CA246" s="208"/>
      <c r="CB246" s="208"/>
      <c r="CC246" s="208"/>
      <c r="CD246" s="208"/>
      <c r="CE246" s="208"/>
      <c r="CF246" s="208"/>
      <c r="CG246" s="208"/>
      <c r="CH246" s="208"/>
      <c r="CI246" s="208"/>
      <c r="CJ246" s="208"/>
      <c r="CK246" s="208"/>
      <c r="CL246" s="208"/>
      <c r="CM246" s="208"/>
      <c r="CN246" s="208"/>
      <c r="CO246" s="208"/>
      <c r="CP246" s="208"/>
      <c r="CQ246" s="208"/>
      <c r="CR246" s="208"/>
      <c r="CS246" s="208"/>
      <c r="CT246" s="208"/>
      <c r="CU246" s="208"/>
      <c r="CV246" s="208"/>
      <c r="CW246" s="208"/>
      <c r="CX246" s="208"/>
      <c r="CY246" s="208"/>
      <c r="CZ246" s="208"/>
      <c r="DA246" s="208"/>
      <c r="DB246" s="208"/>
      <c r="DC246" s="208"/>
      <c r="DD246" s="208"/>
      <c r="DE246" s="208"/>
      <c r="DF246" s="208"/>
      <c r="DG246" s="208"/>
      <c r="DH246" s="208"/>
      <c r="DI246" s="208"/>
      <c r="DJ246" s="208"/>
      <c r="DK246" s="208"/>
      <c r="DL246" s="208"/>
      <c r="DM246" s="208"/>
      <c r="DN246" s="208"/>
      <c r="DO246" s="208"/>
      <c r="DP246" s="208"/>
      <c r="DQ246" s="208"/>
      <c r="DR246" s="208"/>
      <c r="DS246" s="208"/>
      <c r="DT246" s="208"/>
      <c r="DU246" s="208"/>
      <c r="DV246" s="208"/>
      <c r="DW246" s="208"/>
      <c r="DX246" s="208"/>
      <c r="DY246" s="208"/>
      <c r="DZ246" s="208"/>
      <c r="EA246" s="208"/>
      <c r="EB246" s="208"/>
      <c r="EC246" s="208"/>
      <c r="ED246" s="208"/>
      <c r="EE246" s="208"/>
      <c r="EF246" s="208"/>
      <c r="EG246" s="208"/>
      <c r="EH246" s="208"/>
      <c r="EI246" s="208"/>
      <c r="EJ246" s="208"/>
      <c r="EK246" s="208"/>
      <c r="EL246" s="208"/>
      <c r="EM246" s="208"/>
      <c r="EN246" s="208"/>
      <c r="EO246" s="208"/>
      <c r="EP246" s="208"/>
      <c r="EQ246" s="208"/>
      <c r="ER246" s="208"/>
      <c r="ES246" s="208"/>
      <c r="ET246" s="208"/>
      <c r="EU246" s="208"/>
      <c r="EV246" s="208"/>
      <c r="EW246" s="208"/>
      <c r="EX246" s="208"/>
      <c r="EY246" s="208"/>
      <c r="EZ246" s="208"/>
      <c r="FA246" s="208"/>
      <c r="FB246" s="208"/>
      <c r="FC246" s="208"/>
      <c r="FD246" s="208"/>
      <c r="FE246" s="208"/>
      <c r="FF246" s="208"/>
      <c r="FG246" s="208"/>
      <c r="FH246" s="208"/>
      <c r="FI246" s="208"/>
      <c r="FJ246" s="208"/>
      <c r="FK246" s="208"/>
      <c r="FL246" s="208"/>
      <c r="FM246" s="208"/>
      <c r="FN246" s="208"/>
      <c r="FO246" s="208"/>
      <c r="FP246" s="208"/>
      <c r="FQ246" s="208"/>
      <c r="FR246" s="208"/>
      <c r="FS246" s="208"/>
      <c r="FT246" s="208"/>
      <c r="FU246" s="208"/>
      <c r="FV246" s="208"/>
      <c r="FW246" s="208"/>
      <c r="FX246" s="208"/>
      <c r="FY246" s="208"/>
      <c r="FZ246" s="208"/>
      <c r="GA246" s="208"/>
      <c r="GB246" s="208"/>
      <c r="GC246" s="208"/>
      <c r="GD246" s="208"/>
      <c r="GE246" s="208"/>
      <c r="GF246" s="208"/>
    </row>
    <row r="247" spans="1:188" s="209" customFormat="1" ht="15" x14ac:dyDescent="0.25">
      <c r="A247" s="195" t="s">
        <v>5025</v>
      </c>
      <c r="B247" s="195" t="s">
        <v>1980</v>
      </c>
      <c r="C247" s="196" t="s">
        <v>3689</v>
      </c>
      <c r="D247" s="154" t="s">
        <v>78</v>
      </c>
      <c r="E247" s="154">
        <v>300</v>
      </c>
      <c r="F247" s="154">
        <v>0.1</v>
      </c>
      <c r="G247" s="197"/>
      <c r="H247" s="198"/>
      <c r="I247" s="151">
        <f>IFERROR(INDEX(Composições!$A$5:$J$8391,MATCH(B247,Composições!$A$5:$A$8391,0)+2,8),"")</f>
        <v>249.21627399999994</v>
      </c>
      <c r="J247" s="152">
        <f t="shared" si="42"/>
        <v>7476.49</v>
      </c>
      <c r="K247" s="198">
        <f>BDI!$B$17</f>
        <v>0.191</v>
      </c>
      <c r="L247" s="198"/>
      <c r="M247" s="198"/>
      <c r="N247" s="153">
        <f t="shared" si="43"/>
        <v>296.82</v>
      </c>
      <c r="O247" s="152">
        <f t="shared" si="44"/>
        <v>8904.6</v>
      </c>
      <c r="P247" s="225"/>
      <c r="Q247" s="208"/>
      <c r="R247" s="208"/>
      <c r="S247"/>
      <c r="T247" s="208"/>
      <c r="U247" s="208"/>
      <c r="V247" s="208"/>
      <c r="W247" s="208"/>
      <c r="X247" s="208"/>
      <c r="Y247" s="208"/>
      <c r="Z247" s="208"/>
      <c r="AA247" s="208"/>
      <c r="AB247" s="208"/>
      <c r="AC247" s="208"/>
      <c r="AD247" s="208"/>
      <c r="AE247" s="208"/>
      <c r="AF247" s="208"/>
      <c r="AG247" s="208"/>
      <c r="AH247" s="208"/>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c r="BI247" s="208"/>
      <c r="BJ247" s="208"/>
      <c r="BK247" s="208"/>
      <c r="BL247" s="208"/>
      <c r="BM247" s="208"/>
      <c r="BN247" s="208"/>
      <c r="BO247" s="208"/>
      <c r="BP247" s="208"/>
      <c r="BQ247" s="208"/>
      <c r="BR247" s="208"/>
      <c r="BS247" s="208"/>
      <c r="BT247" s="208"/>
      <c r="BU247" s="208"/>
      <c r="BV247" s="208"/>
      <c r="BW247" s="208"/>
      <c r="BX247" s="208"/>
      <c r="BY247" s="208"/>
      <c r="BZ247" s="208"/>
      <c r="CA247" s="208"/>
      <c r="CB247" s="208"/>
      <c r="CC247" s="208"/>
      <c r="CD247" s="208"/>
      <c r="CE247" s="208"/>
      <c r="CF247" s="208"/>
      <c r="CG247" s="208"/>
      <c r="CH247" s="208"/>
      <c r="CI247" s="208"/>
      <c r="CJ247" s="208"/>
      <c r="CK247" s="208"/>
      <c r="CL247" s="208"/>
      <c r="CM247" s="208"/>
      <c r="CN247" s="208"/>
      <c r="CO247" s="208"/>
      <c r="CP247" s="208"/>
      <c r="CQ247" s="208"/>
      <c r="CR247" s="208"/>
      <c r="CS247" s="208"/>
      <c r="CT247" s="208"/>
      <c r="CU247" s="208"/>
      <c r="CV247" s="208"/>
      <c r="CW247" s="208"/>
      <c r="CX247" s="208"/>
      <c r="CY247" s="208"/>
      <c r="CZ247" s="208"/>
      <c r="DA247" s="208"/>
      <c r="DB247" s="208"/>
      <c r="DC247" s="208"/>
      <c r="DD247" s="208"/>
      <c r="DE247" s="208"/>
      <c r="DF247" s="208"/>
      <c r="DG247" s="208"/>
      <c r="DH247" s="208"/>
      <c r="DI247" s="208"/>
      <c r="DJ247" s="208"/>
      <c r="DK247" s="208"/>
      <c r="DL247" s="208"/>
      <c r="DM247" s="208"/>
      <c r="DN247" s="208"/>
      <c r="DO247" s="208"/>
      <c r="DP247" s="208"/>
      <c r="DQ247" s="208"/>
      <c r="DR247" s="208"/>
      <c r="DS247" s="208"/>
      <c r="DT247" s="208"/>
      <c r="DU247" s="208"/>
      <c r="DV247" s="208"/>
      <c r="DW247" s="208"/>
      <c r="DX247" s="208"/>
      <c r="DY247" s="208"/>
      <c r="DZ247" s="208"/>
      <c r="EA247" s="208"/>
      <c r="EB247" s="208"/>
      <c r="EC247" s="208"/>
      <c r="ED247" s="208"/>
      <c r="EE247" s="208"/>
      <c r="EF247" s="208"/>
      <c r="EG247" s="208"/>
      <c r="EH247" s="208"/>
      <c r="EI247" s="208"/>
      <c r="EJ247" s="208"/>
      <c r="EK247" s="208"/>
      <c r="EL247" s="208"/>
      <c r="EM247" s="208"/>
      <c r="EN247" s="208"/>
      <c r="EO247" s="208"/>
      <c r="EP247" s="208"/>
      <c r="EQ247" s="208"/>
      <c r="ER247" s="208"/>
      <c r="ES247" s="208"/>
      <c r="ET247" s="208"/>
      <c r="EU247" s="208"/>
      <c r="EV247" s="208"/>
      <c r="EW247" s="208"/>
      <c r="EX247" s="208"/>
      <c r="EY247" s="208"/>
      <c r="EZ247" s="208"/>
      <c r="FA247" s="208"/>
      <c r="FB247" s="208"/>
      <c r="FC247" s="208"/>
      <c r="FD247" s="208"/>
      <c r="FE247" s="208"/>
      <c r="FF247" s="208"/>
      <c r="FG247" s="208"/>
      <c r="FH247" s="208"/>
      <c r="FI247" s="208"/>
      <c r="FJ247" s="208"/>
      <c r="FK247" s="208"/>
      <c r="FL247" s="208"/>
      <c r="FM247" s="208"/>
      <c r="FN247" s="208"/>
      <c r="FO247" s="208"/>
      <c r="FP247" s="208"/>
      <c r="FQ247" s="208"/>
      <c r="FR247" s="208"/>
      <c r="FS247" s="208"/>
      <c r="FT247" s="208"/>
      <c r="FU247" s="208"/>
      <c r="FV247" s="208"/>
      <c r="FW247" s="208"/>
      <c r="FX247" s="208"/>
      <c r="FY247" s="208"/>
      <c r="FZ247" s="208"/>
      <c r="GA247" s="208"/>
      <c r="GB247" s="208"/>
      <c r="GC247" s="208"/>
      <c r="GD247" s="208"/>
      <c r="GE247" s="208"/>
      <c r="GF247" s="208"/>
    </row>
    <row r="248" spans="1:188" s="209" customFormat="1" ht="15" x14ac:dyDescent="0.25">
      <c r="A248" s="195" t="s">
        <v>5026</v>
      </c>
      <c r="B248" s="195" t="s">
        <v>757</v>
      </c>
      <c r="C248" s="196" t="s">
        <v>2664</v>
      </c>
      <c r="D248" s="154" t="s">
        <v>78</v>
      </c>
      <c r="E248" s="154">
        <v>690</v>
      </c>
      <c r="F248" s="154">
        <v>0.1</v>
      </c>
      <c r="G248" s="197"/>
      <c r="H248" s="198"/>
      <c r="I248" s="151">
        <f>IFERROR(INDEX(Composições!$A$5:$J$8391,MATCH(B248,Composições!$A$5:$A$8391,0)+2,8),"")</f>
        <v>468.80760549999997</v>
      </c>
      <c r="J248" s="152">
        <f t="shared" si="42"/>
        <v>32347.72</v>
      </c>
      <c r="K248" s="198">
        <f>BDI!$B$17</f>
        <v>0.191</v>
      </c>
      <c r="L248" s="198"/>
      <c r="M248" s="198"/>
      <c r="N248" s="153">
        <f t="shared" si="43"/>
        <v>558.35</v>
      </c>
      <c r="O248" s="152">
        <f t="shared" si="44"/>
        <v>38526.15</v>
      </c>
      <c r="P248" s="225"/>
      <c r="Q248" s="208"/>
      <c r="R248" s="208"/>
      <c r="S248"/>
      <c r="T248" s="208"/>
      <c r="U248" s="208"/>
      <c r="V248" s="208"/>
      <c r="W248" s="208"/>
      <c r="X248" s="208"/>
      <c r="Y248" s="208"/>
      <c r="Z248" s="208"/>
      <c r="AA248" s="208"/>
      <c r="AB248" s="208"/>
      <c r="AC248" s="208"/>
      <c r="AD248" s="208"/>
      <c r="AE248" s="208"/>
      <c r="AF248" s="208"/>
      <c r="AG248" s="208"/>
      <c r="AH248" s="208"/>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c r="BI248" s="208"/>
      <c r="BJ248" s="208"/>
      <c r="BK248" s="208"/>
      <c r="BL248" s="208"/>
      <c r="BM248" s="208"/>
      <c r="BN248" s="208"/>
      <c r="BO248" s="208"/>
      <c r="BP248" s="208"/>
      <c r="BQ248" s="208"/>
      <c r="BR248" s="208"/>
      <c r="BS248" s="208"/>
      <c r="BT248" s="208"/>
      <c r="BU248" s="208"/>
      <c r="BV248" s="208"/>
      <c r="BW248" s="208"/>
      <c r="BX248" s="208"/>
      <c r="BY248" s="208"/>
      <c r="BZ248" s="208"/>
      <c r="CA248" s="208"/>
      <c r="CB248" s="208"/>
      <c r="CC248" s="208"/>
      <c r="CD248" s="208"/>
      <c r="CE248" s="208"/>
      <c r="CF248" s="208"/>
      <c r="CG248" s="208"/>
      <c r="CH248" s="208"/>
      <c r="CI248" s="208"/>
      <c r="CJ248" s="208"/>
      <c r="CK248" s="208"/>
      <c r="CL248" s="208"/>
      <c r="CM248" s="208"/>
      <c r="CN248" s="208"/>
      <c r="CO248" s="208"/>
      <c r="CP248" s="208"/>
      <c r="CQ248" s="208"/>
      <c r="CR248" s="208"/>
      <c r="CS248" s="208"/>
      <c r="CT248" s="208"/>
      <c r="CU248" s="208"/>
      <c r="CV248" s="208"/>
      <c r="CW248" s="208"/>
      <c r="CX248" s="208"/>
      <c r="CY248" s="208"/>
      <c r="CZ248" s="208"/>
      <c r="DA248" s="208"/>
      <c r="DB248" s="208"/>
      <c r="DC248" s="208"/>
      <c r="DD248" s="208"/>
      <c r="DE248" s="208"/>
      <c r="DF248" s="208"/>
      <c r="DG248" s="208"/>
      <c r="DH248" s="208"/>
      <c r="DI248" s="208"/>
      <c r="DJ248" s="208"/>
      <c r="DK248" s="208"/>
      <c r="DL248" s="208"/>
      <c r="DM248" s="208"/>
      <c r="DN248" s="208"/>
      <c r="DO248" s="208"/>
      <c r="DP248" s="208"/>
      <c r="DQ248" s="208"/>
      <c r="DR248" s="208"/>
      <c r="DS248" s="208"/>
      <c r="DT248" s="208"/>
      <c r="DU248" s="208"/>
      <c r="DV248" s="208"/>
      <c r="DW248" s="208"/>
      <c r="DX248" s="208"/>
      <c r="DY248" s="208"/>
      <c r="DZ248" s="208"/>
      <c r="EA248" s="208"/>
      <c r="EB248" s="208"/>
      <c r="EC248" s="208"/>
      <c r="ED248" s="208"/>
      <c r="EE248" s="208"/>
      <c r="EF248" s="208"/>
      <c r="EG248" s="208"/>
      <c r="EH248" s="208"/>
      <c r="EI248" s="208"/>
      <c r="EJ248" s="208"/>
      <c r="EK248" s="208"/>
      <c r="EL248" s="208"/>
      <c r="EM248" s="208"/>
      <c r="EN248" s="208"/>
      <c r="EO248" s="208"/>
      <c r="EP248" s="208"/>
      <c r="EQ248" s="208"/>
      <c r="ER248" s="208"/>
      <c r="ES248" s="208"/>
      <c r="ET248" s="208"/>
      <c r="EU248" s="208"/>
      <c r="EV248" s="208"/>
      <c r="EW248" s="208"/>
      <c r="EX248" s="208"/>
      <c r="EY248" s="208"/>
      <c r="EZ248" s="208"/>
      <c r="FA248" s="208"/>
      <c r="FB248" s="208"/>
      <c r="FC248" s="208"/>
      <c r="FD248" s="208"/>
      <c r="FE248" s="208"/>
      <c r="FF248" s="208"/>
      <c r="FG248" s="208"/>
      <c r="FH248" s="208"/>
      <c r="FI248" s="208"/>
      <c r="FJ248" s="208"/>
      <c r="FK248" s="208"/>
      <c r="FL248" s="208"/>
      <c r="FM248" s="208"/>
      <c r="FN248" s="208"/>
      <c r="FO248" s="208"/>
      <c r="FP248" s="208"/>
      <c r="FQ248" s="208"/>
      <c r="FR248" s="208"/>
      <c r="FS248" s="208"/>
      <c r="FT248" s="208"/>
      <c r="FU248" s="208"/>
      <c r="FV248" s="208"/>
      <c r="FW248" s="208"/>
      <c r="FX248" s="208"/>
      <c r="FY248" s="208"/>
      <c r="FZ248" s="208"/>
      <c r="GA248" s="208"/>
      <c r="GB248" s="208"/>
      <c r="GC248" s="208"/>
      <c r="GD248" s="208"/>
      <c r="GE248" s="208"/>
      <c r="GF248" s="208"/>
    </row>
    <row r="249" spans="1:188" s="209" customFormat="1" ht="15" x14ac:dyDescent="0.25">
      <c r="A249" s="195" t="s">
        <v>5027</v>
      </c>
      <c r="B249" s="195" t="s">
        <v>784</v>
      </c>
      <c r="C249" s="196" t="s">
        <v>2680</v>
      </c>
      <c r="D249" s="154" t="s">
        <v>78</v>
      </c>
      <c r="E249" s="154">
        <v>480</v>
      </c>
      <c r="F249" s="154">
        <v>0.1</v>
      </c>
      <c r="G249" s="197"/>
      <c r="H249" s="198"/>
      <c r="I249" s="151">
        <f>IFERROR(INDEX(Composições!$A$5:$J$8391,MATCH(B249,Composições!$A$5:$A$8391,0)+2,8),"")</f>
        <v>451.73213299999998</v>
      </c>
      <c r="J249" s="152">
        <f t="shared" si="42"/>
        <v>21683.14</v>
      </c>
      <c r="K249" s="198">
        <f>BDI!$B$17</f>
        <v>0.191</v>
      </c>
      <c r="L249" s="198"/>
      <c r="M249" s="198"/>
      <c r="N249" s="153">
        <f t="shared" si="43"/>
        <v>538.01</v>
      </c>
      <c r="O249" s="152">
        <f t="shared" si="44"/>
        <v>25824.48</v>
      </c>
      <c r="P249" s="225"/>
      <c r="Q249" s="208"/>
      <c r="R249" s="208"/>
      <c r="S249"/>
      <c r="T249" s="208"/>
      <c r="U249" s="208"/>
      <c r="V249" s="208"/>
      <c r="W249" s="208"/>
      <c r="X249" s="208"/>
      <c r="Y249" s="208"/>
      <c r="Z249" s="208"/>
      <c r="AA249" s="208"/>
      <c r="AB249" s="208"/>
      <c r="AC249" s="208"/>
      <c r="AD249" s="208"/>
      <c r="AE249" s="208"/>
      <c r="AF249" s="208"/>
      <c r="AG249" s="208"/>
      <c r="AH249" s="208"/>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c r="BI249" s="208"/>
      <c r="BJ249" s="208"/>
      <c r="BK249" s="208"/>
      <c r="BL249" s="208"/>
      <c r="BM249" s="208"/>
      <c r="BN249" s="208"/>
      <c r="BO249" s="208"/>
      <c r="BP249" s="208"/>
      <c r="BQ249" s="208"/>
      <c r="BR249" s="208"/>
      <c r="BS249" s="208"/>
      <c r="BT249" s="208"/>
      <c r="BU249" s="208"/>
      <c r="BV249" s="208"/>
      <c r="BW249" s="208"/>
      <c r="BX249" s="208"/>
      <c r="BY249" s="208"/>
      <c r="BZ249" s="208"/>
      <c r="CA249" s="208"/>
      <c r="CB249" s="208"/>
      <c r="CC249" s="208"/>
      <c r="CD249" s="208"/>
      <c r="CE249" s="208"/>
      <c r="CF249" s="208"/>
      <c r="CG249" s="208"/>
      <c r="CH249" s="208"/>
      <c r="CI249" s="208"/>
      <c r="CJ249" s="208"/>
      <c r="CK249" s="208"/>
      <c r="CL249" s="208"/>
      <c r="CM249" s="208"/>
      <c r="CN249" s="208"/>
      <c r="CO249" s="208"/>
      <c r="CP249" s="208"/>
      <c r="CQ249" s="208"/>
      <c r="CR249" s="208"/>
      <c r="CS249" s="208"/>
      <c r="CT249" s="208"/>
      <c r="CU249" s="208"/>
      <c r="CV249" s="208"/>
      <c r="CW249" s="208"/>
      <c r="CX249" s="208"/>
      <c r="CY249" s="208"/>
      <c r="CZ249" s="208"/>
      <c r="DA249" s="208"/>
      <c r="DB249" s="208"/>
      <c r="DC249" s="208"/>
      <c r="DD249" s="208"/>
      <c r="DE249" s="208"/>
      <c r="DF249" s="208"/>
      <c r="DG249" s="208"/>
      <c r="DH249" s="208"/>
      <c r="DI249" s="208"/>
      <c r="DJ249" s="208"/>
      <c r="DK249" s="208"/>
      <c r="DL249" s="208"/>
      <c r="DM249" s="208"/>
      <c r="DN249" s="208"/>
      <c r="DO249" s="208"/>
      <c r="DP249" s="208"/>
      <c r="DQ249" s="208"/>
      <c r="DR249" s="208"/>
      <c r="DS249" s="208"/>
      <c r="DT249" s="208"/>
      <c r="DU249" s="208"/>
      <c r="DV249" s="208"/>
      <c r="DW249" s="208"/>
      <c r="DX249" s="208"/>
      <c r="DY249" s="208"/>
      <c r="DZ249" s="208"/>
      <c r="EA249" s="208"/>
      <c r="EB249" s="208"/>
      <c r="EC249" s="208"/>
      <c r="ED249" s="208"/>
      <c r="EE249" s="208"/>
      <c r="EF249" s="208"/>
      <c r="EG249" s="208"/>
      <c r="EH249" s="208"/>
      <c r="EI249" s="208"/>
      <c r="EJ249" s="208"/>
      <c r="EK249" s="208"/>
      <c r="EL249" s="208"/>
      <c r="EM249" s="208"/>
      <c r="EN249" s="208"/>
      <c r="EO249" s="208"/>
      <c r="EP249" s="208"/>
      <c r="EQ249" s="208"/>
      <c r="ER249" s="208"/>
      <c r="ES249" s="208"/>
      <c r="ET249" s="208"/>
      <c r="EU249" s="208"/>
      <c r="EV249" s="208"/>
      <c r="EW249" s="208"/>
      <c r="EX249" s="208"/>
      <c r="EY249" s="208"/>
      <c r="EZ249" s="208"/>
      <c r="FA249" s="208"/>
      <c r="FB249" s="208"/>
      <c r="FC249" s="208"/>
      <c r="FD249" s="208"/>
      <c r="FE249" s="208"/>
      <c r="FF249" s="208"/>
      <c r="FG249" s="208"/>
      <c r="FH249" s="208"/>
      <c r="FI249" s="208"/>
      <c r="FJ249" s="208"/>
      <c r="FK249" s="208"/>
      <c r="FL249" s="208"/>
      <c r="FM249" s="208"/>
      <c r="FN249" s="208"/>
      <c r="FO249" s="208"/>
      <c r="FP249" s="208"/>
      <c r="FQ249" s="208"/>
      <c r="FR249" s="208"/>
      <c r="FS249" s="208"/>
      <c r="FT249" s="208"/>
      <c r="FU249" s="208"/>
      <c r="FV249" s="208"/>
      <c r="FW249" s="208"/>
      <c r="FX249" s="208"/>
      <c r="FY249" s="208"/>
      <c r="FZ249" s="208"/>
      <c r="GA249" s="208"/>
      <c r="GB249" s="208"/>
      <c r="GC249" s="208"/>
      <c r="GD249" s="208"/>
      <c r="GE249" s="208"/>
      <c r="GF249" s="208"/>
    </row>
    <row r="250" spans="1:188" s="225" customFormat="1" ht="15" x14ac:dyDescent="0.25">
      <c r="A250" s="189" t="s">
        <v>5028</v>
      </c>
      <c r="B250" s="189"/>
      <c r="C250" s="190" t="s">
        <v>5029</v>
      </c>
      <c r="D250" s="191"/>
      <c r="E250" s="191"/>
      <c r="F250" s="191"/>
      <c r="G250" s="192"/>
      <c r="H250" s="193"/>
      <c r="I250" s="246"/>
      <c r="J250" s="194">
        <f>SUBTOTAL(109,J251:J305)</f>
        <v>183708.95000000007</v>
      </c>
      <c r="K250" s="191"/>
      <c r="L250" s="191"/>
      <c r="M250" s="191"/>
      <c r="N250" s="191"/>
      <c r="O250" s="194">
        <f>SUBTOTAL(109,O251:O305)</f>
        <v>218798.07999999993</v>
      </c>
      <c r="Q250" s="208"/>
      <c r="R250" s="208"/>
      <c r="S250"/>
      <c r="T250" s="208"/>
      <c r="U250" s="208"/>
      <c r="V250" s="208"/>
      <c r="W250" s="208"/>
      <c r="X250" s="208"/>
      <c r="Y250" s="208"/>
      <c r="Z250" s="208"/>
      <c r="AA250" s="208"/>
      <c r="AB250" s="208"/>
      <c r="AC250" s="208"/>
      <c r="AD250" s="208"/>
      <c r="AE250" s="208"/>
      <c r="AF250" s="208"/>
      <c r="AG250" s="208"/>
      <c r="AH250" s="208"/>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c r="BI250" s="208"/>
      <c r="BJ250" s="208"/>
      <c r="BK250" s="208"/>
      <c r="BL250" s="208"/>
      <c r="BM250" s="208"/>
      <c r="BN250" s="208"/>
      <c r="BO250" s="208"/>
      <c r="BP250" s="208"/>
      <c r="BQ250" s="208"/>
      <c r="BR250" s="208"/>
      <c r="BS250" s="208"/>
      <c r="BT250" s="208"/>
      <c r="BU250" s="208"/>
      <c r="BV250" s="208"/>
      <c r="BW250" s="208"/>
      <c r="BX250" s="208"/>
      <c r="BY250" s="208"/>
      <c r="BZ250" s="208"/>
      <c r="CA250" s="208"/>
      <c r="CB250" s="208"/>
      <c r="CC250" s="208"/>
      <c r="CD250" s="208"/>
      <c r="CE250" s="208"/>
      <c r="CF250" s="208"/>
      <c r="CG250" s="208"/>
      <c r="CH250" s="208"/>
      <c r="CI250" s="208"/>
      <c r="CJ250" s="208"/>
      <c r="CK250" s="208"/>
      <c r="CL250" s="208"/>
      <c r="CM250" s="208"/>
      <c r="CN250" s="208"/>
      <c r="CO250" s="208"/>
      <c r="CP250" s="208"/>
      <c r="CQ250" s="208"/>
      <c r="CR250" s="208"/>
      <c r="CS250" s="208"/>
      <c r="CT250" s="208"/>
      <c r="CU250" s="208"/>
      <c r="CV250" s="208"/>
      <c r="CW250" s="208"/>
      <c r="CX250" s="208"/>
      <c r="CY250" s="208"/>
      <c r="CZ250" s="208"/>
      <c r="DA250" s="208"/>
      <c r="DB250" s="208"/>
      <c r="DC250" s="208"/>
      <c r="DD250" s="208"/>
      <c r="DE250" s="208"/>
      <c r="DF250" s="208"/>
      <c r="DG250" s="208"/>
      <c r="DH250" s="208"/>
      <c r="DI250" s="208"/>
      <c r="DJ250" s="208"/>
      <c r="DK250" s="208"/>
      <c r="DL250" s="208"/>
      <c r="DM250" s="208"/>
      <c r="DN250" s="208"/>
      <c r="DO250" s="208"/>
      <c r="DP250" s="208"/>
      <c r="DQ250" s="208"/>
      <c r="DR250" s="208"/>
      <c r="DS250" s="208"/>
      <c r="DT250" s="208"/>
      <c r="DU250" s="208"/>
      <c r="DV250" s="208"/>
      <c r="DW250" s="208"/>
      <c r="DX250" s="208"/>
      <c r="DY250" s="208"/>
      <c r="DZ250" s="208"/>
      <c r="EA250" s="208"/>
      <c r="EB250" s="208"/>
      <c r="EC250" s="208"/>
      <c r="ED250" s="208"/>
      <c r="EE250" s="208"/>
      <c r="EF250" s="208"/>
      <c r="EG250" s="208"/>
      <c r="EH250" s="208"/>
      <c r="EI250" s="208"/>
      <c r="EJ250" s="208"/>
      <c r="EK250" s="208"/>
      <c r="EL250" s="208"/>
      <c r="EM250" s="208"/>
      <c r="EN250" s="208"/>
      <c r="EO250" s="208"/>
      <c r="EP250" s="208"/>
      <c r="EQ250" s="208"/>
      <c r="ER250" s="208"/>
      <c r="ES250" s="208"/>
      <c r="ET250" s="208"/>
      <c r="EU250" s="208"/>
      <c r="EV250" s="208"/>
      <c r="EW250" s="208"/>
      <c r="EX250" s="208"/>
      <c r="EY250" s="208"/>
      <c r="EZ250" s="208"/>
      <c r="FA250" s="208"/>
      <c r="FB250" s="208"/>
      <c r="FC250" s="208"/>
      <c r="FD250" s="208"/>
      <c r="FE250" s="208"/>
      <c r="FF250" s="208"/>
      <c r="FG250" s="208"/>
      <c r="FH250" s="208"/>
      <c r="FI250" s="208"/>
      <c r="FJ250" s="208"/>
      <c r="FK250" s="208"/>
      <c r="FL250" s="208"/>
      <c r="FM250" s="208"/>
      <c r="FN250" s="208"/>
      <c r="FO250" s="208"/>
      <c r="FP250" s="208"/>
      <c r="FQ250" s="208"/>
      <c r="FR250" s="208"/>
      <c r="FS250" s="208"/>
      <c r="FT250" s="208"/>
      <c r="FU250" s="208"/>
      <c r="FV250" s="208"/>
      <c r="FW250" s="208"/>
      <c r="FX250" s="208"/>
      <c r="FY250" s="208"/>
      <c r="FZ250" s="208"/>
      <c r="GA250" s="208"/>
      <c r="GB250" s="208"/>
      <c r="GC250" s="208"/>
      <c r="GD250" s="208"/>
      <c r="GE250" s="208"/>
      <c r="GF250" s="208"/>
    </row>
    <row r="251" spans="1:188" s="209" customFormat="1" ht="15" x14ac:dyDescent="0.25">
      <c r="A251" s="195" t="s">
        <v>5030</v>
      </c>
      <c r="B251" s="195" t="s">
        <v>694</v>
      </c>
      <c r="C251" s="196" t="s">
        <v>2633</v>
      </c>
      <c r="D251" s="154" t="s">
        <v>28</v>
      </c>
      <c r="E251" s="154">
        <v>210</v>
      </c>
      <c r="F251" s="154">
        <v>0.1</v>
      </c>
      <c r="G251" s="197"/>
      <c r="H251" s="198"/>
      <c r="I251" s="151">
        <f>IFERROR(INDEX(Composições!$A$5:$J$8391,MATCH(B251,Composições!$A$5:$A$8391,0)+2,8),"")</f>
        <v>8.3371999999999993</v>
      </c>
      <c r="J251" s="152">
        <f t="shared" ref="J251:J282" si="45">IF(ISNUMBER(I251),ROUND(F251*E251*I251,2),"")</f>
        <v>175.08</v>
      </c>
      <c r="K251" s="198">
        <f>BDI!$B$17</f>
        <v>0.191</v>
      </c>
      <c r="L251" s="198"/>
      <c r="M251" s="198"/>
      <c r="N251" s="153">
        <f t="shared" ref="N251:N282" si="46">IF(ISNUMBER(I251),ROUND(I251*(1+K251),2),"")</f>
        <v>9.93</v>
      </c>
      <c r="O251" s="152">
        <f t="shared" ref="O251:O282" si="47">IF(ISNUMBER(I251),ROUND(F251*N251*E251,2),"")</f>
        <v>208.53</v>
      </c>
      <c r="P251" s="225"/>
      <c r="Q251" s="208"/>
      <c r="R251" s="208"/>
      <c r="S251"/>
      <c r="T251" s="208"/>
      <c r="U251" s="208"/>
      <c r="V251" s="208"/>
      <c r="W251" s="208"/>
      <c r="X251" s="208"/>
      <c r="Y251" s="208"/>
      <c r="Z251" s="208"/>
      <c r="AA251" s="208"/>
      <c r="AB251" s="208"/>
      <c r="AC251" s="208"/>
      <c r="AD251" s="208"/>
      <c r="AE251" s="208"/>
      <c r="AF251" s="208"/>
      <c r="AG251" s="208"/>
      <c r="AH251" s="208"/>
      <c r="AI251" s="208"/>
      <c r="AJ251" s="208"/>
      <c r="AK251" s="208"/>
      <c r="AL251" s="208"/>
      <c r="AM251" s="208"/>
      <c r="AN251" s="208"/>
      <c r="AO251" s="208"/>
      <c r="AP251" s="208"/>
      <c r="AQ251" s="208"/>
      <c r="AR251" s="208"/>
      <c r="AS251" s="208"/>
      <c r="AT251" s="208"/>
      <c r="AU251" s="208"/>
      <c r="AV251" s="208"/>
      <c r="AW251" s="208"/>
      <c r="AX251" s="208"/>
      <c r="AY251" s="208"/>
      <c r="AZ251" s="208"/>
      <c r="BA251" s="208"/>
      <c r="BB251" s="208"/>
      <c r="BC251" s="208"/>
      <c r="BD251" s="208"/>
      <c r="BE251" s="208"/>
      <c r="BF251" s="208"/>
      <c r="BG251" s="208"/>
      <c r="BH251" s="208"/>
      <c r="BI251" s="208"/>
      <c r="BJ251" s="208"/>
      <c r="BK251" s="208"/>
      <c r="BL251" s="208"/>
      <c r="BM251" s="208"/>
      <c r="BN251" s="208"/>
      <c r="BO251" s="208"/>
      <c r="BP251" s="208"/>
      <c r="BQ251" s="208"/>
      <c r="BR251" s="208"/>
      <c r="BS251" s="208"/>
      <c r="BT251" s="208"/>
      <c r="BU251" s="208"/>
      <c r="BV251" s="208"/>
      <c r="BW251" s="208"/>
      <c r="BX251" s="208"/>
      <c r="BY251" s="208"/>
      <c r="BZ251" s="208"/>
      <c r="CA251" s="208"/>
      <c r="CB251" s="208"/>
      <c r="CC251" s="208"/>
      <c r="CD251" s="208"/>
      <c r="CE251" s="208"/>
      <c r="CF251" s="208"/>
      <c r="CG251" s="208"/>
      <c r="CH251" s="208"/>
      <c r="CI251" s="208"/>
      <c r="CJ251" s="208"/>
      <c r="CK251" s="208"/>
      <c r="CL251" s="208"/>
      <c r="CM251" s="208"/>
      <c r="CN251" s="208"/>
      <c r="CO251" s="208"/>
      <c r="CP251" s="208"/>
      <c r="CQ251" s="208"/>
      <c r="CR251" s="208"/>
      <c r="CS251" s="208"/>
      <c r="CT251" s="208"/>
      <c r="CU251" s="208"/>
      <c r="CV251" s="208"/>
      <c r="CW251" s="208"/>
      <c r="CX251" s="208"/>
      <c r="CY251" s="208"/>
      <c r="CZ251" s="208"/>
      <c r="DA251" s="208"/>
      <c r="DB251" s="208"/>
      <c r="DC251" s="208"/>
      <c r="DD251" s="208"/>
      <c r="DE251" s="208"/>
      <c r="DF251" s="208"/>
      <c r="DG251" s="208"/>
      <c r="DH251" s="208"/>
      <c r="DI251" s="208"/>
      <c r="DJ251" s="208"/>
      <c r="DK251" s="208"/>
      <c r="DL251" s="208"/>
      <c r="DM251" s="208"/>
      <c r="DN251" s="208"/>
      <c r="DO251" s="208"/>
      <c r="DP251" s="208"/>
      <c r="DQ251" s="208"/>
      <c r="DR251" s="208"/>
      <c r="DS251" s="208"/>
      <c r="DT251" s="208"/>
      <c r="DU251" s="208"/>
      <c r="DV251" s="208"/>
      <c r="DW251" s="208"/>
      <c r="DX251" s="208"/>
      <c r="DY251" s="208"/>
      <c r="DZ251" s="208"/>
      <c r="EA251" s="208"/>
      <c r="EB251" s="208"/>
      <c r="EC251" s="208"/>
      <c r="ED251" s="208"/>
      <c r="EE251" s="208"/>
      <c r="EF251" s="208"/>
      <c r="EG251" s="208"/>
      <c r="EH251" s="208"/>
      <c r="EI251" s="208"/>
      <c r="EJ251" s="208"/>
      <c r="EK251" s="208"/>
      <c r="EL251" s="208"/>
      <c r="EM251" s="208"/>
      <c r="EN251" s="208"/>
      <c r="EO251" s="208"/>
      <c r="EP251" s="208"/>
      <c r="EQ251" s="208"/>
      <c r="ER251" s="208"/>
      <c r="ES251" s="208"/>
      <c r="ET251" s="208"/>
      <c r="EU251" s="208"/>
      <c r="EV251" s="208"/>
      <c r="EW251" s="208"/>
      <c r="EX251" s="208"/>
      <c r="EY251" s="208"/>
      <c r="EZ251" s="208"/>
      <c r="FA251" s="208"/>
      <c r="FB251" s="208"/>
      <c r="FC251" s="208"/>
      <c r="FD251" s="208"/>
      <c r="FE251" s="208"/>
      <c r="FF251" s="208"/>
      <c r="FG251" s="208"/>
      <c r="FH251" s="208"/>
      <c r="FI251" s="208"/>
      <c r="FJ251" s="208"/>
      <c r="FK251" s="208"/>
      <c r="FL251" s="208"/>
      <c r="FM251" s="208"/>
      <c r="FN251" s="208"/>
      <c r="FO251" s="208"/>
      <c r="FP251" s="208"/>
      <c r="FQ251" s="208"/>
      <c r="FR251" s="208"/>
      <c r="FS251" s="208"/>
      <c r="FT251" s="208"/>
      <c r="FU251" s="208"/>
      <c r="FV251" s="208"/>
      <c r="FW251" s="208"/>
      <c r="FX251" s="208"/>
      <c r="FY251" s="208"/>
      <c r="FZ251" s="208"/>
      <c r="GA251" s="208"/>
      <c r="GB251" s="208"/>
      <c r="GC251" s="208"/>
      <c r="GD251" s="208"/>
      <c r="GE251" s="208"/>
      <c r="GF251" s="208"/>
    </row>
    <row r="252" spans="1:188" s="209" customFormat="1" ht="15" x14ac:dyDescent="0.25">
      <c r="A252" s="195" t="s">
        <v>5031</v>
      </c>
      <c r="B252" s="195" t="s">
        <v>696</v>
      </c>
      <c r="C252" s="196" t="s">
        <v>2634</v>
      </c>
      <c r="D252" s="154" t="s">
        <v>28</v>
      </c>
      <c r="E252" s="154">
        <v>50</v>
      </c>
      <c r="F252" s="154">
        <v>0.1</v>
      </c>
      <c r="G252" s="197"/>
      <c r="H252" s="198"/>
      <c r="I252" s="151">
        <f>IFERROR(INDEX(Composições!$A$5:$J$8391,MATCH(B252,Composições!$A$5:$A$8391,0)+2,8),"")</f>
        <v>68.610900000000001</v>
      </c>
      <c r="J252" s="152">
        <f t="shared" si="45"/>
        <v>343.05</v>
      </c>
      <c r="K252" s="198">
        <f>BDI!$B$17</f>
        <v>0.191</v>
      </c>
      <c r="L252" s="198"/>
      <c r="M252" s="198"/>
      <c r="N252" s="153">
        <f t="shared" si="46"/>
        <v>81.72</v>
      </c>
      <c r="O252" s="152">
        <f t="shared" si="47"/>
        <v>408.6</v>
      </c>
      <c r="P252" s="225"/>
      <c r="Q252" s="208"/>
      <c r="R252" s="208"/>
      <c r="S252"/>
      <c r="T252" s="208"/>
      <c r="U252" s="208"/>
      <c r="V252" s="208"/>
      <c r="W252" s="208"/>
      <c r="X252" s="208"/>
      <c r="Y252" s="208"/>
      <c r="Z252" s="208"/>
      <c r="AA252" s="208"/>
      <c r="AB252" s="208"/>
      <c r="AC252" s="208"/>
      <c r="AD252" s="208"/>
      <c r="AE252" s="208"/>
      <c r="AF252" s="208"/>
      <c r="AG252" s="208"/>
      <c r="AH252" s="208"/>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c r="BI252" s="208"/>
      <c r="BJ252" s="208"/>
      <c r="BK252" s="208"/>
      <c r="BL252" s="208"/>
      <c r="BM252" s="208"/>
      <c r="BN252" s="208"/>
      <c r="BO252" s="208"/>
      <c r="BP252" s="208"/>
      <c r="BQ252" s="208"/>
      <c r="BR252" s="208"/>
      <c r="BS252" s="208"/>
      <c r="BT252" s="208"/>
      <c r="BU252" s="208"/>
      <c r="BV252" s="208"/>
      <c r="BW252" s="208"/>
      <c r="BX252" s="208"/>
      <c r="BY252" s="208"/>
      <c r="BZ252" s="208"/>
      <c r="CA252" s="208"/>
      <c r="CB252" s="208"/>
      <c r="CC252" s="208"/>
      <c r="CD252" s="208"/>
      <c r="CE252" s="208"/>
      <c r="CF252" s="208"/>
      <c r="CG252" s="208"/>
      <c r="CH252" s="208"/>
      <c r="CI252" s="208"/>
      <c r="CJ252" s="208"/>
      <c r="CK252" s="208"/>
      <c r="CL252" s="208"/>
      <c r="CM252" s="208"/>
      <c r="CN252" s="208"/>
      <c r="CO252" s="208"/>
      <c r="CP252" s="208"/>
      <c r="CQ252" s="208"/>
      <c r="CR252" s="208"/>
      <c r="CS252" s="208"/>
      <c r="CT252" s="208"/>
      <c r="CU252" s="208"/>
      <c r="CV252" s="208"/>
      <c r="CW252" s="208"/>
      <c r="CX252" s="208"/>
      <c r="CY252" s="208"/>
      <c r="CZ252" s="208"/>
      <c r="DA252" s="208"/>
      <c r="DB252" s="208"/>
      <c r="DC252" s="208"/>
      <c r="DD252" s="208"/>
      <c r="DE252" s="208"/>
      <c r="DF252" s="208"/>
      <c r="DG252" s="208"/>
      <c r="DH252" s="208"/>
      <c r="DI252" s="208"/>
      <c r="DJ252" s="208"/>
      <c r="DK252" s="208"/>
      <c r="DL252" s="208"/>
      <c r="DM252" s="208"/>
      <c r="DN252" s="208"/>
      <c r="DO252" s="208"/>
      <c r="DP252" s="208"/>
      <c r="DQ252" s="208"/>
      <c r="DR252" s="208"/>
      <c r="DS252" s="208"/>
      <c r="DT252" s="208"/>
      <c r="DU252" s="208"/>
      <c r="DV252" s="208"/>
      <c r="DW252" s="208"/>
      <c r="DX252" s="208"/>
      <c r="DY252" s="208"/>
      <c r="DZ252" s="208"/>
      <c r="EA252" s="208"/>
      <c r="EB252" s="208"/>
      <c r="EC252" s="208"/>
      <c r="ED252" s="208"/>
      <c r="EE252" s="208"/>
      <c r="EF252" s="208"/>
      <c r="EG252" s="208"/>
      <c r="EH252" s="208"/>
      <c r="EI252" s="208"/>
      <c r="EJ252" s="208"/>
      <c r="EK252" s="208"/>
      <c r="EL252" s="208"/>
      <c r="EM252" s="208"/>
      <c r="EN252" s="208"/>
      <c r="EO252" s="208"/>
      <c r="EP252" s="208"/>
      <c r="EQ252" s="208"/>
      <c r="ER252" s="208"/>
      <c r="ES252" s="208"/>
      <c r="ET252" s="208"/>
      <c r="EU252" s="208"/>
      <c r="EV252" s="208"/>
      <c r="EW252" s="208"/>
      <c r="EX252" s="208"/>
      <c r="EY252" s="208"/>
      <c r="EZ252" s="208"/>
      <c r="FA252" s="208"/>
      <c r="FB252" s="208"/>
      <c r="FC252" s="208"/>
      <c r="FD252" s="208"/>
      <c r="FE252" s="208"/>
      <c r="FF252" s="208"/>
      <c r="FG252" s="208"/>
      <c r="FH252" s="208"/>
      <c r="FI252" s="208"/>
      <c r="FJ252" s="208"/>
      <c r="FK252" s="208"/>
      <c r="FL252" s="208"/>
      <c r="FM252" s="208"/>
      <c r="FN252" s="208"/>
      <c r="FO252" s="208"/>
      <c r="FP252" s="208"/>
      <c r="FQ252" s="208"/>
      <c r="FR252" s="208"/>
      <c r="FS252" s="208"/>
      <c r="FT252" s="208"/>
      <c r="FU252" s="208"/>
      <c r="FV252" s="208"/>
      <c r="FW252" s="208"/>
      <c r="FX252" s="208"/>
      <c r="FY252" s="208"/>
      <c r="FZ252" s="208"/>
      <c r="GA252" s="208"/>
      <c r="GB252" s="208"/>
      <c r="GC252" s="208"/>
      <c r="GD252" s="208"/>
      <c r="GE252" s="208"/>
      <c r="GF252" s="208"/>
    </row>
    <row r="253" spans="1:188" s="209" customFormat="1" ht="15" x14ac:dyDescent="0.25">
      <c r="A253" s="195" t="s">
        <v>5032</v>
      </c>
      <c r="B253" s="195" t="s">
        <v>698</v>
      </c>
      <c r="C253" s="196" t="s">
        <v>2635</v>
      </c>
      <c r="D253" s="154" t="s">
        <v>28</v>
      </c>
      <c r="E253" s="154">
        <v>50</v>
      </c>
      <c r="F253" s="154">
        <v>0.1</v>
      </c>
      <c r="G253" s="197"/>
      <c r="H253" s="198"/>
      <c r="I253" s="151">
        <f>IFERROR(INDEX(Composições!$A$5:$J$8391,MATCH(B253,Composições!$A$5:$A$8391,0)+2,8),"")</f>
        <v>25.940699999999996</v>
      </c>
      <c r="J253" s="152">
        <f t="shared" si="45"/>
        <v>129.69999999999999</v>
      </c>
      <c r="K253" s="198">
        <f>BDI!$B$17</f>
        <v>0.191</v>
      </c>
      <c r="L253" s="198"/>
      <c r="M253" s="198"/>
      <c r="N253" s="153">
        <f t="shared" si="46"/>
        <v>30.9</v>
      </c>
      <c r="O253" s="152">
        <f t="shared" si="47"/>
        <v>154.5</v>
      </c>
      <c r="P253" s="225"/>
      <c r="Q253" s="208"/>
      <c r="R253" s="208"/>
      <c r="S253"/>
      <c r="T253" s="208"/>
      <c r="U253" s="208"/>
      <c r="V253" s="208"/>
      <c r="W253" s="208"/>
      <c r="X253" s="208"/>
      <c r="Y253" s="208"/>
      <c r="Z253" s="208"/>
      <c r="AA253" s="208"/>
      <c r="AB253" s="208"/>
      <c r="AC253" s="208"/>
      <c r="AD253" s="208"/>
      <c r="AE253" s="208"/>
      <c r="AF253" s="208"/>
      <c r="AG253" s="208"/>
      <c r="AH253" s="208"/>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c r="BI253" s="208"/>
      <c r="BJ253" s="208"/>
      <c r="BK253" s="208"/>
      <c r="BL253" s="208"/>
      <c r="BM253" s="208"/>
      <c r="BN253" s="208"/>
      <c r="BO253" s="208"/>
      <c r="BP253" s="208"/>
      <c r="BQ253" s="208"/>
      <c r="BR253" s="208"/>
      <c r="BS253" s="208"/>
      <c r="BT253" s="208"/>
      <c r="BU253" s="208"/>
      <c r="BV253" s="208"/>
      <c r="BW253" s="208"/>
      <c r="BX253" s="208"/>
      <c r="BY253" s="208"/>
      <c r="BZ253" s="208"/>
      <c r="CA253" s="208"/>
      <c r="CB253" s="208"/>
      <c r="CC253" s="208"/>
      <c r="CD253" s="208"/>
      <c r="CE253" s="208"/>
      <c r="CF253" s="208"/>
      <c r="CG253" s="208"/>
      <c r="CH253" s="208"/>
      <c r="CI253" s="208"/>
      <c r="CJ253" s="208"/>
      <c r="CK253" s="208"/>
      <c r="CL253" s="208"/>
      <c r="CM253" s="208"/>
      <c r="CN253" s="208"/>
      <c r="CO253" s="208"/>
      <c r="CP253" s="208"/>
      <c r="CQ253" s="208"/>
      <c r="CR253" s="208"/>
      <c r="CS253" s="208"/>
      <c r="CT253" s="208"/>
      <c r="CU253" s="208"/>
      <c r="CV253" s="208"/>
      <c r="CW253" s="208"/>
      <c r="CX253" s="208"/>
      <c r="CY253" s="208"/>
      <c r="CZ253" s="208"/>
      <c r="DA253" s="208"/>
      <c r="DB253" s="208"/>
      <c r="DC253" s="208"/>
      <c r="DD253" s="208"/>
      <c r="DE253" s="208"/>
      <c r="DF253" s="208"/>
      <c r="DG253" s="208"/>
      <c r="DH253" s="208"/>
      <c r="DI253" s="208"/>
      <c r="DJ253" s="208"/>
      <c r="DK253" s="208"/>
      <c r="DL253" s="208"/>
      <c r="DM253" s="208"/>
      <c r="DN253" s="208"/>
      <c r="DO253" s="208"/>
      <c r="DP253" s="208"/>
      <c r="DQ253" s="208"/>
      <c r="DR253" s="208"/>
      <c r="DS253" s="208"/>
      <c r="DT253" s="208"/>
      <c r="DU253" s="208"/>
      <c r="DV253" s="208"/>
      <c r="DW253" s="208"/>
      <c r="DX253" s="208"/>
      <c r="DY253" s="208"/>
      <c r="DZ253" s="208"/>
      <c r="EA253" s="208"/>
      <c r="EB253" s="208"/>
      <c r="EC253" s="208"/>
      <c r="ED253" s="208"/>
      <c r="EE253" s="208"/>
      <c r="EF253" s="208"/>
      <c r="EG253" s="208"/>
      <c r="EH253" s="208"/>
      <c r="EI253" s="208"/>
      <c r="EJ253" s="208"/>
      <c r="EK253" s="208"/>
      <c r="EL253" s="208"/>
      <c r="EM253" s="208"/>
      <c r="EN253" s="208"/>
      <c r="EO253" s="208"/>
      <c r="EP253" s="208"/>
      <c r="EQ253" s="208"/>
      <c r="ER253" s="208"/>
      <c r="ES253" s="208"/>
      <c r="ET253" s="208"/>
      <c r="EU253" s="208"/>
      <c r="EV253" s="208"/>
      <c r="EW253" s="208"/>
      <c r="EX253" s="208"/>
      <c r="EY253" s="208"/>
      <c r="EZ253" s="208"/>
      <c r="FA253" s="208"/>
      <c r="FB253" s="208"/>
      <c r="FC253" s="208"/>
      <c r="FD253" s="208"/>
      <c r="FE253" s="208"/>
      <c r="FF253" s="208"/>
      <c r="FG253" s="208"/>
      <c r="FH253" s="208"/>
      <c r="FI253" s="208"/>
      <c r="FJ253" s="208"/>
      <c r="FK253" s="208"/>
      <c r="FL253" s="208"/>
      <c r="FM253" s="208"/>
      <c r="FN253" s="208"/>
      <c r="FO253" s="208"/>
      <c r="FP253" s="208"/>
      <c r="FQ253" s="208"/>
      <c r="FR253" s="208"/>
      <c r="FS253" s="208"/>
      <c r="FT253" s="208"/>
      <c r="FU253" s="208"/>
      <c r="FV253" s="208"/>
      <c r="FW253" s="208"/>
      <c r="FX253" s="208"/>
      <c r="FY253" s="208"/>
      <c r="FZ253" s="208"/>
      <c r="GA253" s="208"/>
      <c r="GB253" s="208"/>
      <c r="GC253" s="208"/>
      <c r="GD253" s="208"/>
      <c r="GE253" s="208"/>
      <c r="GF253" s="208"/>
    </row>
    <row r="254" spans="1:188" s="209" customFormat="1" ht="15" x14ac:dyDescent="0.25">
      <c r="A254" s="195" t="s">
        <v>5033</v>
      </c>
      <c r="B254" s="195" t="s">
        <v>700</v>
      </c>
      <c r="C254" s="196" t="s">
        <v>2636</v>
      </c>
      <c r="D254" s="154" t="s">
        <v>28</v>
      </c>
      <c r="E254" s="154">
        <v>20</v>
      </c>
      <c r="F254" s="154">
        <v>0.1</v>
      </c>
      <c r="G254" s="197"/>
      <c r="H254" s="198"/>
      <c r="I254" s="151">
        <f>IFERROR(INDEX(Composições!$A$5:$J$8391,MATCH(B254,Composições!$A$5:$A$8391,0)+2,8),"")</f>
        <v>73.379899999999992</v>
      </c>
      <c r="J254" s="152">
        <f t="shared" si="45"/>
        <v>146.76</v>
      </c>
      <c r="K254" s="198">
        <f>BDI!$B$17</f>
        <v>0.191</v>
      </c>
      <c r="L254" s="198"/>
      <c r="M254" s="198"/>
      <c r="N254" s="153">
        <f t="shared" si="46"/>
        <v>87.4</v>
      </c>
      <c r="O254" s="152">
        <f t="shared" si="47"/>
        <v>174.8</v>
      </c>
      <c r="P254" s="225"/>
      <c r="Q254" s="208"/>
      <c r="R254" s="208"/>
      <c r="S254"/>
      <c r="T254" s="208"/>
      <c r="U254" s="208"/>
      <c r="V254" s="208"/>
      <c r="W254" s="208"/>
      <c r="X254" s="208"/>
      <c r="Y254" s="208"/>
      <c r="Z254" s="208"/>
      <c r="AA254" s="208"/>
      <c r="AB254" s="208"/>
      <c r="AC254" s="208"/>
      <c r="AD254" s="208"/>
      <c r="AE254" s="208"/>
      <c r="AF254" s="208"/>
      <c r="AG254" s="208"/>
      <c r="AH254" s="208"/>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c r="BI254" s="208"/>
      <c r="BJ254" s="208"/>
      <c r="BK254" s="208"/>
      <c r="BL254" s="208"/>
      <c r="BM254" s="208"/>
      <c r="BN254" s="208"/>
      <c r="BO254" s="208"/>
      <c r="BP254" s="208"/>
      <c r="BQ254" s="208"/>
      <c r="BR254" s="208"/>
      <c r="BS254" s="208"/>
      <c r="BT254" s="208"/>
      <c r="BU254" s="208"/>
      <c r="BV254" s="208"/>
      <c r="BW254" s="208"/>
      <c r="BX254" s="208"/>
      <c r="BY254" s="208"/>
      <c r="BZ254" s="208"/>
      <c r="CA254" s="208"/>
      <c r="CB254" s="208"/>
      <c r="CC254" s="208"/>
      <c r="CD254" s="208"/>
      <c r="CE254" s="208"/>
      <c r="CF254" s="208"/>
      <c r="CG254" s="208"/>
      <c r="CH254" s="208"/>
      <c r="CI254" s="208"/>
      <c r="CJ254" s="208"/>
      <c r="CK254" s="208"/>
      <c r="CL254" s="208"/>
      <c r="CM254" s="208"/>
      <c r="CN254" s="208"/>
      <c r="CO254" s="208"/>
      <c r="CP254" s="208"/>
      <c r="CQ254" s="208"/>
      <c r="CR254" s="208"/>
      <c r="CS254" s="208"/>
      <c r="CT254" s="208"/>
      <c r="CU254" s="208"/>
      <c r="CV254" s="208"/>
      <c r="CW254" s="208"/>
      <c r="CX254" s="208"/>
      <c r="CY254" s="208"/>
      <c r="CZ254" s="208"/>
      <c r="DA254" s="208"/>
      <c r="DB254" s="208"/>
      <c r="DC254" s="208"/>
      <c r="DD254" s="208"/>
      <c r="DE254" s="208"/>
      <c r="DF254" s="208"/>
      <c r="DG254" s="208"/>
      <c r="DH254" s="208"/>
      <c r="DI254" s="208"/>
      <c r="DJ254" s="208"/>
      <c r="DK254" s="208"/>
      <c r="DL254" s="208"/>
      <c r="DM254" s="208"/>
      <c r="DN254" s="208"/>
      <c r="DO254" s="208"/>
      <c r="DP254" s="208"/>
      <c r="DQ254" s="208"/>
      <c r="DR254" s="208"/>
      <c r="DS254" s="208"/>
      <c r="DT254" s="208"/>
      <c r="DU254" s="208"/>
      <c r="DV254" s="208"/>
      <c r="DW254" s="208"/>
      <c r="DX254" s="208"/>
      <c r="DY254" s="208"/>
      <c r="DZ254" s="208"/>
      <c r="EA254" s="208"/>
      <c r="EB254" s="208"/>
      <c r="EC254" s="208"/>
      <c r="ED254" s="208"/>
      <c r="EE254" s="208"/>
      <c r="EF254" s="208"/>
      <c r="EG254" s="208"/>
      <c r="EH254" s="208"/>
      <c r="EI254" s="208"/>
      <c r="EJ254" s="208"/>
      <c r="EK254" s="208"/>
      <c r="EL254" s="208"/>
      <c r="EM254" s="208"/>
      <c r="EN254" s="208"/>
      <c r="EO254" s="208"/>
      <c r="EP254" s="208"/>
      <c r="EQ254" s="208"/>
      <c r="ER254" s="208"/>
      <c r="ES254" s="208"/>
      <c r="ET254" s="208"/>
      <c r="EU254" s="208"/>
      <c r="EV254" s="208"/>
      <c r="EW254" s="208"/>
      <c r="EX254" s="208"/>
      <c r="EY254" s="208"/>
      <c r="EZ254" s="208"/>
      <c r="FA254" s="208"/>
      <c r="FB254" s="208"/>
      <c r="FC254" s="208"/>
      <c r="FD254" s="208"/>
      <c r="FE254" s="208"/>
      <c r="FF254" s="208"/>
      <c r="FG254" s="208"/>
      <c r="FH254" s="208"/>
      <c r="FI254" s="208"/>
      <c r="FJ254" s="208"/>
      <c r="FK254" s="208"/>
      <c r="FL254" s="208"/>
      <c r="FM254" s="208"/>
      <c r="FN254" s="208"/>
      <c r="FO254" s="208"/>
      <c r="FP254" s="208"/>
      <c r="FQ254" s="208"/>
      <c r="FR254" s="208"/>
      <c r="FS254" s="208"/>
      <c r="FT254" s="208"/>
      <c r="FU254" s="208"/>
      <c r="FV254" s="208"/>
      <c r="FW254" s="208"/>
      <c r="FX254" s="208"/>
      <c r="FY254" s="208"/>
      <c r="FZ254" s="208"/>
      <c r="GA254" s="208"/>
      <c r="GB254" s="208"/>
      <c r="GC254" s="208"/>
      <c r="GD254" s="208"/>
      <c r="GE254" s="208"/>
      <c r="GF254" s="208"/>
    </row>
    <row r="255" spans="1:188" s="209" customFormat="1" ht="15" x14ac:dyDescent="0.25">
      <c r="A255" s="195" t="s">
        <v>5034</v>
      </c>
      <c r="B255" s="195" t="s">
        <v>703</v>
      </c>
      <c r="C255" s="196" t="s">
        <v>2637</v>
      </c>
      <c r="D255" s="154" t="s">
        <v>28</v>
      </c>
      <c r="E255" s="154">
        <v>90</v>
      </c>
      <c r="F255" s="154">
        <v>0.1</v>
      </c>
      <c r="G255" s="197"/>
      <c r="H255" s="198"/>
      <c r="I255" s="151">
        <f>IFERROR(INDEX(Composições!$A$5:$J$8391,MATCH(B255,Composições!$A$5:$A$8391,0)+2,8),"")</f>
        <v>9.6671999999999993</v>
      </c>
      <c r="J255" s="152">
        <f t="shared" si="45"/>
        <v>87</v>
      </c>
      <c r="K255" s="198">
        <f>BDI!$B$17</f>
        <v>0.191</v>
      </c>
      <c r="L255" s="198"/>
      <c r="M255" s="198"/>
      <c r="N255" s="153">
        <f t="shared" si="46"/>
        <v>11.51</v>
      </c>
      <c r="O255" s="152">
        <f t="shared" si="47"/>
        <v>103.59</v>
      </c>
      <c r="P255" s="225"/>
      <c r="Q255" s="208"/>
      <c r="R255" s="208"/>
      <c r="S255"/>
      <c r="T255" s="208"/>
      <c r="U255" s="208"/>
      <c r="V255" s="208"/>
      <c r="W255" s="208"/>
      <c r="X255" s="208"/>
      <c r="Y255" s="208"/>
      <c r="Z255" s="208"/>
      <c r="AA255" s="208"/>
      <c r="AB255" s="208"/>
      <c r="AC255" s="208"/>
      <c r="AD255" s="208"/>
      <c r="AE255" s="208"/>
      <c r="AF255" s="208"/>
      <c r="AG255" s="208"/>
      <c r="AH255" s="208"/>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c r="BI255" s="208"/>
      <c r="BJ255" s="208"/>
      <c r="BK255" s="208"/>
      <c r="BL255" s="208"/>
      <c r="BM255" s="208"/>
      <c r="BN255" s="208"/>
      <c r="BO255" s="208"/>
      <c r="BP255" s="208"/>
      <c r="BQ255" s="208"/>
      <c r="BR255" s="208"/>
      <c r="BS255" s="208"/>
      <c r="BT255" s="208"/>
      <c r="BU255" s="208"/>
      <c r="BV255" s="208"/>
      <c r="BW255" s="208"/>
      <c r="BX255" s="208"/>
      <c r="BY255" s="208"/>
      <c r="BZ255" s="208"/>
      <c r="CA255" s="208"/>
      <c r="CB255" s="208"/>
      <c r="CC255" s="208"/>
      <c r="CD255" s="208"/>
      <c r="CE255" s="208"/>
      <c r="CF255" s="208"/>
      <c r="CG255" s="208"/>
      <c r="CH255" s="208"/>
      <c r="CI255" s="208"/>
      <c r="CJ255" s="208"/>
      <c r="CK255" s="208"/>
      <c r="CL255" s="208"/>
      <c r="CM255" s="208"/>
      <c r="CN255" s="208"/>
      <c r="CO255" s="208"/>
      <c r="CP255" s="208"/>
      <c r="CQ255" s="208"/>
      <c r="CR255" s="208"/>
      <c r="CS255" s="208"/>
      <c r="CT255" s="208"/>
      <c r="CU255" s="208"/>
      <c r="CV255" s="208"/>
      <c r="CW255" s="208"/>
      <c r="CX255" s="208"/>
      <c r="CY255" s="208"/>
      <c r="CZ255" s="208"/>
      <c r="DA255" s="208"/>
      <c r="DB255" s="208"/>
      <c r="DC255" s="208"/>
      <c r="DD255" s="208"/>
      <c r="DE255" s="208"/>
      <c r="DF255" s="208"/>
      <c r="DG255" s="208"/>
      <c r="DH255" s="208"/>
      <c r="DI255" s="208"/>
      <c r="DJ255" s="208"/>
      <c r="DK255" s="208"/>
      <c r="DL255" s="208"/>
      <c r="DM255" s="208"/>
      <c r="DN255" s="208"/>
      <c r="DO255" s="208"/>
      <c r="DP255" s="208"/>
      <c r="DQ255" s="208"/>
      <c r="DR255" s="208"/>
      <c r="DS255" s="208"/>
      <c r="DT255" s="208"/>
      <c r="DU255" s="208"/>
      <c r="DV255" s="208"/>
      <c r="DW255" s="208"/>
      <c r="DX255" s="208"/>
      <c r="DY255" s="208"/>
      <c r="DZ255" s="208"/>
      <c r="EA255" s="208"/>
      <c r="EB255" s="208"/>
      <c r="EC255" s="208"/>
      <c r="ED255" s="208"/>
      <c r="EE255" s="208"/>
      <c r="EF255" s="208"/>
      <c r="EG255" s="208"/>
      <c r="EH255" s="208"/>
      <c r="EI255" s="208"/>
      <c r="EJ255" s="208"/>
      <c r="EK255" s="208"/>
      <c r="EL255" s="208"/>
      <c r="EM255" s="208"/>
      <c r="EN255" s="208"/>
      <c r="EO255" s="208"/>
      <c r="EP255" s="208"/>
      <c r="EQ255" s="208"/>
      <c r="ER255" s="208"/>
      <c r="ES255" s="208"/>
      <c r="ET255" s="208"/>
      <c r="EU255" s="208"/>
      <c r="EV255" s="208"/>
      <c r="EW255" s="208"/>
      <c r="EX255" s="208"/>
      <c r="EY255" s="208"/>
      <c r="EZ255" s="208"/>
      <c r="FA255" s="208"/>
      <c r="FB255" s="208"/>
      <c r="FC255" s="208"/>
      <c r="FD255" s="208"/>
      <c r="FE255" s="208"/>
      <c r="FF255" s="208"/>
      <c r="FG255" s="208"/>
      <c r="FH255" s="208"/>
      <c r="FI255" s="208"/>
      <c r="FJ255" s="208"/>
      <c r="FK255" s="208"/>
      <c r="FL255" s="208"/>
      <c r="FM255" s="208"/>
      <c r="FN255" s="208"/>
      <c r="FO255" s="208"/>
      <c r="FP255" s="208"/>
      <c r="FQ255" s="208"/>
      <c r="FR255" s="208"/>
      <c r="FS255" s="208"/>
      <c r="FT255" s="208"/>
      <c r="FU255" s="208"/>
      <c r="FV255" s="208"/>
      <c r="FW255" s="208"/>
      <c r="FX255" s="208"/>
      <c r="FY255" s="208"/>
      <c r="FZ255" s="208"/>
      <c r="GA255" s="208"/>
      <c r="GB255" s="208"/>
      <c r="GC255" s="208"/>
      <c r="GD255" s="208"/>
      <c r="GE255" s="208"/>
      <c r="GF255" s="208"/>
    </row>
    <row r="256" spans="1:188" s="209" customFormat="1" ht="15" x14ac:dyDescent="0.25">
      <c r="A256" s="195" t="s">
        <v>5035</v>
      </c>
      <c r="B256" s="195" t="s">
        <v>705</v>
      </c>
      <c r="C256" s="196" t="s">
        <v>2638</v>
      </c>
      <c r="D256" s="154" t="s">
        <v>28</v>
      </c>
      <c r="E256" s="154">
        <v>540</v>
      </c>
      <c r="F256" s="154">
        <v>0.1</v>
      </c>
      <c r="G256" s="197"/>
      <c r="H256" s="198"/>
      <c r="I256" s="151">
        <f>IFERROR(INDEX(Composições!$A$5:$J$8391,MATCH(B256,Composições!$A$5:$A$8391,0)+2,8),"")</f>
        <v>89.251200000000011</v>
      </c>
      <c r="J256" s="152">
        <f t="shared" si="45"/>
        <v>4819.5600000000004</v>
      </c>
      <c r="K256" s="198">
        <f>BDI!$B$17</f>
        <v>0.191</v>
      </c>
      <c r="L256" s="198"/>
      <c r="M256" s="198"/>
      <c r="N256" s="153">
        <f t="shared" si="46"/>
        <v>106.3</v>
      </c>
      <c r="O256" s="152">
        <f t="shared" si="47"/>
        <v>5740.2</v>
      </c>
      <c r="P256" s="225"/>
      <c r="Q256" s="208"/>
      <c r="R256" s="208"/>
      <c r="S256"/>
      <c r="T256" s="208"/>
      <c r="U256" s="208"/>
      <c r="V256" s="208"/>
      <c r="W256" s="208"/>
      <c r="X256" s="208"/>
      <c r="Y256" s="208"/>
      <c r="Z256" s="208"/>
      <c r="AA256" s="208"/>
      <c r="AB256" s="208"/>
      <c r="AC256" s="208"/>
      <c r="AD256" s="208"/>
      <c r="AE256" s="208"/>
      <c r="AF256" s="208"/>
      <c r="AG256" s="208"/>
      <c r="AH256" s="208"/>
      <c r="AI256" s="208"/>
      <c r="AJ256" s="208"/>
      <c r="AK256" s="208"/>
      <c r="AL256" s="208"/>
      <c r="AM256" s="208"/>
      <c r="AN256" s="208"/>
      <c r="AO256" s="208"/>
      <c r="AP256" s="208"/>
      <c r="AQ256" s="208"/>
      <c r="AR256" s="208"/>
      <c r="AS256" s="208"/>
      <c r="AT256" s="208"/>
      <c r="AU256" s="208"/>
      <c r="AV256" s="208"/>
      <c r="AW256" s="208"/>
      <c r="AX256" s="208"/>
      <c r="AY256" s="208"/>
      <c r="AZ256" s="208"/>
      <c r="BA256" s="208"/>
      <c r="BB256" s="208"/>
      <c r="BC256" s="208"/>
      <c r="BD256" s="208"/>
      <c r="BE256" s="208"/>
      <c r="BF256" s="208"/>
      <c r="BG256" s="208"/>
      <c r="BH256" s="208"/>
      <c r="BI256" s="208"/>
      <c r="BJ256" s="208"/>
      <c r="BK256" s="208"/>
      <c r="BL256" s="208"/>
      <c r="BM256" s="208"/>
      <c r="BN256" s="208"/>
      <c r="BO256" s="208"/>
      <c r="BP256" s="208"/>
      <c r="BQ256" s="208"/>
      <c r="BR256" s="208"/>
      <c r="BS256" s="208"/>
      <c r="BT256" s="208"/>
      <c r="BU256" s="208"/>
      <c r="BV256" s="208"/>
      <c r="BW256" s="208"/>
      <c r="BX256" s="208"/>
      <c r="BY256" s="208"/>
      <c r="BZ256" s="208"/>
      <c r="CA256" s="208"/>
      <c r="CB256" s="208"/>
      <c r="CC256" s="208"/>
      <c r="CD256" s="208"/>
      <c r="CE256" s="208"/>
      <c r="CF256" s="208"/>
      <c r="CG256" s="208"/>
      <c r="CH256" s="208"/>
      <c r="CI256" s="208"/>
      <c r="CJ256" s="208"/>
      <c r="CK256" s="208"/>
      <c r="CL256" s="208"/>
      <c r="CM256" s="208"/>
      <c r="CN256" s="208"/>
      <c r="CO256" s="208"/>
      <c r="CP256" s="208"/>
      <c r="CQ256" s="208"/>
      <c r="CR256" s="208"/>
      <c r="CS256" s="208"/>
      <c r="CT256" s="208"/>
      <c r="CU256" s="208"/>
      <c r="CV256" s="208"/>
      <c r="CW256" s="208"/>
      <c r="CX256" s="208"/>
      <c r="CY256" s="208"/>
      <c r="CZ256" s="208"/>
      <c r="DA256" s="208"/>
      <c r="DB256" s="208"/>
      <c r="DC256" s="208"/>
      <c r="DD256" s="208"/>
      <c r="DE256" s="208"/>
      <c r="DF256" s="208"/>
      <c r="DG256" s="208"/>
      <c r="DH256" s="208"/>
      <c r="DI256" s="208"/>
      <c r="DJ256" s="208"/>
      <c r="DK256" s="208"/>
      <c r="DL256" s="208"/>
      <c r="DM256" s="208"/>
      <c r="DN256" s="208"/>
      <c r="DO256" s="208"/>
      <c r="DP256" s="208"/>
      <c r="DQ256" s="208"/>
      <c r="DR256" s="208"/>
      <c r="DS256" s="208"/>
      <c r="DT256" s="208"/>
      <c r="DU256" s="208"/>
      <c r="DV256" s="208"/>
      <c r="DW256" s="208"/>
      <c r="DX256" s="208"/>
      <c r="DY256" s="208"/>
      <c r="DZ256" s="208"/>
      <c r="EA256" s="208"/>
      <c r="EB256" s="208"/>
      <c r="EC256" s="208"/>
      <c r="ED256" s="208"/>
      <c r="EE256" s="208"/>
      <c r="EF256" s="208"/>
      <c r="EG256" s="208"/>
      <c r="EH256" s="208"/>
      <c r="EI256" s="208"/>
      <c r="EJ256" s="208"/>
      <c r="EK256" s="208"/>
      <c r="EL256" s="208"/>
      <c r="EM256" s="208"/>
      <c r="EN256" s="208"/>
      <c r="EO256" s="208"/>
      <c r="EP256" s="208"/>
      <c r="EQ256" s="208"/>
      <c r="ER256" s="208"/>
      <c r="ES256" s="208"/>
      <c r="ET256" s="208"/>
      <c r="EU256" s="208"/>
      <c r="EV256" s="208"/>
      <c r="EW256" s="208"/>
      <c r="EX256" s="208"/>
      <c r="EY256" s="208"/>
      <c r="EZ256" s="208"/>
      <c r="FA256" s="208"/>
      <c r="FB256" s="208"/>
      <c r="FC256" s="208"/>
      <c r="FD256" s="208"/>
      <c r="FE256" s="208"/>
      <c r="FF256" s="208"/>
      <c r="FG256" s="208"/>
      <c r="FH256" s="208"/>
      <c r="FI256" s="208"/>
      <c r="FJ256" s="208"/>
      <c r="FK256" s="208"/>
      <c r="FL256" s="208"/>
      <c r="FM256" s="208"/>
      <c r="FN256" s="208"/>
      <c r="FO256" s="208"/>
      <c r="FP256" s="208"/>
      <c r="FQ256" s="208"/>
      <c r="FR256" s="208"/>
      <c r="FS256" s="208"/>
      <c r="FT256" s="208"/>
      <c r="FU256" s="208"/>
      <c r="FV256" s="208"/>
      <c r="FW256" s="208"/>
      <c r="FX256" s="208"/>
      <c r="FY256" s="208"/>
      <c r="FZ256" s="208"/>
      <c r="GA256" s="208"/>
      <c r="GB256" s="208"/>
      <c r="GC256" s="208"/>
      <c r="GD256" s="208"/>
      <c r="GE256" s="208"/>
      <c r="GF256" s="208"/>
    </row>
    <row r="257" spans="1:188" s="209" customFormat="1" ht="15" x14ac:dyDescent="0.25">
      <c r="A257" s="195" t="s">
        <v>5036</v>
      </c>
      <c r="B257" s="195" t="s">
        <v>707</v>
      </c>
      <c r="C257" s="196" t="s">
        <v>2639</v>
      </c>
      <c r="D257" s="154" t="s">
        <v>28</v>
      </c>
      <c r="E257" s="154">
        <v>60</v>
      </c>
      <c r="F257" s="154">
        <v>0.1</v>
      </c>
      <c r="G257" s="197"/>
      <c r="H257" s="198"/>
      <c r="I257" s="151">
        <f>IFERROR(INDEX(Composições!$A$5:$J$8391,MATCH(B257,Composições!$A$5:$A$8391,0)+2,8),"")</f>
        <v>99.47120000000001</v>
      </c>
      <c r="J257" s="152">
        <f t="shared" si="45"/>
        <v>596.83000000000004</v>
      </c>
      <c r="K257" s="198">
        <f>BDI!$B$17</f>
        <v>0.191</v>
      </c>
      <c r="L257" s="198"/>
      <c r="M257" s="198"/>
      <c r="N257" s="153">
        <f t="shared" si="46"/>
        <v>118.47</v>
      </c>
      <c r="O257" s="152">
        <f t="shared" si="47"/>
        <v>710.82</v>
      </c>
      <c r="P257" s="225"/>
      <c r="Q257" s="208"/>
      <c r="R257" s="208"/>
      <c r="S257"/>
      <c r="T257" s="208"/>
      <c r="U257" s="208"/>
      <c r="V257" s="208"/>
      <c r="W257" s="208"/>
      <c r="X257" s="208"/>
      <c r="Y257" s="208"/>
      <c r="Z257" s="208"/>
      <c r="AA257" s="208"/>
      <c r="AB257" s="208"/>
      <c r="AC257" s="208"/>
      <c r="AD257" s="208"/>
      <c r="AE257" s="208"/>
      <c r="AF257" s="208"/>
      <c r="AG257" s="208"/>
      <c r="AH257" s="208"/>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c r="BI257" s="208"/>
      <c r="BJ257" s="208"/>
      <c r="BK257" s="208"/>
      <c r="BL257" s="208"/>
      <c r="BM257" s="208"/>
      <c r="BN257" s="208"/>
      <c r="BO257" s="208"/>
      <c r="BP257" s="208"/>
      <c r="BQ257" s="208"/>
      <c r="BR257" s="208"/>
      <c r="BS257" s="208"/>
      <c r="BT257" s="208"/>
      <c r="BU257" s="208"/>
      <c r="BV257" s="208"/>
      <c r="BW257" s="208"/>
      <c r="BX257" s="208"/>
      <c r="BY257" s="208"/>
      <c r="BZ257" s="208"/>
      <c r="CA257" s="208"/>
      <c r="CB257" s="208"/>
      <c r="CC257" s="208"/>
      <c r="CD257" s="208"/>
      <c r="CE257" s="208"/>
      <c r="CF257" s="208"/>
      <c r="CG257" s="208"/>
      <c r="CH257" s="208"/>
      <c r="CI257" s="208"/>
      <c r="CJ257" s="208"/>
      <c r="CK257" s="208"/>
      <c r="CL257" s="208"/>
      <c r="CM257" s="208"/>
      <c r="CN257" s="208"/>
      <c r="CO257" s="208"/>
      <c r="CP257" s="208"/>
      <c r="CQ257" s="208"/>
      <c r="CR257" s="208"/>
      <c r="CS257" s="208"/>
      <c r="CT257" s="208"/>
      <c r="CU257" s="208"/>
      <c r="CV257" s="208"/>
      <c r="CW257" s="208"/>
      <c r="CX257" s="208"/>
      <c r="CY257" s="208"/>
      <c r="CZ257" s="208"/>
      <c r="DA257" s="208"/>
      <c r="DB257" s="208"/>
      <c r="DC257" s="208"/>
      <c r="DD257" s="208"/>
      <c r="DE257" s="208"/>
      <c r="DF257" s="208"/>
      <c r="DG257" s="208"/>
      <c r="DH257" s="208"/>
      <c r="DI257" s="208"/>
      <c r="DJ257" s="208"/>
      <c r="DK257" s="208"/>
      <c r="DL257" s="208"/>
      <c r="DM257" s="208"/>
      <c r="DN257" s="208"/>
      <c r="DO257" s="208"/>
      <c r="DP257" s="208"/>
      <c r="DQ257" s="208"/>
      <c r="DR257" s="208"/>
      <c r="DS257" s="208"/>
      <c r="DT257" s="208"/>
      <c r="DU257" s="208"/>
      <c r="DV257" s="208"/>
      <c r="DW257" s="208"/>
      <c r="DX257" s="208"/>
      <c r="DY257" s="208"/>
      <c r="DZ257" s="208"/>
      <c r="EA257" s="208"/>
      <c r="EB257" s="208"/>
      <c r="EC257" s="208"/>
      <c r="ED257" s="208"/>
      <c r="EE257" s="208"/>
      <c r="EF257" s="208"/>
      <c r="EG257" s="208"/>
      <c r="EH257" s="208"/>
      <c r="EI257" s="208"/>
      <c r="EJ257" s="208"/>
      <c r="EK257" s="208"/>
      <c r="EL257" s="208"/>
      <c r="EM257" s="208"/>
      <c r="EN257" s="208"/>
      <c r="EO257" s="208"/>
      <c r="EP257" s="208"/>
      <c r="EQ257" s="208"/>
      <c r="ER257" s="208"/>
      <c r="ES257" s="208"/>
      <c r="ET257" s="208"/>
      <c r="EU257" s="208"/>
      <c r="EV257" s="208"/>
      <c r="EW257" s="208"/>
      <c r="EX257" s="208"/>
      <c r="EY257" s="208"/>
      <c r="EZ257" s="208"/>
      <c r="FA257" s="208"/>
      <c r="FB257" s="208"/>
      <c r="FC257" s="208"/>
      <c r="FD257" s="208"/>
      <c r="FE257" s="208"/>
      <c r="FF257" s="208"/>
      <c r="FG257" s="208"/>
      <c r="FH257" s="208"/>
      <c r="FI257" s="208"/>
      <c r="FJ257" s="208"/>
      <c r="FK257" s="208"/>
      <c r="FL257" s="208"/>
      <c r="FM257" s="208"/>
      <c r="FN257" s="208"/>
      <c r="FO257" s="208"/>
      <c r="FP257" s="208"/>
      <c r="FQ257" s="208"/>
      <c r="FR257" s="208"/>
      <c r="FS257" s="208"/>
      <c r="FT257" s="208"/>
      <c r="FU257" s="208"/>
      <c r="FV257" s="208"/>
      <c r="FW257" s="208"/>
      <c r="FX257" s="208"/>
      <c r="FY257" s="208"/>
      <c r="FZ257" s="208"/>
      <c r="GA257" s="208"/>
      <c r="GB257" s="208"/>
      <c r="GC257" s="208"/>
      <c r="GD257" s="208"/>
      <c r="GE257" s="208"/>
      <c r="GF257" s="208"/>
    </row>
    <row r="258" spans="1:188" s="209" customFormat="1" ht="15" x14ac:dyDescent="0.25">
      <c r="A258" s="195" t="s">
        <v>5037</v>
      </c>
      <c r="B258" s="195" t="s">
        <v>709</v>
      </c>
      <c r="C258" s="196" t="s">
        <v>2640</v>
      </c>
      <c r="D258" s="154" t="s">
        <v>28</v>
      </c>
      <c r="E258" s="154">
        <v>240</v>
      </c>
      <c r="F258" s="154">
        <v>0.1</v>
      </c>
      <c r="G258" s="197"/>
      <c r="H258" s="198"/>
      <c r="I258" s="151">
        <f>IFERROR(INDEX(Composições!$A$5:$J$8391,MATCH(B258,Composições!$A$5:$A$8391,0)+2,8),"")</f>
        <v>72.461199999999991</v>
      </c>
      <c r="J258" s="152">
        <f t="shared" si="45"/>
        <v>1739.07</v>
      </c>
      <c r="K258" s="198">
        <f>BDI!$B$17</f>
        <v>0.191</v>
      </c>
      <c r="L258" s="198"/>
      <c r="M258" s="198"/>
      <c r="N258" s="153">
        <f t="shared" si="46"/>
        <v>86.3</v>
      </c>
      <c r="O258" s="152">
        <f t="shared" si="47"/>
        <v>2071.1999999999998</v>
      </c>
      <c r="P258" s="225"/>
      <c r="Q258" s="208"/>
      <c r="R258" s="208"/>
      <c r="S258"/>
      <c r="T258" s="208"/>
      <c r="U258" s="208"/>
      <c r="V258" s="208"/>
      <c r="W258" s="208"/>
      <c r="X258" s="208"/>
      <c r="Y258" s="208"/>
      <c r="Z258" s="208"/>
      <c r="AA258" s="208"/>
      <c r="AB258" s="208"/>
      <c r="AC258" s="208"/>
      <c r="AD258" s="208"/>
      <c r="AE258" s="208"/>
      <c r="AF258" s="208"/>
      <c r="AG258" s="208"/>
      <c r="AH258" s="208"/>
      <c r="AI258" s="208"/>
      <c r="AJ258" s="208"/>
      <c r="AK258" s="208"/>
      <c r="AL258" s="208"/>
      <c r="AM258" s="208"/>
      <c r="AN258" s="208"/>
      <c r="AO258" s="208"/>
      <c r="AP258" s="208"/>
      <c r="AQ258" s="208"/>
      <c r="AR258" s="208"/>
      <c r="AS258" s="208"/>
      <c r="AT258" s="208"/>
      <c r="AU258" s="208"/>
      <c r="AV258" s="208"/>
      <c r="AW258" s="208"/>
      <c r="AX258" s="208"/>
      <c r="AY258" s="208"/>
      <c r="AZ258" s="208"/>
      <c r="BA258" s="208"/>
      <c r="BB258" s="208"/>
      <c r="BC258" s="208"/>
      <c r="BD258" s="208"/>
      <c r="BE258" s="208"/>
      <c r="BF258" s="208"/>
      <c r="BG258" s="208"/>
      <c r="BH258" s="208"/>
      <c r="BI258" s="208"/>
      <c r="BJ258" s="208"/>
      <c r="BK258" s="208"/>
      <c r="BL258" s="208"/>
      <c r="BM258" s="208"/>
      <c r="BN258" s="208"/>
      <c r="BO258" s="208"/>
      <c r="BP258" s="208"/>
      <c r="BQ258" s="208"/>
      <c r="BR258" s="208"/>
      <c r="BS258" s="208"/>
      <c r="BT258" s="208"/>
      <c r="BU258" s="208"/>
      <c r="BV258" s="208"/>
      <c r="BW258" s="208"/>
      <c r="BX258" s="208"/>
      <c r="BY258" s="208"/>
      <c r="BZ258" s="208"/>
      <c r="CA258" s="208"/>
      <c r="CB258" s="208"/>
      <c r="CC258" s="208"/>
      <c r="CD258" s="208"/>
      <c r="CE258" s="208"/>
      <c r="CF258" s="208"/>
      <c r="CG258" s="208"/>
      <c r="CH258" s="208"/>
      <c r="CI258" s="208"/>
      <c r="CJ258" s="208"/>
      <c r="CK258" s="208"/>
      <c r="CL258" s="208"/>
      <c r="CM258" s="208"/>
      <c r="CN258" s="208"/>
      <c r="CO258" s="208"/>
      <c r="CP258" s="208"/>
      <c r="CQ258" s="208"/>
      <c r="CR258" s="208"/>
      <c r="CS258" s="208"/>
      <c r="CT258" s="208"/>
      <c r="CU258" s="208"/>
      <c r="CV258" s="208"/>
      <c r="CW258" s="208"/>
      <c r="CX258" s="208"/>
      <c r="CY258" s="208"/>
      <c r="CZ258" s="208"/>
      <c r="DA258" s="208"/>
      <c r="DB258" s="208"/>
      <c r="DC258" s="208"/>
      <c r="DD258" s="208"/>
      <c r="DE258" s="208"/>
      <c r="DF258" s="208"/>
      <c r="DG258" s="208"/>
      <c r="DH258" s="208"/>
      <c r="DI258" s="208"/>
      <c r="DJ258" s="208"/>
      <c r="DK258" s="208"/>
      <c r="DL258" s="208"/>
      <c r="DM258" s="208"/>
      <c r="DN258" s="208"/>
      <c r="DO258" s="208"/>
      <c r="DP258" s="208"/>
      <c r="DQ258" s="208"/>
      <c r="DR258" s="208"/>
      <c r="DS258" s="208"/>
      <c r="DT258" s="208"/>
      <c r="DU258" s="208"/>
      <c r="DV258" s="208"/>
      <c r="DW258" s="208"/>
      <c r="DX258" s="208"/>
      <c r="DY258" s="208"/>
      <c r="DZ258" s="208"/>
      <c r="EA258" s="208"/>
      <c r="EB258" s="208"/>
      <c r="EC258" s="208"/>
      <c r="ED258" s="208"/>
      <c r="EE258" s="208"/>
      <c r="EF258" s="208"/>
      <c r="EG258" s="208"/>
      <c r="EH258" s="208"/>
      <c r="EI258" s="208"/>
      <c r="EJ258" s="208"/>
      <c r="EK258" s="208"/>
      <c r="EL258" s="208"/>
      <c r="EM258" s="208"/>
      <c r="EN258" s="208"/>
      <c r="EO258" s="208"/>
      <c r="EP258" s="208"/>
      <c r="EQ258" s="208"/>
      <c r="ER258" s="208"/>
      <c r="ES258" s="208"/>
      <c r="ET258" s="208"/>
      <c r="EU258" s="208"/>
      <c r="EV258" s="208"/>
      <c r="EW258" s="208"/>
      <c r="EX258" s="208"/>
      <c r="EY258" s="208"/>
      <c r="EZ258" s="208"/>
      <c r="FA258" s="208"/>
      <c r="FB258" s="208"/>
      <c r="FC258" s="208"/>
      <c r="FD258" s="208"/>
      <c r="FE258" s="208"/>
      <c r="FF258" s="208"/>
      <c r="FG258" s="208"/>
      <c r="FH258" s="208"/>
      <c r="FI258" s="208"/>
      <c r="FJ258" s="208"/>
      <c r="FK258" s="208"/>
      <c r="FL258" s="208"/>
      <c r="FM258" s="208"/>
      <c r="FN258" s="208"/>
      <c r="FO258" s="208"/>
      <c r="FP258" s="208"/>
      <c r="FQ258" s="208"/>
      <c r="FR258" s="208"/>
      <c r="FS258" s="208"/>
      <c r="FT258" s="208"/>
      <c r="FU258" s="208"/>
      <c r="FV258" s="208"/>
      <c r="FW258" s="208"/>
      <c r="FX258" s="208"/>
      <c r="FY258" s="208"/>
      <c r="FZ258" s="208"/>
      <c r="GA258" s="208"/>
      <c r="GB258" s="208"/>
      <c r="GC258" s="208"/>
      <c r="GD258" s="208"/>
      <c r="GE258" s="208"/>
      <c r="GF258" s="208"/>
    </row>
    <row r="259" spans="1:188" s="209" customFormat="1" ht="15" x14ac:dyDescent="0.25">
      <c r="A259" s="195" t="s">
        <v>5038</v>
      </c>
      <c r="B259" s="195" t="s">
        <v>711</v>
      </c>
      <c r="C259" s="196" t="s">
        <v>2641</v>
      </c>
      <c r="D259" s="154" t="s">
        <v>28</v>
      </c>
      <c r="E259" s="154">
        <v>180</v>
      </c>
      <c r="F259" s="154">
        <v>0.1</v>
      </c>
      <c r="G259" s="197"/>
      <c r="H259" s="198"/>
      <c r="I259" s="151">
        <f>IFERROR(INDEX(Composições!$A$5:$J$8391,MATCH(B259,Composições!$A$5:$A$8391,0)+2,8),"")</f>
        <v>12.329499999999999</v>
      </c>
      <c r="J259" s="152">
        <f t="shared" si="45"/>
        <v>221.93</v>
      </c>
      <c r="K259" s="198">
        <f>BDI!$B$17</f>
        <v>0.191</v>
      </c>
      <c r="L259" s="198"/>
      <c r="M259" s="198"/>
      <c r="N259" s="153">
        <f t="shared" si="46"/>
        <v>14.68</v>
      </c>
      <c r="O259" s="152">
        <f t="shared" si="47"/>
        <v>264.24</v>
      </c>
      <c r="P259" s="225"/>
      <c r="Q259" s="208"/>
      <c r="R259" s="208"/>
      <c r="S259"/>
      <c r="T259" s="208"/>
      <c r="U259" s="208"/>
      <c r="V259" s="208"/>
      <c r="W259" s="208"/>
      <c r="X259" s="208"/>
      <c r="Y259" s="208"/>
      <c r="Z259" s="208"/>
      <c r="AA259" s="208"/>
      <c r="AB259" s="208"/>
      <c r="AC259" s="208"/>
      <c r="AD259" s="208"/>
      <c r="AE259" s="208"/>
      <c r="AF259" s="208"/>
      <c r="AG259" s="208"/>
      <c r="AH259" s="208"/>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c r="BI259" s="208"/>
      <c r="BJ259" s="208"/>
      <c r="BK259" s="208"/>
      <c r="BL259" s="208"/>
      <c r="BM259" s="208"/>
      <c r="BN259" s="208"/>
      <c r="BO259" s="208"/>
      <c r="BP259" s="208"/>
      <c r="BQ259" s="208"/>
      <c r="BR259" s="208"/>
      <c r="BS259" s="208"/>
      <c r="BT259" s="208"/>
      <c r="BU259" s="208"/>
      <c r="BV259" s="208"/>
      <c r="BW259" s="208"/>
      <c r="BX259" s="208"/>
      <c r="BY259" s="208"/>
      <c r="BZ259" s="208"/>
      <c r="CA259" s="208"/>
      <c r="CB259" s="208"/>
      <c r="CC259" s="208"/>
      <c r="CD259" s="208"/>
      <c r="CE259" s="208"/>
      <c r="CF259" s="208"/>
      <c r="CG259" s="208"/>
      <c r="CH259" s="208"/>
      <c r="CI259" s="208"/>
      <c r="CJ259" s="208"/>
      <c r="CK259" s="208"/>
      <c r="CL259" s="208"/>
      <c r="CM259" s="208"/>
      <c r="CN259" s="208"/>
      <c r="CO259" s="208"/>
      <c r="CP259" s="208"/>
      <c r="CQ259" s="208"/>
      <c r="CR259" s="208"/>
      <c r="CS259" s="208"/>
      <c r="CT259" s="208"/>
      <c r="CU259" s="208"/>
      <c r="CV259" s="208"/>
      <c r="CW259" s="208"/>
      <c r="CX259" s="208"/>
      <c r="CY259" s="208"/>
      <c r="CZ259" s="208"/>
      <c r="DA259" s="208"/>
      <c r="DB259" s="208"/>
      <c r="DC259" s="208"/>
      <c r="DD259" s="208"/>
      <c r="DE259" s="208"/>
      <c r="DF259" s="208"/>
      <c r="DG259" s="208"/>
      <c r="DH259" s="208"/>
      <c r="DI259" s="208"/>
      <c r="DJ259" s="208"/>
      <c r="DK259" s="208"/>
      <c r="DL259" s="208"/>
      <c r="DM259" s="208"/>
      <c r="DN259" s="208"/>
      <c r="DO259" s="208"/>
      <c r="DP259" s="208"/>
      <c r="DQ259" s="208"/>
      <c r="DR259" s="208"/>
      <c r="DS259" s="208"/>
      <c r="DT259" s="208"/>
      <c r="DU259" s="208"/>
      <c r="DV259" s="208"/>
      <c r="DW259" s="208"/>
      <c r="DX259" s="208"/>
      <c r="DY259" s="208"/>
      <c r="DZ259" s="208"/>
      <c r="EA259" s="208"/>
      <c r="EB259" s="208"/>
      <c r="EC259" s="208"/>
      <c r="ED259" s="208"/>
      <c r="EE259" s="208"/>
      <c r="EF259" s="208"/>
      <c r="EG259" s="208"/>
      <c r="EH259" s="208"/>
      <c r="EI259" s="208"/>
      <c r="EJ259" s="208"/>
      <c r="EK259" s="208"/>
      <c r="EL259" s="208"/>
      <c r="EM259" s="208"/>
      <c r="EN259" s="208"/>
      <c r="EO259" s="208"/>
      <c r="EP259" s="208"/>
      <c r="EQ259" s="208"/>
      <c r="ER259" s="208"/>
      <c r="ES259" s="208"/>
      <c r="ET259" s="208"/>
      <c r="EU259" s="208"/>
      <c r="EV259" s="208"/>
      <c r="EW259" s="208"/>
      <c r="EX259" s="208"/>
      <c r="EY259" s="208"/>
      <c r="EZ259" s="208"/>
      <c r="FA259" s="208"/>
      <c r="FB259" s="208"/>
      <c r="FC259" s="208"/>
      <c r="FD259" s="208"/>
      <c r="FE259" s="208"/>
      <c r="FF259" s="208"/>
      <c r="FG259" s="208"/>
      <c r="FH259" s="208"/>
      <c r="FI259" s="208"/>
      <c r="FJ259" s="208"/>
      <c r="FK259" s="208"/>
      <c r="FL259" s="208"/>
      <c r="FM259" s="208"/>
      <c r="FN259" s="208"/>
      <c r="FO259" s="208"/>
      <c r="FP259" s="208"/>
      <c r="FQ259" s="208"/>
      <c r="FR259" s="208"/>
      <c r="FS259" s="208"/>
      <c r="FT259" s="208"/>
      <c r="FU259" s="208"/>
      <c r="FV259" s="208"/>
      <c r="FW259" s="208"/>
      <c r="FX259" s="208"/>
      <c r="FY259" s="208"/>
      <c r="FZ259" s="208"/>
      <c r="GA259" s="208"/>
      <c r="GB259" s="208"/>
      <c r="GC259" s="208"/>
      <c r="GD259" s="208"/>
      <c r="GE259" s="208"/>
      <c r="GF259" s="208"/>
    </row>
    <row r="260" spans="1:188" s="209" customFormat="1" ht="15" x14ac:dyDescent="0.25">
      <c r="A260" s="195" t="s">
        <v>5039</v>
      </c>
      <c r="B260" s="195" t="s">
        <v>713</v>
      </c>
      <c r="C260" s="196" t="s">
        <v>2642</v>
      </c>
      <c r="D260" s="154" t="s">
        <v>28</v>
      </c>
      <c r="E260" s="154">
        <v>110</v>
      </c>
      <c r="F260" s="154">
        <v>0.1</v>
      </c>
      <c r="G260" s="197"/>
      <c r="H260" s="198"/>
      <c r="I260" s="151">
        <f>IFERROR(INDEX(Composições!$A$5:$J$8391,MATCH(B260,Composições!$A$5:$A$8391,0)+2,8),"")</f>
        <v>45.089499999999994</v>
      </c>
      <c r="J260" s="152">
        <f t="shared" si="45"/>
        <v>495.98</v>
      </c>
      <c r="K260" s="198">
        <f>BDI!$B$17</f>
        <v>0.191</v>
      </c>
      <c r="L260" s="198"/>
      <c r="M260" s="198"/>
      <c r="N260" s="153">
        <f t="shared" si="46"/>
        <v>53.7</v>
      </c>
      <c r="O260" s="152">
        <f t="shared" si="47"/>
        <v>590.70000000000005</v>
      </c>
      <c r="P260" s="225"/>
      <c r="Q260" s="208"/>
      <c r="R260" s="208"/>
      <c r="S260"/>
      <c r="T260" s="208"/>
      <c r="U260" s="208"/>
      <c r="V260" s="208"/>
      <c r="W260" s="208"/>
      <c r="X260" s="208"/>
      <c r="Y260" s="208"/>
      <c r="Z260" s="208"/>
      <c r="AA260" s="208"/>
      <c r="AB260" s="208"/>
      <c r="AC260" s="208"/>
      <c r="AD260" s="208"/>
      <c r="AE260" s="208"/>
      <c r="AF260" s="208"/>
      <c r="AG260" s="208"/>
      <c r="AH260" s="208"/>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c r="BI260" s="208"/>
      <c r="BJ260" s="208"/>
      <c r="BK260" s="208"/>
      <c r="BL260" s="208"/>
      <c r="BM260" s="208"/>
      <c r="BN260" s="208"/>
      <c r="BO260" s="208"/>
      <c r="BP260" s="208"/>
      <c r="BQ260" s="208"/>
      <c r="BR260" s="208"/>
      <c r="BS260" s="208"/>
      <c r="BT260" s="208"/>
      <c r="BU260" s="208"/>
      <c r="BV260" s="208"/>
      <c r="BW260" s="208"/>
      <c r="BX260" s="208"/>
      <c r="BY260" s="208"/>
      <c r="BZ260" s="208"/>
      <c r="CA260" s="208"/>
      <c r="CB260" s="208"/>
      <c r="CC260" s="208"/>
      <c r="CD260" s="208"/>
      <c r="CE260" s="208"/>
      <c r="CF260" s="208"/>
      <c r="CG260" s="208"/>
      <c r="CH260" s="208"/>
      <c r="CI260" s="208"/>
      <c r="CJ260" s="208"/>
      <c r="CK260" s="208"/>
      <c r="CL260" s="208"/>
      <c r="CM260" s="208"/>
      <c r="CN260" s="208"/>
      <c r="CO260" s="208"/>
      <c r="CP260" s="208"/>
      <c r="CQ260" s="208"/>
      <c r="CR260" s="208"/>
      <c r="CS260" s="208"/>
      <c r="CT260" s="208"/>
      <c r="CU260" s="208"/>
      <c r="CV260" s="208"/>
      <c r="CW260" s="208"/>
      <c r="CX260" s="208"/>
      <c r="CY260" s="208"/>
      <c r="CZ260" s="208"/>
      <c r="DA260" s="208"/>
      <c r="DB260" s="208"/>
      <c r="DC260" s="208"/>
      <c r="DD260" s="208"/>
      <c r="DE260" s="208"/>
      <c r="DF260" s="208"/>
      <c r="DG260" s="208"/>
      <c r="DH260" s="208"/>
      <c r="DI260" s="208"/>
      <c r="DJ260" s="208"/>
      <c r="DK260" s="208"/>
      <c r="DL260" s="208"/>
      <c r="DM260" s="208"/>
      <c r="DN260" s="208"/>
      <c r="DO260" s="208"/>
      <c r="DP260" s="208"/>
      <c r="DQ260" s="208"/>
      <c r="DR260" s="208"/>
      <c r="DS260" s="208"/>
      <c r="DT260" s="208"/>
      <c r="DU260" s="208"/>
      <c r="DV260" s="208"/>
      <c r="DW260" s="208"/>
      <c r="DX260" s="208"/>
      <c r="DY260" s="208"/>
      <c r="DZ260" s="208"/>
      <c r="EA260" s="208"/>
      <c r="EB260" s="208"/>
      <c r="EC260" s="208"/>
      <c r="ED260" s="208"/>
      <c r="EE260" s="208"/>
      <c r="EF260" s="208"/>
      <c r="EG260" s="208"/>
      <c r="EH260" s="208"/>
      <c r="EI260" s="208"/>
      <c r="EJ260" s="208"/>
      <c r="EK260" s="208"/>
      <c r="EL260" s="208"/>
      <c r="EM260" s="208"/>
      <c r="EN260" s="208"/>
      <c r="EO260" s="208"/>
      <c r="EP260" s="208"/>
      <c r="EQ260" s="208"/>
      <c r="ER260" s="208"/>
      <c r="ES260" s="208"/>
      <c r="ET260" s="208"/>
      <c r="EU260" s="208"/>
      <c r="EV260" s="208"/>
      <c r="EW260" s="208"/>
      <c r="EX260" s="208"/>
      <c r="EY260" s="208"/>
      <c r="EZ260" s="208"/>
      <c r="FA260" s="208"/>
      <c r="FB260" s="208"/>
      <c r="FC260" s="208"/>
      <c r="FD260" s="208"/>
      <c r="FE260" s="208"/>
      <c r="FF260" s="208"/>
      <c r="FG260" s="208"/>
      <c r="FH260" s="208"/>
      <c r="FI260" s="208"/>
      <c r="FJ260" s="208"/>
      <c r="FK260" s="208"/>
      <c r="FL260" s="208"/>
      <c r="FM260" s="208"/>
      <c r="FN260" s="208"/>
      <c r="FO260" s="208"/>
      <c r="FP260" s="208"/>
      <c r="FQ260" s="208"/>
      <c r="FR260" s="208"/>
      <c r="FS260" s="208"/>
      <c r="FT260" s="208"/>
      <c r="FU260" s="208"/>
      <c r="FV260" s="208"/>
      <c r="FW260" s="208"/>
      <c r="FX260" s="208"/>
      <c r="FY260" s="208"/>
      <c r="FZ260" s="208"/>
      <c r="GA260" s="208"/>
      <c r="GB260" s="208"/>
      <c r="GC260" s="208"/>
      <c r="GD260" s="208"/>
      <c r="GE260" s="208"/>
      <c r="GF260" s="208"/>
    </row>
    <row r="261" spans="1:188" s="209" customFormat="1" ht="15" x14ac:dyDescent="0.25">
      <c r="A261" s="195" t="s">
        <v>5040</v>
      </c>
      <c r="B261" s="195" t="s">
        <v>715</v>
      </c>
      <c r="C261" s="196" t="s">
        <v>2643</v>
      </c>
      <c r="D261" s="154" t="s">
        <v>28</v>
      </c>
      <c r="E261" s="154">
        <v>120</v>
      </c>
      <c r="F261" s="154">
        <v>0.1</v>
      </c>
      <c r="G261" s="197"/>
      <c r="H261" s="198"/>
      <c r="I261" s="151">
        <f>IFERROR(INDEX(Composições!$A$5:$J$8391,MATCH(B261,Composições!$A$5:$A$8391,0)+2,8),"")</f>
        <v>47.929499999999997</v>
      </c>
      <c r="J261" s="152">
        <f t="shared" si="45"/>
        <v>575.15</v>
      </c>
      <c r="K261" s="198">
        <f>BDI!$B$17</f>
        <v>0.191</v>
      </c>
      <c r="L261" s="198"/>
      <c r="M261" s="198"/>
      <c r="N261" s="153">
        <f t="shared" si="46"/>
        <v>57.08</v>
      </c>
      <c r="O261" s="152">
        <f t="shared" si="47"/>
        <v>684.96</v>
      </c>
      <c r="P261" s="225"/>
      <c r="Q261" s="208"/>
      <c r="R261" s="208"/>
      <c r="S261"/>
      <c r="T261" s="208"/>
      <c r="U261" s="208"/>
      <c r="V261" s="208"/>
      <c r="W261" s="208"/>
      <c r="X261" s="208"/>
      <c r="Y261" s="208"/>
      <c r="Z261" s="208"/>
      <c r="AA261" s="208"/>
      <c r="AB261" s="208"/>
      <c r="AC261" s="208"/>
      <c r="AD261" s="208"/>
      <c r="AE261" s="208"/>
      <c r="AF261" s="208"/>
      <c r="AG261" s="208"/>
      <c r="AH261" s="208"/>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c r="BI261" s="208"/>
      <c r="BJ261" s="208"/>
      <c r="BK261" s="208"/>
      <c r="BL261" s="208"/>
      <c r="BM261" s="208"/>
      <c r="BN261" s="208"/>
      <c r="BO261" s="208"/>
      <c r="BP261" s="208"/>
      <c r="BQ261" s="208"/>
      <c r="BR261" s="208"/>
      <c r="BS261" s="208"/>
      <c r="BT261" s="208"/>
      <c r="BU261" s="208"/>
      <c r="BV261" s="208"/>
      <c r="BW261" s="208"/>
      <c r="BX261" s="208"/>
      <c r="BY261" s="208"/>
      <c r="BZ261" s="208"/>
      <c r="CA261" s="208"/>
      <c r="CB261" s="208"/>
      <c r="CC261" s="208"/>
      <c r="CD261" s="208"/>
      <c r="CE261" s="208"/>
      <c r="CF261" s="208"/>
      <c r="CG261" s="208"/>
      <c r="CH261" s="208"/>
      <c r="CI261" s="208"/>
      <c r="CJ261" s="208"/>
      <c r="CK261" s="208"/>
      <c r="CL261" s="208"/>
      <c r="CM261" s="208"/>
      <c r="CN261" s="208"/>
      <c r="CO261" s="208"/>
      <c r="CP261" s="208"/>
      <c r="CQ261" s="208"/>
      <c r="CR261" s="208"/>
      <c r="CS261" s="208"/>
      <c r="CT261" s="208"/>
      <c r="CU261" s="208"/>
      <c r="CV261" s="208"/>
      <c r="CW261" s="208"/>
      <c r="CX261" s="208"/>
      <c r="CY261" s="208"/>
      <c r="CZ261" s="208"/>
      <c r="DA261" s="208"/>
      <c r="DB261" s="208"/>
      <c r="DC261" s="208"/>
      <c r="DD261" s="208"/>
      <c r="DE261" s="208"/>
      <c r="DF261" s="208"/>
      <c r="DG261" s="208"/>
      <c r="DH261" s="208"/>
      <c r="DI261" s="208"/>
      <c r="DJ261" s="208"/>
      <c r="DK261" s="208"/>
      <c r="DL261" s="208"/>
      <c r="DM261" s="208"/>
      <c r="DN261" s="208"/>
      <c r="DO261" s="208"/>
      <c r="DP261" s="208"/>
      <c r="DQ261" s="208"/>
      <c r="DR261" s="208"/>
      <c r="DS261" s="208"/>
      <c r="DT261" s="208"/>
      <c r="DU261" s="208"/>
      <c r="DV261" s="208"/>
      <c r="DW261" s="208"/>
      <c r="DX261" s="208"/>
      <c r="DY261" s="208"/>
      <c r="DZ261" s="208"/>
      <c r="EA261" s="208"/>
      <c r="EB261" s="208"/>
      <c r="EC261" s="208"/>
      <c r="ED261" s="208"/>
      <c r="EE261" s="208"/>
      <c r="EF261" s="208"/>
      <c r="EG261" s="208"/>
      <c r="EH261" s="208"/>
      <c r="EI261" s="208"/>
      <c r="EJ261" s="208"/>
      <c r="EK261" s="208"/>
      <c r="EL261" s="208"/>
      <c r="EM261" s="208"/>
      <c r="EN261" s="208"/>
      <c r="EO261" s="208"/>
      <c r="EP261" s="208"/>
      <c r="EQ261" s="208"/>
      <c r="ER261" s="208"/>
      <c r="ES261" s="208"/>
      <c r="ET261" s="208"/>
      <c r="EU261" s="208"/>
      <c r="EV261" s="208"/>
      <c r="EW261" s="208"/>
      <c r="EX261" s="208"/>
      <c r="EY261" s="208"/>
      <c r="EZ261" s="208"/>
      <c r="FA261" s="208"/>
      <c r="FB261" s="208"/>
      <c r="FC261" s="208"/>
      <c r="FD261" s="208"/>
      <c r="FE261" s="208"/>
      <c r="FF261" s="208"/>
      <c r="FG261" s="208"/>
      <c r="FH261" s="208"/>
      <c r="FI261" s="208"/>
      <c r="FJ261" s="208"/>
      <c r="FK261" s="208"/>
      <c r="FL261" s="208"/>
      <c r="FM261" s="208"/>
      <c r="FN261" s="208"/>
      <c r="FO261" s="208"/>
      <c r="FP261" s="208"/>
      <c r="FQ261" s="208"/>
      <c r="FR261" s="208"/>
      <c r="FS261" s="208"/>
      <c r="FT261" s="208"/>
      <c r="FU261" s="208"/>
      <c r="FV261" s="208"/>
      <c r="FW261" s="208"/>
      <c r="FX261" s="208"/>
      <c r="FY261" s="208"/>
      <c r="FZ261" s="208"/>
      <c r="GA261" s="208"/>
      <c r="GB261" s="208"/>
      <c r="GC261" s="208"/>
      <c r="GD261" s="208"/>
      <c r="GE261" s="208"/>
      <c r="GF261" s="208"/>
    </row>
    <row r="262" spans="1:188" s="209" customFormat="1" ht="15" x14ac:dyDescent="0.25">
      <c r="A262" s="195" t="s">
        <v>5041</v>
      </c>
      <c r="B262" s="195" t="s">
        <v>717</v>
      </c>
      <c r="C262" s="196" t="s">
        <v>2644</v>
      </c>
      <c r="D262" s="154" t="s">
        <v>28</v>
      </c>
      <c r="E262" s="154">
        <v>240</v>
      </c>
      <c r="F262" s="154">
        <v>0.1</v>
      </c>
      <c r="G262" s="197"/>
      <c r="H262" s="198"/>
      <c r="I262" s="151">
        <f>IFERROR(INDEX(Composições!$A$5:$J$8391,MATCH(B262,Composições!$A$5:$A$8391,0)+2,8),"")</f>
        <v>28.205499999999997</v>
      </c>
      <c r="J262" s="152">
        <f t="shared" si="45"/>
        <v>676.93</v>
      </c>
      <c r="K262" s="198">
        <f>BDI!$B$17</f>
        <v>0.191</v>
      </c>
      <c r="L262" s="198"/>
      <c r="M262" s="198"/>
      <c r="N262" s="153">
        <f t="shared" si="46"/>
        <v>33.590000000000003</v>
      </c>
      <c r="O262" s="152">
        <f t="shared" si="47"/>
        <v>806.16</v>
      </c>
      <c r="P262" s="225"/>
      <c r="Q262" s="208"/>
      <c r="R262" s="208"/>
      <c r="S262"/>
      <c r="T262" s="208"/>
      <c r="U262" s="208"/>
      <c r="V262" s="208"/>
      <c r="W262" s="208"/>
      <c r="X262" s="208"/>
      <c r="Y262" s="208"/>
      <c r="Z262" s="208"/>
      <c r="AA262" s="208"/>
      <c r="AB262" s="208"/>
      <c r="AC262" s="208"/>
      <c r="AD262" s="208"/>
      <c r="AE262" s="208"/>
      <c r="AF262" s="208"/>
      <c r="AG262" s="208"/>
      <c r="AH262" s="208"/>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c r="BI262" s="208"/>
      <c r="BJ262" s="208"/>
      <c r="BK262" s="208"/>
      <c r="BL262" s="208"/>
      <c r="BM262" s="208"/>
      <c r="BN262" s="208"/>
      <c r="BO262" s="208"/>
      <c r="BP262" s="208"/>
      <c r="BQ262" s="208"/>
      <c r="BR262" s="208"/>
      <c r="BS262" s="208"/>
      <c r="BT262" s="208"/>
      <c r="BU262" s="208"/>
      <c r="BV262" s="208"/>
      <c r="BW262" s="208"/>
      <c r="BX262" s="208"/>
      <c r="BY262" s="208"/>
      <c r="BZ262" s="208"/>
      <c r="CA262" s="208"/>
      <c r="CB262" s="208"/>
      <c r="CC262" s="208"/>
      <c r="CD262" s="208"/>
      <c r="CE262" s="208"/>
      <c r="CF262" s="208"/>
      <c r="CG262" s="208"/>
      <c r="CH262" s="208"/>
      <c r="CI262" s="208"/>
      <c r="CJ262" s="208"/>
      <c r="CK262" s="208"/>
      <c r="CL262" s="208"/>
      <c r="CM262" s="208"/>
      <c r="CN262" s="208"/>
      <c r="CO262" s="208"/>
      <c r="CP262" s="208"/>
      <c r="CQ262" s="208"/>
      <c r="CR262" s="208"/>
      <c r="CS262" s="208"/>
      <c r="CT262" s="208"/>
      <c r="CU262" s="208"/>
      <c r="CV262" s="208"/>
      <c r="CW262" s="208"/>
      <c r="CX262" s="208"/>
      <c r="CY262" s="208"/>
      <c r="CZ262" s="208"/>
      <c r="DA262" s="208"/>
      <c r="DB262" s="208"/>
      <c r="DC262" s="208"/>
      <c r="DD262" s="208"/>
      <c r="DE262" s="208"/>
      <c r="DF262" s="208"/>
      <c r="DG262" s="208"/>
      <c r="DH262" s="208"/>
      <c r="DI262" s="208"/>
      <c r="DJ262" s="208"/>
      <c r="DK262" s="208"/>
      <c r="DL262" s="208"/>
      <c r="DM262" s="208"/>
      <c r="DN262" s="208"/>
      <c r="DO262" s="208"/>
      <c r="DP262" s="208"/>
      <c r="DQ262" s="208"/>
      <c r="DR262" s="208"/>
      <c r="DS262" s="208"/>
      <c r="DT262" s="208"/>
      <c r="DU262" s="208"/>
      <c r="DV262" s="208"/>
      <c r="DW262" s="208"/>
      <c r="DX262" s="208"/>
      <c r="DY262" s="208"/>
      <c r="DZ262" s="208"/>
      <c r="EA262" s="208"/>
      <c r="EB262" s="208"/>
      <c r="EC262" s="208"/>
      <c r="ED262" s="208"/>
      <c r="EE262" s="208"/>
      <c r="EF262" s="208"/>
      <c r="EG262" s="208"/>
      <c r="EH262" s="208"/>
      <c r="EI262" s="208"/>
      <c r="EJ262" s="208"/>
      <c r="EK262" s="208"/>
      <c r="EL262" s="208"/>
      <c r="EM262" s="208"/>
      <c r="EN262" s="208"/>
      <c r="EO262" s="208"/>
      <c r="EP262" s="208"/>
      <c r="EQ262" s="208"/>
      <c r="ER262" s="208"/>
      <c r="ES262" s="208"/>
      <c r="ET262" s="208"/>
      <c r="EU262" s="208"/>
      <c r="EV262" s="208"/>
      <c r="EW262" s="208"/>
      <c r="EX262" s="208"/>
      <c r="EY262" s="208"/>
      <c r="EZ262" s="208"/>
      <c r="FA262" s="208"/>
      <c r="FB262" s="208"/>
      <c r="FC262" s="208"/>
      <c r="FD262" s="208"/>
      <c r="FE262" s="208"/>
      <c r="FF262" s="208"/>
      <c r="FG262" s="208"/>
      <c r="FH262" s="208"/>
      <c r="FI262" s="208"/>
      <c r="FJ262" s="208"/>
      <c r="FK262" s="208"/>
      <c r="FL262" s="208"/>
      <c r="FM262" s="208"/>
      <c r="FN262" s="208"/>
      <c r="FO262" s="208"/>
      <c r="FP262" s="208"/>
      <c r="FQ262" s="208"/>
      <c r="FR262" s="208"/>
      <c r="FS262" s="208"/>
      <c r="FT262" s="208"/>
      <c r="FU262" s="208"/>
      <c r="FV262" s="208"/>
      <c r="FW262" s="208"/>
      <c r="FX262" s="208"/>
      <c r="FY262" s="208"/>
      <c r="FZ262" s="208"/>
      <c r="GA262" s="208"/>
      <c r="GB262" s="208"/>
      <c r="GC262" s="208"/>
      <c r="GD262" s="208"/>
      <c r="GE262" s="208"/>
      <c r="GF262" s="208"/>
    </row>
    <row r="263" spans="1:188" s="209" customFormat="1" ht="15" x14ac:dyDescent="0.25">
      <c r="A263" s="195" t="s">
        <v>5042</v>
      </c>
      <c r="B263" s="195" t="s">
        <v>719</v>
      </c>
      <c r="C263" s="196" t="s">
        <v>2645</v>
      </c>
      <c r="D263" s="154" t="s">
        <v>28</v>
      </c>
      <c r="E263" s="154">
        <v>920</v>
      </c>
      <c r="F263" s="154">
        <v>0.1</v>
      </c>
      <c r="G263" s="197"/>
      <c r="H263" s="198"/>
      <c r="I263" s="151">
        <f>IFERROR(INDEX(Composições!$A$5:$J$8391,MATCH(B263,Composições!$A$5:$A$8391,0)+2,8),"")</f>
        <v>945.82542549999994</v>
      </c>
      <c r="J263" s="152">
        <f t="shared" si="45"/>
        <v>87015.94</v>
      </c>
      <c r="K263" s="198">
        <f>BDI!$B$17</f>
        <v>0.191</v>
      </c>
      <c r="L263" s="198"/>
      <c r="M263" s="198"/>
      <c r="N263" s="153">
        <f t="shared" si="46"/>
        <v>1126.48</v>
      </c>
      <c r="O263" s="152">
        <f t="shared" si="47"/>
        <v>103636.16</v>
      </c>
      <c r="P263" s="225"/>
      <c r="Q263" s="208"/>
      <c r="R263" s="208"/>
      <c r="S263"/>
      <c r="T263" s="208"/>
      <c r="U263" s="208"/>
      <c r="V263" s="208"/>
      <c r="W263" s="208"/>
      <c r="X263" s="208"/>
      <c r="Y263" s="208"/>
      <c r="Z263" s="208"/>
      <c r="AA263" s="208"/>
      <c r="AB263" s="208"/>
      <c r="AC263" s="208"/>
      <c r="AD263" s="208"/>
      <c r="AE263" s="208"/>
      <c r="AF263" s="208"/>
      <c r="AG263" s="208"/>
      <c r="AH263" s="208"/>
      <c r="AI263" s="208"/>
      <c r="AJ263" s="208"/>
      <c r="AK263" s="208"/>
      <c r="AL263" s="208"/>
      <c r="AM263" s="208"/>
      <c r="AN263" s="208"/>
      <c r="AO263" s="208"/>
      <c r="AP263" s="208"/>
      <c r="AQ263" s="208"/>
      <c r="AR263" s="208"/>
      <c r="AS263" s="208"/>
      <c r="AT263" s="208"/>
      <c r="AU263" s="208"/>
      <c r="AV263" s="208"/>
      <c r="AW263" s="208"/>
      <c r="AX263" s="208"/>
      <c r="AY263" s="208"/>
      <c r="AZ263" s="208"/>
      <c r="BA263" s="208"/>
      <c r="BB263" s="208"/>
      <c r="BC263" s="208"/>
      <c r="BD263" s="208"/>
      <c r="BE263" s="208"/>
      <c r="BF263" s="208"/>
      <c r="BG263" s="208"/>
      <c r="BH263" s="208"/>
      <c r="BI263" s="208"/>
      <c r="BJ263" s="208"/>
      <c r="BK263" s="208"/>
      <c r="BL263" s="208"/>
      <c r="BM263" s="208"/>
      <c r="BN263" s="208"/>
      <c r="BO263" s="208"/>
      <c r="BP263" s="208"/>
      <c r="BQ263" s="208"/>
      <c r="BR263" s="208"/>
      <c r="BS263" s="208"/>
      <c r="BT263" s="208"/>
      <c r="BU263" s="208"/>
      <c r="BV263" s="208"/>
      <c r="BW263" s="208"/>
      <c r="BX263" s="208"/>
      <c r="BY263" s="208"/>
      <c r="BZ263" s="208"/>
      <c r="CA263" s="208"/>
      <c r="CB263" s="208"/>
      <c r="CC263" s="208"/>
      <c r="CD263" s="208"/>
      <c r="CE263" s="208"/>
      <c r="CF263" s="208"/>
      <c r="CG263" s="208"/>
      <c r="CH263" s="208"/>
      <c r="CI263" s="208"/>
      <c r="CJ263" s="208"/>
      <c r="CK263" s="208"/>
      <c r="CL263" s="208"/>
      <c r="CM263" s="208"/>
      <c r="CN263" s="208"/>
      <c r="CO263" s="208"/>
      <c r="CP263" s="208"/>
      <c r="CQ263" s="208"/>
      <c r="CR263" s="208"/>
      <c r="CS263" s="208"/>
      <c r="CT263" s="208"/>
      <c r="CU263" s="208"/>
      <c r="CV263" s="208"/>
      <c r="CW263" s="208"/>
      <c r="CX263" s="208"/>
      <c r="CY263" s="208"/>
      <c r="CZ263" s="208"/>
      <c r="DA263" s="208"/>
      <c r="DB263" s="208"/>
      <c r="DC263" s="208"/>
      <c r="DD263" s="208"/>
      <c r="DE263" s="208"/>
      <c r="DF263" s="208"/>
      <c r="DG263" s="208"/>
      <c r="DH263" s="208"/>
      <c r="DI263" s="208"/>
      <c r="DJ263" s="208"/>
      <c r="DK263" s="208"/>
      <c r="DL263" s="208"/>
      <c r="DM263" s="208"/>
      <c r="DN263" s="208"/>
      <c r="DO263" s="208"/>
      <c r="DP263" s="208"/>
      <c r="DQ263" s="208"/>
      <c r="DR263" s="208"/>
      <c r="DS263" s="208"/>
      <c r="DT263" s="208"/>
      <c r="DU263" s="208"/>
      <c r="DV263" s="208"/>
      <c r="DW263" s="208"/>
      <c r="DX263" s="208"/>
      <c r="DY263" s="208"/>
      <c r="DZ263" s="208"/>
      <c r="EA263" s="208"/>
      <c r="EB263" s="208"/>
      <c r="EC263" s="208"/>
      <c r="ED263" s="208"/>
      <c r="EE263" s="208"/>
      <c r="EF263" s="208"/>
      <c r="EG263" s="208"/>
      <c r="EH263" s="208"/>
      <c r="EI263" s="208"/>
      <c r="EJ263" s="208"/>
      <c r="EK263" s="208"/>
      <c r="EL263" s="208"/>
      <c r="EM263" s="208"/>
      <c r="EN263" s="208"/>
      <c r="EO263" s="208"/>
      <c r="EP263" s="208"/>
      <c r="EQ263" s="208"/>
      <c r="ER263" s="208"/>
      <c r="ES263" s="208"/>
      <c r="ET263" s="208"/>
      <c r="EU263" s="208"/>
      <c r="EV263" s="208"/>
      <c r="EW263" s="208"/>
      <c r="EX263" s="208"/>
      <c r="EY263" s="208"/>
      <c r="EZ263" s="208"/>
      <c r="FA263" s="208"/>
      <c r="FB263" s="208"/>
      <c r="FC263" s="208"/>
      <c r="FD263" s="208"/>
      <c r="FE263" s="208"/>
      <c r="FF263" s="208"/>
      <c r="FG263" s="208"/>
      <c r="FH263" s="208"/>
      <c r="FI263" s="208"/>
      <c r="FJ263" s="208"/>
      <c r="FK263" s="208"/>
      <c r="FL263" s="208"/>
      <c r="FM263" s="208"/>
      <c r="FN263" s="208"/>
      <c r="FO263" s="208"/>
      <c r="FP263" s="208"/>
      <c r="FQ263" s="208"/>
      <c r="FR263" s="208"/>
      <c r="FS263" s="208"/>
      <c r="FT263" s="208"/>
      <c r="FU263" s="208"/>
      <c r="FV263" s="208"/>
      <c r="FW263" s="208"/>
      <c r="FX263" s="208"/>
      <c r="FY263" s="208"/>
      <c r="FZ263" s="208"/>
      <c r="GA263" s="208"/>
      <c r="GB263" s="208"/>
      <c r="GC263" s="208"/>
      <c r="GD263" s="208"/>
      <c r="GE263" s="208"/>
      <c r="GF263" s="208"/>
    </row>
    <row r="264" spans="1:188" s="209" customFormat="1" ht="15" x14ac:dyDescent="0.25">
      <c r="A264" s="195" t="s">
        <v>5043</v>
      </c>
      <c r="B264" s="195" t="s">
        <v>720</v>
      </c>
      <c r="C264" s="196" t="s">
        <v>2646</v>
      </c>
      <c r="D264" s="154" t="s">
        <v>28</v>
      </c>
      <c r="E264" s="154">
        <v>170</v>
      </c>
      <c r="F264" s="154">
        <v>0.1</v>
      </c>
      <c r="G264" s="197"/>
      <c r="H264" s="198"/>
      <c r="I264" s="151">
        <f>IFERROR(INDEX(Composições!$A$5:$J$8391,MATCH(B264,Composições!$A$5:$A$8391,0)+2,8),"")</f>
        <v>40.785600000000002</v>
      </c>
      <c r="J264" s="152">
        <f t="shared" si="45"/>
        <v>693.36</v>
      </c>
      <c r="K264" s="198">
        <f>BDI!$B$17</f>
        <v>0.191</v>
      </c>
      <c r="L264" s="198"/>
      <c r="M264" s="198"/>
      <c r="N264" s="153">
        <f t="shared" si="46"/>
        <v>48.58</v>
      </c>
      <c r="O264" s="152">
        <f t="shared" si="47"/>
        <v>825.86</v>
      </c>
      <c r="P264" s="225"/>
      <c r="Q264" s="208"/>
      <c r="R264" s="208"/>
      <c r="S264"/>
      <c r="T264" s="208"/>
      <c r="U264" s="208"/>
      <c r="V264" s="208"/>
      <c r="W264" s="208"/>
      <c r="X264" s="208"/>
      <c r="Y264" s="208"/>
      <c r="Z264" s="208"/>
      <c r="AA264" s="208"/>
      <c r="AB264" s="208"/>
      <c r="AC264" s="208"/>
      <c r="AD264" s="208"/>
      <c r="AE264" s="208"/>
      <c r="AF264" s="208"/>
      <c r="AG264" s="208"/>
      <c r="AH264" s="208"/>
      <c r="AI264" s="208"/>
      <c r="AJ264" s="208"/>
      <c r="AK264" s="208"/>
      <c r="AL264" s="208"/>
      <c r="AM264" s="208"/>
      <c r="AN264" s="208"/>
      <c r="AO264" s="208"/>
      <c r="AP264" s="208"/>
      <c r="AQ264" s="208"/>
      <c r="AR264" s="208"/>
      <c r="AS264" s="208"/>
      <c r="AT264" s="208"/>
      <c r="AU264" s="208"/>
      <c r="AV264" s="208"/>
      <c r="AW264" s="208"/>
      <c r="AX264" s="208"/>
      <c r="AY264" s="208"/>
      <c r="AZ264" s="208"/>
      <c r="BA264" s="208"/>
      <c r="BB264" s="208"/>
      <c r="BC264" s="208"/>
      <c r="BD264" s="208"/>
      <c r="BE264" s="208"/>
      <c r="BF264" s="208"/>
      <c r="BG264" s="208"/>
      <c r="BH264" s="208"/>
      <c r="BI264" s="208"/>
      <c r="BJ264" s="208"/>
      <c r="BK264" s="208"/>
      <c r="BL264" s="208"/>
      <c r="BM264" s="208"/>
      <c r="BN264" s="208"/>
      <c r="BO264" s="208"/>
      <c r="BP264" s="208"/>
      <c r="BQ264" s="208"/>
      <c r="BR264" s="208"/>
      <c r="BS264" s="208"/>
      <c r="BT264" s="208"/>
      <c r="BU264" s="208"/>
      <c r="BV264" s="208"/>
      <c r="BW264" s="208"/>
      <c r="BX264" s="208"/>
      <c r="BY264" s="208"/>
      <c r="BZ264" s="208"/>
      <c r="CA264" s="208"/>
      <c r="CB264" s="208"/>
      <c r="CC264" s="208"/>
      <c r="CD264" s="208"/>
      <c r="CE264" s="208"/>
      <c r="CF264" s="208"/>
      <c r="CG264" s="208"/>
      <c r="CH264" s="208"/>
      <c r="CI264" s="208"/>
      <c r="CJ264" s="208"/>
      <c r="CK264" s="208"/>
      <c r="CL264" s="208"/>
      <c r="CM264" s="208"/>
      <c r="CN264" s="208"/>
      <c r="CO264" s="208"/>
      <c r="CP264" s="208"/>
      <c r="CQ264" s="208"/>
      <c r="CR264" s="208"/>
      <c r="CS264" s="208"/>
      <c r="CT264" s="208"/>
      <c r="CU264" s="208"/>
      <c r="CV264" s="208"/>
      <c r="CW264" s="208"/>
      <c r="CX264" s="208"/>
      <c r="CY264" s="208"/>
      <c r="CZ264" s="208"/>
      <c r="DA264" s="208"/>
      <c r="DB264" s="208"/>
      <c r="DC264" s="208"/>
      <c r="DD264" s="208"/>
      <c r="DE264" s="208"/>
      <c r="DF264" s="208"/>
      <c r="DG264" s="208"/>
      <c r="DH264" s="208"/>
      <c r="DI264" s="208"/>
      <c r="DJ264" s="208"/>
      <c r="DK264" s="208"/>
      <c r="DL264" s="208"/>
      <c r="DM264" s="208"/>
      <c r="DN264" s="208"/>
      <c r="DO264" s="208"/>
      <c r="DP264" s="208"/>
      <c r="DQ264" s="208"/>
      <c r="DR264" s="208"/>
      <c r="DS264" s="208"/>
      <c r="DT264" s="208"/>
      <c r="DU264" s="208"/>
      <c r="DV264" s="208"/>
      <c r="DW264" s="208"/>
      <c r="DX264" s="208"/>
      <c r="DY264" s="208"/>
      <c r="DZ264" s="208"/>
      <c r="EA264" s="208"/>
      <c r="EB264" s="208"/>
      <c r="EC264" s="208"/>
      <c r="ED264" s="208"/>
      <c r="EE264" s="208"/>
      <c r="EF264" s="208"/>
      <c r="EG264" s="208"/>
      <c r="EH264" s="208"/>
      <c r="EI264" s="208"/>
      <c r="EJ264" s="208"/>
      <c r="EK264" s="208"/>
      <c r="EL264" s="208"/>
      <c r="EM264" s="208"/>
      <c r="EN264" s="208"/>
      <c r="EO264" s="208"/>
      <c r="EP264" s="208"/>
      <c r="EQ264" s="208"/>
      <c r="ER264" s="208"/>
      <c r="ES264" s="208"/>
      <c r="ET264" s="208"/>
      <c r="EU264" s="208"/>
      <c r="EV264" s="208"/>
      <c r="EW264" s="208"/>
      <c r="EX264" s="208"/>
      <c r="EY264" s="208"/>
      <c r="EZ264" s="208"/>
      <c r="FA264" s="208"/>
      <c r="FB264" s="208"/>
      <c r="FC264" s="208"/>
      <c r="FD264" s="208"/>
      <c r="FE264" s="208"/>
      <c r="FF264" s="208"/>
      <c r="FG264" s="208"/>
      <c r="FH264" s="208"/>
      <c r="FI264" s="208"/>
      <c r="FJ264" s="208"/>
      <c r="FK264" s="208"/>
      <c r="FL264" s="208"/>
      <c r="FM264" s="208"/>
      <c r="FN264" s="208"/>
      <c r="FO264" s="208"/>
      <c r="FP264" s="208"/>
      <c r="FQ264" s="208"/>
      <c r="FR264" s="208"/>
      <c r="FS264" s="208"/>
      <c r="FT264" s="208"/>
      <c r="FU264" s="208"/>
      <c r="FV264" s="208"/>
      <c r="FW264" s="208"/>
      <c r="FX264" s="208"/>
      <c r="FY264" s="208"/>
      <c r="FZ264" s="208"/>
      <c r="GA264" s="208"/>
      <c r="GB264" s="208"/>
      <c r="GC264" s="208"/>
      <c r="GD264" s="208"/>
      <c r="GE264" s="208"/>
      <c r="GF264" s="208"/>
    </row>
    <row r="265" spans="1:188" s="209" customFormat="1" ht="15" x14ac:dyDescent="0.25">
      <c r="A265" s="195" t="s">
        <v>5044</v>
      </c>
      <c r="B265" s="195" t="s">
        <v>805</v>
      </c>
      <c r="C265" s="196" t="s">
        <v>2691</v>
      </c>
      <c r="D265" s="154" t="s">
        <v>28</v>
      </c>
      <c r="E265" s="154">
        <v>360</v>
      </c>
      <c r="F265" s="154">
        <v>0.1</v>
      </c>
      <c r="G265" s="197"/>
      <c r="H265" s="198"/>
      <c r="I265" s="151">
        <f>IFERROR(INDEX(Composições!$A$5:$J$8391,MATCH(B265,Composições!$A$5:$A$8391,0)+2,8),"")</f>
        <v>80.251200000000011</v>
      </c>
      <c r="J265" s="152">
        <f t="shared" si="45"/>
        <v>2889.04</v>
      </c>
      <c r="K265" s="198">
        <f>BDI!$B$17</f>
        <v>0.191</v>
      </c>
      <c r="L265" s="198"/>
      <c r="M265" s="198"/>
      <c r="N265" s="153">
        <f t="shared" si="46"/>
        <v>95.58</v>
      </c>
      <c r="O265" s="152">
        <f t="shared" si="47"/>
        <v>3440.88</v>
      </c>
      <c r="P265" s="225"/>
      <c r="Q265" s="208"/>
      <c r="R265" s="208"/>
      <c r="S265"/>
      <c r="T265" s="208"/>
      <c r="U265" s="208"/>
      <c r="V265" s="208"/>
      <c r="W265" s="208"/>
      <c r="X265" s="208"/>
      <c r="Y265" s="208"/>
      <c r="Z265" s="208"/>
      <c r="AA265" s="208"/>
      <c r="AB265" s="208"/>
      <c r="AC265" s="208"/>
      <c r="AD265" s="208"/>
      <c r="AE265" s="208"/>
      <c r="AF265" s="208"/>
      <c r="AG265" s="208"/>
      <c r="AH265" s="208"/>
      <c r="AI265" s="208"/>
      <c r="AJ265" s="208"/>
      <c r="AK265" s="208"/>
      <c r="AL265" s="208"/>
      <c r="AM265" s="208"/>
      <c r="AN265" s="208"/>
      <c r="AO265" s="208"/>
      <c r="AP265" s="208"/>
      <c r="AQ265" s="208"/>
      <c r="AR265" s="208"/>
      <c r="AS265" s="208"/>
      <c r="AT265" s="208"/>
      <c r="AU265" s="208"/>
      <c r="AV265" s="208"/>
      <c r="AW265" s="208"/>
      <c r="AX265" s="208"/>
      <c r="AY265" s="208"/>
      <c r="AZ265" s="208"/>
      <c r="BA265" s="208"/>
      <c r="BB265" s="208"/>
      <c r="BC265" s="208"/>
      <c r="BD265" s="208"/>
      <c r="BE265" s="208"/>
      <c r="BF265" s="208"/>
      <c r="BG265" s="208"/>
      <c r="BH265" s="208"/>
      <c r="BI265" s="208"/>
      <c r="BJ265" s="208"/>
      <c r="BK265" s="208"/>
      <c r="BL265" s="208"/>
      <c r="BM265" s="208"/>
      <c r="BN265" s="208"/>
      <c r="BO265" s="208"/>
      <c r="BP265" s="208"/>
      <c r="BQ265" s="208"/>
      <c r="BR265" s="208"/>
      <c r="BS265" s="208"/>
      <c r="BT265" s="208"/>
      <c r="BU265" s="208"/>
      <c r="BV265" s="208"/>
      <c r="BW265" s="208"/>
      <c r="BX265" s="208"/>
      <c r="BY265" s="208"/>
      <c r="BZ265" s="208"/>
      <c r="CA265" s="208"/>
      <c r="CB265" s="208"/>
      <c r="CC265" s="208"/>
      <c r="CD265" s="208"/>
      <c r="CE265" s="208"/>
      <c r="CF265" s="208"/>
      <c r="CG265" s="208"/>
      <c r="CH265" s="208"/>
      <c r="CI265" s="208"/>
      <c r="CJ265" s="208"/>
      <c r="CK265" s="208"/>
      <c r="CL265" s="208"/>
      <c r="CM265" s="208"/>
      <c r="CN265" s="208"/>
      <c r="CO265" s="208"/>
      <c r="CP265" s="208"/>
      <c r="CQ265" s="208"/>
      <c r="CR265" s="208"/>
      <c r="CS265" s="208"/>
      <c r="CT265" s="208"/>
      <c r="CU265" s="208"/>
      <c r="CV265" s="208"/>
      <c r="CW265" s="208"/>
      <c r="CX265" s="208"/>
      <c r="CY265" s="208"/>
      <c r="CZ265" s="208"/>
      <c r="DA265" s="208"/>
      <c r="DB265" s="208"/>
      <c r="DC265" s="208"/>
      <c r="DD265" s="208"/>
      <c r="DE265" s="208"/>
      <c r="DF265" s="208"/>
      <c r="DG265" s="208"/>
      <c r="DH265" s="208"/>
      <c r="DI265" s="208"/>
      <c r="DJ265" s="208"/>
      <c r="DK265" s="208"/>
      <c r="DL265" s="208"/>
      <c r="DM265" s="208"/>
      <c r="DN265" s="208"/>
      <c r="DO265" s="208"/>
      <c r="DP265" s="208"/>
      <c r="DQ265" s="208"/>
      <c r="DR265" s="208"/>
      <c r="DS265" s="208"/>
      <c r="DT265" s="208"/>
      <c r="DU265" s="208"/>
      <c r="DV265" s="208"/>
      <c r="DW265" s="208"/>
      <c r="DX265" s="208"/>
      <c r="DY265" s="208"/>
      <c r="DZ265" s="208"/>
      <c r="EA265" s="208"/>
      <c r="EB265" s="208"/>
      <c r="EC265" s="208"/>
      <c r="ED265" s="208"/>
      <c r="EE265" s="208"/>
      <c r="EF265" s="208"/>
      <c r="EG265" s="208"/>
      <c r="EH265" s="208"/>
      <c r="EI265" s="208"/>
      <c r="EJ265" s="208"/>
      <c r="EK265" s="208"/>
      <c r="EL265" s="208"/>
      <c r="EM265" s="208"/>
      <c r="EN265" s="208"/>
      <c r="EO265" s="208"/>
      <c r="EP265" s="208"/>
      <c r="EQ265" s="208"/>
      <c r="ER265" s="208"/>
      <c r="ES265" s="208"/>
      <c r="ET265" s="208"/>
      <c r="EU265" s="208"/>
      <c r="EV265" s="208"/>
      <c r="EW265" s="208"/>
      <c r="EX265" s="208"/>
      <c r="EY265" s="208"/>
      <c r="EZ265" s="208"/>
      <c r="FA265" s="208"/>
      <c r="FB265" s="208"/>
      <c r="FC265" s="208"/>
      <c r="FD265" s="208"/>
      <c r="FE265" s="208"/>
      <c r="FF265" s="208"/>
      <c r="FG265" s="208"/>
      <c r="FH265" s="208"/>
      <c r="FI265" s="208"/>
      <c r="FJ265" s="208"/>
      <c r="FK265" s="208"/>
      <c r="FL265" s="208"/>
      <c r="FM265" s="208"/>
      <c r="FN265" s="208"/>
      <c r="FO265" s="208"/>
      <c r="FP265" s="208"/>
      <c r="FQ265" s="208"/>
      <c r="FR265" s="208"/>
      <c r="FS265" s="208"/>
      <c r="FT265" s="208"/>
      <c r="FU265" s="208"/>
      <c r="FV265" s="208"/>
      <c r="FW265" s="208"/>
      <c r="FX265" s="208"/>
      <c r="FY265" s="208"/>
      <c r="FZ265" s="208"/>
      <c r="GA265" s="208"/>
      <c r="GB265" s="208"/>
      <c r="GC265" s="208"/>
      <c r="GD265" s="208"/>
      <c r="GE265" s="208"/>
      <c r="GF265" s="208"/>
    </row>
    <row r="266" spans="1:188" s="209" customFormat="1" ht="15" x14ac:dyDescent="0.25">
      <c r="A266" s="195" t="s">
        <v>5045</v>
      </c>
      <c r="B266" s="195" t="s">
        <v>722</v>
      </c>
      <c r="C266" s="196" t="s">
        <v>2647</v>
      </c>
      <c r="D266" s="154" t="s">
        <v>28</v>
      </c>
      <c r="E266" s="154">
        <v>80</v>
      </c>
      <c r="F266" s="154">
        <v>0.1</v>
      </c>
      <c r="G266" s="197"/>
      <c r="H266" s="198"/>
      <c r="I266" s="151">
        <f>IFERROR(INDEX(Composições!$A$5:$J$8391,MATCH(B266,Composições!$A$5:$A$8391,0)+2,8),"")</f>
        <v>502.6712</v>
      </c>
      <c r="J266" s="152">
        <f t="shared" si="45"/>
        <v>4021.37</v>
      </c>
      <c r="K266" s="198">
        <f>BDI!$B$17</f>
        <v>0.191</v>
      </c>
      <c r="L266" s="198"/>
      <c r="M266" s="198"/>
      <c r="N266" s="153">
        <f t="shared" si="46"/>
        <v>598.67999999999995</v>
      </c>
      <c r="O266" s="152">
        <f t="shared" si="47"/>
        <v>4789.4399999999996</v>
      </c>
      <c r="P266" s="225"/>
      <c r="Q266" s="208"/>
      <c r="R266" s="208"/>
      <c r="S266"/>
      <c r="T266" s="208"/>
      <c r="U266" s="208"/>
      <c r="V266" s="208"/>
      <c r="W266" s="208"/>
      <c r="X266" s="208"/>
      <c r="Y266" s="208"/>
      <c r="Z266" s="208"/>
      <c r="AA266" s="208"/>
      <c r="AB266" s="208"/>
      <c r="AC266" s="208"/>
      <c r="AD266" s="208"/>
      <c r="AE266" s="208"/>
      <c r="AF266" s="208"/>
      <c r="AG266" s="208"/>
      <c r="AH266" s="208"/>
      <c r="AI266" s="208"/>
      <c r="AJ266" s="208"/>
      <c r="AK266" s="208"/>
      <c r="AL266" s="208"/>
      <c r="AM266" s="208"/>
      <c r="AN266" s="208"/>
      <c r="AO266" s="208"/>
      <c r="AP266" s="208"/>
      <c r="AQ266" s="208"/>
      <c r="AR266" s="208"/>
      <c r="AS266" s="208"/>
      <c r="AT266" s="208"/>
      <c r="AU266" s="208"/>
      <c r="AV266" s="208"/>
      <c r="AW266" s="208"/>
      <c r="AX266" s="208"/>
      <c r="AY266" s="208"/>
      <c r="AZ266" s="208"/>
      <c r="BA266" s="208"/>
      <c r="BB266" s="208"/>
      <c r="BC266" s="208"/>
      <c r="BD266" s="208"/>
      <c r="BE266" s="208"/>
      <c r="BF266" s="208"/>
      <c r="BG266" s="208"/>
      <c r="BH266" s="208"/>
      <c r="BI266" s="208"/>
      <c r="BJ266" s="208"/>
      <c r="BK266" s="208"/>
      <c r="BL266" s="208"/>
      <c r="BM266" s="208"/>
      <c r="BN266" s="208"/>
      <c r="BO266" s="208"/>
      <c r="BP266" s="208"/>
      <c r="BQ266" s="208"/>
      <c r="BR266" s="208"/>
      <c r="BS266" s="208"/>
      <c r="BT266" s="208"/>
      <c r="BU266" s="208"/>
      <c r="BV266" s="208"/>
      <c r="BW266" s="208"/>
      <c r="BX266" s="208"/>
      <c r="BY266" s="208"/>
      <c r="BZ266" s="208"/>
      <c r="CA266" s="208"/>
      <c r="CB266" s="208"/>
      <c r="CC266" s="208"/>
      <c r="CD266" s="208"/>
      <c r="CE266" s="208"/>
      <c r="CF266" s="208"/>
      <c r="CG266" s="208"/>
      <c r="CH266" s="208"/>
      <c r="CI266" s="208"/>
      <c r="CJ266" s="208"/>
      <c r="CK266" s="208"/>
      <c r="CL266" s="208"/>
      <c r="CM266" s="208"/>
      <c r="CN266" s="208"/>
      <c r="CO266" s="208"/>
      <c r="CP266" s="208"/>
      <c r="CQ266" s="208"/>
      <c r="CR266" s="208"/>
      <c r="CS266" s="208"/>
      <c r="CT266" s="208"/>
      <c r="CU266" s="208"/>
      <c r="CV266" s="208"/>
      <c r="CW266" s="208"/>
      <c r="CX266" s="208"/>
      <c r="CY266" s="208"/>
      <c r="CZ266" s="208"/>
      <c r="DA266" s="208"/>
      <c r="DB266" s="208"/>
      <c r="DC266" s="208"/>
      <c r="DD266" s="208"/>
      <c r="DE266" s="208"/>
      <c r="DF266" s="208"/>
      <c r="DG266" s="208"/>
      <c r="DH266" s="208"/>
      <c r="DI266" s="208"/>
      <c r="DJ266" s="208"/>
      <c r="DK266" s="208"/>
      <c r="DL266" s="208"/>
      <c r="DM266" s="208"/>
      <c r="DN266" s="208"/>
      <c r="DO266" s="208"/>
      <c r="DP266" s="208"/>
      <c r="DQ266" s="208"/>
      <c r="DR266" s="208"/>
      <c r="DS266" s="208"/>
      <c r="DT266" s="208"/>
      <c r="DU266" s="208"/>
      <c r="DV266" s="208"/>
      <c r="DW266" s="208"/>
      <c r="DX266" s="208"/>
      <c r="DY266" s="208"/>
      <c r="DZ266" s="208"/>
      <c r="EA266" s="208"/>
      <c r="EB266" s="208"/>
      <c r="EC266" s="208"/>
      <c r="ED266" s="208"/>
      <c r="EE266" s="208"/>
      <c r="EF266" s="208"/>
      <c r="EG266" s="208"/>
      <c r="EH266" s="208"/>
      <c r="EI266" s="208"/>
      <c r="EJ266" s="208"/>
      <c r="EK266" s="208"/>
      <c r="EL266" s="208"/>
      <c r="EM266" s="208"/>
      <c r="EN266" s="208"/>
      <c r="EO266" s="208"/>
      <c r="EP266" s="208"/>
      <c r="EQ266" s="208"/>
      <c r="ER266" s="208"/>
      <c r="ES266" s="208"/>
      <c r="ET266" s="208"/>
      <c r="EU266" s="208"/>
      <c r="EV266" s="208"/>
      <c r="EW266" s="208"/>
      <c r="EX266" s="208"/>
      <c r="EY266" s="208"/>
      <c r="EZ266" s="208"/>
      <c r="FA266" s="208"/>
      <c r="FB266" s="208"/>
      <c r="FC266" s="208"/>
      <c r="FD266" s="208"/>
      <c r="FE266" s="208"/>
      <c r="FF266" s="208"/>
      <c r="FG266" s="208"/>
      <c r="FH266" s="208"/>
      <c r="FI266" s="208"/>
      <c r="FJ266" s="208"/>
      <c r="FK266" s="208"/>
      <c r="FL266" s="208"/>
      <c r="FM266" s="208"/>
      <c r="FN266" s="208"/>
      <c r="FO266" s="208"/>
      <c r="FP266" s="208"/>
      <c r="FQ266" s="208"/>
      <c r="FR266" s="208"/>
      <c r="FS266" s="208"/>
      <c r="FT266" s="208"/>
      <c r="FU266" s="208"/>
      <c r="FV266" s="208"/>
      <c r="FW266" s="208"/>
      <c r="FX266" s="208"/>
      <c r="FY266" s="208"/>
      <c r="FZ266" s="208"/>
      <c r="GA266" s="208"/>
      <c r="GB266" s="208"/>
      <c r="GC266" s="208"/>
      <c r="GD266" s="208"/>
      <c r="GE266" s="208"/>
      <c r="GF266" s="208"/>
    </row>
    <row r="267" spans="1:188" s="209" customFormat="1" ht="15" x14ac:dyDescent="0.25">
      <c r="A267" s="195" t="s">
        <v>5046</v>
      </c>
      <c r="B267" s="195" t="s">
        <v>786</v>
      </c>
      <c r="C267" s="196" t="s">
        <v>2681</v>
      </c>
      <c r="D267" s="154" t="s">
        <v>28</v>
      </c>
      <c r="E267" s="154">
        <v>80</v>
      </c>
      <c r="F267" s="154">
        <v>0.1</v>
      </c>
      <c r="G267" s="197"/>
      <c r="H267" s="198"/>
      <c r="I267" s="151">
        <f>IFERROR(INDEX(Composições!$A$5:$J$8391,MATCH(B267,Composições!$A$5:$A$8391,0)+2,8),"")</f>
        <v>782.23119999999994</v>
      </c>
      <c r="J267" s="152">
        <f t="shared" si="45"/>
        <v>6257.85</v>
      </c>
      <c r="K267" s="198">
        <f>BDI!$B$17</f>
        <v>0.191</v>
      </c>
      <c r="L267" s="198"/>
      <c r="M267" s="198"/>
      <c r="N267" s="153">
        <f t="shared" si="46"/>
        <v>931.64</v>
      </c>
      <c r="O267" s="152">
        <f t="shared" si="47"/>
        <v>7453.12</v>
      </c>
      <c r="P267" s="225"/>
      <c r="Q267" s="208"/>
      <c r="R267" s="208"/>
      <c r="S267"/>
      <c r="T267" s="208"/>
      <c r="U267" s="208"/>
      <c r="V267" s="208"/>
      <c r="W267" s="208"/>
      <c r="X267" s="208"/>
      <c r="Y267" s="208"/>
      <c r="Z267" s="208"/>
      <c r="AA267" s="208"/>
      <c r="AB267" s="208"/>
      <c r="AC267" s="208"/>
      <c r="AD267" s="208"/>
      <c r="AE267" s="208"/>
      <c r="AF267" s="208"/>
      <c r="AG267" s="208"/>
      <c r="AH267" s="208"/>
      <c r="AI267" s="208"/>
      <c r="AJ267" s="208"/>
      <c r="AK267" s="208"/>
      <c r="AL267" s="208"/>
      <c r="AM267" s="208"/>
      <c r="AN267" s="208"/>
      <c r="AO267" s="208"/>
      <c r="AP267" s="208"/>
      <c r="AQ267" s="208"/>
      <c r="AR267" s="208"/>
      <c r="AS267" s="208"/>
      <c r="AT267" s="208"/>
      <c r="AU267" s="208"/>
      <c r="AV267" s="208"/>
      <c r="AW267" s="208"/>
      <c r="AX267" s="208"/>
      <c r="AY267" s="208"/>
      <c r="AZ267" s="208"/>
      <c r="BA267" s="208"/>
      <c r="BB267" s="208"/>
      <c r="BC267" s="208"/>
      <c r="BD267" s="208"/>
      <c r="BE267" s="208"/>
      <c r="BF267" s="208"/>
      <c r="BG267" s="208"/>
      <c r="BH267" s="208"/>
      <c r="BI267" s="208"/>
      <c r="BJ267" s="208"/>
      <c r="BK267" s="208"/>
      <c r="BL267" s="208"/>
      <c r="BM267" s="208"/>
      <c r="BN267" s="208"/>
      <c r="BO267" s="208"/>
      <c r="BP267" s="208"/>
      <c r="BQ267" s="208"/>
      <c r="BR267" s="208"/>
      <c r="BS267" s="208"/>
      <c r="BT267" s="208"/>
      <c r="BU267" s="208"/>
      <c r="BV267" s="208"/>
      <c r="BW267" s="208"/>
      <c r="BX267" s="208"/>
      <c r="BY267" s="208"/>
      <c r="BZ267" s="208"/>
      <c r="CA267" s="208"/>
      <c r="CB267" s="208"/>
      <c r="CC267" s="208"/>
      <c r="CD267" s="208"/>
      <c r="CE267" s="208"/>
      <c r="CF267" s="208"/>
      <c r="CG267" s="208"/>
      <c r="CH267" s="208"/>
      <c r="CI267" s="208"/>
      <c r="CJ267" s="208"/>
      <c r="CK267" s="208"/>
      <c r="CL267" s="208"/>
      <c r="CM267" s="208"/>
      <c r="CN267" s="208"/>
      <c r="CO267" s="208"/>
      <c r="CP267" s="208"/>
      <c r="CQ267" s="208"/>
      <c r="CR267" s="208"/>
      <c r="CS267" s="208"/>
      <c r="CT267" s="208"/>
      <c r="CU267" s="208"/>
      <c r="CV267" s="208"/>
      <c r="CW267" s="208"/>
      <c r="CX267" s="208"/>
      <c r="CY267" s="208"/>
      <c r="CZ267" s="208"/>
      <c r="DA267" s="208"/>
      <c r="DB267" s="208"/>
      <c r="DC267" s="208"/>
      <c r="DD267" s="208"/>
      <c r="DE267" s="208"/>
      <c r="DF267" s="208"/>
      <c r="DG267" s="208"/>
      <c r="DH267" s="208"/>
      <c r="DI267" s="208"/>
      <c r="DJ267" s="208"/>
      <c r="DK267" s="208"/>
      <c r="DL267" s="208"/>
      <c r="DM267" s="208"/>
      <c r="DN267" s="208"/>
      <c r="DO267" s="208"/>
      <c r="DP267" s="208"/>
      <c r="DQ267" s="208"/>
      <c r="DR267" s="208"/>
      <c r="DS267" s="208"/>
      <c r="DT267" s="208"/>
      <c r="DU267" s="208"/>
      <c r="DV267" s="208"/>
      <c r="DW267" s="208"/>
      <c r="DX267" s="208"/>
      <c r="DY267" s="208"/>
      <c r="DZ267" s="208"/>
      <c r="EA267" s="208"/>
      <c r="EB267" s="208"/>
      <c r="EC267" s="208"/>
      <c r="ED267" s="208"/>
      <c r="EE267" s="208"/>
      <c r="EF267" s="208"/>
      <c r="EG267" s="208"/>
      <c r="EH267" s="208"/>
      <c r="EI267" s="208"/>
      <c r="EJ267" s="208"/>
      <c r="EK267" s="208"/>
      <c r="EL267" s="208"/>
      <c r="EM267" s="208"/>
      <c r="EN267" s="208"/>
      <c r="EO267" s="208"/>
      <c r="EP267" s="208"/>
      <c r="EQ267" s="208"/>
      <c r="ER267" s="208"/>
      <c r="ES267" s="208"/>
      <c r="ET267" s="208"/>
      <c r="EU267" s="208"/>
      <c r="EV267" s="208"/>
      <c r="EW267" s="208"/>
      <c r="EX267" s="208"/>
      <c r="EY267" s="208"/>
      <c r="EZ267" s="208"/>
      <c r="FA267" s="208"/>
      <c r="FB267" s="208"/>
      <c r="FC267" s="208"/>
      <c r="FD267" s="208"/>
      <c r="FE267" s="208"/>
      <c r="FF267" s="208"/>
      <c r="FG267" s="208"/>
      <c r="FH267" s="208"/>
      <c r="FI267" s="208"/>
      <c r="FJ267" s="208"/>
      <c r="FK267" s="208"/>
      <c r="FL267" s="208"/>
      <c r="FM267" s="208"/>
      <c r="FN267" s="208"/>
      <c r="FO267" s="208"/>
      <c r="FP267" s="208"/>
      <c r="FQ267" s="208"/>
      <c r="FR267" s="208"/>
      <c r="FS267" s="208"/>
      <c r="FT267" s="208"/>
      <c r="FU267" s="208"/>
      <c r="FV267" s="208"/>
      <c r="FW267" s="208"/>
      <c r="FX267" s="208"/>
      <c r="FY267" s="208"/>
      <c r="FZ267" s="208"/>
      <c r="GA267" s="208"/>
      <c r="GB267" s="208"/>
      <c r="GC267" s="208"/>
      <c r="GD267" s="208"/>
      <c r="GE267" s="208"/>
      <c r="GF267" s="208"/>
    </row>
    <row r="268" spans="1:188" s="209" customFormat="1" ht="15" x14ac:dyDescent="0.25">
      <c r="A268" s="195" t="s">
        <v>5047</v>
      </c>
      <c r="B268" s="195" t="s">
        <v>724</v>
      </c>
      <c r="C268" s="196" t="s">
        <v>2648</v>
      </c>
      <c r="D268" s="154" t="s">
        <v>28</v>
      </c>
      <c r="E268" s="154">
        <v>1000</v>
      </c>
      <c r="F268" s="154">
        <v>0.1</v>
      </c>
      <c r="G268" s="197"/>
      <c r="H268" s="198"/>
      <c r="I268" s="151">
        <f>IFERROR(INDEX(Composições!$A$5:$J$8391,MATCH(B268,Composições!$A$5:$A$8391,0)+2,8),"")</f>
        <v>65.285899999999998</v>
      </c>
      <c r="J268" s="152">
        <f t="shared" si="45"/>
        <v>6528.59</v>
      </c>
      <c r="K268" s="198">
        <f>BDI!$B$17</f>
        <v>0.191</v>
      </c>
      <c r="L268" s="198"/>
      <c r="M268" s="198"/>
      <c r="N268" s="153">
        <f t="shared" si="46"/>
        <v>77.760000000000005</v>
      </c>
      <c r="O268" s="152">
        <f t="shared" si="47"/>
        <v>7776</v>
      </c>
      <c r="P268" s="225"/>
      <c r="Q268" s="208"/>
      <c r="R268" s="208"/>
      <c r="S268"/>
      <c r="T268" s="208"/>
      <c r="U268" s="208"/>
      <c r="V268" s="208"/>
      <c r="W268" s="208"/>
      <c r="X268" s="208"/>
      <c r="Y268" s="208"/>
      <c r="Z268" s="208"/>
      <c r="AA268" s="208"/>
      <c r="AB268" s="208"/>
      <c r="AC268" s="208"/>
      <c r="AD268" s="208"/>
      <c r="AE268" s="208"/>
      <c r="AF268" s="208"/>
      <c r="AG268" s="208"/>
      <c r="AH268" s="208"/>
      <c r="AI268" s="208"/>
      <c r="AJ268" s="208"/>
      <c r="AK268" s="208"/>
      <c r="AL268" s="208"/>
      <c r="AM268" s="208"/>
      <c r="AN268" s="208"/>
      <c r="AO268" s="208"/>
      <c r="AP268" s="208"/>
      <c r="AQ268" s="208"/>
      <c r="AR268" s="208"/>
      <c r="AS268" s="208"/>
      <c r="AT268" s="208"/>
      <c r="AU268" s="208"/>
      <c r="AV268" s="208"/>
      <c r="AW268" s="208"/>
      <c r="AX268" s="208"/>
      <c r="AY268" s="208"/>
      <c r="AZ268" s="208"/>
      <c r="BA268" s="208"/>
      <c r="BB268" s="208"/>
      <c r="BC268" s="208"/>
      <c r="BD268" s="208"/>
      <c r="BE268" s="208"/>
      <c r="BF268" s="208"/>
      <c r="BG268" s="208"/>
      <c r="BH268" s="208"/>
      <c r="BI268" s="208"/>
      <c r="BJ268" s="208"/>
      <c r="BK268" s="208"/>
      <c r="BL268" s="208"/>
      <c r="BM268" s="208"/>
      <c r="BN268" s="208"/>
      <c r="BO268" s="208"/>
      <c r="BP268" s="208"/>
      <c r="BQ268" s="208"/>
      <c r="BR268" s="208"/>
      <c r="BS268" s="208"/>
      <c r="BT268" s="208"/>
      <c r="BU268" s="208"/>
      <c r="BV268" s="208"/>
      <c r="BW268" s="208"/>
      <c r="BX268" s="208"/>
      <c r="BY268" s="208"/>
      <c r="BZ268" s="208"/>
      <c r="CA268" s="208"/>
      <c r="CB268" s="208"/>
      <c r="CC268" s="208"/>
      <c r="CD268" s="208"/>
      <c r="CE268" s="208"/>
      <c r="CF268" s="208"/>
      <c r="CG268" s="208"/>
      <c r="CH268" s="208"/>
      <c r="CI268" s="208"/>
      <c r="CJ268" s="208"/>
      <c r="CK268" s="208"/>
      <c r="CL268" s="208"/>
      <c r="CM268" s="208"/>
      <c r="CN268" s="208"/>
      <c r="CO268" s="208"/>
      <c r="CP268" s="208"/>
      <c r="CQ268" s="208"/>
      <c r="CR268" s="208"/>
      <c r="CS268" s="208"/>
      <c r="CT268" s="208"/>
      <c r="CU268" s="208"/>
      <c r="CV268" s="208"/>
      <c r="CW268" s="208"/>
      <c r="CX268" s="208"/>
      <c r="CY268" s="208"/>
      <c r="CZ268" s="208"/>
      <c r="DA268" s="208"/>
      <c r="DB268" s="208"/>
      <c r="DC268" s="208"/>
      <c r="DD268" s="208"/>
      <c r="DE268" s="208"/>
      <c r="DF268" s="208"/>
      <c r="DG268" s="208"/>
      <c r="DH268" s="208"/>
      <c r="DI268" s="208"/>
      <c r="DJ268" s="208"/>
      <c r="DK268" s="208"/>
      <c r="DL268" s="208"/>
      <c r="DM268" s="208"/>
      <c r="DN268" s="208"/>
      <c r="DO268" s="208"/>
      <c r="DP268" s="208"/>
      <c r="DQ268" s="208"/>
      <c r="DR268" s="208"/>
      <c r="DS268" s="208"/>
      <c r="DT268" s="208"/>
      <c r="DU268" s="208"/>
      <c r="DV268" s="208"/>
      <c r="DW268" s="208"/>
      <c r="DX268" s="208"/>
      <c r="DY268" s="208"/>
      <c r="DZ268" s="208"/>
      <c r="EA268" s="208"/>
      <c r="EB268" s="208"/>
      <c r="EC268" s="208"/>
      <c r="ED268" s="208"/>
      <c r="EE268" s="208"/>
      <c r="EF268" s="208"/>
      <c r="EG268" s="208"/>
      <c r="EH268" s="208"/>
      <c r="EI268" s="208"/>
      <c r="EJ268" s="208"/>
      <c r="EK268" s="208"/>
      <c r="EL268" s="208"/>
      <c r="EM268" s="208"/>
      <c r="EN268" s="208"/>
      <c r="EO268" s="208"/>
      <c r="EP268" s="208"/>
      <c r="EQ268" s="208"/>
      <c r="ER268" s="208"/>
      <c r="ES268" s="208"/>
      <c r="ET268" s="208"/>
      <c r="EU268" s="208"/>
      <c r="EV268" s="208"/>
      <c r="EW268" s="208"/>
      <c r="EX268" s="208"/>
      <c r="EY268" s="208"/>
      <c r="EZ268" s="208"/>
      <c r="FA268" s="208"/>
      <c r="FB268" s="208"/>
      <c r="FC268" s="208"/>
      <c r="FD268" s="208"/>
      <c r="FE268" s="208"/>
      <c r="FF268" s="208"/>
      <c r="FG268" s="208"/>
      <c r="FH268" s="208"/>
      <c r="FI268" s="208"/>
      <c r="FJ268" s="208"/>
      <c r="FK268" s="208"/>
      <c r="FL268" s="208"/>
      <c r="FM268" s="208"/>
      <c r="FN268" s="208"/>
      <c r="FO268" s="208"/>
      <c r="FP268" s="208"/>
      <c r="FQ268" s="208"/>
      <c r="FR268" s="208"/>
      <c r="FS268" s="208"/>
      <c r="FT268" s="208"/>
      <c r="FU268" s="208"/>
      <c r="FV268" s="208"/>
      <c r="FW268" s="208"/>
      <c r="FX268" s="208"/>
      <c r="FY268" s="208"/>
      <c r="FZ268" s="208"/>
      <c r="GA268" s="208"/>
      <c r="GB268" s="208"/>
      <c r="GC268" s="208"/>
      <c r="GD268" s="208"/>
      <c r="GE268" s="208"/>
      <c r="GF268" s="208"/>
    </row>
    <row r="269" spans="1:188" s="209" customFormat="1" ht="15" x14ac:dyDescent="0.25">
      <c r="A269" s="195" t="s">
        <v>5048</v>
      </c>
      <c r="B269" s="195" t="s">
        <v>726</v>
      </c>
      <c r="C269" s="196" t="s">
        <v>2649</v>
      </c>
      <c r="D269" s="154" t="s">
        <v>121</v>
      </c>
      <c r="E269" s="154">
        <v>2850</v>
      </c>
      <c r="F269" s="154">
        <v>0.1</v>
      </c>
      <c r="G269" s="197"/>
      <c r="H269" s="198"/>
      <c r="I269" s="151">
        <f>IFERROR(INDEX(Composições!$A$5:$J$8391,MATCH(B269,Composições!$A$5:$A$8391,0)+2,8),"")</f>
        <v>12.323399999999999</v>
      </c>
      <c r="J269" s="152">
        <f t="shared" si="45"/>
        <v>3512.17</v>
      </c>
      <c r="K269" s="198">
        <f>BDI!$B$17</f>
        <v>0.191</v>
      </c>
      <c r="L269" s="198"/>
      <c r="M269" s="198"/>
      <c r="N269" s="153">
        <f t="shared" si="46"/>
        <v>14.68</v>
      </c>
      <c r="O269" s="152">
        <f t="shared" si="47"/>
        <v>4183.8</v>
      </c>
      <c r="P269" s="225"/>
      <c r="Q269" s="208"/>
      <c r="R269" s="208"/>
      <c r="S269"/>
      <c r="T269" s="208"/>
      <c r="U269" s="208"/>
      <c r="V269" s="208"/>
      <c r="W269" s="208"/>
      <c r="X269" s="208"/>
      <c r="Y269" s="208"/>
      <c r="Z269" s="208"/>
      <c r="AA269" s="208"/>
      <c r="AB269" s="208"/>
      <c r="AC269" s="208"/>
      <c r="AD269" s="208"/>
      <c r="AE269" s="208"/>
      <c r="AF269" s="208"/>
      <c r="AG269" s="208"/>
      <c r="AH269" s="208"/>
      <c r="AI269" s="208"/>
      <c r="AJ269" s="208"/>
      <c r="AK269" s="208"/>
      <c r="AL269" s="208"/>
      <c r="AM269" s="208"/>
      <c r="AN269" s="208"/>
      <c r="AO269" s="208"/>
      <c r="AP269" s="208"/>
      <c r="AQ269" s="208"/>
      <c r="AR269" s="208"/>
      <c r="AS269" s="208"/>
      <c r="AT269" s="208"/>
      <c r="AU269" s="208"/>
      <c r="AV269" s="208"/>
      <c r="AW269" s="208"/>
      <c r="AX269" s="208"/>
      <c r="AY269" s="208"/>
      <c r="AZ269" s="208"/>
      <c r="BA269" s="208"/>
      <c r="BB269" s="208"/>
      <c r="BC269" s="208"/>
      <c r="BD269" s="208"/>
      <c r="BE269" s="208"/>
      <c r="BF269" s="208"/>
      <c r="BG269" s="208"/>
      <c r="BH269" s="208"/>
      <c r="BI269" s="208"/>
      <c r="BJ269" s="208"/>
      <c r="BK269" s="208"/>
      <c r="BL269" s="208"/>
      <c r="BM269" s="208"/>
      <c r="BN269" s="208"/>
      <c r="BO269" s="208"/>
      <c r="BP269" s="208"/>
      <c r="BQ269" s="208"/>
      <c r="BR269" s="208"/>
      <c r="BS269" s="208"/>
      <c r="BT269" s="208"/>
      <c r="BU269" s="208"/>
      <c r="BV269" s="208"/>
      <c r="BW269" s="208"/>
      <c r="BX269" s="208"/>
      <c r="BY269" s="208"/>
      <c r="BZ269" s="208"/>
      <c r="CA269" s="208"/>
      <c r="CB269" s="208"/>
      <c r="CC269" s="208"/>
      <c r="CD269" s="208"/>
      <c r="CE269" s="208"/>
      <c r="CF269" s="208"/>
      <c r="CG269" s="208"/>
      <c r="CH269" s="208"/>
      <c r="CI269" s="208"/>
      <c r="CJ269" s="208"/>
      <c r="CK269" s="208"/>
      <c r="CL269" s="208"/>
      <c r="CM269" s="208"/>
      <c r="CN269" s="208"/>
      <c r="CO269" s="208"/>
      <c r="CP269" s="208"/>
      <c r="CQ269" s="208"/>
      <c r="CR269" s="208"/>
      <c r="CS269" s="208"/>
      <c r="CT269" s="208"/>
      <c r="CU269" s="208"/>
      <c r="CV269" s="208"/>
      <c r="CW269" s="208"/>
      <c r="CX269" s="208"/>
      <c r="CY269" s="208"/>
      <c r="CZ269" s="208"/>
      <c r="DA269" s="208"/>
      <c r="DB269" s="208"/>
      <c r="DC269" s="208"/>
      <c r="DD269" s="208"/>
      <c r="DE269" s="208"/>
      <c r="DF269" s="208"/>
      <c r="DG269" s="208"/>
      <c r="DH269" s="208"/>
      <c r="DI269" s="208"/>
      <c r="DJ269" s="208"/>
      <c r="DK269" s="208"/>
      <c r="DL269" s="208"/>
      <c r="DM269" s="208"/>
      <c r="DN269" s="208"/>
      <c r="DO269" s="208"/>
      <c r="DP269" s="208"/>
      <c r="DQ269" s="208"/>
      <c r="DR269" s="208"/>
      <c r="DS269" s="208"/>
      <c r="DT269" s="208"/>
      <c r="DU269" s="208"/>
      <c r="DV269" s="208"/>
      <c r="DW269" s="208"/>
      <c r="DX269" s="208"/>
      <c r="DY269" s="208"/>
      <c r="DZ269" s="208"/>
      <c r="EA269" s="208"/>
      <c r="EB269" s="208"/>
      <c r="EC269" s="208"/>
      <c r="ED269" s="208"/>
      <c r="EE269" s="208"/>
      <c r="EF269" s="208"/>
      <c r="EG269" s="208"/>
      <c r="EH269" s="208"/>
      <c r="EI269" s="208"/>
      <c r="EJ269" s="208"/>
      <c r="EK269" s="208"/>
      <c r="EL269" s="208"/>
      <c r="EM269" s="208"/>
      <c r="EN269" s="208"/>
      <c r="EO269" s="208"/>
      <c r="EP269" s="208"/>
      <c r="EQ269" s="208"/>
      <c r="ER269" s="208"/>
      <c r="ES269" s="208"/>
      <c r="ET269" s="208"/>
      <c r="EU269" s="208"/>
      <c r="EV269" s="208"/>
      <c r="EW269" s="208"/>
      <c r="EX269" s="208"/>
      <c r="EY269" s="208"/>
      <c r="EZ269" s="208"/>
      <c r="FA269" s="208"/>
      <c r="FB269" s="208"/>
      <c r="FC269" s="208"/>
      <c r="FD269" s="208"/>
      <c r="FE269" s="208"/>
      <c r="FF269" s="208"/>
      <c r="FG269" s="208"/>
      <c r="FH269" s="208"/>
      <c r="FI269" s="208"/>
      <c r="FJ269" s="208"/>
      <c r="FK269" s="208"/>
      <c r="FL269" s="208"/>
      <c r="FM269" s="208"/>
      <c r="FN269" s="208"/>
      <c r="FO269" s="208"/>
      <c r="FP269" s="208"/>
      <c r="FQ269" s="208"/>
      <c r="FR269" s="208"/>
      <c r="FS269" s="208"/>
      <c r="FT269" s="208"/>
      <c r="FU269" s="208"/>
      <c r="FV269" s="208"/>
      <c r="FW269" s="208"/>
      <c r="FX269" s="208"/>
      <c r="FY269" s="208"/>
      <c r="FZ269" s="208"/>
      <c r="GA269" s="208"/>
      <c r="GB269" s="208"/>
      <c r="GC269" s="208"/>
      <c r="GD269" s="208"/>
      <c r="GE269" s="208"/>
      <c r="GF269" s="208"/>
    </row>
    <row r="270" spans="1:188" s="209" customFormat="1" ht="15" x14ac:dyDescent="0.25">
      <c r="A270" s="195" t="s">
        <v>5049</v>
      </c>
      <c r="B270" s="195" t="s">
        <v>729</v>
      </c>
      <c r="C270" s="196" t="s">
        <v>2650</v>
      </c>
      <c r="D270" s="154" t="s">
        <v>121</v>
      </c>
      <c r="E270" s="154">
        <v>1600</v>
      </c>
      <c r="F270" s="154">
        <v>0.1</v>
      </c>
      <c r="G270" s="197"/>
      <c r="H270" s="198"/>
      <c r="I270" s="151">
        <f>IFERROR(INDEX(Composições!$A$5:$J$8391,MATCH(B270,Composições!$A$5:$A$8391,0)+2,8),"")</f>
        <v>36.84366</v>
      </c>
      <c r="J270" s="152">
        <f t="shared" si="45"/>
        <v>5894.99</v>
      </c>
      <c r="K270" s="198">
        <f>BDI!$B$17</f>
        <v>0.191</v>
      </c>
      <c r="L270" s="198"/>
      <c r="M270" s="198"/>
      <c r="N270" s="153">
        <f t="shared" si="46"/>
        <v>43.88</v>
      </c>
      <c r="O270" s="152">
        <f t="shared" si="47"/>
        <v>7020.8</v>
      </c>
      <c r="P270" s="225"/>
      <c r="Q270" s="208"/>
      <c r="R270" s="208"/>
      <c r="S270"/>
      <c r="T270" s="208"/>
      <c r="U270" s="208"/>
      <c r="V270" s="208"/>
      <c r="W270" s="208"/>
      <c r="X270" s="208"/>
      <c r="Y270" s="208"/>
      <c r="Z270" s="208"/>
      <c r="AA270" s="208"/>
      <c r="AB270" s="208"/>
      <c r="AC270" s="208"/>
      <c r="AD270" s="208"/>
      <c r="AE270" s="208"/>
      <c r="AF270" s="208"/>
      <c r="AG270" s="208"/>
      <c r="AH270" s="208"/>
      <c r="AI270" s="208"/>
      <c r="AJ270" s="208"/>
      <c r="AK270" s="208"/>
      <c r="AL270" s="208"/>
      <c r="AM270" s="208"/>
      <c r="AN270" s="208"/>
      <c r="AO270" s="208"/>
      <c r="AP270" s="208"/>
      <c r="AQ270" s="208"/>
      <c r="AR270" s="208"/>
      <c r="AS270" s="208"/>
      <c r="AT270" s="208"/>
      <c r="AU270" s="208"/>
      <c r="AV270" s="208"/>
      <c r="AW270" s="208"/>
      <c r="AX270" s="208"/>
      <c r="AY270" s="208"/>
      <c r="AZ270" s="208"/>
      <c r="BA270" s="208"/>
      <c r="BB270" s="208"/>
      <c r="BC270" s="208"/>
      <c r="BD270" s="208"/>
      <c r="BE270" s="208"/>
      <c r="BF270" s="208"/>
      <c r="BG270" s="208"/>
      <c r="BH270" s="208"/>
      <c r="BI270" s="208"/>
      <c r="BJ270" s="208"/>
      <c r="BK270" s="208"/>
      <c r="BL270" s="208"/>
      <c r="BM270" s="208"/>
      <c r="BN270" s="208"/>
      <c r="BO270" s="208"/>
      <c r="BP270" s="208"/>
      <c r="BQ270" s="208"/>
      <c r="BR270" s="208"/>
      <c r="BS270" s="208"/>
      <c r="BT270" s="208"/>
      <c r="BU270" s="208"/>
      <c r="BV270" s="208"/>
      <c r="BW270" s="208"/>
      <c r="BX270" s="208"/>
      <c r="BY270" s="208"/>
      <c r="BZ270" s="208"/>
      <c r="CA270" s="208"/>
      <c r="CB270" s="208"/>
      <c r="CC270" s="208"/>
      <c r="CD270" s="208"/>
      <c r="CE270" s="208"/>
      <c r="CF270" s="208"/>
      <c r="CG270" s="208"/>
      <c r="CH270" s="208"/>
      <c r="CI270" s="208"/>
      <c r="CJ270" s="208"/>
      <c r="CK270" s="208"/>
      <c r="CL270" s="208"/>
      <c r="CM270" s="208"/>
      <c r="CN270" s="208"/>
      <c r="CO270" s="208"/>
      <c r="CP270" s="208"/>
      <c r="CQ270" s="208"/>
      <c r="CR270" s="208"/>
      <c r="CS270" s="208"/>
      <c r="CT270" s="208"/>
      <c r="CU270" s="208"/>
      <c r="CV270" s="208"/>
      <c r="CW270" s="208"/>
      <c r="CX270" s="208"/>
      <c r="CY270" s="208"/>
      <c r="CZ270" s="208"/>
      <c r="DA270" s="208"/>
      <c r="DB270" s="208"/>
      <c r="DC270" s="208"/>
      <c r="DD270" s="208"/>
      <c r="DE270" s="208"/>
      <c r="DF270" s="208"/>
      <c r="DG270" s="208"/>
      <c r="DH270" s="208"/>
      <c r="DI270" s="208"/>
      <c r="DJ270" s="208"/>
      <c r="DK270" s="208"/>
      <c r="DL270" s="208"/>
      <c r="DM270" s="208"/>
      <c r="DN270" s="208"/>
      <c r="DO270" s="208"/>
      <c r="DP270" s="208"/>
      <c r="DQ270" s="208"/>
      <c r="DR270" s="208"/>
      <c r="DS270" s="208"/>
      <c r="DT270" s="208"/>
      <c r="DU270" s="208"/>
      <c r="DV270" s="208"/>
      <c r="DW270" s="208"/>
      <c r="DX270" s="208"/>
      <c r="DY270" s="208"/>
      <c r="DZ270" s="208"/>
      <c r="EA270" s="208"/>
      <c r="EB270" s="208"/>
      <c r="EC270" s="208"/>
      <c r="ED270" s="208"/>
      <c r="EE270" s="208"/>
      <c r="EF270" s="208"/>
      <c r="EG270" s="208"/>
      <c r="EH270" s="208"/>
      <c r="EI270" s="208"/>
      <c r="EJ270" s="208"/>
      <c r="EK270" s="208"/>
      <c r="EL270" s="208"/>
      <c r="EM270" s="208"/>
      <c r="EN270" s="208"/>
      <c r="EO270" s="208"/>
      <c r="EP270" s="208"/>
      <c r="EQ270" s="208"/>
      <c r="ER270" s="208"/>
      <c r="ES270" s="208"/>
      <c r="ET270" s="208"/>
      <c r="EU270" s="208"/>
      <c r="EV270" s="208"/>
      <c r="EW270" s="208"/>
      <c r="EX270" s="208"/>
      <c r="EY270" s="208"/>
      <c r="EZ270" s="208"/>
      <c r="FA270" s="208"/>
      <c r="FB270" s="208"/>
      <c r="FC270" s="208"/>
      <c r="FD270" s="208"/>
      <c r="FE270" s="208"/>
      <c r="FF270" s="208"/>
      <c r="FG270" s="208"/>
      <c r="FH270" s="208"/>
      <c r="FI270" s="208"/>
      <c r="FJ270" s="208"/>
      <c r="FK270" s="208"/>
      <c r="FL270" s="208"/>
      <c r="FM270" s="208"/>
      <c r="FN270" s="208"/>
      <c r="FO270" s="208"/>
      <c r="FP270" s="208"/>
      <c r="FQ270" s="208"/>
      <c r="FR270" s="208"/>
      <c r="FS270" s="208"/>
      <c r="FT270" s="208"/>
      <c r="FU270" s="208"/>
      <c r="FV270" s="208"/>
      <c r="FW270" s="208"/>
      <c r="FX270" s="208"/>
      <c r="FY270" s="208"/>
      <c r="FZ270" s="208"/>
      <c r="GA270" s="208"/>
      <c r="GB270" s="208"/>
      <c r="GC270" s="208"/>
      <c r="GD270" s="208"/>
      <c r="GE270" s="208"/>
      <c r="GF270" s="208"/>
    </row>
    <row r="271" spans="1:188" s="209" customFormat="1" ht="15" x14ac:dyDescent="0.25">
      <c r="A271" s="195" t="s">
        <v>5050</v>
      </c>
      <c r="B271" s="195" t="s">
        <v>732</v>
      </c>
      <c r="C271" s="196" t="s">
        <v>2651</v>
      </c>
      <c r="D271" s="154" t="s">
        <v>121</v>
      </c>
      <c r="E271" s="154">
        <v>1750</v>
      </c>
      <c r="F271" s="154">
        <v>0.1</v>
      </c>
      <c r="G271" s="197"/>
      <c r="H271" s="198"/>
      <c r="I271" s="151">
        <f>IFERROR(INDEX(Composições!$A$5:$J$8391,MATCH(B271,Composições!$A$5:$A$8391,0)+2,8),"")</f>
        <v>15.74682</v>
      </c>
      <c r="J271" s="152">
        <f t="shared" si="45"/>
        <v>2755.69</v>
      </c>
      <c r="K271" s="198">
        <f>BDI!$B$17</f>
        <v>0.191</v>
      </c>
      <c r="L271" s="198"/>
      <c r="M271" s="198"/>
      <c r="N271" s="153">
        <f t="shared" si="46"/>
        <v>18.75</v>
      </c>
      <c r="O271" s="152">
        <f t="shared" si="47"/>
        <v>3281.25</v>
      </c>
      <c r="P271" s="225"/>
      <c r="Q271" s="208"/>
      <c r="R271" s="208"/>
      <c r="S271"/>
      <c r="T271" s="208"/>
      <c r="U271" s="208"/>
      <c r="V271" s="208"/>
      <c r="W271" s="208"/>
      <c r="X271" s="208"/>
      <c r="Y271" s="208"/>
      <c r="Z271" s="208"/>
      <c r="AA271" s="208"/>
      <c r="AB271" s="208"/>
      <c r="AC271" s="208"/>
      <c r="AD271" s="208"/>
      <c r="AE271" s="208"/>
      <c r="AF271" s="208"/>
      <c r="AG271" s="208"/>
      <c r="AH271" s="208"/>
      <c r="AI271" s="208"/>
      <c r="AJ271" s="208"/>
      <c r="AK271" s="208"/>
      <c r="AL271" s="208"/>
      <c r="AM271" s="208"/>
      <c r="AN271" s="208"/>
      <c r="AO271" s="208"/>
      <c r="AP271" s="208"/>
      <c r="AQ271" s="208"/>
      <c r="AR271" s="208"/>
      <c r="AS271" s="208"/>
      <c r="AT271" s="208"/>
      <c r="AU271" s="208"/>
      <c r="AV271" s="208"/>
      <c r="AW271" s="208"/>
      <c r="AX271" s="208"/>
      <c r="AY271" s="208"/>
      <c r="AZ271" s="208"/>
      <c r="BA271" s="208"/>
      <c r="BB271" s="208"/>
      <c r="BC271" s="208"/>
      <c r="BD271" s="208"/>
      <c r="BE271" s="208"/>
      <c r="BF271" s="208"/>
      <c r="BG271" s="208"/>
      <c r="BH271" s="208"/>
      <c r="BI271" s="208"/>
      <c r="BJ271" s="208"/>
      <c r="BK271" s="208"/>
      <c r="BL271" s="208"/>
      <c r="BM271" s="208"/>
      <c r="BN271" s="208"/>
      <c r="BO271" s="208"/>
      <c r="BP271" s="208"/>
      <c r="BQ271" s="208"/>
      <c r="BR271" s="208"/>
      <c r="BS271" s="208"/>
      <c r="BT271" s="208"/>
      <c r="BU271" s="208"/>
      <c r="BV271" s="208"/>
      <c r="BW271" s="208"/>
      <c r="BX271" s="208"/>
      <c r="BY271" s="208"/>
      <c r="BZ271" s="208"/>
      <c r="CA271" s="208"/>
      <c r="CB271" s="208"/>
      <c r="CC271" s="208"/>
      <c r="CD271" s="208"/>
      <c r="CE271" s="208"/>
      <c r="CF271" s="208"/>
      <c r="CG271" s="208"/>
      <c r="CH271" s="208"/>
      <c r="CI271" s="208"/>
      <c r="CJ271" s="208"/>
      <c r="CK271" s="208"/>
      <c r="CL271" s="208"/>
      <c r="CM271" s="208"/>
      <c r="CN271" s="208"/>
      <c r="CO271" s="208"/>
      <c r="CP271" s="208"/>
      <c r="CQ271" s="208"/>
      <c r="CR271" s="208"/>
      <c r="CS271" s="208"/>
      <c r="CT271" s="208"/>
      <c r="CU271" s="208"/>
      <c r="CV271" s="208"/>
      <c r="CW271" s="208"/>
      <c r="CX271" s="208"/>
      <c r="CY271" s="208"/>
      <c r="CZ271" s="208"/>
      <c r="DA271" s="208"/>
      <c r="DB271" s="208"/>
      <c r="DC271" s="208"/>
      <c r="DD271" s="208"/>
      <c r="DE271" s="208"/>
      <c r="DF271" s="208"/>
      <c r="DG271" s="208"/>
      <c r="DH271" s="208"/>
      <c r="DI271" s="208"/>
      <c r="DJ271" s="208"/>
      <c r="DK271" s="208"/>
      <c r="DL271" s="208"/>
      <c r="DM271" s="208"/>
      <c r="DN271" s="208"/>
      <c r="DO271" s="208"/>
      <c r="DP271" s="208"/>
      <c r="DQ271" s="208"/>
      <c r="DR271" s="208"/>
      <c r="DS271" s="208"/>
      <c r="DT271" s="208"/>
      <c r="DU271" s="208"/>
      <c r="DV271" s="208"/>
      <c r="DW271" s="208"/>
      <c r="DX271" s="208"/>
      <c r="DY271" s="208"/>
      <c r="DZ271" s="208"/>
      <c r="EA271" s="208"/>
      <c r="EB271" s="208"/>
      <c r="EC271" s="208"/>
      <c r="ED271" s="208"/>
      <c r="EE271" s="208"/>
      <c r="EF271" s="208"/>
      <c r="EG271" s="208"/>
      <c r="EH271" s="208"/>
      <c r="EI271" s="208"/>
      <c r="EJ271" s="208"/>
      <c r="EK271" s="208"/>
      <c r="EL271" s="208"/>
      <c r="EM271" s="208"/>
      <c r="EN271" s="208"/>
      <c r="EO271" s="208"/>
      <c r="EP271" s="208"/>
      <c r="EQ271" s="208"/>
      <c r="ER271" s="208"/>
      <c r="ES271" s="208"/>
      <c r="ET271" s="208"/>
      <c r="EU271" s="208"/>
      <c r="EV271" s="208"/>
      <c r="EW271" s="208"/>
      <c r="EX271" s="208"/>
      <c r="EY271" s="208"/>
      <c r="EZ271" s="208"/>
      <c r="FA271" s="208"/>
      <c r="FB271" s="208"/>
      <c r="FC271" s="208"/>
      <c r="FD271" s="208"/>
      <c r="FE271" s="208"/>
      <c r="FF271" s="208"/>
      <c r="FG271" s="208"/>
      <c r="FH271" s="208"/>
      <c r="FI271" s="208"/>
      <c r="FJ271" s="208"/>
      <c r="FK271" s="208"/>
      <c r="FL271" s="208"/>
      <c r="FM271" s="208"/>
      <c r="FN271" s="208"/>
      <c r="FO271" s="208"/>
      <c r="FP271" s="208"/>
      <c r="FQ271" s="208"/>
      <c r="FR271" s="208"/>
      <c r="FS271" s="208"/>
      <c r="FT271" s="208"/>
      <c r="FU271" s="208"/>
      <c r="FV271" s="208"/>
      <c r="FW271" s="208"/>
      <c r="FX271" s="208"/>
      <c r="FY271" s="208"/>
      <c r="FZ271" s="208"/>
      <c r="GA271" s="208"/>
      <c r="GB271" s="208"/>
      <c r="GC271" s="208"/>
      <c r="GD271" s="208"/>
      <c r="GE271" s="208"/>
      <c r="GF271" s="208"/>
    </row>
    <row r="272" spans="1:188" s="209" customFormat="1" ht="15" x14ac:dyDescent="0.25">
      <c r="A272" s="195" t="s">
        <v>5051</v>
      </c>
      <c r="B272" s="195" t="s">
        <v>734</v>
      </c>
      <c r="C272" s="196" t="s">
        <v>2652</v>
      </c>
      <c r="D272" s="154" t="s">
        <v>121</v>
      </c>
      <c r="E272" s="154">
        <v>1500</v>
      </c>
      <c r="F272" s="154">
        <v>0.1</v>
      </c>
      <c r="G272" s="197"/>
      <c r="H272" s="198"/>
      <c r="I272" s="151">
        <f>IFERROR(INDEX(Composições!$A$5:$J$8391,MATCH(B272,Composições!$A$5:$A$8391,0)+2,8),"")</f>
        <v>24.730019999999996</v>
      </c>
      <c r="J272" s="152">
        <f t="shared" si="45"/>
        <v>3709.5</v>
      </c>
      <c r="K272" s="198">
        <f>BDI!$B$17</f>
        <v>0.191</v>
      </c>
      <c r="L272" s="198"/>
      <c r="M272" s="198"/>
      <c r="N272" s="153">
        <f t="shared" si="46"/>
        <v>29.45</v>
      </c>
      <c r="O272" s="152">
        <f t="shared" si="47"/>
        <v>4417.5</v>
      </c>
      <c r="P272" s="225"/>
      <c r="Q272" s="208"/>
      <c r="R272" s="208"/>
      <c r="S272"/>
      <c r="T272" s="208"/>
      <c r="U272" s="208"/>
      <c r="V272" s="208"/>
      <c r="W272" s="208"/>
      <c r="X272" s="208"/>
      <c r="Y272" s="208"/>
      <c r="Z272" s="208"/>
      <c r="AA272" s="208"/>
      <c r="AB272" s="208"/>
      <c r="AC272" s="208"/>
      <c r="AD272" s="208"/>
      <c r="AE272" s="208"/>
      <c r="AF272" s="208"/>
      <c r="AG272" s="208"/>
      <c r="AH272" s="208"/>
      <c r="AI272" s="208"/>
      <c r="AJ272" s="208"/>
      <c r="AK272" s="208"/>
      <c r="AL272" s="208"/>
      <c r="AM272" s="208"/>
      <c r="AN272" s="208"/>
      <c r="AO272" s="208"/>
      <c r="AP272" s="208"/>
      <c r="AQ272" s="208"/>
      <c r="AR272" s="208"/>
      <c r="AS272" s="208"/>
      <c r="AT272" s="208"/>
      <c r="AU272" s="208"/>
      <c r="AV272" s="208"/>
      <c r="AW272" s="208"/>
      <c r="AX272" s="208"/>
      <c r="AY272" s="208"/>
      <c r="AZ272" s="208"/>
      <c r="BA272" s="208"/>
      <c r="BB272" s="208"/>
      <c r="BC272" s="208"/>
      <c r="BD272" s="208"/>
      <c r="BE272" s="208"/>
      <c r="BF272" s="208"/>
      <c r="BG272" s="208"/>
      <c r="BH272" s="208"/>
      <c r="BI272" s="208"/>
      <c r="BJ272" s="208"/>
      <c r="BK272" s="208"/>
      <c r="BL272" s="208"/>
      <c r="BM272" s="208"/>
      <c r="BN272" s="208"/>
      <c r="BO272" s="208"/>
      <c r="BP272" s="208"/>
      <c r="BQ272" s="208"/>
      <c r="BR272" s="208"/>
      <c r="BS272" s="208"/>
      <c r="BT272" s="208"/>
      <c r="BU272" s="208"/>
      <c r="BV272" s="208"/>
      <c r="BW272" s="208"/>
      <c r="BX272" s="208"/>
      <c r="BY272" s="208"/>
      <c r="BZ272" s="208"/>
      <c r="CA272" s="208"/>
      <c r="CB272" s="208"/>
      <c r="CC272" s="208"/>
      <c r="CD272" s="208"/>
      <c r="CE272" s="208"/>
      <c r="CF272" s="208"/>
      <c r="CG272" s="208"/>
      <c r="CH272" s="208"/>
      <c r="CI272" s="208"/>
      <c r="CJ272" s="208"/>
      <c r="CK272" s="208"/>
      <c r="CL272" s="208"/>
      <c r="CM272" s="208"/>
      <c r="CN272" s="208"/>
      <c r="CO272" s="208"/>
      <c r="CP272" s="208"/>
      <c r="CQ272" s="208"/>
      <c r="CR272" s="208"/>
      <c r="CS272" s="208"/>
      <c r="CT272" s="208"/>
      <c r="CU272" s="208"/>
      <c r="CV272" s="208"/>
      <c r="CW272" s="208"/>
      <c r="CX272" s="208"/>
      <c r="CY272" s="208"/>
      <c r="CZ272" s="208"/>
      <c r="DA272" s="208"/>
      <c r="DB272" s="208"/>
      <c r="DC272" s="208"/>
      <c r="DD272" s="208"/>
      <c r="DE272" s="208"/>
      <c r="DF272" s="208"/>
      <c r="DG272" s="208"/>
      <c r="DH272" s="208"/>
      <c r="DI272" s="208"/>
      <c r="DJ272" s="208"/>
      <c r="DK272" s="208"/>
      <c r="DL272" s="208"/>
      <c r="DM272" s="208"/>
      <c r="DN272" s="208"/>
      <c r="DO272" s="208"/>
      <c r="DP272" s="208"/>
      <c r="DQ272" s="208"/>
      <c r="DR272" s="208"/>
      <c r="DS272" s="208"/>
      <c r="DT272" s="208"/>
      <c r="DU272" s="208"/>
      <c r="DV272" s="208"/>
      <c r="DW272" s="208"/>
      <c r="DX272" s="208"/>
      <c r="DY272" s="208"/>
      <c r="DZ272" s="208"/>
      <c r="EA272" s="208"/>
      <c r="EB272" s="208"/>
      <c r="EC272" s="208"/>
      <c r="ED272" s="208"/>
      <c r="EE272" s="208"/>
      <c r="EF272" s="208"/>
      <c r="EG272" s="208"/>
      <c r="EH272" s="208"/>
      <c r="EI272" s="208"/>
      <c r="EJ272" s="208"/>
      <c r="EK272" s="208"/>
      <c r="EL272" s="208"/>
      <c r="EM272" s="208"/>
      <c r="EN272" s="208"/>
      <c r="EO272" s="208"/>
      <c r="EP272" s="208"/>
      <c r="EQ272" s="208"/>
      <c r="ER272" s="208"/>
      <c r="ES272" s="208"/>
      <c r="ET272" s="208"/>
      <c r="EU272" s="208"/>
      <c r="EV272" s="208"/>
      <c r="EW272" s="208"/>
      <c r="EX272" s="208"/>
      <c r="EY272" s="208"/>
      <c r="EZ272" s="208"/>
      <c r="FA272" s="208"/>
      <c r="FB272" s="208"/>
      <c r="FC272" s="208"/>
      <c r="FD272" s="208"/>
      <c r="FE272" s="208"/>
      <c r="FF272" s="208"/>
      <c r="FG272" s="208"/>
      <c r="FH272" s="208"/>
      <c r="FI272" s="208"/>
      <c r="FJ272" s="208"/>
      <c r="FK272" s="208"/>
      <c r="FL272" s="208"/>
      <c r="FM272" s="208"/>
      <c r="FN272" s="208"/>
      <c r="FO272" s="208"/>
      <c r="FP272" s="208"/>
      <c r="FQ272" s="208"/>
      <c r="FR272" s="208"/>
      <c r="FS272" s="208"/>
      <c r="FT272" s="208"/>
      <c r="FU272" s="208"/>
      <c r="FV272" s="208"/>
      <c r="FW272" s="208"/>
      <c r="FX272" s="208"/>
      <c r="FY272" s="208"/>
      <c r="FZ272" s="208"/>
      <c r="GA272" s="208"/>
      <c r="GB272" s="208"/>
      <c r="GC272" s="208"/>
      <c r="GD272" s="208"/>
      <c r="GE272" s="208"/>
      <c r="GF272" s="208"/>
    </row>
    <row r="273" spans="1:188" s="209" customFormat="1" ht="15" x14ac:dyDescent="0.25">
      <c r="A273" s="195" t="s">
        <v>5052</v>
      </c>
      <c r="B273" s="195" t="s">
        <v>735</v>
      </c>
      <c r="C273" s="196" t="s">
        <v>2653</v>
      </c>
      <c r="D273" s="154" t="s">
        <v>121</v>
      </c>
      <c r="E273" s="154">
        <v>1400</v>
      </c>
      <c r="F273" s="154">
        <v>0.1</v>
      </c>
      <c r="G273" s="197"/>
      <c r="H273" s="198"/>
      <c r="I273" s="151">
        <f>IFERROR(INDEX(Composições!$A$5:$J$8391,MATCH(B273,Composições!$A$5:$A$8391,0)+2,8),"")</f>
        <v>8.0198999999999998</v>
      </c>
      <c r="J273" s="152">
        <f t="shared" si="45"/>
        <v>1122.79</v>
      </c>
      <c r="K273" s="198">
        <f>BDI!$B$17</f>
        <v>0.191</v>
      </c>
      <c r="L273" s="198"/>
      <c r="M273" s="198"/>
      <c r="N273" s="153">
        <f t="shared" si="46"/>
        <v>9.5500000000000007</v>
      </c>
      <c r="O273" s="152">
        <f t="shared" si="47"/>
        <v>1337</v>
      </c>
      <c r="P273" s="225"/>
      <c r="Q273" s="208"/>
      <c r="R273" s="208"/>
      <c r="S273"/>
      <c r="T273" s="208"/>
      <c r="U273" s="208"/>
      <c r="V273" s="208"/>
      <c r="W273" s="208"/>
      <c r="X273" s="208"/>
      <c r="Y273" s="208"/>
      <c r="Z273" s="208"/>
      <c r="AA273" s="208"/>
      <c r="AB273" s="208"/>
      <c r="AC273" s="208"/>
      <c r="AD273" s="208"/>
      <c r="AE273" s="208"/>
      <c r="AF273" s="208"/>
      <c r="AG273" s="208"/>
      <c r="AH273" s="208"/>
      <c r="AI273" s="208"/>
      <c r="AJ273" s="208"/>
      <c r="AK273" s="208"/>
      <c r="AL273" s="208"/>
      <c r="AM273" s="208"/>
      <c r="AN273" s="208"/>
      <c r="AO273" s="208"/>
      <c r="AP273" s="208"/>
      <c r="AQ273" s="208"/>
      <c r="AR273" s="208"/>
      <c r="AS273" s="208"/>
      <c r="AT273" s="208"/>
      <c r="AU273" s="208"/>
      <c r="AV273" s="208"/>
      <c r="AW273" s="208"/>
      <c r="AX273" s="208"/>
      <c r="AY273" s="208"/>
      <c r="AZ273" s="208"/>
      <c r="BA273" s="208"/>
      <c r="BB273" s="208"/>
      <c r="BC273" s="208"/>
      <c r="BD273" s="208"/>
      <c r="BE273" s="208"/>
      <c r="BF273" s="208"/>
      <c r="BG273" s="208"/>
      <c r="BH273" s="208"/>
      <c r="BI273" s="208"/>
      <c r="BJ273" s="208"/>
      <c r="BK273" s="208"/>
      <c r="BL273" s="208"/>
      <c r="BM273" s="208"/>
      <c r="BN273" s="208"/>
      <c r="BO273" s="208"/>
      <c r="BP273" s="208"/>
      <c r="BQ273" s="208"/>
      <c r="BR273" s="208"/>
      <c r="BS273" s="208"/>
      <c r="BT273" s="208"/>
      <c r="BU273" s="208"/>
      <c r="BV273" s="208"/>
      <c r="BW273" s="208"/>
      <c r="BX273" s="208"/>
      <c r="BY273" s="208"/>
      <c r="BZ273" s="208"/>
      <c r="CA273" s="208"/>
      <c r="CB273" s="208"/>
      <c r="CC273" s="208"/>
      <c r="CD273" s="208"/>
      <c r="CE273" s="208"/>
      <c r="CF273" s="208"/>
      <c r="CG273" s="208"/>
      <c r="CH273" s="208"/>
      <c r="CI273" s="208"/>
      <c r="CJ273" s="208"/>
      <c r="CK273" s="208"/>
      <c r="CL273" s="208"/>
      <c r="CM273" s="208"/>
      <c r="CN273" s="208"/>
      <c r="CO273" s="208"/>
      <c r="CP273" s="208"/>
      <c r="CQ273" s="208"/>
      <c r="CR273" s="208"/>
      <c r="CS273" s="208"/>
      <c r="CT273" s="208"/>
      <c r="CU273" s="208"/>
      <c r="CV273" s="208"/>
      <c r="CW273" s="208"/>
      <c r="CX273" s="208"/>
      <c r="CY273" s="208"/>
      <c r="CZ273" s="208"/>
      <c r="DA273" s="208"/>
      <c r="DB273" s="208"/>
      <c r="DC273" s="208"/>
      <c r="DD273" s="208"/>
      <c r="DE273" s="208"/>
      <c r="DF273" s="208"/>
      <c r="DG273" s="208"/>
      <c r="DH273" s="208"/>
      <c r="DI273" s="208"/>
      <c r="DJ273" s="208"/>
      <c r="DK273" s="208"/>
      <c r="DL273" s="208"/>
      <c r="DM273" s="208"/>
      <c r="DN273" s="208"/>
      <c r="DO273" s="208"/>
      <c r="DP273" s="208"/>
      <c r="DQ273" s="208"/>
      <c r="DR273" s="208"/>
      <c r="DS273" s="208"/>
      <c r="DT273" s="208"/>
      <c r="DU273" s="208"/>
      <c r="DV273" s="208"/>
      <c r="DW273" s="208"/>
      <c r="DX273" s="208"/>
      <c r="DY273" s="208"/>
      <c r="DZ273" s="208"/>
      <c r="EA273" s="208"/>
      <c r="EB273" s="208"/>
      <c r="EC273" s="208"/>
      <c r="ED273" s="208"/>
      <c r="EE273" s="208"/>
      <c r="EF273" s="208"/>
      <c r="EG273" s="208"/>
      <c r="EH273" s="208"/>
      <c r="EI273" s="208"/>
      <c r="EJ273" s="208"/>
      <c r="EK273" s="208"/>
      <c r="EL273" s="208"/>
      <c r="EM273" s="208"/>
      <c r="EN273" s="208"/>
      <c r="EO273" s="208"/>
      <c r="EP273" s="208"/>
      <c r="EQ273" s="208"/>
      <c r="ER273" s="208"/>
      <c r="ES273" s="208"/>
      <c r="ET273" s="208"/>
      <c r="EU273" s="208"/>
      <c r="EV273" s="208"/>
      <c r="EW273" s="208"/>
      <c r="EX273" s="208"/>
      <c r="EY273" s="208"/>
      <c r="EZ273" s="208"/>
      <c r="FA273" s="208"/>
      <c r="FB273" s="208"/>
      <c r="FC273" s="208"/>
      <c r="FD273" s="208"/>
      <c r="FE273" s="208"/>
      <c r="FF273" s="208"/>
      <c r="FG273" s="208"/>
      <c r="FH273" s="208"/>
      <c r="FI273" s="208"/>
      <c r="FJ273" s="208"/>
      <c r="FK273" s="208"/>
      <c r="FL273" s="208"/>
      <c r="FM273" s="208"/>
      <c r="FN273" s="208"/>
      <c r="FO273" s="208"/>
      <c r="FP273" s="208"/>
      <c r="FQ273" s="208"/>
      <c r="FR273" s="208"/>
      <c r="FS273" s="208"/>
      <c r="FT273" s="208"/>
      <c r="FU273" s="208"/>
      <c r="FV273" s="208"/>
      <c r="FW273" s="208"/>
      <c r="FX273" s="208"/>
      <c r="FY273" s="208"/>
      <c r="FZ273" s="208"/>
      <c r="GA273" s="208"/>
      <c r="GB273" s="208"/>
      <c r="GC273" s="208"/>
      <c r="GD273" s="208"/>
      <c r="GE273" s="208"/>
      <c r="GF273" s="208"/>
    </row>
    <row r="274" spans="1:188" s="209" customFormat="1" ht="15" x14ac:dyDescent="0.25">
      <c r="A274" s="195" t="s">
        <v>5053</v>
      </c>
      <c r="B274" s="195" t="s">
        <v>737</v>
      </c>
      <c r="C274" s="196" t="s">
        <v>2654</v>
      </c>
      <c r="D274" s="154" t="s">
        <v>28</v>
      </c>
      <c r="E274" s="154">
        <v>1000</v>
      </c>
      <c r="F274" s="154">
        <v>0.1</v>
      </c>
      <c r="G274" s="197"/>
      <c r="H274" s="198"/>
      <c r="I274" s="151">
        <f>IFERROR(INDEX(Composições!$A$5:$J$8391,MATCH(B274,Composições!$A$5:$A$8391,0)+2,8),"")</f>
        <v>73.940399999999997</v>
      </c>
      <c r="J274" s="152">
        <f t="shared" si="45"/>
        <v>7394.04</v>
      </c>
      <c r="K274" s="198">
        <f>BDI!$B$17</f>
        <v>0.191</v>
      </c>
      <c r="L274" s="198"/>
      <c r="M274" s="198"/>
      <c r="N274" s="153">
        <f t="shared" si="46"/>
        <v>88.06</v>
      </c>
      <c r="O274" s="152">
        <f t="shared" si="47"/>
        <v>8806</v>
      </c>
      <c r="P274" s="225"/>
      <c r="Q274" s="208"/>
      <c r="R274" s="208"/>
      <c r="S274"/>
      <c r="T274" s="208"/>
      <c r="U274" s="208"/>
      <c r="V274" s="208"/>
      <c r="W274" s="208"/>
      <c r="X274" s="208"/>
      <c r="Y274" s="208"/>
      <c r="Z274" s="208"/>
      <c r="AA274" s="208"/>
      <c r="AB274" s="208"/>
      <c r="AC274" s="208"/>
      <c r="AD274" s="208"/>
      <c r="AE274" s="208"/>
      <c r="AF274" s="208"/>
      <c r="AG274" s="208"/>
      <c r="AH274" s="208"/>
      <c r="AI274" s="208"/>
      <c r="AJ274" s="208"/>
      <c r="AK274" s="208"/>
      <c r="AL274" s="208"/>
      <c r="AM274" s="208"/>
      <c r="AN274" s="208"/>
      <c r="AO274" s="208"/>
      <c r="AP274" s="208"/>
      <c r="AQ274" s="208"/>
      <c r="AR274" s="208"/>
      <c r="AS274" s="208"/>
      <c r="AT274" s="208"/>
      <c r="AU274" s="208"/>
      <c r="AV274" s="208"/>
      <c r="AW274" s="208"/>
      <c r="AX274" s="208"/>
      <c r="AY274" s="208"/>
      <c r="AZ274" s="208"/>
      <c r="BA274" s="208"/>
      <c r="BB274" s="208"/>
      <c r="BC274" s="208"/>
      <c r="BD274" s="208"/>
      <c r="BE274" s="208"/>
      <c r="BF274" s="208"/>
      <c r="BG274" s="208"/>
      <c r="BH274" s="208"/>
      <c r="BI274" s="208"/>
      <c r="BJ274" s="208"/>
      <c r="BK274" s="208"/>
      <c r="BL274" s="208"/>
      <c r="BM274" s="208"/>
      <c r="BN274" s="208"/>
      <c r="BO274" s="208"/>
      <c r="BP274" s="208"/>
      <c r="BQ274" s="208"/>
      <c r="BR274" s="208"/>
      <c r="BS274" s="208"/>
      <c r="BT274" s="208"/>
      <c r="BU274" s="208"/>
      <c r="BV274" s="208"/>
      <c r="BW274" s="208"/>
      <c r="BX274" s="208"/>
      <c r="BY274" s="208"/>
      <c r="BZ274" s="208"/>
      <c r="CA274" s="208"/>
      <c r="CB274" s="208"/>
      <c r="CC274" s="208"/>
      <c r="CD274" s="208"/>
      <c r="CE274" s="208"/>
      <c r="CF274" s="208"/>
      <c r="CG274" s="208"/>
      <c r="CH274" s="208"/>
      <c r="CI274" s="208"/>
      <c r="CJ274" s="208"/>
      <c r="CK274" s="208"/>
      <c r="CL274" s="208"/>
      <c r="CM274" s="208"/>
      <c r="CN274" s="208"/>
      <c r="CO274" s="208"/>
      <c r="CP274" s="208"/>
      <c r="CQ274" s="208"/>
      <c r="CR274" s="208"/>
      <c r="CS274" s="208"/>
      <c r="CT274" s="208"/>
      <c r="CU274" s="208"/>
      <c r="CV274" s="208"/>
      <c r="CW274" s="208"/>
      <c r="CX274" s="208"/>
      <c r="CY274" s="208"/>
      <c r="CZ274" s="208"/>
      <c r="DA274" s="208"/>
      <c r="DB274" s="208"/>
      <c r="DC274" s="208"/>
      <c r="DD274" s="208"/>
      <c r="DE274" s="208"/>
      <c r="DF274" s="208"/>
      <c r="DG274" s="208"/>
      <c r="DH274" s="208"/>
      <c r="DI274" s="208"/>
      <c r="DJ274" s="208"/>
      <c r="DK274" s="208"/>
      <c r="DL274" s="208"/>
      <c r="DM274" s="208"/>
      <c r="DN274" s="208"/>
      <c r="DO274" s="208"/>
      <c r="DP274" s="208"/>
      <c r="DQ274" s="208"/>
      <c r="DR274" s="208"/>
      <c r="DS274" s="208"/>
      <c r="DT274" s="208"/>
      <c r="DU274" s="208"/>
      <c r="DV274" s="208"/>
      <c r="DW274" s="208"/>
      <c r="DX274" s="208"/>
      <c r="DY274" s="208"/>
      <c r="DZ274" s="208"/>
      <c r="EA274" s="208"/>
      <c r="EB274" s="208"/>
      <c r="EC274" s="208"/>
      <c r="ED274" s="208"/>
      <c r="EE274" s="208"/>
      <c r="EF274" s="208"/>
      <c r="EG274" s="208"/>
      <c r="EH274" s="208"/>
      <c r="EI274" s="208"/>
      <c r="EJ274" s="208"/>
      <c r="EK274" s="208"/>
      <c r="EL274" s="208"/>
      <c r="EM274" s="208"/>
      <c r="EN274" s="208"/>
      <c r="EO274" s="208"/>
      <c r="EP274" s="208"/>
      <c r="EQ274" s="208"/>
      <c r="ER274" s="208"/>
      <c r="ES274" s="208"/>
      <c r="ET274" s="208"/>
      <c r="EU274" s="208"/>
      <c r="EV274" s="208"/>
      <c r="EW274" s="208"/>
      <c r="EX274" s="208"/>
      <c r="EY274" s="208"/>
      <c r="EZ274" s="208"/>
      <c r="FA274" s="208"/>
      <c r="FB274" s="208"/>
      <c r="FC274" s="208"/>
      <c r="FD274" s="208"/>
      <c r="FE274" s="208"/>
      <c r="FF274" s="208"/>
      <c r="FG274" s="208"/>
      <c r="FH274" s="208"/>
      <c r="FI274" s="208"/>
      <c r="FJ274" s="208"/>
      <c r="FK274" s="208"/>
      <c r="FL274" s="208"/>
      <c r="FM274" s="208"/>
      <c r="FN274" s="208"/>
      <c r="FO274" s="208"/>
      <c r="FP274" s="208"/>
      <c r="FQ274" s="208"/>
      <c r="FR274" s="208"/>
      <c r="FS274" s="208"/>
      <c r="FT274" s="208"/>
      <c r="FU274" s="208"/>
      <c r="FV274" s="208"/>
      <c r="FW274" s="208"/>
      <c r="FX274" s="208"/>
      <c r="FY274" s="208"/>
      <c r="FZ274" s="208"/>
      <c r="GA274" s="208"/>
      <c r="GB274" s="208"/>
      <c r="GC274" s="208"/>
      <c r="GD274" s="208"/>
      <c r="GE274" s="208"/>
      <c r="GF274" s="208"/>
    </row>
    <row r="275" spans="1:188" s="209" customFormat="1" ht="15" x14ac:dyDescent="0.25">
      <c r="A275" s="195" t="s">
        <v>5054</v>
      </c>
      <c r="B275" s="195" t="s">
        <v>739</v>
      </c>
      <c r="C275" s="196" t="s">
        <v>2655</v>
      </c>
      <c r="D275" s="154" t="s">
        <v>121</v>
      </c>
      <c r="E275" s="154">
        <v>620</v>
      </c>
      <c r="F275" s="154">
        <v>0.1</v>
      </c>
      <c r="G275" s="197"/>
      <c r="H275" s="198"/>
      <c r="I275" s="151">
        <f>IFERROR(INDEX(Composições!$A$5:$J$8391,MATCH(B275,Composições!$A$5:$A$8391,0)+2,8),"")</f>
        <v>10.673399999999999</v>
      </c>
      <c r="J275" s="152">
        <f t="shared" si="45"/>
        <v>661.75</v>
      </c>
      <c r="K275" s="198">
        <f>BDI!$B$17</f>
        <v>0.191</v>
      </c>
      <c r="L275" s="198"/>
      <c r="M275" s="198"/>
      <c r="N275" s="153">
        <f t="shared" si="46"/>
        <v>12.71</v>
      </c>
      <c r="O275" s="152">
        <f t="shared" si="47"/>
        <v>788.02</v>
      </c>
      <c r="P275" s="225"/>
      <c r="Q275" s="208"/>
      <c r="R275" s="208"/>
      <c r="S275"/>
      <c r="T275" s="208"/>
      <c r="U275" s="208"/>
      <c r="V275" s="208"/>
      <c r="W275" s="208"/>
      <c r="X275" s="208"/>
      <c r="Y275" s="208"/>
      <c r="Z275" s="208"/>
      <c r="AA275" s="208"/>
      <c r="AB275" s="208"/>
      <c r="AC275" s="208"/>
      <c r="AD275" s="208"/>
      <c r="AE275" s="208"/>
      <c r="AF275" s="208"/>
      <c r="AG275" s="208"/>
      <c r="AH275" s="208"/>
      <c r="AI275" s="208"/>
      <c r="AJ275" s="208"/>
      <c r="AK275" s="208"/>
      <c r="AL275" s="208"/>
      <c r="AM275" s="208"/>
      <c r="AN275" s="208"/>
      <c r="AO275" s="208"/>
      <c r="AP275" s="208"/>
      <c r="AQ275" s="208"/>
      <c r="AR275" s="208"/>
      <c r="AS275" s="208"/>
      <c r="AT275" s="208"/>
      <c r="AU275" s="208"/>
      <c r="AV275" s="208"/>
      <c r="AW275" s="208"/>
      <c r="AX275" s="208"/>
      <c r="AY275" s="208"/>
      <c r="AZ275" s="208"/>
      <c r="BA275" s="208"/>
      <c r="BB275" s="208"/>
      <c r="BC275" s="208"/>
      <c r="BD275" s="208"/>
      <c r="BE275" s="208"/>
      <c r="BF275" s="208"/>
      <c r="BG275" s="208"/>
      <c r="BH275" s="208"/>
      <c r="BI275" s="208"/>
      <c r="BJ275" s="208"/>
      <c r="BK275" s="208"/>
      <c r="BL275" s="208"/>
      <c r="BM275" s="208"/>
      <c r="BN275" s="208"/>
      <c r="BO275" s="208"/>
      <c r="BP275" s="208"/>
      <c r="BQ275" s="208"/>
      <c r="BR275" s="208"/>
      <c r="BS275" s="208"/>
      <c r="BT275" s="208"/>
      <c r="BU275" s="208"/>
      <c r="BV275" s="208"/>
      <c r="BW275" s="208"/>
      <c r="BX275" s="208"/>
      <c r="BY275" s="208"/>
      <c r="BZ275" s="208"/>
      <c r="CA275" s="208"/>
      <c r="CB275" s="208"/>
      <c r="CC275" s="208"/>
      <c r="CD275" s="208"/>
      <c r="CE275" s="208"/>
      <c r="CF275" s="208"/>
      <c r="CG275" s="208"/>
      <c r="CH275" s="208"/>
      <c r="CI275" s="208"/>
      <c r="CJ275" s="208"/>
      <c r="CK275" s="208"/>
      <c r="CL275" s="208"/>
      <c r="CM275" s="208"/>
      <c r="CN275" s="208"/>
      <c r="CO275" s="208"/>
      <c r="CP275" s="208"/>
      <c r="CQ275" s="208"/>
      <c r="CR275" s="208"/>
      <c r="CS275" s="208"/>
      <c r="CT275" s="208"/>
      <c r="CU275" s="208"/>
      <c r="CV275" s="208"/>
      <c r="CW275" s="208"/>
      <c r="CX275" s="208"/>
      <c r="CY275" s="208"/>
      <c r="CZ275" s="208"/>
      <c r="DA275" s="208"/>
      <c r="DB275" s="208"/>
      <c r="DC275" s="208"/>
      <c r="DD275" s="208"/>
      <c r="DE275" s="208"/>
      <c r="DF275" s="208"/>
      <c r="DG275" s="208"/>
      <c r="DH275" s="208"/>
      <c r="DI275" s="208"/>
      <c r="DJ275" s="208"/>
      <c r="DK275" s="208"/>
      <c r="DL275" s="208"/>
      <c r="DM275" s="208"/>
      <c r="DN275" s="208"/>
      <c r="DO275" s="208"/>
      <c r="DP275" s="208"/>
      <c r="DQ275" s="208"/>
      <c r="DR275" s="208"/>
      <c r="DS275" s="208"/>
      <c r="DT275" s="208"/>
      <c r="DU275" s="208"/>
      <c r="DV275" s="208"/>
      <c r="DW275" s="208"/>
      <c r="DX275" s="208"/>
      <c r="DY275" s="208"/>
      <c r="DZ275" s="208"/>
      <c r="EA275" s="208"/>
      <c r="EB275" s="208"/>
      <c r="EC275" s="208"/>
      <c r="ED275" s="208"/>
      <c r="EE275" s="208"/>
      <c r="EF275" s="208"/>
      <c r="EG275" s="208"/>
      <c r="EH275" s="208"/>
      <c r="EI275" s="208"/>
      <c r="EJ275" s="208"/>
      <c r="EK275" s="208"/>
      <c r="EL275" s="208"/>
      <c r="EM275" s="208"/>
      <c r="EN275" s="208"/>
      <c r="EO275" s="208"/>
      <c r="EP275" s="208"/>
      <c r="EQ275" s="208"/>
      <c r="ER275" s="208"/>
      <c r="ES275" s="208"/>
      <c r="ET275" s="208"/>
      <c r="EU275" s="208"/>
      <c r="EV275" s="208"/>
      <c r="EW275" s="208"/>
      <c r="EX275" s="208"/>
      <c r="EY275" s="208"/>
      <c r="EZ275" s="208"/>
      <c r="FA275" s="208"/>
      <c r="FB275" s="208"/>
      <c r="FC275" s="208"/>
      <c r="FD275" s="208"/>
      <c r="FE275" s="208"/>
      <c r="FF275" s="208"/>
      <c r="FG275" s="208"/>
      <c r="FH275" s="208"/>
      <c r="FI275" s="208"/>
      <c r="FJ275" s="208"/>
      <c r="FK275" s="208"/>
      <c r="FL275" s="208"/>
      <c r="FM275" s="208"/>
      <c r="FN275" s="208"/>
      <c r="FO275" s="208"/>
      <c r="FP275" s="208"/>
      <c r="FQ275" s="208"/>
      <c r="FR275" s="208"/>
      <c r="FS275" s="208"/>
      <c r="FT275" s="208"/>
      <c r="FU275" s="208"/>
      <c r="FV275" s="208"/>
      <c r="FW275" s="208"/>
      <c r="FX275" s="208"/>
      <c r="FY275" s="208"/>
      <c r="FZ275" s="208"/>
      <c r="GA275" s="208"/>
      <c r="GB275" s="208"/>
      <c r="GC275" s="208"/>
      <c r="GD275" s="208"/>
      <c r="GE275" s="208"/>
      <c r="GF275" s="208"/>
    </row>
    <row r="276" spans="1:188" s="209" customFormat="1" ht="15" x14ac:dyDescent="0.25">
      <c r="A276" s="195" t="s">
        <v>5055</v>
      </c>
      <c r="B276" s="195" t="s">
        <v>741</v>
      </c>
      <c r="C276" s="196" t="s">
        <v>2656</v>
      </c>
      <c r="D276" s="154" t="s">
        <v>28</v>
      </c>
      <c r="E276" s="154">
        <v>5310</v>
      </c>
      <c r="F276" s="154">
        <v>0.1</v>
      </c>
      <c r="G276" s="197"/>
      <c r="H276" s="198"/>
      <c r="I276" s="151">
        <f>IFERROR(INDEX(Composições!$A$5:$J$8391,MATCH(B276,Composições!$A$5:$A$8391,0)+2,8),"")</f>
        <v>6.4616999999999996</v>
      </c>
      <c r="J276" s="152">
        <f t="shared" si="45"/>
        <v>3431.16</v>
      </c>
      <c r="K276" s="198">
        <f>BDI!$B$17</f>
        <v>0.191</v>
      </c>
      <c r="L276" s="198"/>
      <c r="M276" s="198"/>
      <c r="N276" s="153">
        <f t="shared" si="46"/>
        <v>7.7</v>
      </c>
      <c r="O276" s="152">
        <f t="shared" si="47"/>
        <v>4088.7</v>
      </c>
      <c r="P276" s="225"/>
      <c r="Q276" s="208"/>
      <c r="R276" s="208"/>
      <c r="S276"/>
      <c r="T276" s="208"/>
      <c r="U276" s="208"/>
      <c r="V276" s="208"/>
      <c r="W276" s="208"/>
      <c r="X276" s="208"/>
      <c r="Y276" s="208"/>
      <c r="Z276" s="208"/>
      <c r="AA276" s="208"/>
      <c r="AB276" s="208"/>
      <c r="AC276" s="208"/>
      <c r="AD276" s="208"/>
      <c r="AE276" s="208"/>
      <c r="AF276" s="208"/>
      <c r="AG276" s="208"/>
      <c r="AH276" s="208"/>
      <c r="AI276" s="208"/>
      <c r="AJ276" s="208"/>
      <c r="AK276" s="208"/>
      <c r="AL276" s="208"/>
      <c r="AM276" s="208"/>
      <c r="AN276" s="208"/>
      <c r="AO276" s="208"/>
      <c r="AP276" s="208"/>
      <c r="AQ276" s="208"/>
      <c r="AR276" s="208"/>
      <c r="AS276" s="208"/>
      <c r="AT276" s="208"/>
      <c r="AU276" s="208"/>
      <c r="AV276" s="208"/>
      <c r="AW276" s="208"/>
      <c r="AX276" s="208"/>
      <c r="AY276" s="208"/>
      <c r="AZ276" s="208"/>
      <c r="BA276" s="208"/>
      <c r="BB276" s="208"/>
      <c r="BC276" s="208"/>
      <c r="BD276" s="208"/>
      <c r="BE276" s="208"/>
      <c r="BF276" s="208"/>
      <c r="BG276" s="208"/>
      <c r="BH276" s="208"/>
      <c r="BI276" s="208"/>
      <c r="BJ276" s="208"/>
      <c r="BK276" s="208"/>
      <c r="BL276" s="208"/>
      <c r="BM276" s="208"/>
      <c r="BN276" s="208"/>
      <c r="BO276" s="208"/>
      <c r="BP276" s="208"/>
      <c r="BQ276" s="208"/>
      <c r="BR276" s="208"/>
      <c r="BS276" s="208"/>
      <c r="BT276" s="208"/>
      <c r="BU276" s="208"/>
      <c r="BV276" s="208"/>
      <c r="BW276" s="208"/>
      <c r="BX276" s="208"/>
      <c r="BY276" s="208"/>
      <c r="BZ276" s="208"/>
      <c r="CA276" s="208"/>
      <c r="CB276" s="208"/>
      <c r="CC276" s="208"/>
      <c r="CD276" s="208"/>
      <c r="CE276" s="208"/>
      <c r="CF276" s="208"/>
      <c r="CG276" s="208"/>
      <c r="CH276" s="208"/>
      <c r="CI276" s="208"/>
      <c r="CJ276" s="208"/>
      <c r="CK276" s="208"/>
      <c r="CL276" s="208"/>
      <c r="CM276" s="208"/>
      <c r="CN276" s="208"/>
      <c r="CO276" s="208"/>
      <c r="CP276" s="208"/>
      <c r="CQ276" s="208"/>
      <c r="CR276" s="208"/>
      <c r="CS276" s="208"/>
      <c r="CT276" s="208"/>
      <c r="CU276" s="208"/>
      <c r="CV276" s="208"/>
      <c r="CW276" s="208"/>
      <c r="CX276" s="208"/>
      <c r="CY276" s="208"/>
      <c r="CZ276" s="208"/>
      <c r="DA276" s="208"/>
      <c r="DB276" s="208"/>
      <c r="DC276" s="208"/>
      <c r="DD276" s="208"/>
      <c r="DE276" s="208"/>
      <c r="DF276" s="208"/>
      <c r="DG276" s="208"/>
      <c r="DH276" s="208"/>
      <c r="DI276" s="208"/>
      <c r="DJ276" s="208"/>
      <c r="DK276" s="208"/>
      <c r="DL276" s="208"/>
      <c r="DM276" s="208"/>
      <c r="DN276" s="208"/>
      <c r="DO276" s="208"/>
      <c r="DP276" s="208"/>
      <c r="DQ276" s="208"/>
      <c r="DR276" s="208"/>
      <c r="DS276" s="208"/>
      <c r="DT276" s="208"/>
      <c r="DU276" s="208"/>
      <c r="DV276" s="208"/>
      <c r="DW276" s="208"/>
      <c r="DX276" s="208"/>
      <c r="DY276" s="208"/>
      <c r="DZ276" s="208"/>
      <c r="EA276" s="208"/>
      <c r="EB276" s="208"/>
      <c r="EC276" s="208"/>
      <c r="ED276" s="208"/>
      <c r="EE276" s="208"/>
      <c r="EF276" s="208"/>
      <c r="EG276" s="208"/>
      <c r="EH276" s="208"/>
      <c r="EI276" s="208"/>
      <c r="EJ276" s="208"/>
      <c r="EK276" s="208"/>
      <c r="EL276" s="208"/>
      <c r="EM276" s="208"/>
      <c r="EN276" s="208"/>
      <c r="EO276" s="208"/>
      <c r="EP276" s="208"/>
      <c r="EQ276" s="208"/>
      <c r="ER276" s="208"/>
      <c r="ES276" s="208"/>
      <c r="ET276" s="208"/>
      <c r="EU276" s="208"/>
      <c r="EV276" s="208"/>
      <c r="EW276" s="208"/>
      <c r="EX276" s="208"/>
      <c r="EY276" s="208"/>
      <c r="EZ276" s="208"/>
      <c r="FA276" s="208"/>
      <c r="FB276" s="208"/>
      <c r="FC276" s="208"/>
      <c r="FD276" s="208"/>
      <c r="FE276" s="208"/>
      <c r="FF276" s="208"/>
      <c r="FG276" s="208"/>
      <c r="FH276" s="208"/>
      <c r="FI276" s="208"/>
      <c r="FJ276" s="208"/>
      <c r="FK276" s="208"/>
      <c r="FL276" s="208"/>
      <c r="FM276" s="208"/>
      <c r="FN276" s="208"/>
      <c r="FO276" s="208"/>
      <c r="FP276" s="208"/>
      <c r="FQ276" s="208"/>
      <c r="FR276" s="208"/>
      <c r="FS276" s="208"/>
      <c r="FT276" s="208"/>
      <c r="FU276" s="208"/>
      <c r="FV276" s="208"/>
      <c r="FW276" s="208"/>
      <c r="FX276" s="208"/>
      <c r="FY276" s="208"/>
      <c r="FZ276" s="208"/>
      <c r="GA276" s="208"/>
      <c r="GB276" s="208"/>
      <c r="GC276" s="208"/>
      <c r="GD276" s="208"/>
      <c r="GE276" s="208"/>
      <c r="GF276" s="208"/>
    </row>
    <row r="277" spans="1:188" s="209" customFormat="1" ht="15" x14ac:dyDescent="0.25">
      <c r="A277" s="195" t="s">
        <v>5056</v>
      </c>
      <c r="B277" s="195" t="s">
        <v>743</v>
      </c>
      <c r="C277" s="196" t="s">
        <v>2657</v>
      </c>
      <c r="D277" s="154" t="s">
        <v>28</v>
      </c>
      <c r="E277" s="154">
        <v>350</v>
      </c>
      <c r="F277" s="154">
        <v>0.1</v>
      </c>
      <c r="G277" s="197"/>
      <c r="H277" s="198"/>
      <c r="I277" s="151">
        <f>IFERROR(INDEX(Composições!$A$5:$J$8391,MATCH(B277,Composições!$A$5:$A$8391,0)+2,8),"")</f>
        <v>13.921699999999998</v>
      </c>
      <c r="J277" s="152">
        <f t="shared" si="45"/>
        <v>487.26</v>
      </c>
      <c r="K277" s="198">
        <f>BDI!$B$17</f>
        <v>0.191</v>
      </c>
      <c r="L277" s="198"/>
      <c r="M277" s="198"/>
      <c r="N277" s="153">
        <f t="shared" si="46"/>
        <v>16.579999999999998</v>
      </c>
      <c r="O277" s="152">
        <f t="shared" si="47"/>
        <v>580.29999999999995</v>
      </c>
      <c r="P277" s="225"/>
      <c r="Q277" s="208"/>
      <c r="R277" s="208"/>
      <c r="S277"/>
      <c r="T277" s="208"/>
      <c r="U277" s="208"/>
      <c r="V277" s="208"/>
      <c r="W277" s="208"/>
      <c r="X277" s="208"/>
      <c r="Y277" s="208"/>
      <c r="Z277" s="208"/>
      <c r="AA277" s="208"/>
      <c r="AB277" s="208"/>
      <c r="AC277" s="208"/>
      <c r="AD277" s="208"/>
      <c r="AE277" s="208"/>
      <c r="AF277" s="208"/>
      <c r="AG277" s="208"/>
      <c r="AH277" s="208"/>
      <c r="AI277" s="208"/>
      <c r="AJ277" s="208"/>
      <c r="AK277" s="208"/>
      <c r="AL277" s="208"/>
      <c r="AM277" s="208"/>
      <c r="AN277" s="208"/>
      <c r="AO277" s="208"/>
      <c r="AP277" s="208"/>
      <c r="AQ277" s="208"/>
      <c r="AR277" s="208"/>
      <c r="AS277" s="208"/>
      <c r="AT277" s="208"/>
      <c r="AU277" s="208"/>
      <c r="AV277" s="208"/>
      <c r="AW277" s="208"/>
      <c r="AX277" s="208"/>
      <c r="AY277" s="208"/>
      <c r="AZ277" s="208"/>
      <c r="BA277" s="208"/>
      <c r="BB277" s="208"/>
      <c r="BC277" s="208"/>
      <c r="BD277" s="208"/>
      <c r="BE277" s="208"/>
      <c r="BF277" s="208"/>
      <c r="BG277" s="208"/>
      <c r="BH277" s="208"/>
      <c r="BI277" s="208"/>
      <c r="BJ277" s="208"/>
      <c r="BK277" s="208"/>
      <c r="BL277" s="208"/>
      <c r="BM277" s="208"/>
      <c r="BN277" s="208"/>
      <c r="BO277" s="208"/>
      <c r="BP277" s="208"/>
      <c r="BQ277" s="208"/>
      <c r="BR277" s="208"/>
      <c r="BS277" s="208"/>
      <c r="BT277" s="208"/>
      <c r="BU277" s="208"/>
      <c r="BV277" s="208"/>
      <c r="BW277" s="208"/>
      <c r="BX277" s="208"/>
      <c r="BY277" s="208"/>
      <c r="BZ277" s="208"/>
      <c r="CA277" s="208"/>
      <c r="CB277" s="208"/>
      <c r="CC277" s="208"/>
      <c r="CD277" s="208"/>
      <c r="CE277" s="208"/>
      <c r="CF277" s="208"/>
      <c r="CG277" s="208"/>
      <c r="CH277" s="208"/>
      <c r="CI277" s="208"/>
      <c r="CJ277" s="208"/>
      <c r="CK277" s="208"/>
      <c r="CL277" s="208"/>
      <c r="CM277" s="208"/>
      <c r="CN277" s="208"/>
      <c r="CO277" s="208"/>
      <c r="CP277" s="208"/>
      <c r="CQ277" s="208"/>
      <c r="CR277" s="208"/>
      <c r="CS277" s="208"/>
      <c r="CT277" s="208"/>
      <c r="CU277" s="208"/>
      <c r="CV277" s="208"/>
      <c r="CW277" s="208"/>
      <c r="CX277" s="208"/>
      <c r="CY277" s="208"/>
      <c r="CZ277" s="208"/>
      <c r="DA277" s="208"/>
      <c r="DB277" s="208"/>
      <c r="DC277" s="208"/>
      <c r="DD277" s="208"/>
      <c r="DE277" s="208"/>
      <c r="DF277" s="208"/>
      <c r="DG277" s="208"/>
      <c r="DH277" s="208"/>
      <c r="DI277" s="208"/>
      <c r="DJ277" s="208"/>
      <c r="DK277" s="208"/>
      <c r="DL277" s="208"/>
      <c r="DM277" s="208"/>
      <c r="DN277" s="208"/>
      <c r="DO277" s="208"/>
      <c r="DP277" s="208"/>
      <c r="DQ277" s="208"/>
      <c r="DR277" s="208"/>
      <c r="DS277" s="208"/>
      <c r="DT277" s="208"/>
      <c r="DU277" s="208"/>
      <c r="DV277" s="208"/>
      <c r="DW277" s="208"/>
      <c r="DX277" s="208"/>
      <c r="DY277" s="208"/>
      <c r="DZ277" s="208"/>
      <c r="EA277" s="208"/>
      <c r="EB277" s="208"/>
      <c r="EC277" s="208"/>
      <c r="ED277" s="208"/>
      <c r="EE277" s="208"/>
      <c r="EF277" s="208"/>
      <c r="EG277" s="208"/>
      <c r="EH277" s="208"/>
      <c r="EI277" s="208"/>
      <c r="EJ277" s="208"/>
      <c r="EK277" s="208"/>
      <c r="EL277" s="208"/>
      <c r="EM277" s="208"/>
      <c r="EN277" s="208"/>
      <c r="EO277" s="208"/>
      <c r="EP277" s="208"/>
      <c r="EQ277" s="208"/>
      <c r="ER277" s="208"/>
      <c r="ES277" s="208"/>
      <c r="ET277" s="208"/>
      <c r="EU277" s="208"/>
      <c r="EV277" s="208"/>
      <c r="EW277" s="208"/>
      <c r="EX277" s="208"/>
      <c r="EY277" s="208"/>
      <c r="EZ277" s="208"/>
      <c r="FA277" s="208"/>
      <c r="FB277" s="208"/>
      <c r="FC277" s="208"/>
      <c r="FD277" s="208"/>
      <c r="FE277" s="208"/>
      <c r="FF277" s="208"/>
      <c r="FG277" s="208"/>
      <c r="FH277" s="208"/>
      <c r="FI277" s="208"/>
      <c r="FJ277" s="208"/>
      <c r="FK277" s="208"/>
      <c r="FL277" s="208"/>
      <c r="FM277" s="208"/>
      <c r="FN277" s="208"/>
      <c r="FO277" s="208"/>
      <c r="FP277" s="208"/>
      <c r="FQ277" s="208"/>
      <c r="FR277" s="208"/>
      <c r="FS277" s="208"/>
      <c r="FT277" s="208"/>
      <c r="FU277" s="208"/>
      <c r="FV277" s="208"/>
      <c r="FW277" s="208"/>
      <c r="FX277" s="208"/>
      <c r="FY277" s="208"/>
      <c r="FZ277" s="208"/>
      <c r="GA277" s="208"/>
      <c r="GB277" s="208"/>
      <c r="GC277" s="208"/>
      <c r="GD277" s="208"/>
      <c r="GE277" s="208"/>
      <c r="GF277" s="208"/>
    </row>
    <row r="278" spans="1:188" s="209" customFormat="1" ht="15" x14ac:dyDescent="0.25">
      <c r="A278" s="195" t="s">
        <v>5057</v>
      </c>
      <c r="B278" s="195" t="s">
        <v>745</v>
      </c>
      <c r="C278" s="196" t="s">
        <v>2658</v>
      </c>
      <c r="D278" s="154" t="s">
        <v>28</v>
      </c>
      <c r="E278" s="154">
        <v>130</v>
      </c>
      <c r="F278" s="154">
        <v>0.1</v>
      </c>
      <c r="G278" s="197"/>
      <c r="H278" s="198"/>
      <c r="I278" s="151">
        <f>IFERROR(INDEX(Composições!$A$5:$J$8391,MATCH(B278,Composições!$A$5:$A$8391,0)+2,8),"")</f>
        <v>7.2617999999999991</v>
      </c>
      <c r="J278" s="152">
        <f t="shared" si="45"/>
        <v>94.4</v>
      </c>
      <c r="K278" s="198">
        <f>BDI!$B$17</f>
        <v>0.191</v>
      </c>
      <c r="L278" s="198"/>
      <c r="M278" s="198"/>
      <c r="N278" s="153">
        <f t="shared" si="46"/>
        <v>8.65</v>
      </c>
      <c r="O278" s="152">
        <f t="shared" si="47"/>
        <v>112.45</v>
      </c>
      <c r="P278" s="225"/>
      <c r="Q278" s="208"/>
      <c r="R278" s="208"/>
      <c r="S278"/>
      <c r="T278" s="208"/>
      <c r="U278" s="208"/>
      <c r="V278" s="208"/>
      <c r="W278" s="208"/>
      <c r="X278" s="208"/>
      <c r="Y278" s="208"/>
      <c r="Z278" s="208"/>
      <c r="AA278" s="208"/>
      <c r="AB278" s="208"/>
      <c r="AC278" s="208"/>
      <c r="AD278" s="208"/>
      <c r="AE278" s="208"/>
      <c r="AF278" s="208"/>
      <c r="AG278" s="208"/>
      <c r="AH278" s="208"/>
      <c r="AI278" s="208"/>
      <c r="AJ278" s="208"/>
      <c r="AK278" s="208"/>
      <c r="AL278" s="208"/>
      <c r="AM278" s="208"/>
      <c r="AN278" s="208"/>
      <c r="AO278" s="208"/>
      <c r="AP278" s="208"/>
      <c r="AQ278" s="208"/>
      <c r="AR278" s="208"/>
      <c r="AS278" s="208"/>
      <c r="AT278" s="208"/>
      <c r="AU278" s="208"/>
      <c r="AV278" s="208"/>
      <c r="AW278" s="208"/>
      <c r="AX278" s="208"/>
      <c r="AY278" s="208"/>
      <c r="AZ278" s="208"/>
      <c r="BA278" s="208"/>
      <c r="BB278" s="208"/>
      <c r="BC278" s="208"/>
      <c r="BD278" s="208"/>
      <c r="BE278" s="208"/>
      <c r="BF278" s="208"/>
      <c r="BG278" s="208"/>
      <c r="BH278" s="208"/>
      <c r="BI278" s="208"/>
      <c r="BJ278" s="208"/>
      <c r="BK278" s="208"/>
      <c r="BL278" s="208"/>
      <c r="BM278" s="208"/>
      <c r="BN278" s="208"/>
      <c r="BO278" s="208"/>
      <c r="BP278" s="208"/>
      <c r="BQ278" s="208"/>
      <c r="BR278" s="208"/>
      <c r="BS278" s="208"/>
      <c r="BT278" s="208"/>
      <c r="BU278" s="208"/>
      <c r="BV278" s="208"/>
      <c r="BW278" s="208"/>
      <c r="BX278" s="208"/>
      <c r="BY278" s="208"/>
      <c r="BZ278" s="208"/>
      <c r="CA278" s="208"/>
      <c r="CB278" s="208"/>
      <c r="CC278" s="208"/>
      <c r="CD278" s="208"/>
      <c r="CE278" s="208"/>
      <c r="CF278" s="208"/>
      <c r="CG278" s="208"/>
      <c r="CH278" s="208"/>
      <c r="CI278" s="208"/>
      <c r="CJ278" s="208"/>
      <c r="CK278" s="208"/>
      <c r="CL278" s="208"/>
      <c r="CM278" s="208"/>
      <c r="CN278" s="208"/>
      <c r="CO278" s="208"/>
      <c r="CP278" s="208"/>
      <c r="CQ278" s="208"/>
      <c r="CR278" s="208"/>
      <c r="CS278" s="208"/>
      <c r="CT278" s="208"/>
      <c r="CU278" s="208"/>
      <c r="CV278" s="208"/>
      <c r="CW278" s="208"/>
      <c r="CX278" s="208"/>
      <c r="CY278" s="208"/>
      <c r="CZ278" s="208"/>
      <c r="DA278" s="208"/>
      <c r="DB278" s="208"/>
      <c r="DC278" s="208"/>
      <c r="DD278" s="208"/>
      <c r="DE278" s="208"/>
      <c r="DF278" s="208"/>
      <c r="DG278" s="208"/>
      <c r="DH278" s="208"/>
      <c r="DI278" s="208"/>
      <c r="DJ278" s="208"/>
      <c r="DK278" s="208"/>
      <c r="DL278" s="208"/>
      <c r="DM278" s="208"/>
      <c r="DN278" s="208"/>
      <c r="DO278" s="208"/>
      <c r="DP278" s="208"/>
      <c r="DQ278" s="208"/>
      <c r="DR278" s="208"/>
      <c r="DS278" s="208"/>
      <c r="DT278" s="208"/>
      <c r="DU278" s="208"/>
      <c r="DV278" s="208"/>
      <c r="DW278" s="208"/>
      <c r="DX278" s="208"/>
      <c r="DY278" s="208"/>
      <c r="DZ278" s="208"/>
      <c r="EA278" s="208"/>
      <c r="EB278" s="208"/>
      <c r="EC278" s="208"/>
      <c r="ED278" s="208"/>
      <c r="EE278" s="208"/>
      <c r="EF278" s="208"/>
      <c r="EG278" s="208"/>
      <c r="EH278" s="208"/>
      <c r="EI278" s="208"/>
      <c r="EJ278" s="208"/>
      <c r="EK278" s="208"/>
      <c r="EL278" s="208"/>
      <c r="EM278" s="208"/>
      <c r="EN278" s="208"/>
      <c r="EO278" s="208"/>
      <c r="EP278" s="208"/>
      <c r="EQ278" s="208"/>
      <c r="ER278" s="208"/>
      <c r="ES278" s="208"/>
      <c r="ET278" s="208"/>
      <c r="EU278" s="208"/>
      <c r="EV278" s="208"/>
      <c r="EW278" s="208"/>
      <c r="EX278" s="208"/>
      <c r="EY278" s="208"/>
      <c r="EZ278" s="208"/>
      <c r="FA278" s="208"/>
      <c r="FB278" s="208"/>
      <c r="FC278" s="208"/>
      <c r="FD278" s="208"/>
      <c r="FE278" s="208"/>
      <c r="FF278" s="208"/>
      <c r="FG278" s="208"/>
      <c r="FH278" s="208"/>
      <c r="FI278" s="208"/>
      <c r="FJ278" s="208"/>
      <c r="FK278" s="208"/>
      <c r="FL278" s="208"/>
      <c r="FM278" s="208"/>
      <c r="FN278" s="208"/>
      <c r="FO278" s="208"/>
      <c r="FP278" s="208"/>
      <c r="FQ278" s="208"/>
      <c r="FR278" s="208"/>
      <c r="FS278" s="208"/>
      <c r="FT278" s="208"/>
      <c r="FU278" s="208"/>
      <c r="FV278" s="208"/>
      <c r="FW278" s="208"/>
      <c r="FX278" s="208"/>
      <c r="FY278" s="208"/>
      <c r="FZ278" s="208"/>
      <c r="GA278" s="208"/>
      <c r="GB278" s="208"/>
      <c r="GC278" s="208"/>
      <c r="GD278" s="208"/>
      <c r="GE278" s="208"/>
      <c r="GF278" s="208"/>
    </row>
    <row r="279" spans="1:188" s="209" customFormat="1" ht="15" x14ac:dyDescent="0.25">
      <c r="A279" s="195" t="s">
        <v>5058</v>
      </c>
      <c r="B279" s="195" t="s">
        <v>747</v>
      </c>
      <c r="C279" s="196" t="s">
        <v>2659</v>
      </c>
      <c r="D279" s="154" t="s">
        <v>28</v>
      </c>
      <c r="E279" s="154">
        <v>90</v>
      </c>
      <c r="F279" s="154">
        <v>0.1</v>
      </c>
      <c r="G279" s="197"/>
      <c r="H279" s="198"/>
      <c r="I279" s="151">
        <f>IFERROR(INDEX(Composições!$A$5:$J$8391,MATCH(B279,Composições!$A$5:$A$8391,0)+2,8),"")</f>
        <v>92.668700000000001</v>
      </c>
      <c r="J279" s="152">
        <f t="shared" si="45"/>
        <v>834.02</v>
      </c>
      <c r="K279" s="198">
        <f>BDI!$B$17</f>
        <v>0.191</v>
      </c>
      <c r="L279" s="198"/>
      <c r="M279" s="198"/>
      <c r="N279" s="153">
        <f t="shared" si="46"/>
        <v>110.37</v>
      </c>
      <c r="O279" s="152">
        <f t="shared" si="47"/>
        <v>993.33</v>
      </c>
      <c r="P279" s="225"/>
      <c r="Q279" s="208"/>
      <c r="R279" s="208"/>
      <c r="S279"/>
      <c r="T279" s="208"/>
      <c r="U279" s="208"/>
      <c r="V279" s="208"/>
      <c r="W279" s="208"/>
      <c r="X279" s="208"/>
      <c r="Y279" s="208"/>
      <c r="Z279" s="208"/>
      <c r="AA279" s="208"/>
      <c r="AB279" s="208"/>
      <c r="AC279" s="208"/>
      <c r="AD279" s="208"/>
      <c r="AE279" s="208"/>
      <c r="AF279" s="208"/>
      <c r="AG279" s="208"/>
      <c r="AH279" s="208"/>
      <c r="AI279" s="208"/>
      <c r="AJ279" s="208"/>
      <c r="AK279" s="208"/>
      <c r="AL279" s="208"/>
      <c r="AM279" s="208"/>
      <c r="AN279" s="208"/>
      <c r="AO279" s="208"/>
      <c r="AP279" s="208"/>
      <c r="AQ279" s="208"/>
      <c r="AR279" s="208"/>
      <c r="AS279" s="208"/>
      <c r="AT279" s="208"/>
      <c r="AU279" s="208"/>
      <c r="AV279" s="208"/>
      <c r="AW279" s="208"/>
      <c r="AX279" s="208"/>
      <c r="AY279" s="208"/>
      <c r="AZ279" s="208"/>
      <c r="BA279" s="208"/>
      <c r="BB279" s="208"/>
      <c r="BC279" s="208"/>
      <c r="BD279" s="208"/>
      <c r="BE279" s="208"/>
      <c r="BF279" s="208"/>
      <c r="BG279" s="208"/>
      <c r="BH279" s="208"/>
      <c r="BI279" s="208"/>
      <c r="BJ279" s="208"/>
      <c r="BK279" s="208"/>
      <c r="BL279" s="208"/>
      <c r="BM279" s="208"/>
      <c r="BN279" s="208"/>
      <c r="BO279" s="208"/>
      <c r="BP279" s="208"/>
      <c r="BQ279" s="208"/>
      <c r="BR279" s="208"/>
      <c r="BS279" s="208"/>
      <c r="BT279" s="208"/>
      <c r="BU279" s="208"/>
      <c r="BV279" s="208"/>
      <c r="BW279" s="208"/>
      <c r="BX279" s="208"/>
      <c r="BY279" s="208"/>
      <c r="BZ279" s="208"/>
      <c r="CA279" s="208"/>
      <c r="CB279" s="208"/>
      <c r="CC279" s="208"/>
      <c r="CD279" s="208"/>
      <c r="CE279" s="208"/>
      <c r="CF279" s="208"/>
      <c r="CG279" s="208"/>
      <c r="CH279" s="208"/>
      <c r="CI279" s="208"/>
      <c r="CJ279" s="208"/>
      <c r="CK279" s="208"/>
      <c r="CL279" s="208"/>
      <c r="CM279" s="208"/>
      <c r="CN279" s="208"/>
      <c r="CO279" s="208"/>
      <c r="CP279" s="208"/>
      <c r="CQ279" s="208"/>
      <c r="CR279" s="208"/>
      <c r="CS279" s="208"/>
      <c r="CT279" s="208"/>
      <c r="CU279" s="208"/>
      <c r="CV279" s="208"/>
      <c r="CW279" s="208"/>
      <c r="CX279" s="208"/>
      <c r="CY279" s="208"/>
      <c r="CZ279" s="208"/>
      <c r="DA279" s="208"/>
      <c r="DB279" s="208"/>
      <c r="DC279" s="208"/>
      <c r="DD279" s="208"/>
      <c r="DE279" s="208"/>
      <c r="DF279" s="208"/>
      <c r="DG279" s="208"/>
      <c r="DH279" s="208"/>
      <c r="DI279" s="208"/>
      <c r="DJ279" s="208"/>
      <c r="DK279" s="208"/>
      <c r="DL279" s="208"/>
      <c r="DM279" s="208"/>
      <c r="DN279" s="208"/>
      <c r="DO279" s="208"/>
      <c r="DP279" s="208"/>
      <c r="DQ279" s="208"/>
      <c r="DR279" s="208"/>
      <c r="DS279" s="208"/>
      <c r="DT279" s="208"/>
      <c r="DU279" s="208"/>
      <c r="DV279" s="208"/>
      <c r="DW279" s="208"/>
      <c r="DX279" s="208"/>
      <c r="DY279" s="208"/>
      <c r="DZ279" s="208"/>
      <c r="EA279" s="208"/>
      <c r="EB279" s="208"/>
      <c r="EC279" s="208"/>
      <c r="ED279" s="208"/>
      <c r="EE279" s="208"/>
      <c r="EF279" s="208"/>
      <c r="EG279" s="208"/>
      <c r="EH279" s="208"/>
      <c r="EI279" s="208"/>
      <c r="EJ279" s="208"/>
      <c r="EK279" s="208"/>
      <c r="EL279" s="208"/>
      <c r="EM279" s="208"/>
      <c r="EN279" s="208"/>
      <c r="EO279" s="208"/>
      <c r="EP279" s="208"/>
      <c r="EQ279" s="208"/>
      <c r="ER279" s="208"/>
      <c r="ES279" s="208"/>
      <c r="ET279" s="208"/>
      <c r="EU279" s="208"/>
      <c r="EV279" s="208"/>
      <c r="EW279" s="208"/>
      <c r="EX279" s="208"/>
      <c r="EY279" s="208"/>
      <c r="EZ279" s="208"/>
      <c r="FA279" s="208"/>
      <c r="FB279" s="208"/>
      <c r="FC279" s="208"/>
      <c r="FD279" s="208"/>
      <c r="FE279" s="208"/>
      <c r="FF279" s="208"/>
      <c r="FG279" s="208"/>
      <c r="FH279" s="208"/>
      <c r="FI279" s="208"/>
      <c r="FJ279" s="208"/>
      <c r="FK279" s="208"/>
      <c r="FL279" s="208"/>
      <c r="FM279" s="208"/>
      <c r="FN279" s="208"/>
      <c r="FO279" s="208"/>
      <c r="FP279" s="208"/>
      <c r="FQ279" s="208"/>
      <c r="FR279" s="208"/>
      <c r="FS279" s="208"/>
      <c r="FT279" s="208"/>
      <c r="FU279" s="208"/>
      <c r="FV279" s="208"/>
      <c r="FW279" s="208"/>
      <c r="FX279" s="208"/>
      <c r="FY279" s="208"/>
      <c r="FZ279" s="208"/>
      <c r="GA279" s="208"/>
      <c r="GB279" s="208"/>
      <c r="GC279" s="208"/>
      <c r="GD279" s="208"/>
      <c r="GE279" s="208"/>
      <c r="GF279" s="208"/>
    </row>
    <row r="280" spans="1:188" s="209" customFormat="1" ht="15" x14ac:dyDescent="0.25">
      <c r="A280" s="195" t="s">
        <v>5059</v>
      </c>
      <c r="B280" s="195" t="s">
        <v>749</v>
      </c>
      <c r="C280" s="196" t="s">
        <v>2660</v>
      </c>
      <c r="D280" s="154" t="s">
        <v>28</v>
      </c>
      <c r="E280" s="154">
        <v>120</v>
      </c>
      <c r="F280" s="154">
        <v>0.1</v>
      </c>
      <c r="G280" s="197"/>
      <c r="H280" s="198"/>
      <c r="I280" s="151">
        <f>IFERROR(INDEX(Composições!$A$5:$J$8391,MATCH(B280,Composições!$A$5:$A$8391,0)+2,8),"")</f>
        <v>85.251200000000011</v>
      </c>
      <c r="J280" s="152">
        <f t="shared" si="45"/>
        <v>1023.01</v>
      </c>
      <c r="K280" s="198">
        <f>BDI!$B$17</f>
        <v>0.191</v>
      </c>
      <c r="L280" s="198"/>
      <c r="M280" s="198"/>
      <c r="N280" s="153">
        <f t="shared" si="46"/>
        <v>101.53</v>
      </c>
      <c r="O280" s="152">
        <f t="shared" si="47"/>
        <v>1218.3599999999999</v>
      </c>
      <c r="P280" s="225"/>
      <c r="Q280" s="208"/>
      <c r="R280" s="208"/>
      <c r="S280"/>
      <c r="T280" s="208"/>
      <c r="U280" s="208"/>
      <c r="V280" s="208"/>
      <c r="W280" s="208"/>
      <c r="X280" s="208"/>
      <c r="Y280" s="208"/>
      <c r="Z280" s="208"/>
      <c r="AA280" s="208"/>
      <c r="AB280" s="208"/>
      <c r="AC280" s="208"/>
      <c r="AD280" s="208"/>
      <c r="AE280" s="208"/>
      <c r="AF280" s="208"/>
      <c r="AG280" s="208"/>
      <c r="AH280" s="208"/>
      <c r="AI280" s="208"/>
      <c r="AJ280" s="208"/>
      <c r="AK280" s="208"/>
      <c r="AL280" s="208"/>
      <c r="AM280" s="208"/>
      <c r="AN280" s="208"/>
      <c r="AO280" s="208"/>
      <c r="AP280" s="208"/>
      <c r="AQ280" s="208"/>
      <c r="AR280" s="208"/>
      <c r="AS280" s="208"/>
      <c r="AT280" s="208"/>
      <c r="AU280" s="208"/>
      <c r="AV280" s="208"/>
      <c r="AW280" s="208"/>
      <c r="AX280" s="208"/>
      <c r="AY280" s="208"/>
      <c r="AZ280" s="208"/>
      <c r="BA280" s="208"/>
      <c r="BB280" s="208"/>
      <c r="BC280" s="208"/>
      <c r="BD280" s="208"/>
      <c r="BE280" s="208"/>
      <c r="BF280" s="208"/>
      <c r="BG280" s="208"/>
      <c r="BH280" s="208"/>
      <c r="BI280" s="208"/>
      <c r="BJ280" s="208"/>
      <c r="BK280" s="208"/>
      <c r="BL280" s="208"/>
      <c r="BM280" s="208"/>
      <c r="BN280" s="208"/>
      <c r="BO280" s="208"/>
      <c r="BP280" s="208"/>
      <c r="BQ280" s="208"/>
      <c r="BR280" s="208"/>
      <c r="BS280" s="208"/>
      <c r="BT280" s="208"/>
      <c r="BU280" s="208"/>
      <c r="BV280" s="208"/>
      <c r="BW280" s="208"/>
      <c r="BX280" s="208"/>
      <c r="BY280" s="208"/>
      <c r="BZ280" s="208"/>
      <c r="CA280" s="208"/>
      <c r="CB280" s="208"/>
      <c r="CC280" s="208"/>
      <c r="CD280" s="208"/>
      <c r="CE280" s="208"/>
      <c r="CF280" s="208"/>
      <c r="CG280" s="208"/>
      <c r="CH280" s="208"/>
      <c r="CI280" s="208"/>
      <c r="CJ280" s="208"/>
      <c r="CK280" s="208"/>
      <c r="CL280" s="208"/>
      <c r="CM280" s="208"/>
      <c r="CN280" s="208"/>
      <c r="CO280" s="208"/>
      <c r="CP280" s="208"/>
      <c r="CQ280" s="208"/>
      <c r="CR280" s="208"/>
      <c r="CS280" s="208"/>
      <c r="CT280" s="208"/>
      <c r="CU280" s="208"/>
      <c r="CV280" s="208"/>
      <c r="CW280" s="208"/>
      <c r="CX280" s="208"/>
      <c r="CY280" s="208"/>
      <c r="CZ280" s="208"/>
      <c r="DA280" s="208"/>
      <c r="DB280" s="208"/>
      <c r="DC280" s="208"/>
      <c r="DD280" s="208"/>
      <c r="DE280" s="208"/>
      <c r="DF280" s="208"/>
      <c r="DG280" s="208"/>
      <c r="DH280" s="208"/>
      <c r="DI280" s="208"/>
      <c r="DJ280" s="208"/>
      <c r="DK280" s="208"/>
      <c r="DL280" s="208"/>
      <c r="DM280" s="208"/>
      <c r="DN280" s="208"/>
      <c r="DO280" s="208"/>
      <c r="DP280" s="208"/>
      <c r="DQ280" s="208"/>
      <c r="DR280" s="208"/>
      <c r="DS280" s="208"/>
      <c r="DT280" s="208"/>
      <c r="DU280" s="208"/>
      <c r="DV280" s="208"/>
      <c r="DW280" s="208"/>
      <c r="DX280" s="208"/>
      <c r="DY280" s="208"/>
      <c r="DZ280" s="208"/>
      <c r="EA280" s="208"/>
      <c r="EB280" s="208"/>
      <c r="EC280" s="208"/>
      <c r="ED280" s="208"/>
      <c r="EE280" s="208"/>
      <c r="EF280" s="208"/>
      <c r="EG280" s="208"/>
      <c r="EH280" s="208"/>
      <c r="EI280" s="208"/>
      <c r="EJ280" s="208"/>
      <c r="EK280" s="208"/>
      <c r="EL280" s="208"/>
      <c r="EM280" s="208"/>
      <c r="EN280" s="208"/>
      <c r="EO280" s="208"/>
      <c r="EP280" s="208"/>
      <c r="EQ280" s="208"/>
      <c r="ER280" s="208"/>
      <c r="ES280" s="208"/>
      <c r="ET280" s="208"/>
      <c r="EU280" s="208"/>
      <c r="EV280" s="208"/>
      <c r="EW280" s="208"/>
      <c r="EX280" s="208"/>
      <c r="EY280" s="208"/>
      <c r="EZ280" s="208"/>
      <c r="FA280" s="208"/>
      <c r="FB280" s="208"/>
      <c r="FC280" s="208"/>
      <c r="FD280" s="208"/>
      <c r="FE280" s="208"/>
      <c r="FF280" s="208"/>
      <c r="FG280" s="208"/>
      <c r="FH280" s="208"/>
      <c r="FI280" s="208"/>
      <c r="FJ280" s="208"/>
      <c r="FK280" s="208"/>
      <c r="FL280" s="208"/>
      <c r="FM280" s="208"/>
      <c r="FN280" s="208"/>
      <c r="FO280" s="208"/>
      <c r="FP280" s="208"/>
      <c r="FQ280" s="208"/>
      <c r="FR280" s="208"/>
      <c r="FS280" s="208"/>
      <c r="FT280" s="208"/>
      <c r="FU280" s="208"/>
      <c r="FV280" s="208"/>
      <c r="FW280" s="208"/>
      <c r="FX280" s="208"/>
      <c r="FY280" s="208"/>
      <c r="FZ280" s="208"/>
      <c r="GA280" s="208"/>
      <c r="GB280" s="208"/>
      <c r="GC280" s="208"/>
      <c r="GD280" s="208"/>
      <c r="GE280" s="208"/>
      <c r="GF280" s="208"/>
    </row>
    <row r="281" spans="1:188" s="209" customFormat="1" ht="15" x14ac:dyDescent="0.25">
      <c r="A281" s="195" t="s">
        <v>5060</v>
      </c>
      <c r="B281" s="195" t="s">
        <v>751</v>
      </c>
      <c r="C281" s="196" t="s">
        <v>2661</v>
      </c>
      <c r="D281" s="154" t="s">
        <v>28</v>
      </c>
      <c r="E281" s="154">
        <v>120</v>
      </c>
      <c r="F281" s="154">
        <v>0.1</v>
      </c>
      <c r="G281" s="197"/>
      <c r="H281" s="198"/>
      <c r="I281" s="151">
        <f>IFERROR(INDEX(Composições!$A$5:$J$8391,MATCH(B281,Composições!$A$5:$A$8391,0)+2,8),"")</f>
        <v>47.986399999999996</v>
      </c>
      <c r="J281" s="152">
        <f t="shared" si="45"/>
        <v>575.84</v>
      </c>
      <c r="K281" s="198">
        <f>BDI!$B$17</f>
        <v>0.191</v>
      </c>
      <c r="L281" s="198"/>
      <c r="M281" s="198"/>
      <c r="N281" s="153">
        <f t="shared" si="46"/>
        <v>57.15</v>
      </c>
      <c r="O281" s="152">
        <f t="shared" si="47"/>
        <v>685.8</v>
      </c>
      <c r="P281" s="225"/>
      <c r="Q281" s="208"/>
      <c r="R281" s="208"/>
      <c r="S281"/>
      <c r="T281" s="208"/>
      <c r="U281" s="208"/>
      <c r="V281" s="208"/>
      <c r="W281" s="208"/>
      <c r="X281" s="208"/>
      <c r="Y281" s="208"/>
      <c r="Z281" s="208"/>
      <c r="AA281" s="208"/>
      <c r="AB281" s="208"/>
      <c r="AC281" s="208"/>
      <c r="AD281" s="208"/>
      <c r="AE281" s="208"/>
      <c r="AF281" s="208"/>
      <c r="AG281" s="208"/>
      <c r="AH281" s="208"/>
      <c r="AI281" s="208"/>
      <c r="AJ281" s="208"/>
      <c r="AK281" s="208"/>
      <c r="AL281" s="208"/>
      <c r="AM281" s="208"/>
      <c r="AN281" s="208"/>
      <c r="AO281" s="208"/>
      <c r="AP281" s="208"/>
      <c r="AQ281" s="208"/>
      <c r="AR281" s="208"/>
      <c r="AS281" s="208"/>
      <c r="AT281" s="208"/>
      <c r="AU281" s="208"/>
      <c r="AV281" s="208"/>
      <c r="AW281" s="208"/>
      <c r="AX281" s="208"/>
      <c r="AY281" s="208"/>
      <c r="AZ281" s="208"/>
      <c r="BA281" s="208"/>
      <c r="BB281" s="208"/>
      <c r="BC281" s="208"/>
      <c r="BD281" s="208"/>
      <c r="BE281" s="208"/>
      <c r="BF281" s="208"/>
      <c r="BG281" s="208"/>
      <c r="BH281" s="208"/>
      <c r="BI281" s="208"/>
      <c r="BJ281" s="208"/>
      <c r="BK281" s="208"/>
      <c r="BL281" s="208"/>
      <c r="BM281" s="208"/>
      <c r="BN281" s="208"/>
      <c r="BO281" s="208"/>
      <c r="BP281" s="208"/>
      <c r="BQ281" s="208"/>
      <c r="BR281" s="208"/>
      <c r="BS281" s="208"/>
      <c r="BT281" s="208"/>
      <c r="BU281" s="208"/>
      <c r="BV281" s="208"/>
      <c r="BW281" s="208"/>
      <c r="BX281" s="208"/>
      <c r="BY281" s="208"/>
      <c r="BZ281" s="208"/>
      <c r="CA281" s="208"/>
      <c r="CB281" s="208"/>
      <c r="CC281" s="208"/>
      <c r="CD281" s="208"/>
      <c r="CE281" s="208"/>
      <c r="CF281" s="208"/>
      <c r="CG281" s="208"/>
      <c r="CH281" s="208"/>
      <c r="CI281" s="208"/>
      <c r="CJ281" s="208"/>
      <c r="CK281" s="208"/>
      <c r="CL281" s="208"/>
      <c r="CM281" s="208"/>
      <c r="CN281" s="208"/>
      <c r="CO281" s="208"/>
      <c r="CP281" s="208"/>
      <c r="CQ281" s="208"/>
      <c r="CR281" s="208"/>
      <c r="CS281" s="208"/>
      <c r="CT281" s="208"/>
      <c r="CU281" s="208"/>
      <c r="CV281" s="208"/>
      <c r="CW281" s="208"/>
      <c r="CX281" s="208"/>
      <c r="CY281" s="208"/>
      <c r="CZ281" s="208"/>
      <c r="DA281" s="208"/>
      <c r="DB281" s="208"/>
      <c r="DC281" s="208"/>
      <c r="DD281" s="208"/>
      <c r="DE281" s="208"/>
      <c r="DF281" s="208"/>
      <c r="DG281" s="208"/>
      <c r="DH281" s="208"/>
      <c r="DI281" s="208"/>
      <c r="DJ281" s="208"/>
      <c r="DK281" s="208"/>
      <c r="DL281" s="208"/>
      <c r="DM281" s="208"/>
      <c r="DN281" s="208"/>
      <c r="DO281" s="208"/>
      <c r="DP281" s="208"/>
      <c r="DQ281" s="208"/>
      <c r="DR281" s="208"/>
      <c r="DS281" s="208"/>
      <c r="DT281" s="208"/>
      <c r="DU281" s="208"/>
      <c r="DV281" s="208"/>
      <c r="DW281" s="208"/>
      <c r="DX281" s="208"/>
      <c r="DY281" s="208"/>
      <c r="DZ281" s="208"/>
      <c r="EA281" s="208"/>
      <c r="EB281" s="208"/>
      <c r="EC281" s="208"/>
      <c r="ED281" s="208"/>
      <c r="EE281" s="208"/>
      <c r="EF281" s="208"/>
      <c r="EG281" s="208"/>
      <c r="EH281" s="208"/>
      <c r="EI281" s="208"/>
      <c r="EJ281" s="208"/>
      <c r="EK281" s="208"/>
      <c r="EL281" s="208"/>
      <c r="EM281" s="208"/>
      <c r="EN281" s="208"/>
      <c r="EO281" s="208"/>
      <c r="EP281" s="208"/>
      <c r="EQ281" s="208"/>
      <c r="ER281" s="208"/>
      <c r="ES281" s="208"/>
      <c r="ET281" s="208"/>
      <c r="EU281" s="208"/>
      <c r="EV281" s="208"/>
      <c r="EW281" s="208"/>
      <c r="EX281" s="208"/>
      <c r="EY281" s="208"/>
      <c r="EZ281" s="208"/>
      <c r="FA281" s="208"/>
      <c r="FB281" s="208"/>
      <c r="FC281" s="208"/>
      <c r="FD281" s="208"/>
      <c r="FE281" s="208"/>
      <c r="FF281" s="208"/>
      <c r="FG281" s="208"/>
      <c r="FH281" s="208"/>
      <c r="FI281" s="208"/>
      <c r="FJ281" s="208"/>
      <c r="FK281" s="208"/>
      <c r="FL281" s="208"/>
      <c r="FM281" s="208"/>
      <c r="FN281" s="208"/>
      <c r="FO281" s="208"/>
      <c r="FP281" s="208"/>
      <c r="FQ281" s="208"/>
      <c r="FR281" s="208"/>
      <c r="FS281" s="208"/>
      <c r="FT281" s="208"/>
      <c r="FU281" s="208"/>
      <c r="FV281" s="208"/>
      <c r="FW281" s="208"/>
      <c r="FX281" s="208"/>
      <c r="FY281" s="208"/>
      <c r="FZ281" s="208"/>
      <c r="GA281" s="208"/>
      <c r="GB281" s="208"/>
      <c r="GC281" s="208"/>
      <c r="GD281" s="208"/>
      <c r="GE281" s="208"/>
      <c r="GF281" s="208"/>
    </row>
    <row r="282" spans="1:188" s="209" customFormat="1" ht="15" x14ac:dyDescent="0.25">
      <c r="A282" s="195" t="s">
        <v>5061</v>
      </c>
      <c r="B282" s="195" t="s">
        <v>753</v>
      </c>
      <c r="C282" s="196" t="s">
        <v>2662</v>
      </c>
      <c r="D282" s="154" t="s">
        <v>28</v>
      </c>
      <c r="E282" s="154">
        <v>90</v>
      </c>
      <c r="F282" s="154">
        <v>0.1</v>
      </c>
      <c r="G282" s="197"/>
      <c r="H282" s="198"/>
      <c r="I282" s="151">
        <f>IFERROR(INDEX(Composições!$A$5:$J$8391,MATCH(B282,Composições!$A$5:$A$8391,0)+2,8),"")</f>
        <v>29.182099999999998</v>
      </c>
      <c r="J282" s="152">
        <f t="shared" si="45"/>
        <v>262.64</v>
      </c>
      <c r="K282" s="198">
        <f>BDI!$B$17</f>
        <v>0.191</v>
      </c>
      <c r="L282" s="198"/>
      <c r="M282" s="198"/>
      <c r="N282" s="153">
        <f t="shared" si="46"/>
        <v>34.76</v>
      </c>
      <c r="O282" s="152">
        <f t="shared" si="47"/>
        <v>312.83999999999997</v>
      </c>
      <c r="P282" s="225"/>
      <c r="Q282" s="208"/>
      <c r="R282" s="208"/>
      <c r="S282"/>
      <c r="T282" s="208"/>
      <c r="U282" s="208"/>
      <c r="V282" s="208"/>
      <c r="W282" s="208"/>
      <c r="X282" s="208"/>
      <c r="Y282" s="208"/>
      <c r="Z282" s="208"/>
      <c r="AA282" s="208"/>
      <c r="AB282" s="208"/>
      <c r="AC282" s="208"/>
      <c r="AD282" s="208"/>
      <c r="AE282" s="208"/>
      <c r="AF282" s="208"/>
      <c r="AG282" s="208"/>
      <c r="AH282" s="208"/>
      <c r="AI282" s="208"/>
      <c r="AJ282" s="208"/>
      <c r="AK282" s="208"/>
      <c r="AL282" s="208"/>
      <c r="AM282" s="208"/>
      <c r="AN282" s="208"/>
      <c r="AO282" s="208"/>
      <c r="AP282" s="208"/>
      <c r="AQ282" s="208"/>
      <c r="AR282" s="208"/>
      <c r="AS282" s="208"/>
      <c r="AT282" s="208"/>
      <c r="AU282" s="208"/>
      <c r="AV282" s="208"/>
      <c r="AW282" s="208"/>
      <c r="AX282" s="208"/>
      <c r="AY282" s="208"/>
      <c r="AZ282" s="208"/>
      <c r="BA282" s="208"/>
      <c r="BB282" s="208"/>
      <c r="BC282" s="208"/>
      <c r="BD282" s="208"/>
      <c r="BE282" s="208"/>
      <c r="BF282" s="208"/>
      <c r="BG282" s="208"/>
      <c r="BH282" s="208"/>
      <c r="BI282" s="208"/>
      <c r="BJ282" s="208"/>
      <c r="BK282" s="208"/>
      <c r="BL282" s="208"/>
      <c r="BM282" s="208"/>
      <c r="BN282" s="208"/>
      <c r="BO282" s="208"/>
      <c r="BP282" s="208"/>
      <c r="BQ282" s="208"/>
      <c r="BR282" s="208"/>
      <c r="BS282" s="208"/>
      <c r="BT282" s="208"/>
      <c r="BU282" s="208"/>
      <c r="BV282" s="208"/>
      <c r="BW282" s="208"/>
      <c r="BX282" s="208"/>
      <c r="BY282" s="208"/>
      <c r="BZ282" s="208"/>
      <c r="CA282" s="208"/>
      <c r="CB282" s="208"/>
      <c r="CC282" s="208"/>
      <c r="CD282" s="208"/>
      <c r="CE282" s="208"/>
      <c r="CF282" s="208"/>
      <c r="CG282" s="208"/>
      <c r="CH282" s="208"/>
      <c r="CI282" s="208"/>
      <c r="CJ282" s="208"/>
      <c r="CK282" s="208"/>
      <c r="CL282" s="208"/>
      <c r="CM282" s="208"/>
      <c r="CN282" s="208"/>
      <c r="CO282" s="208"/>
      <c r="CP282" s="208"/>
      <c r="CQ282" s="208"/>
      <c r="CR282" s="208"/>
      <c r="CS282" s="208"/>
      <c r="CT282" s="208"/>
      <c r="CU282" s="208"/>
      <c r="CV282" s="208"/>
      <c r="CW282" s="208"/>
      <c r="CX282" s="208"/>
      <c r="CY282" s="208"/>
      <c r="CZ282" s="208"/>
      <c r="DA282" s="208"/>
      <c r="DB282" s="208"/>
      <c r="DC282" s="208"/>
      <c r="DD282" s="208"/>
      <c r="DE282" s="208"/>
      <c r="DF282" s="208"/>
      <c r="DG282" s="208"/>
      <c r="DH282" s="208"/>
      <c r="DI282" s="208"/>
      <c r="DJ282" s="208"/>
      <c r="DK282" s="208"/>
      <c r="DL282" s="208"/>
      <c r="DM282" s="208"/>
      <c r="DN282" s="208"/>
      <c r="DO282" s="208"/>
      <c r="DP282" s="208"/>
      <c r="DQ282" s="208"/>
      <c r="DR282" s="208"/>
      <c r="DS282" s="208"/>
      <c r="DT282" s="208"/>
      <c r="DU282" s="208"/>
      <c r="DV282" s="208"/>
      <c r="DW282" s="208"/>
      <c r="DX282" s="208"/>
      <c r="DY282" s="208"/>
      <c r="DZ282" s="208"/>
      <c r="EA282" s="208"/>
      <c r="EB282" s="208"/>
      <c r="EC282" s="208"/>
      <c r="ED282" s="208"/>
      <c r="EE282" s="208"/>
      <c r="EF282" s="208"/>
      <c r="EG282" s="208"/>
      <c r="EH282" s="208"/>
      <c r="EI282" s="208"/>
      <c r="EJ282" s="208"/>
      <c r="EK282" s="208"/>
      <c r="EL282" s="208"/>
      <c r="EM282" s="208"/>
      <c r="EN282" s="208"/>
      <c r="EO282" s="208"/>
      <c r="EP282" s="208"/>
      <c r="EQ282" s="208"/>
      <c r="ER282" s="208"/>
      <c r="ES282" s="208"/>
      <c r="ET282" s="208"/>
      <c r="EU282" s="208"/>
      <c r="EV282" s="208"/>
      <c r="EW282" s="208"/>
      <c r="EX282" s="208"/>
      <c r="EY282" s="208"/>
      <c r="EZ282" s="208"/>
      <c r="FA282" s="208"/>
      <c r="FB282" s="208"/>
      <c r="FC282" s="208"/>
      <c r="FD282" s="208"/>
      <c r="FE282" s="208"/>
      <c r="FF282" s="208"/>
      <c r="FG282" s="208"/>
      <c r="FH282" s="208"/>
      <c r="FI282" s="208"/>
      <c r="FJ282" s="208"/>
      <c r="FK282" s="208"/>
      <c r="FL282" s="208"/>
      <c r="FM282" s="208"/>
      <c r="FN282" s="208"/>
      <c r="FO282" s="208"/>
      <c r="FP282" s="208"/>
      <c r="FQ282" s="208"/>
      <c r="FR282" s="208"/>
      <c r="FS282" s="208"/>
      <c r="FT282" s="208"/>
      <c r="FU282" s="208"/>
      <c r="FV282" s="208"/>
      <c r="FW282" s="208"/>
      <c r="FX282" s="208"/>
      <c r="FY282" s="208"/>
      <c r="FZ282" s="208"/>
      <c r="GA282" s="208"/>
      <c r="GB282" s="208"/>
      <c r="GC282" s="208"/>
      <c r="GD282" s="208"/>
      <c r="GE282" s="208"/>
      <c r="GF282" s="208"/>
    </row>
    <row r="283" spans="1:188" s="209" customFormat="1" ht="15" x14ac:dyDescent="0.25">
      <c r="A283" s="195" t="s">
        <v>5062</v>
      </c>
      <c r="B283" s="195" t="s">
        <v>755</v>
      </c>
      <c r="C283" s="196" t="s">
        <v>2663</v>
      </c>
      <c r="D283" s="154" t="s">
        <v>28</v>
      </c>
      <c r="E283" s="154">
        <v>120</v>
      </c>
      <c r="F283" s="154">
        <v>0.1</v>
      </c>
      <c r="G283" s="197"/>
      <c r="H283" s="198"/>
      <c r="I283" s="151">
        <f>IFERROR(INDEX(Composições!$A$5:$J$8391,MATCH(B283,Composições!$A$5:$A$8391,0)+2,8),"")</f>
        <v>19.2166</v>
      </c>
      <c r="J283" s="152">
        <f t="shared" ref="J283:J305" si="48">IF(ISNUMBER(I283),ROUND(F283*E283*I283,2),"")</f>
        <v>230.6</v>
      </c>
      <c r="K283" s="198">
        <f>BDI!$B$17</f>
        <v>0.191</v>
      </c>
      <c r="L283" s="198"/>
      <c r="M283" s="198"/>
      <c r="N283" s="153">
        <f t="shared" ref="N283:N305" si="49">IF(ISNUMBER(I283),ROUND(I283*(1+K283),2),"")</f>
        <v>22.89</v>
      </c>
      <c r="O283" s="152">
        <f t="shared" ref="O283:O305" si="50">IF(ISNUMBER(I283),ROUND(F283*N283*E283,2),"")</f>
        <v>274.68</v>
      </c>
      <c r="P283" s="225"/>
      <c r="Q283" s="208"/>
      <c r="R283" s="208"/>
      <c r="S283"/>
      <c r="T283" s="208"/>
      <c r="U283" s="208"/>
      <c r="V283" s="208"/>
      <c r="W283" s="208"/>
      <c r="X283" s="208"/>
      <c r="Y283" s="208"/>
      <c r="Z283" s="208"/>
      <c r="AA283" s="208"/>
      <c r="AB283" s="208"/>
      <c r="AC283" s="208"/>
      <c r="AD283" s="208"/>
      <c r="AE283" s="208"/>
      <c r="AF283" s="208"/>
      <c r="AG283" s="208"/>
      <c r="AH283" s="208"/>
      <c r="AI283" s="208"/>
      <c r="AJ283" s="208"/>
      <c r="AK283" s="208"/>
      <c r="AL283" s="208"/>
      <c r="AM283" s="208"/>
      <c r="AN283" s="208"/>
      <c r="AO283" s="208"/>
      <c r="AP283" s="208"/>
      <c r="AQ283" s="208"/>
      <c r="AR283" s="208"/>
      <c r="AS283" s="208"/>
      <c r="AT283" s="208"/>
      <c r="AU283" s="208"/>
      <c r="AV283" s="208"/>
      <c r="AW283" s="208"/>
      <c r="AX283" s="208"/>
      <c r="AY283" s="208"/>
      <c r="AZ283" s="208"/>
      <c r="BA283" s="208"/>
      <c r="BB283" s="208"/>
      <c r="BC283" s="208"/>
      <c r="BD283" s="208"/>
      <c r="BE283" s="208"/>
      <c r="BF283" s="208"/>
      <c r="BG283" s="208"/>
      <c r="BH283" s="208"/>
      <c r="BI283" s="208"/>
      <c r="BJ283" s="208"/>
      <c r="BK283" s="208"/>
      <c r="BL283" s="208"/>
      <c r="BM283" s="208"/>
      <c r="BN283" s="208"/>
      <c r="BO283" s="208"/>
      <c r="BP283" s="208"/>
      <c r="BQ283" s="208"/>
      <c r="BR283" s="208"/>
      <c r="BS283" s="208"/>
      <c r="BT283" s="208"/>
      <c r="BU283" s="208"/>
      <c r="BV283" s="208"/>
      <c r="BW283" s="208"/>
      <c r="BX283" s="208"/>
      <c r="BY283" s="208"/>
      <c r="BZ283" s="208"/>
      <c r="CA283" s="208"/>
      <c r="CB283" s="208"/>
      <c r="CC283" s="208"/>
      <c r="CD283" s="208"/>
      <c r="CE283" s="208"/>
      <c r="CF283" s="208"/>
      <c r="CG283" s="208"/>
      <c r="CH283" s="208"/>
      <c r="CI283" s="208"/>
      <c r="CJ283" s="208"/>
      <c r="CK283" s="208"/>
      <c r="CL283" s="208"/>
      <c r="CM283" s="208"/>
      <c r="CN283" s="208"/>
      <c r="CO283" s="208"/>
      <c r="CP283" s="208"/>
      <c r="CQ283" s="208"/>
      <c r="CR283" s="208"/>
      <c r="CS283" s="208"/>
      <c r="CT283" s="208"/>
      <c r="CU283" s="208"/>
      <c r="CV283" s="208"/>
      <c r="CW283" s="208"/>
      <c r="CX283" s="208"/>
      <c r="CY283" s="208"/>
      <c r="CZ283" s="208"/>
      <c r="DA283" s="208"/>
      <c r="DB283" s="208"/>
      <c r="DC283" s="208"/>
      <c r="DD283" s="208"/>
      <c r="DE283" s="208"/>
      <c r="DF283" s="208"/>
      <c r="DG283" s="208"/>
      <c r="DH283" s="208"/>
      <c r="DI283" s="208"/>
      <c r="DJ283" s="208"/>
      <c r="DK283" s="208"/>
      <c r="DL283" s="208"/>
      <c r="DM283" s="208"/>
      <c r="DN283" s="208"/>
      <c r="DO283" s="208"/>
      <c r="DP283" s="208"/>
      <c r="DQ283" s="208"/>
      <c r="DR283" s="208"/>
      <c r="DS283" s="208"/>
      <c r="DT283" s="208"/>
      <c r="DU283" s="208"/>
      <c r="DV283" s="208"/>
      <c r="DW283" s="208"/>
      <c r="DX283" s="208"/>
      <c r="DY283" s="208"/>
      <c r="DZ283" s="208"/>
      <c r="EA283" s="208"/>
      <c r="EB283" s="208"/>
      <c r="EC283" s="208"/>
      <c r="ED283" s="208"/>
      <c r="EE283" s="208"/>
      <c r="EF283" s="208"/>
      <c r="EG283" s="208"/>
      <c r="EH283" s="208"/>
      <c r="EI283" s="208"/>
      <c r="EJ283" s="208"/>
      <c r="EK283" s="208"/>
      <c r="EL283" s="208"/>
      <c r="EM283" s="208"/>
      <c r="EN283" s="208"/>
      <c r="EO283" s="208"/>
      <c r="EP283" s="208"/>
      <c r="EQ283" s="208"/>
      <c r="ER283" s="208"/>
      <c r="ES283" s="208"/>
      <c r="ET283" s="208"/>
      <c r="EU283" s="208"/>
      <c r="EV283" s="208"/>
      <c r="EW283" s="208"/>
      <c r="EX283" s="208"/>
      <c r="EY283" s="208"/>
      <c r="EZ283" s="208"/>
      <c r="FA283" s="208"/>
      <c r="FB283" s="208"/>
      <c r="FC283" s="208"/>
      <c r="FD283" s="208"/>
      <c r="FE283" s="208"/>
      <c r="FF283" s="208"/>
      <c r="FG283" s="208"/>
      <c r="FH283" s="208"/>
      <c r="FI283" s="208"/>
      <c r="FJ283" s="208"/>
      <c r="FK283" s="208"/>
      <c r="FL283" s="208"/>
      <c r="FM283" s="208"/>
      <c r="FN283" s="208"/>
      <c r="FO283" s="208"/>
      <c r="FP283" s="208"/>
      <c r="FQ283" s="208"/>
      <c r="FR283" s="208"/>
      <c r="FS283" s="208"/>
      <c r="FT283" s="208"/>
      <c r="FU283" s="208"/>
      <c r="FV283" s="208"/>
      <c r="FW283" s="208"/>
      <c r="FX283" s="208"/>
      <c r="FY283" s="208"/>
      <c r="FZ283" s="208"/>
      <c r="GA283" s="208"/>
      <c r="GB283" s="208"/>
      <c r="GC283" s="208"/>
      <c r="GD283" s="208"/>
      <c r="GE283" s="208"/>
      <c r="GF283" s="208"/>
    </row>
    <row r="284" spans="1:188" s="209" customFormat="1" ht="15" x14ac:dyDescent="0.25">
      <c r="A284" s="195" t="s">
        <v>5063</v>
      </c>
      <c r="B284" s="195" t="s">
        <v>2665</v>
      </c>
      <c r="C284" s="196" t="s">
        <v>2666</v>
      </c>
      <c r="D284" s="154" t="s">
        <v>28</v>
      </c>
      <c r="E284" s="154">
        <v>20</v>
      </c>
      <c r="F284" s="154">
        <v>0.1</v>
      </c>
      <c r="G284" s="197"/>
      <c r="H284" s="198"/>
      <c r="I284" s="247">
        <v>993.43</v>
      </c>
      <c r="J284" s="152">
        <f t="shared" si="48"/>
        <v>1986.86</v>
      </c>
      <c r="K284" s="198">
        <f>BDI!$B$17</f>
        <v>0.191</v>
      </c>
      <c r="L284" s="198"/>
      <c r="M284" s="198"/>
      <c r="N284" s="153">
        <f t="shared" si="49"/>
        <v>1183.18</v>
      </c>
      <c r="O284" s="152">
        <f t="shared" si="50"/>
        <v>2366.36</v>
      </c>
      <c r="P284" s="225"/>
      <c r="Q284" s="208"/>
      <c r="R284" s="208"/>
      <c r="S284"/>
      <c r="T284" s="208"/>
      <c r="U284" s="208"/>
      <c r="V284" s="208"/>
      <c r="W284" s="208"/>
      <c r="X284" s="208"/>
      <c r="Y284" s="208"/>
      <c r="Z284" s="208"/>
      <c r="AA284" s="208"/>
      <c r="AB284" s="208"/>
      <c r="AC284" s="208"/>
      <c r="AD284" s="208"/>
      <c r="AE284" s="208"/>
      <c r="AF284" s="208"/>
      <c r="AG284" s="208"/>
      <c r="AH284" s="208"/>
      <c r="AI284" s="208"/>
      <c r="AJ284" s="208"/>
      <c r="AK284" s="208"/>
      <c r="AL284" s="208"/>
      <c r="AM284" s="208"/>
      <c r="AN284" s="208"/>
      <c r="AO284" s="208"/>
      <c r="AP284" s="208"/>
      <c r="AQ284" s="208"/>
      <c r="AR284" s="208"/>
      <c r="AS284" s="208"/>
      <c r="AT284" s="208"/>
      <c r="AU284" s="208"/>
      <c r="AV284" s="208"/>
      <c r="AW284" s="208"/>
      <c r="AX284" s="208"/>
      <c r="AY284" s="208"/>
      <c r="AZ284" s="208"/>
      <c r="BA284" s="208"/>
      <c r="BB284" s="208"/>
      <c r="BC284" s="208"/>
      <c r="BD284" s="208"/>
      <c r="BE284" s="208"/>
      <c r="BF284" s="208"/>
      <c r="BG284" s="208"/>
      <c r="BH284" s="208"/>
      <c r="BI284" s="208"/>
      <c r="BJ284" s="208"/>
      <c r="BK284" s="208"/>
      <c r="BL284" s="208"/>
      <c r="BM284" s="208"/>
      <c r="BN284" s="208"/>
      <c r="BO284" s="208"/>
      <c r="BP284" s="208"/>
      <c r="BQ284" s="208"/>
      <c r="BR284" s="208"/>
      <c r="BS284" s="208"/>
      <c r="BT284" s="208"/>
      <c r="BU284" s="208"/>
      <c r="BV284" s="208"/>
      <c r="BW284" s="208"/>
      <c r="BX284" s="208"/>
      <c r="BY284" s="208"/>
      <c r="BZ284" s="208"/>
      <c r="CA284" s="208"/>
      <c r="CB284" s="208"/>
      <c r="CC284" s="208"/>
      <c r="CD284" s="208"/>
      <c r="CE284" s="208"/>
      <c r="CF284" s="208"/>
      <c r="CG284" s="208"/>
      <c r="CH284" s="208"/>
      <c r="CI284" s="208"/>
      <c r="CJ284" s="208"/>
      <c r="CK284" s="208"/>
      <c r="CL284" s="208"/>
      <c r="CM284" s="208"/>
      <c r="CN284" s="208"/>
      <c r="CO284" s="208"/>
      <c r="CP284" s="208"/>
      <c r="CQ284" s="208"/>
      <c r="CR284" s="208"/>
      <c r="CS284" s="208"/>
      <c r="CT284" s="208"/>
      <c r="CU284" s="208"/>
      <c r="CV284" s="208"/>
      <c r="CW284" s="208"/>
      <c r="CX284" s="208"/>
      <c r="CY284" s="208"/>
      <c r="CZ284" s="208"/>
      <c r="DA284" s="208"/>
      <c r="DB284" s="208"/>
      <c r="DC284" s="208"/>
      <c r="DD284" s="208"/>
      <c r="DE284" s="208"/>
      <c r="DF284" s="208"/>
      <c r="DG284" s="208"/>
      <c r="DH284" s="208"/>
      <c r="DI284" s="208"/>
      <c r="DJ284" s="208"/>
      <c r="DK284" s="208"/>
      <c r="DL284" s="208"/>
      <c r="DM284" s="208"/>
      <c r="DN284" s="208"/>
      <c r="DO284" s="208"/>
      <c r="DP284" s="208"/>
      <c r="DQ284" s="208"/>
      <c r="DR284" s="208"/>
      <c r="DS284" s="208"/>
      <c r="DT284" s="208"/>
      <c r="DU284" s="208"/>
      <c r="DV284" s="208"/>
      <c r="DW284" s="208"/>
      <c r="DX284" s="208"/>
      <c r="DY284" s="208"/>
      <c r="DZ284" s="208"/>
      <c r="EA284" s="208"/>
      <c r="EB284" s="208"/>
      <c r="EC284" s="208"/>
      <c r="ED284" s="208"/>
      <c r="EE284" s="208"/>
      <c r="EF284" s="208"/>
      <c r="EG284" s="208"/>
      <c r="EH284" s="208"/>
      <c r="EI284" s="208"/>
      <c r="EJ284" s="208"/>
      <c r="EK284" s="208"/>
      <c r="EL284" s="208"/>
      <c r="EM284" s="208"/>
      <c r="EN284" s="208"/>
      <c r="EO284" s="208"/>
      <c r="EP284" s="208"/>
      <c r="EQ284" s="208"/>
      <c r="ER284" s="208"/>
      <c r="ES284" s="208"/>
      <c r="ET284" s="208"/>
      <c r="EU284" s="208"/>
      <c r="EV284" s="208"/>
      <c r="EW284" s="208"/>
      <c r="EX284" s="208"/>
      <c r="EY284" s="208"/>
      <c r="EZ284" s="208"/>
      <c r="FA284" s="208"/>
      <c r="FB284" s="208"/>
      <c r="FC284" s="208"/>
      <c r="FD284" s="208"/>
      <c r="FE284" s="208"/>
      <c r="FF284" s="208"/>
      <c r="FG284" s="208"/>
      <c r="FH284" s="208"/>
      <c r="FI284" s="208"/>
      <c r="FJ284" s="208"/>
      <c r="FK284" s="208"/>
      <c r="FL284" s="208"/>
      <c r="FM284" s="208"/>
      <c r="FN284" s="208"/>
      <c r="FO284" s="208"/>
      <c r="FP284" s="208"/>
      <c r="FQ284" s="208"/>
      <c r="FR284" s="208"/>
      <c r="FS284" s="208"/>
      <c r="FT284" s="208"/>
      <c r="FU284" s="208"/>
      <c r="FV284" s="208"/>
      <c r="FW284" s="208"/>
      <c r="FX284" s="208"/>
      <c r="FY284" s="208"/>
      <c r="FZ284" s="208"/>
      <c r="GA284" s="208"/>
      <c r="GB284" s="208"/>
      <c r="GC284" s="208"/>
      <c r="GD284" s="208"/>
      <c r="GE284" s="208"/>
      <c r="GF284" s="208"/>
    </row>
    <row r="285" spans="1:188" s="209" customFormat="1" ht="15" x14ac:dyDescent="0.25">
      <c r="A285" s="195" t="s">
        <v>5064</v>
      </c>
      <c r="B285" s="195" t="s">
        <v>758</v>
      </c>
      <c r="C285" s="196" t="s">
        <v>2667</v>
      </c>
      <c r="D285" s="154" t="s">
        <v>28</v>
      </c>
      <c r="E285" s="154">
        <v>120</v>
      </c>
      <c r="F285" s="154">
        <v>0.1</v>
      </c>
      <c r="G285" s="197"/>
      <c r="H285" s="198"/>
      <c r="I285" s="151">
        <f>IFERROR(INDEX(Composições!$A$5:$J$8391,MATCH(B285,Composições!$A$5:$A$8391,0)+2,8),"")</f>
        <v>42.625600000000006</v>
      </c>
      <c r="J285" s="152">
        <f t="shared" si="48"/>
        <v>511.51</v>
      </c>
      <c r="K285" s="198">
        <f>BDI!$B$17</f>
        <v>0.191</v>
      </c>
      <c r="L285" s="198"/>
      <c r="M285" s="198"/>
      <c r="N285" s="153">
        <f t="shared" si="49"/>
        <v>50.77</v>
      </c>
      <c r="O285" s="152">
        <f t="shared" si="50"/>
        <v>609.24</v>
      </c>
      <c r="P285" s="225"/>
      <c r="Q285" s="208"/>
      <c r="R285" s="208"/>
      <c r="S285"/>
      <c r="T285" s="208"/>
      <c r="U285" s="208"/>
      <c r="V285" s="208"/>
      <c r="W285" s="208"/>
      <c r="X285" s="208"/>
      <c r="Y285" s="208"/>
      <c r="Z285" s="208"/>
      <c r="AA285" s="208"/>
      <c r="AB285" s="208"/>
      <c r="AC285" s="208"/>
      <c r="AD285" s="208"/>
      <c r="AE285" s="208"/>
      <c r="AF285" s="208"/>
      <c r="AG285" s="208"/>
      <c r="AH285" s="208"/>
      <c r="AI285" s="208"/>
      <c r="AJ285" s="208"/>
      <c r="AK285" s="208"/>
      <c r="AL285" s="208"/>
      <c r="AM285" s="208"/>
      <c r="AN285" s="208"/>
      <c r="AO285" s="208"/>
      <c r="AP285" s="208"/>
      <c r="AQ285" s="208"/>
      <c r="AR285" s="208"/>
      <c r="AS285" s="208"/>
      <c r="AT285" s="208"/>
      <c r="AU285" s="208"/>
      <c r="AV285" s="208"/>
      <c r="AW285" s="208"/>
      <c r="AX285" s="208"/>
      <c r="AY285" s="208"/>
      <c r="AZ285" s="208"/>
      <c r="BA285" s="208"/>
      <c r="BB285" s="208"/>
      <c r="BC285" s="208"/>
      <c r="BD285" s="208"/>
      <c r="BE285" s="208"/>
      <c r="BF285" s="208"/>
      <c r="BG285" s="208"/>
      <c r="BH285" s="208"/>
      <c r="BI285" s="208"/>
      <c r="BJ285" s="208"/>
      <c r="BK285" s="208"/>
      <c r="BL285" s="208"/>
      <c r="BM285" s="208"/>
      <c r="BN285" s="208"/>
      <c r="BO285" s="208"/>
      <c r="BP285" s="208"/>
      <c r="BQ285" s="208"/>
      <c r="BR285" s="208"/>
      <c r="BS285" s="208"/>
      <c r="BT285" s="208"/>
      <c r="BU285" s="208"/>
      <c r="BV285" s="208"/>
      <c r="BW285" s="208"/>
      <c r="BX285" s="208"/>
      <c r="BY285" s="208"/>
      <c r="BZ285" s="208"/>
      <c r="CA285" s="208"/>
      <c r="CB285" s="208"/>
      <c r="CC285" s="208"/>
      <c r="CD285" s="208"/>
      <c r="CE285" s="208"/>
      <c r="CF285" s="208"/>
      <c r="CG285" s="208"/>
      <c r="CH285" s="208"/>
      <c r="CI285" s="208"/>
      <c r="CJ285" s="208"/>
      <c r="CK285" s="208"/>
      <c r="CL285" s="208"/>
      <c r="CM285" s="208"/>
      <c r="CN285" s="208"/>
      <c r="CO285" s="208"/>
      <c r="CP285" s="208"/>
      <c r="CQ285" s="208"/>
      <c r="CR285" s="208"/>
      <c r="CS285" s="208"/>
      <c r="CT285" s="208"/>
      <c r="CU285" s="208"/>
      <c r="CV285" s="208"/>
      <c r="CW285" s="208"/>
      <c r="CX285" s="208"/>
      <c r="CY285" s="208"/>
      <c r="CZ285" s="208"/>
      <c r="DA285" s="208"/>
      <c r="DB285" s="208"/>
      <c r="DC285" s="208"/>
      <c r="DD285" s="208"/>
      <c r="DE285" s="208"/>
      <c r="DF285" s="208"/>
      <c r="DG285" s="208"/>
      <c r="DH285" s="208"/>
      <c r="DI285" s="208"/>
      <c r="DJ285" s="208"/>
      <c r="DK285" s="208"/>
      <c r="DL285" s="208"/>
      <c r="DM285" s="208"/>
      <c r="DN285" s="208"/>
      <c r="DO285" s="208"/>
      <c r="DP285" s="208"/>
      <c r="DQ285" s="208"/>
      <c r="DR285" s="208"/>
      <c r="DS285" s="208"/>
      <c r="DT285" s="208"/>
      <c r="DU285" s="208"/>
      <c r="DV285" s="208"/>
      <c r="DW285" s="208"/>
      <c r="DX285" s="208"/>
      <c r="DY285" s="208"/>
      <c r="DZ285" s="208"/>
      <c r="EA285" s="208"/>
      <c r="EB285" s="208"/>
      <c r="EC285" s="208"/>
      <c r="ED285" s="208"/>
      <c r="EE285" s="208"/>
      <c r="EF285" s="208"/>
      <c r="EG285" s="208"/>
      <c r="EH285" s="208"/>
      <c r="EI285" s="208"/>
      <c r="EJ285" s="208"/>
      <c r="EK285" s="208"/>
      <c r="EL285" s="208"/>
      <c r="EM285" s="208"/>
      <c r="EN285" s="208"/>
      <c r="EO285" s="208"/>
      <c r="EP285" s="208"/>
      <c r="EQ285" s="208"/>
      <c r="ER285" s="208"/>
      <c r="ES285" s="208"/>
      <c r="ET285" s="208"/>
      <c r="EU285" s="208"/>
      <c r="EV285" s="208"/>
      <c r="EW285" s="208"/>
      <c r="EX285" s="208"/>
      <c r="EY285" s="208"/>
      <c r="EZ285" s="208"/>
      <c r="FA285" s="208"/>
      <c r="FB285" s="208"/>
      <c r="FC285" s="208"/>
      <c r="FD285" s="208"/>
      <c r="FE285" s="208"/>
      <c r="FF285" s="208"/>
      <c r="FG285" s="208"/>
      <c r="FH285" s="208"/>
      <c r="FI285" s="208"/>
      <c r="FJ285" s="208"/>
      <c r="FK285" s="208"/>
      <c r="FL285" s="208"/>
      <c r="FM285" s="208"/>
      <c r="FN285" s="208"/>
      <c r="FO285" s="208"/>
      <c r="FP285" s="208"/>
      <c r="FQ285" s="208"/>
      <c r="FR285" s="208"/>
      <c r="FS285" s="208"/>
      <c r="FT285" s="208"/>
      <c r="FU285" s="208"/>
      <c r="FV285" s="208"/>
      <c r="FW285" s="208"/>
      <c r="FX285" s="208"/>
      <c r="FY285" s="208"/>
      <c r="FZ285" s="208"/>
      <c r="GA285" s="208"/>
      <c r="GB285" s="208"/>
      <c r="GC285" s="208"/>
      <c r="GD285" s="208"/>
      <c r="GE285" s="208"/>
      <c r="GF285" s="208"/>
    </row>
    <row r="286" spans="1:188" s="209" customFormat="1" ht="15" x14ac:dyDescent="0.25">
      <c r="A286" s="195" t="s">
        <v>5065</v>
      </c>
      <c r="B286" s="195" t="s">
        <v>760</v>
      </c>
      <c r="C286" s="196" t="s">
        <v>2668</v>
      </c>
      <c r="D286" s="154" t="s">
        <v>28</v>
      </c>
      <c r="E286" s="154">
        <v>20</v>
      </c>
      <c r="F286" s="154">
        <v>0.1</v>
      </c>
      <c r="G286" s="197"/>
      <c r="H286" s="198"/>
      <c r="I286" s="151">
        <f>IFERROR(INDEX(Composições!$A$5:$J$8391,MATCH(B286,Composições!$A$5:$A$8391,0)+2,8),"")</f>
        <v>34.375599999999999</v>
      </c>
      <c r="J286" s="152">
        <f t="shared" si="48"/>
        <v>68.75</v>
      </c>
      <c r="K286" s="198">
        <f>BDI!$B$17</f>
        <v>0.191</v>
      </c>
      <c r="L286" s="198"/>
      <c r="M286" s="198"/>
      <c r="N286" s="153">
        <f t="shared" si="49"/>
        <v>40.94</v>
      </c>
      <c r="O286" s="152">
        <f t="shared" si="50"/>
        <v>81.88</v>
      </c>
      <c r="P286" s="225"/>
      <c r="Q286" s="208"/>
      <c r="R286" s="208"/>
      <c r="S286"/>
      <c r="T286" s="208"/>
      <c r="U286" s="208"/>
      <c r="V286" s="208"/>
      <c r="W286" s="208"/>
      <c r="X286" s="208"/>
      <c r="Y286" s="208"/>
      <c r="Z286" s="208"/>
      <c r="AA286" s="208"/>
      <c r="AB286" s="208"/>
      <c r="AC286" s="208"/>
      <c r="AD286" s="208"/>
      <c r="AE286" s="208"/>
      <c r="AF286" s="208"/>
      <c r="AG286" s="208"/>
      <c r="AH286" s="208"/>
      <c r="AI286" s="208"/>
      <c r="AJ286" s="208"/>
      <c r="AK286" s="208"/>
      <c r="AL286" s="208"/>
      <c r="AM286" s="208"/>
      <c r="AN286" s="208"/>
      <c r="AO286" s="208"/>
      <c r="AP286" s="208"/>
      <c r="AQ286" s="208"/>
      <c r="AR286" s="208"/>
      <c r="AS286" s="208"/>
      <c r="AT286" s="208"/>
      <c r="AU286" s="208"/>
      <c r="AV286" s="208"/>
      <c r="AW286" s="208"/>
      <c r="AX286" s="208"/>
      <c r="AY286" s="208"/>
      <c r="AZ286" s="208"/>
      <c r="BA286" s="208"/>
      <c r="BB286" s="208"/>
      <c r="BC286" s="208"/>
      <c r="BD286" s="208"/>
      <c r="BE286" s="208"/>
      <c r="BF286" s="208"/>
      <c r="BG286" s="208"/>
      <c r="BH286" s="208"/>
      <c r="BI286" s="208"/>
      <c r="BJ286" s="208"/>
      <c r="BK286" s="208"/>
      <c r="BL286" s="208"/>
      <c r="BM286" s="208"/>
      <c r="BN286" s="208"/>
      <c r="BO286" s="208"/>
      <c r="BP286" s="208"/>
      <c r="BQ286" s="208"/>
      <c r="BR286" s="208"/>
      <c r="BS286" s="208"/>
      <c r="BT286" s="208"/>
      <c r="BU286" s="208"/>
      <c r="BV286" s="208"/>
      <c r="BW286" s="208"/>
      <c r="BX286" s="208"/>
      <c r="BY286" s="208"/>
      <c r="BZ286" s="208"/>
      <c r="CA286" s="208"/>
      <c r="CB286" s="208"/>
      <c r="CC286" s="208"/>
      <c r="CD286" s="208"/>
      <c r="CE286" s="208"/>
      <c r="CF286" s="208"/>
      <c r="CG286" s="208"/>
      <c r="CH286" s="208"/>
      <c r="CI286" s="208"/>
      <c r="CJ286" s="208"/>
      <c r="CK286" s="208"/>
      <c r="CL286" s="208"/>
      <c r="CM286" s="208"/>
      <c r="CN286" s="208"/>
      <c r="CO286" s="208"/>
      <c r="CP286" s="208"/>
      <c r="CQ286" s="208"/>
      <c r="CR286" s="208"/>
      <c r="CS286" s="208"/>
      <c r="CT286" s="208"/>
      <c r="CU286" s="208"/>
      <c r="CV286" s="208"/>
      <c r="CW286" s="208"/>
      <c r="CX286" s="208"/>
      <c r="CY286" s="208"/>
      <c r="CZ286" s="208"/>
      <c r="DA286" s="208"/>
      <c r="DB286" s="208"/>
      <c r="DC286" s="208"/>
      <c r="DD286" s="208"/>
      <c r="DE286" s="208"/>
      <c r="DF286" s="208"/>
      <c r="DG286" s="208"/>
      <c r="DH286" s="208"/>
      <c r="DI286" s="208"/>
      <c r="DJ286" s="208"/>
      <c r="DK286" s="208"/>
      <c r="DL286" s="208"/>
      <c r="DM286" s="208"/>
      <c r="DN286" s="208"/>
      <c r="DO286" s="208"/>
      <c r="DP286" s="208"/>
      <c r="DQ286" s="208"/>
      <c r="DR286" s="208"/>
      <c r="DS286" s="208"/>
      <c r="DT286" s="208"/>
      <c r="DU286" s="208"/>
      <c r="DV286" s="208"/>
      <c r="DW286" s="208"/>
      <c r="DX286" s="208"/>
      <c r="DY286" s="208"/>
      <c r="DZ286" s="208"/>
      <c r="EA286" s="208"/>
      <c r="EB286" s="208"/>
      <c r="EC286" s="208"/>
      <c r="ED286" s="208"/>
      <c r="EE286" s="208"/>
      <c r="EF286" s="208"/>
      <c r="EG286" s="208"/>
      <c r="EH286" s="208"/>
      <c r="EI286" s="208"/>
      <c r="EJ286" s="208"/>
      <c r="EK286" s="208"/>
      <c r="EL286" s="208"/>
      <c r="EM286" s="208"/>
      <c r="EN286" s="208"/>
      <c r="EO286" s="208"/>
      <c r="EP286" s="208"/>
      <c r="EQ286" s="208"/>
      <c r="ER286" s="208"/>
      <c r="ES286" s="208"/>
      <c r="ET286" s="208"/>
      <c r="EU286" s="208"/>
      <c r="EV286" s="208"/>
      <c r="EW286" s="208"/>
      <c r="EX286" s="208"/>
      <c r="EY286" s="208"/>
      <c r="EZ286" s="208"/>
      <c r="FA286" s="208"/>
      <c r="FB286" s="208"/>
      <c r="FC286" s="208"/>
      <c r="FD286" s="208"/>
      <c r="FE286" s="208"/>
      <c r="FF286" s="208"/>
      <c r="FG286" s="208"/>
      <c r="FH286" s="208"/>
      <c r="FI286" s="208"/>
      <c r="FJ286" s="208"/>
      <c r="FK286" s="208"/>
      <c r="FL286" s="208"/>
      <c r="FM286" s="208"/>
      <c r="FN286" s="208"/>
      <c r="FO286" s="208"/>
      <c r="FP286" s="208"/>
      <c r="FQ286" s="208"/>
      <c r="FR286" s="208"/>
      <c r="FS286" s="208"/>
      <c r="FT286" s="208"/>
      <c r="FU286" s="208"/>
      <c r="FV286" s="208"/>
      <c r="FW286" s="208"/>
      <c r="FX286" s="208"/>
      <c r="FY286" s="208"/>
      <c r="FZ286" s="208"/>
      <c r="GA286" s="208"/>
      <c r="GB286" s="208"/>
      <c r="GC286" s="208"/>
      <c r="GD286" s="208"/>
      <c r="GE286" s="208"/>
      <c r="GF286" s="208"/>
    </row>
    <row r="287" spans="1:188" s="209" customFormat="1" ht="15" x14ac:dyDescent="0.25">
      <c r="A287" s="195" t="s">
        <v>5066</v>
      </c>
      <c r="B287" s="195" t="s">
        <v>762</v>
      </c>
      <c r="C287" s="196" t="s">
        <v>2669</v>
      </c>
      <c r="D287" s="154" t="s">
        <v>28</v>
      </c>
      <c r="E287" s="154">
        <v>90</v>
      </c>
      <c r="F287" s="154">
        <v>0.1</v>
      </c>
      <c r="G287" s="197"/>
      <c r="H287" s="198"/>
      <c r="I287" s="151">
        <f>IFERROR(INDEX(Composições!$A$5:$J$8391,MATCH(B287,Composições!$A$5:$A$8391,0)+2,8),"")</f>
        <v>17.445599999999999</v>
      </c>
      <c r="J287" s="152">
        <f t="shared" si="48"/>
        <v>157.01</v>
      </c>
      <c r="K287" s="198">
        <f>BDI!$B$17</f>
        <v>0.191</v>
      </c>
      <c r="L287" s="198"/>
      <c r="M287" s="198"/>
      <c r="N287" s="153">
        <f t="shared" si="49"/>
        <v>20.78</v>
      </c>
      <c r="O287" s="152">
        <f t="shared" si="50"/>
        <v>187.02</v>
      </c>
      <c r="P287" s="225"/>
      <c r="Q287" s="208"/>
      <c r="R287" s="208"/>
      <c r="S287"/>
      <c r="T287" s="208"/>
      <c r="U287" s="208"/>
      <c r="V287" s="208"/>
      <c r="W287" s="208"/>
      <c r="X287" s="208"/>
      <c r="Y287" s="208"/>
      <c r="Z287" s="208"/>
      <c r="AA287" s="208"/>
      <c r="AB287" s="208"/>
      <c r="AC287" s="208"/>
      <c r="AD287" s="208"/>
      <c r="AE287" s="208"/>
      <c r="AF287" s="208"/>
      <c r="AG287" s="208"/>
      <c r="AH287" s="208"/>
      <c r="AI287" s="208"/>
      <c r="AJ287" s="208"/>
      <c r="AK287" s="208"/>
      <c r="AL287" s="208"/>
      <c r="AM287" s="208"/>
      <c r="AN287" s="208"/>
      <c r="AO287" s="208"/>
      <c r="AP287" s="208"/>
      <c r="AQ287" s="208"/>
      <c r="AR287" s="208"/>
      <c r="AS287" s="208"/>
      <c r="AT287" s="208"/>
      <c r="AU287" s="208"/>
      <c r="AV287" s="208"/>
      <c r="AW287" s="208"/>
      <c r="AX287" s="208"/>
      <c r="AY287" s="208"/>
      <c r="AZ287" s="208"/>
      <c r="BA287" s="208"/>
      <c r="BB287" s="208"/>
      <c r="BC287" s="208"/>
      <c r="BD287" s="208"/>
      <c r="BE287" s="208"/>
      <c r="BF287" s="208"/>
      <c r="BG287" s="208"/>
      <c r="BH287" s="208"/>
      <c r="BI287" s="208"/>
      <c r="BJ287" s="208"/>
      <c r="BK287" s="208"/>
      <c r="BL287" s="208"/>
      <c r="BM287" s="208"/>
      <c r="BN287" s="208"/>
      <c r="BO287" s="208"/>
      <c r="BP287" s="208"/>
      <c r="BQ287" s="208"/>
      <c r="BR287" s="208"/>
      <c r="BS287" s="208"/>
      <c r="BT287" s="208"/>
      <c r="BU287" s="208"/>
      <c r="BV287" s="208"/>
      <c r="BW287" s="208"/>
      <c r="BX287" s="208"/>
      <c r="BY287" s="208"/>
      <c r="BZ287" s="208"/>
      <c r="CA287" s="208"/>
      <c r="CB287" s="208"/>
      <c r="CC287" s="208"/>
      <c r="CD287" s="208"/>
      <c r="CE287" s="208"/>
      <c r="CF287" s="208"/>
      <c r="CG287" s="208"/>
      <c r="CH287" s="208"/>
      <c r="CI287" s="208"/>
      <c r="CJ287" s="208"/>
      <c r="CK287" s="208"/>
      <c r="CL287" s="208"/>
      <c r="CM287" s="208"/>
      <c r="CN287" s="208"/>
      <c r="CO287" s="208"/>
      <c r="CP287" s="208"/>
      <c r="CQ287" s="208"/>
      <c r="CR287" s="208"/>
      <c r="CS287" s="208"/>
      <c r="CT287" s="208"/>
      <c r="CU287" s="208"/>
      <c r="CV287" s="208"/>
      <c r="CW287" s="208"/>
      <c r="CX287" s="208"/>
      <c r="CY287" s="208"/>
      <c r="CZ287" s="208"/>
      <c r="DA287" s="208"/>
      <c r="DB287" s="208"/>
      <c r="DC287" s="208"/>
      <c r="DD287" s="208"/>
      <c r="DE287" s="208"/>
      <c r="DF287" s="208"/>
      <c r="DG287" s="208"/>
      <c r="DH287" s="208"/>
      <c r="DI287" s="208"/>
      <c r="DJ287" s="208"/>
      <c r="DK287" s="208"/>
      <c r="DL287" s="208"/>
      <c r="DM287" s="208"/>
      <c r="DN287" s="208"/>
      <c r="DO287" s="208"/>
      <c r="DP287" s="208"/>
      <c r="DQ287" s="208"/>
      <c r="DR287" s="208"/>
      <c r="DS287" s="208"/>
      <c r="DT287" s="208"/>
      <c r="DU287" s="208"/>
      <c r="DV287" s="208"/>
      <c r="DW287" s="208"/>
      <c r="DX287" s="208"/>
      <c r="DY287" s="208"/>
      <c r="DZ287" s="208"/>
      <c r="EA287" s="208"/>
      <c r="EB287" s="208"/>
      <c r="EC287" s="208"/>
      <c r="ED287" s="208"/>
      <c r="EE287" s="208"/>
      <c r="EF287" s="208"/>
      <c r="EG287" s="208"/>
      <c r="EH287" s="208"/>
      <c r="EI287" s="208"/>
      <c r="EJ287" s="208"/>
      <c r="EK287" s="208"/>
      <c r="EL287" s="208"/>
      <c r="EM287" s="208"/>
      <c r="EN287" s="208"/>
      <c r="EO287" s="208"/>
      <c r="EP287" s="208"/>
      <c r="EQ287" s="208"/>
      <c r="ER287" s="208"/>
      <c r="ES287" s="208"/>
      <c r="ET287" s="208"/>
      <c r="EU287" s="208"/>
      <c r="EV287" s="208"/>
      <c r="EW287" s="208"/>
      <c r="EX287" s="208"/>
      <c r="EY287" s="208"/>
      <c r="EZ287" s="208"/>
      <c r="FA287" s="208"/>
      <c r="FB287" s="208"/>
      <c r="FC287" s="208"/>
      <c r="FD287" s="208"/>
      <c r="FE287" s="208"/>
      <c r="FF287" s="208"/>
      <c r="FG287" s="208"/>
      <c r="FH287" s="208"/>
      <c r="FI287" s="208"/>
      <c r="FJ287" s="208"/>
      <c r="FK287" s="208"/>
      <c r="FL287" s="208"/>
      <c r="FM287" s="208"/>
      <c r="FN287" s="208"/>
      <c r="FO287" s="208"/>
      <c r="FP287" s="208"/>
      <c r="FQ287" s="208"/>
      <c r="FR287" s="208"/>
      <c r="FS287" s="208"/>
      <c r="FT287" s="208"/>
      <c r="FU287" s="208"/>
      <c r="FV287" s="208"/>
      <c r="FW287" s="208"/>
      <c r="FX287" s="208"/>
      <c r="FY287" s="208"/>
      <c r="FZ287" s="208"/>
      <c r="GA287" s="208"/>
      <c r="GB287" s="208"/>
      <c r="GC287" s="208"/>
      <c r="GD287" s="208"/>
      <c r="GE287" s="208"/>
      <c r="GF287" s="208"/>
    </row>
    <row r="288" spans="1:188" s="209" customFormat="1" ht="15" x14ac:dyDescent="0.25">
      <c r="A288" s="195" t="s">
        <v>5067</v>
      </c>
      <c r="B288" s="195" t="s">
        <v>764</v>
      </c>
      <c r="C288" s="196" t="s">
        <v>2670</v>
      </c>
      <c r="D288" s="154" t="s">
        <v>28</v>
      </c>
      <c r="E288" s="154">
        <v>60</v>
      </c>
      <c r="F288" s="154">
        <v>0.1</v>
      </c>
      <c r="G288" s="197"/>
      <c r="H288" s="198"/>
      <c r="I288" s="151">
        <f>IFERROR(INDEX(Composições!$A$5:$J$8391,MATCH(B288,Composições!$A$5:$A$8391,0)+2,8),"")</f>
        <v>483.80700000000002</v>
      </c>
      <c r="J288" s="152">
        <f t="shared" si="48"/>
        <v>2902.84</v>
      </c>
      <c r="K288" s="198">
        <f>BDI!$B$17</f>
        <v>0.191</v>
      </c>
      <c r="L288" s="198"/>
      <c r="M288" s="198"/>
      <c r="N288" s="153">
        <f t="shared" si="49"/>
        <v>576.21</v>
      </c>
      <c r="O288" s="152">
        <f t="shared" si="50"/>
        <v>3457.26</v>
      </c>
      <c r="P288" s="225"/>
      <c r="Q288" s="208"/>
      <c r="R288" s="208"/>
      <c r="S288"/>
      <c r="T288" s="208"/>
      <c r="U288" s="208"/>
      <c r="V288" s="208"/>
      <c r="W288" s="208"/>
      <c r="X288" s="208"/>
      <c r="Y288" s="208"/>
      <c r="Z288" s="208"/>
      <c r="AA288" s="208"/>
      <c r="AB288" s="208"/>
      <c r="AC288" s="208"/>
      <c r="AD288" s="208"/>
      <c r="AE288" s="208"/>
      <c r="AF288" s="208"/>
      <c r="AG288" s="208"/>
      <c r="AH288" s="208"/>
      <c r="AI288" s="208"/>
      <c r="AJ288" s="208"/>
      <c r="AK288" s="208"/>
      <c r="AL288" s="208"/>
      <c r="AM288" s="208"/>
      <c r="AN288" s="208"/>
      <c r="AO288" s="208"/>
      <c r="AP288" s="208"/>
      <c r="AQ288" s="208"/>
      <c r="AR288" s="208"/>
      <c r="AS288" s="208"/>
      <c r="AT288" s="208"/>
      <c r="AU288" s="208"/>
      <c r="AV288" s="208"/>
      <c r="AW288" s="208"/>
      <c r="AX288" s="208"/>
      <c r="AY288" s="208"/>
      <c r="AZ288" s="208"/>
      <c r="BA288" s="208"/>
      <c r="BB288" s="208"/>
      <c r="BC288" s="208"/>
      <c r="BD288" s="208"/>
      <c r="BE288" s="208"/>
      <c r="BF288" s="208"/>
      <c r="BG288" s="208"/>
      <c r="BH288" s="208"/>
      <c r="BI288" s="208"/>
      <c r="BJ288" s="208"/>
      <c r="BK288" s="208"/>
      <c r="BL288" s="208"/>
      <c r="BM288" s="208"/>
      <c r="BN288" s="208"/>
      <c r="BO288" s="208"/>
      <c r="BP288" s="208"/>
      <c r="BQ288" s="208"/>
      <c r="BR288" s="208"/>
      <c r="BS288" s="208"/>
      <c r="BT288" s="208"/>
      <c r="BU288" s="208"/>
      <c r="BV288" s="208"/>
      <c r="BW288" s="208"/>
      <c r="BX288" s="208"/>
      <c r="BY288" s="208"/>
      <c r="BZ288" s="208"/>
      <c r="CA288" s="208"/>
      <c r="CB288" s="208"/>
      <c r="CC288" s="208"/>
      <c r="CD288" s="208"/>
      <c r="CE288" s="208"/>
      <c r="CF288" s="208"/>
      <c r="CG288" s="208"/>
      <c r="CH288" s="208"/>
      <c r="CI288" s="208"/>
      <c r="CJ288" s="208"/>
      <c r="CK288" s="208"/>
      <c r="CL288" s="208"/>
      <c r="CM288" s="208"/>
      <c r="CN288" s="208"/>
      <c r="CO288" s="208"/>
      <c r="CP288" s="208"/>
      <c r="CQ288" s="208"/>
      <c r="CR288" s="208"/>
      <c r="CS288" s="208"/>
      <c r="CT288" s="208"/>
      <c r="CU288" s="208"/>
      <c r="CV288" s="208"/>
      <c r="CW288" s="208"/>
      <c r="CX288" s="208"/>
      <c r="CY288" s="208"/>
      <c r="CZ288" s="208"/>
      <c r="DA288" s="208"/>
      <c r="DB288" s="208"/>
      <c r="DC288" s="208"/>
      <c r="DD288" s="208"/>
      <c r="DE288" s="208"/>
      <c r="DF288" s="208"/>
      <c r="DG288" s="208"/>
      <c r="DH288" s="208"/>
      <c r="DI288" s="208"/>
      <c r="DJ288" s="208"/>
      <c r="DK288" s="208"/>
      <c r="DL288" s="208"/>
      <c r="DM288" s="208"/>
      <c r="DN288" s="208"/>
      <c r="DO288" s="208"/>
      <c r="DP288" s="208"/>
      <c r="DQ288" s="208"/>
      <c r="DR288" s="208"/>
      <c r="DS288" s="208"/>
      <c r="DT288" s="208"/>
      <c r="DU288" s="208"/>
      <c r="DV288" s="208"/>
      <c r="DW288" s="208"/>
      <c r="DX288" s="208"/>
      <c r="DY288" s="208"/>
      <c r="DZ288" s="208"/>
      <c r="EA288" s="208"/>
      <c r="EB288" s="208"/>
      <c r="EC288" s="208"/>
      <c r="ED288" s="208"/>
      <c r="EE288" s="208"/>
      <c r="EF288" s="208"/>
      <c r="EG288" s="208"/>
      <c r="EH288" s="208"/>
      <c r="EI288" s="208"/>
      <c r="EJ288" s="208"/>
      <c r="EK288" s="208"/>
      <c r="EL288" s="208"/>
      <c r="EM288" s="208"/>
      <c r="EN288" s="208"/>
      <c r="EO288" s="208"/>
      <c r="EP288" s="208"/>
      <c r="EQ288" s="208"/>
      <c r="ER288" s="208"/>
      <c r="ES288" s="208"/>
      <c r="ET288" s="208"/>
      <c r="EU288" s="208"/>
      <c r="EV288" s="208"/>
      <c r="EW288" s="208"/>
      <c r="EX288" s="208"/>
      <c r="EY288" s="208"/>
      <c r="EZ288" s="208"/>
      <c r="FA288" s="208"/>
      <c r="FB288" s="208"/>
      <c r="FC288" s="208"/>
      <c r="FD288" s="208"/>
      <c r="FE288" s="208"/>
      <c r="FF288" s="208"/>
      <c r="FG288" s="208"/>
      <c r="FH288" s="208"/>
      <c r="FI288" s="208"/>
      <c r="FJ288" s="208"/>
      <c r="FK288" s="208"/>
      <c r="FL288" s="208"/>
      <c r="FM288" s="208"/>
      <c r="FN288" s="208"/>
      <c r="FO288" s="208"/>
      <c r="FP288" s="208"/>
      <c r="FQ288" s="208"/>
      <c r="FR288" s="208"/>
      <c r="FS288" s="208"/>
      <c r="FT288" s="208"/>
      <c r="FU288" s="208"/>
      <c r="FV288" s="208"/>
      <c r="FW288" s="208"/>
      <c r="FX288" s="208"/>
      <c r="FY288" s="208"/>
      <c r="FZ288" s="208"/>
      <c r="GA288" s="208"/>
      <c r="GB288" s="208"/>
      <c r="GC288" s="208"/>
      <c r="GD288" s="208"/>
      <c r="GE288" s="208"/>
      <c r="GF288" s="208"/>
    </row>
    <row r="289" spans="1:188" s="209" customFormat="1" ht="15" x14ac:dyDescent="0.25">
      <c r="A289" s="195" t="s">
        <v>5068</v>
      </c>
      <c r="B289" s="195" t="s">
        <v>766</v>
      </c>
      <c r="C289" s="196" t="s">
        <v>2671</v>
      </c>
      <c r="D289" s="154" t="s">
        <v>28</v>
      </c>
      <c r="E289" s="154">
        <v>20</v>
      </c>
      <c r="F289" s="154">
        <v>0.1</v>
      </c>
      <c r="G289" s="197"/>
      <c r="H289" s="198"/>
      <c r="I289" s="151">
        <f>IFERROR(INDEX(Composições!$A$5:$J$8391,MATCH(B289,Composições!$A$5:$A$8391,0)+2,8),"")</f>
        <v>251.89699999999999</v>
      </c>
      <c r="J289" s="152">
        <f t="shared" si="48"/>
        <v>503.79</v>
      </c>
      <c r="K289" s="198">
        <f>BDI!$B$17</f>
        <v>0.191</v>
      </c>
      <c r="L289" s="198"/>
      <c r="M289" s="198"/>
      <c r="N289" s="153">
        <f t="shared" si="49"/>
        <v>300.01</v>
      </c>
      <c r="O289" s="152">
        <f t="shared" si="50"/>
        <v>600.02</v>
      </c>
      <c r="P289" s="225"/>
      <c r="Q289" s="208"/>
      <c r="R289" s="208"/>
      <c r="S289"/>
      <c r="T289" s="208"/>
      <c r="U289" s="208"/>
      <c r="V289" s="208"/>
      <c r="W289" s="208"/>
      <c r="X289" s="208"/>
      <c r="Y289" s="208"/>
      <c r="Z289" s="208"/>
      <c r="AA289" s="208"/>
      <c r="AB289" s="208"/>
      <c r="AC289" s="208"/>
      <c r="AD289" s="208"/>
      <c r="AE289" s="208"/>
      <c r="AF289" s="208"/>
      <c r="AG289" s="208"/>
      <c r="AH289" s="208"/>
      <c r="AI289" s="208"/>
      <c r="AJ289" s="208"/>
      <c r="AK289" s="208"/>
      <c r="AL289" s="208"/>
      <c r="AM289" s="208"/>
      <c r="AN289" s="208"/>
      <c r="AO289" s="208"/>
      <c r="AP289" s="208"/>
      <c r="AQ289" s="208"/>
      <c r="AR289" s="208"/>
      <c r="AS289" s="208"/>
      <c r="AT289" s="208"/>
      <c r="AU289" s="208"/>
      <c r="AV289" s="208"/>
      <c r="AW289" s="208"/>
      <c r="AX289" s="208"/>
      <c r="AY289" s="208"/>
      <c r="AZ289" s="208"/>
      <c r="BA289" s="208"/>
      <c r="BB289" s="208"/>
      <c r="BC289" s="208"/>
      <c r="BD289" s="208"/>
      <c r="BE289" s="208"/>
      <c r="BF289" s="208"/>
      <c r="BG289" s="208"/>
      <c r="BH289" s="208"/>
      <c r="BI289" s="208"/>
      <c r="BJ289" s="208"/>
      <c r="BK289" s="208"/>
      <c r="BL289" s="208"/>
      <c r="BM289" s="208"/>
      <c r="BN289" s="208"/>
      <c r="BO289" s="208"/>
      <c r="BP289" s="208"/>
      <c r="BQ289" s="208"/>
      <c r="BR289" s="208"/>
      <c r="BS289" s="208"/>
      <c r="BT289" s="208"/>
      <c r="BU289" s="208"/>
      <c r="BV289" s="208"/>
      <c r="BW289" s="208"/>
      <c r="BX289" s="208"/>
      <c r="BY289" s="208"/>
      <c r="BZ289" s="208"/>
      <c r="CA289" s="208"/>
      <c r="CB289" s="208"/>
      <c r="CC289" s="208"/>
      <c r="CD289" s="208"/>
      <c r="CE289" s="208"/>
      <c r="CF289" s="208"/>
      <c r="CG289" s="208"/>
      <c r="CH289" s="208"/>
      <c r="CI289" s="208"/>
      <c r="CJ289" s="208"/>
      <c r="CK289" s="208"/>
      <c r="CL289" s="208"/>
      <c r="CM289" s="208"/>
      <c r="CN289" s="208"/>
      <c r="CO289" s="208"/>
      <c r="CP289" s="208"/>
      <c r="CQ289" s="208"/>
      <c r="CR289" s="208"/>
      <c r="CS289" s="208"/>
      <c r="CT289" s="208"/>
      <c r="CU289" s="208"/>
      <c r="CV289" s="208"/>
      <c r="CW289" s="208"/>
      <c r="CX289" s="208"/>
      <c r="CY289" s="208"/>
      <c r="CZ289" s="208"/>
      <c r="DA289" s="208"/>
      <c r="DB289" s="208"/>
      <c r="DC289" s="208"/>
      <c r="DD289" s="208"/>
      <c r="DE289" s="208"/>
      <c r="DF289" s="208"/>
      <c r="DG289" s="208"/>
      <c r="DH289" s="208"/>
      <c r="DI289" s="208"/>
      <c r="DJ289" s="208"/>
      <c r="DK289" s="208"/>
      <c r="DL289" s="208"/>
      <c r="DM289" s="208"/>
      <c r="DN289" s="208"/>
      <c r="DO289" s="208"/>
      <c r="DP289" s="208"/>
      <c r="DQ289" s="208"/>
      <c r="DR289" s="208"/>
      <c r="DS289" s="208"/>
      <c r="DT289" s="208"/>
      <c r="DU289" s="208"/>
      <c r="DV289" s="208"/>
      <c r="DW289" s="208"/>
      <c r="DX289" s="208"/>
      <c r="DY289" s="208"/>
      <c r="DZ289" s="208"/>
      <c r="EA289" s="208"/>
      <c r="EB289" s="208"/>
      <c r="EC289" s="208"/>
      <c r="ED289" s="208"/>
      <c r="EE289" s="208"/>
      <c r="EF289" s="208"/>
      <c r="EG289" s="208"/>
      <c r="EH289" s="208"/>
      <c r="EI289" s="208"/>
      <c r="EJ289" s="208"/>
      <c r="EK289" s="208"/>
      <c r="EL289" s="208"/>
      <c r="EM289" s="208"/>
      <c r="EN289" s="208"/>
      <c r="EO289" s="208"/>
      <c r="EP289" s="208"/>
      <c r="EQ289" s="208"/>
      <c r="ER289" s="208"/>
      <c r="ES289" s="208"/>
      <c r="ET289" s="208"/>
      <c r="EU289" s="208"/>
      <c r="EV289" s="208"/>
      <c r="EW289" s="208"/>
      <c r="EX289" s="208"/>
      <c r="EY289" s="208"/>
      <c r="EZ289" s="208"/>
      <c r="FA289" s="208"/>
      <c r="FB289" s="208"/>
      <c r="FC289" s="208"/>
      <c r="FD289" s="208"/>
      <c r="FE289" s="208"/>
      <c r="FF289" s="208"/>
      <c r="FG289" s="208"/>
      <c r="FH289" s="208"/>
      <c r="FI289" s="208"/>
      <c r="FJ289" s="208"/>
      <c r="FK289" s="208"/>
      <c r="FL289" s="208"/>
      <c r="FM289" s="208"/>
      <c r="FN289" s="208"/>
      <c r="FO289" s="208"/>
      <c r="FP289" s="208"/>
      <c r="FQ289" s="208"/>
      <c r="FR289" s="208"/>
      <c r="FS289" s="208"/>
      <c r="FT289" s="208"/>
      <c r="FU289" s="208"/>
      <c r="FV289" s="208"/>
      <c r="FW289" s="208"/>
      <c r="FX289" s="208"/>
      <c r="FY289" s="208"/>
      <c r="FZ289" s="208"/>
      <c r="GA289" s="208"/>
      <c r="GB289" s="208"/>
      <c r="GC289" s="208"/>
      <c r="GD289" s="208"/>
      <c r="GE289" s="208"/>
      <c r="GF289" s="208"/>
    </row>
    <row r="290" spans="1:188" s="209" customFormat="1" ht="15" x14ac:dyDescent="0.25">
      <c r="A290" s="195" t="s">
        <v>5069</v>
      </c>
      <c r="B290" s="195" t="s">
        <v>768</v>
      </c>
      <c r="C290" s="196" t="s">
        <v>2672</v>
      </c>
      <c r="D290" s="154" t="s">
        <v>28</v>
      </c>
      <c r="E290" s="154">
        <v>20</v>
      </c>
      <c r="F290" s="154">
        <v>0.1</v>
      </c>
      <c r="G290" s="197"/>
      <c r="H290" s="198"/>
      <c r="I290" s="151">
        <f>IFERROR(INDEX(Composições!$A$5:$J$8391,MATCH(B290,Composições!$A$5:$A$8391,0)+2,8),"")</f>
        <v>116.148</v>
      </c>
      <c r="J290" s="152">
        <f t="shared" si="48"/>
        <v>232.3</v>
      </c>
      <c r="K290" s="198">
        <f>BDI!$B$17</f>
        <v>0.191</v>
      </c>
      <c r="L290" s="198"/>
      <c r="M290" s="198"/>
      <c r="N290" s="153">
        <f t="shared" si="49"/>
        <v>138.33000000000001</v>
      </c>
      <c r="O290" s="152">
        <f t="shared" si="50"/>
        <v>276.66000000000003</v>
      </c>
      <c r="P290" s="225"/>
      <c r="Q290" s="208"/>
      <c r="R290" s="208"/>
      <c r="S290"/>
      <c r="T290" s="208"/>
      <c r="U290" s="208"/>
      <c r="V290" s="208"/>
      <c r="W290" s="208"/>
      <c r="X290" s="208"/>
      <c r="Y290" s="208"/>
      <c r="Z290" s="208"/>
      <c r="AA290" s="208"/>
      <c r="AB290" s="208"/>
      <c r="AC290" s="208"/>
      <c r="AD290" s="208"/>
      <c r="AE290" s="208"/>
      <c r="AF290" s="208"/>
      <c r="AG290" s="208"/>
      <c r="AH290" s="208"/>
      <c r="AI290" s="208"/>
      <c r="AJ290" s="208"/>
      <c r="AK290" s="208"/>
      <c r="AL290" s="208"/>
      <c r="AM290" s="208"/>
      <c r="AN290" s="208"/>
      <c r="AO290" s="208"/>
      <c r="AP290" s="208"/>
      <c r="AQ290" s="208"/>
      <c r="AR290" s="208"/>
      <c r="AS290" s="208"/>
      <c r="AT290" s="208"/>
      <c r="AU290" s="208"/>
      <c r="AV290" s="208"/>
      <c r="AW290" s="208"/>
      <c r="AX290" s="208"/>
      <c r="AY290" s="208"/>
      <c r="AZ290" s="208"/>
      <c r="BA290" s="208"/>
      <c r="BB290" s="208"/>
      <c r="BC290" s="208"/>
      <c r="BD290" s="208"/>
      <c r="BE290" s="208"/>
      <c r="BF290" s="208"/>
      <c r="BG290" s="208"/>
      <c r="BH290" s="208"/>
      <c r="BI290" s="208"/>
      <c r="BJ290" s="208"/>
      <c r="BK290" s="208"/>
      <c r="BL290" s="208"/>
      <c r="BM290" s="208"/>
      <c r="BN290" s="208"/>
      <c r="BO290" s="208"/>
      <c r="BP290" s="208"/>
      <c r="BQ290" s="208"/>
      <c r="BR290" s="208"/>
      <c r="BS290" s="208"/>
      <c r="BT290" s="208"/>
      <c r="BU290" s="208"/>
      <c r="BV290" s="208"/>
      <c r="BW290" s="208"/>
      <c r="BX290" s="208"/>
      <c r="BY290" s="208"/>
      <c r="BZ290" s="208"/>
      <c r="CA290" s="208"/>
      <c r="CB290" s="208"/>
      <c r="CC290" s="208"/>
      <c r="CD290" s="208"/>
      <c r="CE290" s="208"/>
      <c r="CF290" s="208"/>
      <c r="CG290" s="208"/>
      <c r="CH290" s="208"/>
      <c r="CI290" s="208"/>
      <c r="CJ290" s="208"/>
      <c r="CK290" s="208"/>
      <c r="CL290" s="208"/>
      <c r="CM290" s="208"/>
      <c r="CN290" s="208"/>
      <c r="CO290" s="208"/>
      <c r="CP290" s="208"/>
      <c r="CQ290" s="208"/>
      <c r="CR290" s="208"/>
      <c r="CS290" s="208"/>
      <c r="CT290" s="208"/>
      <c r="CU290" s="208"/>
      <c r="CV290" s="208"/>
      <c r="CW290" s="208"/>
      <c r="CX290" s="208"/>
      <c r="CY290" s="208"/>
      <c r="CZ290" s="208"/>
      <c r="DA290" s="208"/>
      <c r="DB290" s="208"/>
      <c r="DC290" s="208"/>
      <c r="DD290" s="208"/>
      <c r="DE290" s="208"/>
      <c r="DF290" s="208"/>
      <c r="DG290" s="208"/>
      <c r="DH290" s="208"/>
      <c r="DI290" s="208"/>
      <c r="DJ290" s="208"/>
      <c r="DK290" s="208"/>
      <c r="DL290" s="208"/>
      <c r="DM290" s="208"/>
      <c r="DN290" s="208"/>
      <c r="DO290" s="208"/>
      <c r="DP290" s="208"/>
      <c r="DQ290" s="208"/>
      <c r="DR290" s="208"/>
      <c r="DS290" s="208"/>
      <c r="DT290" s="208"/>
      <c r="DU290" s="208"/>
      <c r="DV290" s="208"/>
      <c r="DW290" s="208"/>
      <c r="DX290" s="208"/>
      <c r="DY290" s="208"/>
      <c r="DZ290" s="208"/>
      <c r="EA290" s="208"/>
      <c r="EB290" s="208"/>
      <c r="EC290" s="208"/>
      <c r="ED290" s="208"/>
      <c r="EE290" s="208"/>
      <c r="EF290" s="208"/>
      <c r="EG290" s="208"/>
      <c r="EH290" s="208"/>
      <c r="EI290" s="208"/>
      <c r="EJ290" s="208"/>
      <c r="EK290" s="208"/>
      <c r="EL290" s="208"/>
      <c r="EM290" s="208"/>
      <c r="EN290" s="208"/>
      <c r="EO290" s="208"/>
      <c r="EP290" s="208"/>
      <c r="EQ290" s="208"/>
      <c r="ER290" s="208"/>
      <c r="ES290" s="208"/>
      <c r="ET290" s="208"/>
      <c r="EU290" s="208"/>
      <c r="EV290" s="208"/>
      <c r="EW290" s="208"/>
      <c r="EX290" s="208"/>
      <c r="EY290" s="208"/>
      <c r="EZ290" s="208"/>
      <c r="FA290" s="208"/>
      <c r="FB290" s="208"/>
      <c r="FC290" s="208"/>
      <c r="FD290" s="208"/>
      <c r="FE290" s="208"/>
      <c r="FF290" s="208"/>
      <c r="FG290" s="208"/>
      <c r="FH290" s="208"/>
      <c r="FI290" s="208"/>
      <c r="FJ290" s="208"/>
      <c r="FK290" s="208"/>
      <c r="FL290" s="208"/>
      <c r="FM290" s="208"/>
      <c r="FN290" s="208"/>
      <c r="FO290" s="208"/>
      <c r="FP290" s="208"/>
      <c r="FQ290" s="208"/>
      <c r="FR290" s="208"/>
      <c r="FS290" s="208"/>
      <c r="FT290" s="208"/>
      <c r="FU290" s="208"/>
      <c r="FV290" s="208"/>
      <c r="FW290" s="208"/>
      <c r="FX290" s="208"/>
      <c r="FY290" s="208"/>
      <c r="FZ290" s="208"/>
      <c r="GA290" s="208"/>
      <c r="GB290" s="208"/>
      <c r="GC290" s="208"/>
      <c r="GD290" s="208"/>
      <c r="GE290" s="208"/>
      <c r="GF290" s="208"/>
    </row>
    <row r="291" spans="1:188" s="209" customFormat="1" ht="15" x14ac:dyDescent="0.25">
      <c r="A291" s="195" t="s">
        <v>5070</v>
      </c>
      <c r="B291" s="195" t="s">
        <v>770</v>
      </c>
      <c r="C291" s="196" t="s">
        <v>2673</v>
      </c>
      <c r="D291" s="154" t="s">
        <v>28</v>
      </c>
      <c r="E291" s="154">
        <v>20</v>
      </c>
      <c r="F291" s="154">
        <v>0.1</v>
      </c>
      <c r="G291" s="197"/>
      <c r="H291" s="198"/>
      <c r="I291" s="151">
        <f>IFERROR(INDEX(Composições!$A$5:$J$8391,MATCH(B291,Composições!$A$5:$A$8391,0)+2,8),"")</f>
        <v>5.1277999999999997</v>
      </c>
      <c r="J291" s="152">
        <f t="shared" si="48"/>
        <v>10.26</v>
      </c>
      <c r="K291" s="198">
        <f>BDI!$B$17</f>
        <v>0.191</v>
      </c>
      <c r="L291" s="198"/>
      <c r="M291" s="198"/>
      <c r="N291" s="153">
        <f t="shared" si="49"/>
        <v>6.11</v>
      </c>
      <c r="O291" s="152">
        <f t="shared" si="50"/>
        <v>12.22</v>
      </c>
      <c r="P291" s="225"/>
      <c r="Q291" s="208"/>
      <c r="R291" s="208"/>
      <c r="S291"/>
      <c r="T291" s="208"/>
      <c r="U291" s="208"/>
      <c r="V291" s="208"/>
      <c r="W291" s="208"/>
      <c r="X291" s="208"/>
      <c r="Y291" s="208"/>
      <c r="Z291" s="208"/>
      <c r="AA291" s="208"/>
      <c r="AB291" s="208"/>
      <c r="AC291" s="208"/>
      <c r="AD291" s="208"/>
      <c r="AE291" s="208"/>
      <c r="AF291" s="208"/>
      <c r="AG291" s="208"/>
      <c r="AH291" s="208"/>
      <c r="AI291" s="208"/>
      <c r="AJ291" s="208"/>
      <c r="AK291" s="208"/>
      <c r="AL291" s="208"/>
      <c r="AM291" s="208"/>
      <c r="AN291" s="208"/>
      <c r="AO291" s="208"/>
      <c r="AP291" s="208"/>
      <c r="AQ291" s="208"/>
      <c r="AR291" s="208"/>
      <c r="AS291" s="208"/>
      <c r="AT291" s="208"/>
      <c r="AU291" s="208"/>
      <c r="AV291" s="208"/>
      <c r="AW291" s="208"/>
      <c r="AX291" s="208"/>
      <c r="AY291" s="208"/>
      <c r="AZ291" s="208"/>
      <c r="BA291" s="208"/>
      <c r="BB291" s="208"/>
      <c r="BC291" s="208"/>
      <c r="BD291" s="208"/>
      <c r="BE291" s="208"/>
      <c r="BF291" s="208"/>
      <c r="BG291" s="208"/>
      <c r="BH291" s="208"/>
      <c r="BI291" s="208"/>
      <c r="BJ291" s="208"/>
      <c r="BK291" s="208"/>
      <c r="BL291" s="208"/>
      <c r="BM291" s="208"/>
      <c r="BN291" s="208"/>
      <c r="BO291" s="208"/>
      <c r="BP291" s="208"/>
      <c r="BQ291" s="208"/>
      <c r="BR291" s="208"/>
      <c r="BS291" s="208"/>
      <c r="BT291" s="208"/>
      <c r="BU291" s="208"/>
      <c r="BV291" s="208"/>
      <c r="BW291" s="208"/>
      <c r="BX291" s="208"/>
      <c r="BY291" s="208"/>
      <c r="BZ291" s="208"/>
      <c r="CA291" s="208"/>
      <c r="CB291" s="208"/>
      <c r="CC291" s="208"/>
      <c r="CD291" s="208"/>
      <c r="CE291" s="208"/>
      <c r="CF291" s="208"/>
      <c r="CG291" s="208"/>
      <c r="CH291" s="208"/>
      <c r="CI291" s="208"/>
      <c r="CJ291" s="208"/>
      <c r="CK291" s="208"/>
      <c r="CL291" s="208"/>
      <c r="CM291" s="208"/>
      <c r="CN291" s="208"/>
      <c r="CO291" s="208"/>
      <c r="CP291" s="208"/>
      <c r="CQ291" s="208"/>
      <c r="CR291" s="208"/>
      <c r="CS291" s="208"/>
      <c r="CT291" s="208"/>
      <c r="CU291" s="208"/>
      <c r="CV291" s="208"/>
      <c r="CW291" s="208"/>
      <c r="CX291" s="208"/>
      <c r="CY291" s="208"/>
      <c r="CZ291" s="208"/>
      <c r="DA291" s="208"/>
      <c r="DB291" s="208"/>
      <c r="DC291" s="208"/>
      <c r="DD291" s="208"/>
      <c r="DE291" s="208"/>
      <c r="DF291" s="208"/>
      <c r="DG291" s="208"/>
      <c r="DH291" s="208"/>
      <c r="DI291" s="208"/>
      <c r="DJ291" s="208"/>
      <c r="DK291" s="208"/>
      <c r="DL291" s="208"/>
      <c r="DM291" s="208"/>
      <c r="DN291" s="208"/>
      <c r="DO291" s="208"/>
      <c r="DP291" s="208"/>
      <c r="DQ291" s="208"/>
      <c r="DR291" s="208"/>
      <c r="DS291" s="208"/>
      <c r="DT291" s="208"/>
      <c r="DU291" s="208"/>
      <c r="DV291" s="208"/>
      <c r="DW291" s="208"/>
      <c r="DX291" s="208"/>
      <c r="DY291" s="208"/>
      <c r="DZ291" s="208"/>
      <c r="EA291" s="208"/>
      <c r="EB291" s="208"/>
      <c r="EC291" s="208"/>
      <c r="ED291" s="208"/>
      <c r="EE291" s="208"/>
      <c r="EF291" s="208"/>
      <c r="EG291" s="208"/>
      <c r="EH291" s="208"/>
      <c r="EI291" s="208"/>
      <c r="EJ291" s="208"/>
      <c r="EK291" s="208"/>
      <c r="EL291" s="208"/>
      <c r="EM291" s="208"/>
      <c r="EN291" s="208"/>
      <c r="EO291" s="208"/>
      <c r="EP291" s="208"/>
      <c r="EQ291" s="208"/>
      <c r="ER291" s="208"/>
      <c r="ES291" s="208"/>
      <c r="ET291" s="208"/>
      <c r="EU291" s="208"/>
      <c r="EV291" s="208"/>
      <c r="EW291" s="208"/>
      <c r="EX291" s="208"/>
      <c r="EY291" s="208"/>
      <c r="EZ291" s="208"/>
      <c r="FA291" s="208"/>
      <c r="FB291" s="208"/>
      <c r="FC291" s="208"/>
      <c r="FD291" s="208"/>
      <c r="FE291" s="208"/>
      <c r="FF291" s="208"/>
      <c r="FG291" s="208"/>
      <c r="FH291" s="208"/>
      <c r="FI291" s="208"/>
      <c r="FJ291" s="208"/>
      <c r="FK291" s="208"/>
      <c r="FL291" s="208"/>
      <c r="FM291" s="208"/>
      <c r="FN291" s="208"/>
      <c r="FO291" s="208"/>
      <c r="FP291" s="208"/>
      <c r="FQ291" s="208"/>
      <c r="FR291" s="208"/>
      <c r="FS291" s="208"/>
      <c r="FT291" s="208"/>
      <c r="FU291" s="208"/>
      <c r="FV291" s="208"/>
      <c r="FW291" s="208"/>
      <c r="FX291" s="208"/>
      <c r="FY291" s="208"/>
      <c r="FZ291" s="208"/>
      <c r="GA291" s="208"/>
      <c r="GB291" s="208"/>
      <c r="GC291" s="208"/>
      <c r="GD291" s="208"/>
      <c r="GE291" s="208"/>
      <c r="GF291" s="208"/>
    </row>
    <row r="292" spans="1:188" s="209" customFormat="1" ht="15" x14ac:dyDescent="0.25">
      <c r="A292" s="195" t="s">
        <v>5071</v>
      </c>
      <c r="B292" s="195" t="s">
        <v>772</v>
      </c>
      <c r="C292" s="196" t="s">
        <v>2674</v>
      </c>
      <c r="D292" s="154" t="s">
        <v>28</v>
      </c>
      <c r="E292" s="154">
        <v>360</v>
      </c>
      <c r="F292" s="154">
        <v>0.1</v>
      </c>
      <c r="G292" s="197"/>
      <c r="H292" s="198"/>
      <c r="I292" s="151">
        <f>IFERROR(INDEX(Composições!$A$5:$J$8391,MATCH(B292,Composições!$A$5:$A$8391,0)+2,8),"")</f>
        <v>18.4756</v>
      </c>
      <c r="J292" s="152">
        <f t="shared" si="48"/>
        <v>665.12</v>
      </c>
      <c r="K292" s="198">
        <f>BDI!$B$17</f>
        <v>0.191</v>
      </c>
      <c r="L292" s="198"/>
      <c r="M292" s="198"/>
      <c r="N292" s="153">
        <f t="shared" si="49"/>
        <v>22</v>
      </c>
      <c r="O292" s="152">
        <f t="shared" si="50"/>
        <v>792</v>
      </c>
      <c r="P292" s="225"/>
      <c r="Q292" s="208"/>
      <c r="R292" s="208"/>
      <c r="S292"/>
      <c r="T292" s="208"/>
      <c r="U292" s="208"/>
      <c r="V292" s="208"/>
      <c r="W292" s="208"/>
      <c r="X292" s="208"/>
      <c r="Y292" s="208"/>
      <c r="Z292" s="208"/>
      <c r="AA292" s="208"/>
      <c r="AB292" s="208"/>
      <c r="AC292" s="208"/>
      <c r="AD292" s="208"/>
      <c r="AE292" s="208"/>
      <c r="AF292" s="208"/>
      <c r="AG292" s="208"/>
      <c r="AH292" s="208"/>
      <c r="AI292" s="208"/>
      <c r="AJ292" s="208"/>
      <c r="AK292" s="208"/>
      <c r="AL292" s="208"/>
      <c r="AM292" s="208"/>
      <c r="AN292" s="208"/>
      <c r="AO292" s="208"/>
      <c r="AP292" s="208"/>
      <c r="AQ292" s="208"/>
      <c r="AR292" s="208"/>
      <c r="AS292" s="208"/>
      <c r="AT292" s="208"/>
      <c r="AU292" s="208"/>
      <c r="AV292" s="208"/>
      <c r="AW292" s="208"/>
      <c r="AX292" s="208"/>
      <c r="AY292" s="208"/>
      <c r="AZ292" s="208"/>
      <c r="BA292" s="208"/>
      <c r="BB292" s="208"/>
      <c r="BC292" s="208"/>
      <c r="BD292" s="208"/>
      <c r="BE292" s="208"/>
      <c r="BF292" s="208"/>
      <c r="BG292" s="208"/>
      <c r="BH292" s="208"/>
      <c r="BI292" s="208"/>
      <c r="BJ292" s="208"/>
      <c r="BK292" s="208"/>
      <c r="BL292" s="208"/>
      <c r="BM292" s="208"/>
      <c r="BN292" s="208"/>
      <c r="BO292" s="208"/>
      <c r="BP292" s="208"/>
      <c r="BQ292" s="208"/>
      <c r="BR292" s="208"/>
      <c r="BS292" s="208"/>
      <c r="BT292" s="208"/>
      <c r="BU292" s="208"/>
      <c r="BV292" s="208"/>
      <c r="BW292" s="208"/>
      <c r="BX292" s="208"/>
      <c r="BY292" s="208"/>
      <c r="BZ292" s="208"/>
      <c r="CA292" s="208"/>
      <c r="CB292" s="208"/>
      <c r="CC292" s="208"/>
      <c r="CD292" s="208"/>
      <c r="CE292" s="208"/>
      <c r="CF292" s="208"/>
      <c r="CG292" s="208"/>
      <c r="CH292" s="208"/>
      <c r="CI292" s="208"/>
      <c r="CJ292" s="208"/>
      <c r="CK292" s="208"/>
      <c r="CL292" s="208"/>
      <c r="CM292" s="208"/>
      <c r="CN292" s="208"/>
      <c r="CO292" s="208"/>
      <c r="CP292" s="208"/>
      <c r="CQ292" s="208"/>
      <c r="CR292" s="208"/>
      <c r="CS292" s="208"/>
      <c r="CT292" s="208"/>
      <c r="CU292" s="208"/>
      <c r="CV292" s="208"/>
      <c r="CW292" s="208"/>
      <c r="CX292" s="208"/>
      <c r="CY292" s="208"/>
      <c r="CZ292" s="208"/>
      <c r="DA292" s="208"/>
      <c r="DB292" s="208"/>
      <c r="DC292" s="208"/>
      <c r="DD292" s="208"/>
      <c r="DE292" s="208"/>
      <c r="DF292" s="208"/>
      <c r="DG292" s="208"/>
      <c r="DH292" s="208"/>
      <c r="DI292" s="208"/>
      <c r="DJ292" s="208"/>
      <c r="DK292" s="208"/>
      <c r="DL292" s="208"/>
      <c r="DM292" s="208"/>
      <c r="DN292" s="208"/>
      <c r="DO292" s="208"/>
      <c r="DP292" s="208"/>
      <c r="DQ292" s="208"/>
      <c r="DR292" s="208"/>
      <c r="DS292" s="208"/>
      <c r="DT292" s="208"/>
      <c r="DU292" s="208"/>
      <c r="DV292" s="208"/>
      <c r="DW292" s="208"/>
      <c r="DX292" s="208"/>
      <c r="DY292" s="208"/>
      <c r="DZ292" s="208"/>
      <c r="EA292" s="208"/>
      <c r="EB292" s="208"/>
      <c r="EC292" s="208"/>
      <c r="ED292" s="208"/>
      <c r="EE292" s="208"/>
      <c r="EF292" s="208"/>
      <c r="EG292" s="208"/>
      <c r="EH292" s="208"/>
      <c r="EI292" s="208"/>
      <c r="EJ292" s="208"/>
      <c r="EK292" s="208"/>
      <c r="EL292" s="208"/>
      <c r="EM292" s="208"/>
      <c r="EN292" s="208"/>
      <c r="EO292" s="208"/>
      <c r="EP292" s="208"/>
      <c r="EQ292" s="208"/>
      <c r="ER292" s="208"/>
      <c r="ES292" s="208"/>
      <c r="ET292" s="208"/>
      <c r="EU292" s="208"/>
      <c r="EV292" s="208"/>
      <c r="EW292" s="208"/>
      <c r="EX292" s="208"/>
      <c r="EY292" s="208"/>
      <c r="EZ292" s="208"/>
      <c r="FA292" s="208"/>
      <c r="FB292" s="208"/>
      <c r="FC292" s="208"/>
      <c r="FD292" s="208"/>
      <c r="FE292" s="208"/>
      <c r="FF292" s="208"/>
      <c r="FG292" s="208"/>
      <c r="FH292" s="208"/>
      <c r="FI292" s="208"/>
      <c r="FJ292" s="208"/>
      <c r="FK292" s="208"/>
      <c r="FL292" s="208"/>
      <c r="FM292" s="208"/>
      <c r="FN292" s="208"/>
      <c r="FO292" s="208"/>
      <c r="FP292" s="208"/>
      <c r="FQ292" s="208"/>
      <c r="FR292" s="208"/>
      <c r="FS292" s="208"/>
      <c r="FT292" s="208"/>
      <c r="FU292" s="208"/>
      <c r="FV292" s="208"/>
      <c r="FW292" s="208"/>
      <c r="FX292" s="208"/>
      <c r="FY292" s="208"/>
      <c r="FZ292" s="208"/>
      <c r="GA292" s="208"/>
      <c r="GB292" s="208"/>
      <c r="GC292" s="208"/>
      <c r="GD292" s="208"/>
      <c r="GE292" s="208"/>
      <c r="GF292" s="208"/>
    </row>
    <row r="293" spans="1:188" s="209" customFormat="1" ht="15" x14ac:dyDescent="0.25">
      <c r="A293" s="195" t="s">
        <v>5072</v>
      </c>
      <c r="B293" s="195" t="s">
        <v>774</v>
      </c>
      <c r="C293" s="196" t="s">
        <v>2675</v>
      </c>
      <c r="D293" s="154" t="s">
        <v>28</v>
      </c>
      <c r="E293" s="154">
        <v>100</v>
      </c>
      <c r="F293" s="154">
        <v>0.1</v>
      </c>
      <c r="G293" s="197"/>
      <c r="H293" s="198"/>
      <c r="I293" s="151">
        <f>IFERROR(INDEX(Composições!$A$5:$J$8391,MATCH(B293,Composições!$A$5:$A$8391,0)+2,8),"")</f>
        <v>25.125599999999999</v>
      </c>
      <c r="J293" s="152">
        <f t="shared" si="48"/>
        <v>251.26</v>
      </c>
      <c r="K293" s="198">
        <f>BDI!$B$17</f>
        <v>0.191</v>
      </c>
      <c r="L293" s="198"/>
      <c r="M293" s="198"/>
      <c r="N293" s="153">
        <f t="shared" si="49"/>
        <v>29.92</v>
      </c>
      <c r="O293" s="152">
        <f t="shared" si="50"/>
        <v>299.2</v>
      </c>
      <c r="P293" s="225"/>
      <c r="Q293" s="208"/>
      <c r="R293" s="208"/>
      <c r="S293"/>
      <c r="T293" s="208"/>
      <c r="U293" s="208"/>
      <c r="V293" s="208"/>
      <c r="W293" s="208"/>
      <c r="X293" s="208"/>
      <c r="Y293" s="208"/>
      <c r="Z293" s="208"/>
      <c r="AA293" s="208"/>
      <c r="AB293" s="208"/>
      <c r="AC293" s="208"/>
      <c r="AD293" s="208"/>
      <c r="AE293" s="208"/>
      <c r="AF293" s="208"/>
      <c r="AG293" s="208"/>
      <c r="AH293" s="208"/>
      <c r="AI293" s="208"/>
      <c r="AJ293" s="208"/>
      <c r="AK293" s="208"/>
      <c r="AL293" s="208"/>
      <c r="AM293" s="208"/>
      <c r="AN293" s="208"/>
      <c r="AO293" s="208"/>
      <c r="AP293" s="208"/>
      <c r="AQ293" s="208"/>
      <c r="AR293" s="208"/>
      <c r="AS293" s="208"/>
      <c r="AT293" s="208"/>
      <c r="AU293" s="208"/>
      <c r="AV293" s="208"/>
      <c r="AW293" s="208"/>
      <c r="AX293" s="208"/>
      <c r="AY293" s="208"/>
      <c r="AZ293" s="208"/>
      <c r="BA293" s="208"/>
      <c r="BB293" s="208"/>
      <c r="BC293" s="208"/>
      <c r="BD293" s="208"/>
      <c r="BE293" s="208"/>
      <c r="BF293" s="208"/>
      <c r="BG293" s="208"/>
      <c r="BH293" s="208"/>
      <c r="BI293" s="208"/>
      <c r="BJ293" s="208"/>
      <c r="BK293" s="208"/>
      <c r="BL293" s="208"/>
      <c r="BM293" s="208"/>
      <c r="BN293" s="208"/>
      <c r="BO293" s="208"/>
      <c r="BP293" s="208"/>
      <c r="BQ293" s="208"/>
      <c r="BR293" s="208"/>
      <c r="BS293" s="208"/>
      <c r="BT293" s="208"/>
      <c r="BU293" s="208"/>
      <c r="BV293" s="208"/>
      <c r="BW293" s="208"/>
      <c r="BX293" s="208"/>
      <c r="BY293" s="208"/>
      <c r="BZ293" s="208"/>
      <c r="CA293" s="208"/>
      <c r="CB293" s="208"/>
      <c r="CC293" s="208"/>
      <c r="CD293" s="208"/>
      <c r="CE293" s="208"/>
      <c r="CF293" s="208"/>
      <c r="CG293" s="208"/>
      <c r="CH293" s="208"/>
      <c r="CI293" s="208"/>
      <c r="CJ293" s="208"/>
      <c r="CK293" s="208"/>
      <c r="CL293" s="208"/>
      <c r="CM293" s="208"/>
      <c r="CN293" s="208"/>
      <c r="CO293" s="208"/>
      <c r="CP293" s="208"/>
      <c r="CQ293" s="208"/>
      <c r="CR293" s="208"/>
      <c r="CS293" s="208"/>
      <c r="CT293" s="208"/>
      <c r="CU293" s="208"/>
      <c r="CV293" s="208"/>
      <c r="CW293" s="208"/>
      <c r="CX293" s="208"/>
      <c r="CY293" s="208"/>
      <c r="CZ293" s="208"/>
      <c r="DA293" s="208"/>
      <c r="DB293" s="208"/>
      <c r="DC293" s="208"/>
      <c r="DD293" s="208"/>
      <c r="DE293" s="208"/>
      <c r="DF293" s="208"/>
      <c r="DG293" s="208"/>
      <c r="DH293" s="208"/>
      <c r="DI293" s="208"/>
      <c r="DJ293" s="208"/>
      <c r="DK293" s="208"/>
      <c r="DL293" s="208"/>
      <c r="DM293" s="208"/>
      <c r="DN293" s="208"/>
      <c r="DO293" s="208"/>
      <c r="DP293" s="208"/>
      <c r="DQ293" s="208"/>
      <c r="DR293" s="208"/>
      <c r="DS293" s="208"/>
      <c r="DT293" s="208"/>
      <c r="DU293" s="208"/>
      <c r="DV293" s="208"/>
      <c r="DW293" s="208"/>
      <c r="DX293" s="208"/>
      <c r="DY293" s="208"/>
      <c r="DZ293" s="208"/>
      <c r="EA293" s="208"/>
      <c r="EB293" s="208"/>
      <c r="EC293" s="208"/>
      <c r="ED293" s="208"/>
      <c r="EE293" s="208"/>
      <c r="EF293" s="208"/>
      <c r="EG293" s="208"/>
      <c r="EH293" s="208"/>
      <c r="EI293" s="208"/>
      <c r="EJ293" s="208"/>
      <c r="EK293" s="208"/>
      <c r="EL293" s="208"/>
      <c r="EM293" s="208"/>
      <c r="EN293" s="208"/>
      <c r="EO293" s="208"/>
      <c r="EP293" s="208"/>
      <c r="EQ293" s="208"/>
      <c r="ER293" s="208"/>
      <c r="ES293" s="208"/>
      <c r="ET293" s="208"/>
      <c r="EU293" s="208"/>
      <c r="EV293" s="208"/>
      <c r="EW293" s="208"/>
      <c r="EX293" s="208"/>
      <c r="EY293" s="208"/>
      <c r="EZ293" s="208"/>
      <c r="FA293" s="208"/>
      <c r="FB293" s="208"/>
      <c r="FC293" s="208"/>
      <c r="FD293" s="208"/>
      <c r="FE293" s="208"/>
      <c r="FF293" s="208"/>
      <c r="FG293" s="208"/>
      <c r="FH293" s="208"/>
      <c r="FI293" s="208"/>
      <c r="FJ293" s="208"/>
      <c r="FK293" s="208"/>
      <c r="FL293" s="208"/>
      <c r="FM293" s="208"/>
      <c r="FN293" s="208"/>
      <c r="FO293" s="208"/>
      <c r="FP293" s="208"/>
      <c r="FQ293" s="208"/>
      <c r="FR293" s="208"/>
      <c r="FS293" s="208"/>
      <c r="FT293" s="208"/>
      <c r="FU293" s="208"/>
      <c r="FV293" s="208"/>
      <c r="FW293" s="208"/>
      <c r="FX293" s="208"/>
      <c r="FY293" s="208"/>
      <c r="FZ293" s="208"/>
      <c r="GA293" s="208"/>
      <c r="GB293" s="208"/>
      <c r="GC293" s="208"/>
      <c r="GD293" s="208"/>
      <c r="GE293" s="208"/>
      <c r="GF293" s="208"/>
    </row>
    <row r="294" spans="1:188" s="209" customFormat="1" ht="15" x14ac:dyDescent="0.25">
      <c r="A294" s="195" t="s">
        <v>5073</v>
      </c>
      <c r="B294" s="195" t="s">
        <v>776</v>
      </c>
      <c r="C294" s="196" t="s">
        <v>2676</v>
      </c>
      <c r="D294" s="154" t="s">
        <v>121</v>
      </c>
      <c r="E294" s="154">
        <v>180</v>
      </c>
      <c r="F294" s="154">
        <v>0.1</v>
      </c>
      <c r="G294" s="197"/>
      <c r="H294" s="198"/>
      <c r="I294" s="151">
        <f>IFERROR(INDEX(Composições!$A$5:$J$8391,MATCH(B294,Composições!$A$5:$A$8391,0)+2,8),"")</f>
        <v>38.559359999999991</v>
      </c>
      <c r="J294" s="152">
        <f t="shared" si="48"/>
        <v>694.07</v>
      </c>
      <c r="K294" s="198">
        <f>BDI!$B$17</f>
        <v>0.191</v>
      </c>
      <c r="L294" s="198"/>
      <c r="M294" s="198"/>
      <c r="N294" s="153">
        <f t="shared" si="49"/>
        <v>45.92</v>
      </c>
      <c r="O294" s="152">
        <f t="shared" si="50"/>
        <v>826.56</v>
      </c>
      <c r="P294" s="225"/>
      <c r="Q294" s="208"/>
      <c r="R294" s="208"/>
      <c r="S294"/>
      <c r="T294" s="208"/>
      <c r="U294" s="208"/>
      <c r="V294" s="208"/>
      <c r="W294" s="208"/>
      <c r="X294" s="208"/>
      <c r="Y294" s="208"/>
      <c r="Z294" s="208"/>
      <c r="AA294" s="208"/>
      <c r="AB294" s="208"/>
      <c r="AC294" s="208"/>
      <c r="AD294" s="208"/>
      <c r="AE294" s="208"/>
      <c r="AF294" s="208"/>
      <c r="AG294" s="208"/>
      <c r="AH294" s="208"/>
      <c r="AI294" s="208"/>
      <c r="AJ294" s="208"/>
      <c r="AK294" s="208"/>
      <c r="AL294" s="208"/>
      <c r="AM294" s="208"/>
      <c r="AN294" s="208"/>
      <c r="AO294" s="208"/>
      <c r="AP294" s="208"/>
      <c r="AQ294" s="208"/>
      <c r="AR294" s="208"/>
      <c r="AS294" s="208"/>
      <c r="AT294" s="208"/>
      <c r="AU294" s="208"/>
      <c r="AV294" s="208"/>
      <c r="AW294" s="208"/>
      <c r="AX294" s="208"/>
      <c r="AY294" s="208"/>
      <c r="AZ294" s="208"/>
      <c r="BA294" s="208"/>
      <c r="BB294" s="208"/>
      <c r="BC294" s="208"/>
      <c r="BD294" s="208"/>
      <c r="BE294" s="208"/>
      <c r="BF294" s="208"/>
      <c r="BG294" s="208"/>
      <c r="BH294" s="208"/>
      <c r="BI294" s="208"/>
      <c r="BJ294" s="208"/>
      <c r="BK294" s="208"/>
      <c r="BL294" s="208"/>
      <c r="BM294" s="208"/>
      <c r="BN294" s="208"/>
      <c r="BO294" s="208"/>
      <c r="BP294" s="208"/>
      <c r="BQ294" s="208"/>
      <c r="BR294" s="208"/>
      <c r="BS294" s="208"/>
      <c r="BT294" s="208"/>
      <c r="BU294" s="208"/>
      <c r="BV294" s="208"/>
      <c r="BW294" s="208"/>
      <c r="BX294" s="208"/>
      <c r="BY294" s="208"/>
      <c r="BZ294" s="208"/>
      <c r="CA294" s="208"/>
      <c r="CB294" s="208"/>
      <c r="CC294" s="208"/>
      <c r="CD294" s="208"/>
      <c r="CE294" s="208"/>
      <c r="CF294" s="208"/>
      <c r="CG294" s="208"/>
      <c r="CH294" s="208"/>
      <c r="CI294" s="208"/>
      <c r="CJ294" s="208"/>
      <c r="CK294" s="208"/>
      <c r="CL294" s="208"/>
      <c r="CM294" s="208"/>
      <c r="CN294" s="208"/>
      <c r="CO294" s="208"/>
      <c r="CP294" s="208"/>
      <c r="CQ294" s="208"/>
      <c r="CR294" s="208"/>
      <c r="CS294" s="208"/>
      <c r="CT294" s="208"/>
      <c r="CU294" s="208"/>
      <c r="CV294" s="208"/>
      <c r="CW294" s="208"/>
      <c r="CX294" s="208"/>
      <c r="CY294" s="208"/>
      <c r="CZ294" s="208"/>
      <c r="DA294" s="208"/>
      <c r="DB294" s="208"/>
      <c r="DC294" s="208"/>
      <c r="DD294" s="208"/>
      <c r="DE294" s="208"/>
      <c r="DF294" s="208"/>
      <c r="DG294" s="208"/>
      <c r="DH294" s="208"/>
      <c r="DI294" s="208"/>
      <c r="DJ294" s="208"/>
      <c r="DK294" s="208"/>
      <c r="DL294" s="208"/>
      <c r="DM294" s="208"/>
      <c r="DN294" s="208"/>
      <c r="DO294" s="208"/>
      <c r="DP294" s="208"/>
      <c r="DQ294" s="208"/>
      <c r="DR294" s="208"/>
      <c r="DS294" s="208"/>
      <c r="DT294" s="208"/>
      <c r="DU294" s="208"/>
      <c r="DV294" s="208"/>
      <c r="DW294" s="208"/>
      <c r="DX294" s="208"/>
      <c r="DY294" s="208"/>
      <c r="DZ294" s="208"/>
      <c r="EA294" s="208"/>
      <c r="EB294" s="208"/>
      <c r="EC294" s="208"/>
      <c r="ED294" s="208"/>
      <c r="EE294" s="208"/>
      <c r="EF294" s="208"/>
      <c r="EG294" s="208"/>
      <c r="EH294" s="208"/>
      <c r="EI294" s="208"/>
      <c r="EJ294" s="208"/>
      <c r="EK294" s="208"/>
      <c r="EL294" s="208"/>
      <c r="EM294" s="208"/>
      <c r="EN294" s="208"/>
      <c r="EO294" s="208"/>
      <c r="EP294" s="208"/>
      <c r="EQ294" s="208"/>
      <c r="ER294" s="208"/>
      <c r="ES294" s="208"/>
      <c r="ET294" s="208"/>
      <c r="EU294" s="208"/>
      <c r="EV294" s="208"/>
      <c r="EW294" s="208"/>
      <c r="EX294" s="208"/>
      <c r="EY294" s="208"/>
      <c r="EZ294" s="208"/>
      <c r="FA294" s="208"/>
      <c r="FB294" s="208"/>
      <c r="FC294" s="208"/>
      <c r="FD294" s="208"/>
      <c r="FE294" s="208"/>
      <c r="FF294" s="208"/>
      <c r="FG294" s="208"/>
      <c r="FH294" s="208"/>
      <c r="FI294" s="208"/>
      <c r="FJ294" s="208"/>
      <c r="FK294" s="208"/>
      <c r="FL294" s="208"/>
      <c r="FM294" s="208"/>
      <c r="FN294" s="208"/>
      <c r="FO294" s="208"/>
      <c r="FP294" s="208"/>
      <c r="FQ294" s="208"/>
      <c r="FR294" s="208"/>
      <c r="FS294" s="208"/>
      <c r="FT294" s="208"/>
      <c r="FU294" s="208"/>
      <c r="FV294" s="208"/>
      <c r="FW294" s="208"/>
      <c r="FX294" s="208"/>
      <c r="FY294" s="208"/>
      <c r="FZ294" s="208"/>
      <c r="GA294" s="208"/>
      <c r="GB294" s="208"/>
      <c r="GC294" s="208"/>
      <c r="GD294" s="208"/>
      <c r="GE294" s="208"/>
      <c r="GF294" s="208"/>
    </row>
    <row r="295" spans="1:188" s="209" customFormat="1" ht="15" x14ac:dyDescent="0.25">
      <c r="A295" s="195" t="s">
        <v>5074</v>
      </c>
      <c r="B295" s="195" t="s">
        <v>778</v>
      </c>
      <c r="C295" s="196" t="s">
        <v>2677</v>
      </c>
      <c r="D295" s="154" t="s">
        <v>121</v>
      </c>
      <c r="E295" s="154">
        <v>90</v>
      </c>
      <c r="F295" s="154">
        <v>0.1</v>
      </c>
      <c r="G295" s="197"/>
      <c r="H295" s="198"/>
      <c r="I295" s="151">
        <f>IFERROR(INDEX(Composições!$A$5:$J$8391,MATCH(B295,Composições!$A$5:$A$8391,0)+2,8),"")</f>
        <v>5.8717499999999996</v>
      </c>
      <c r="J295" s="152">
        <f t="shared" si="48"/>
        <v>52.85</v>
      </c>
      <c r="K295" s="198">
        <f>BDI!$B$17</f>
        <v>0.191</v>
      </c>
      <c r="L295" s="198"/>
      <c r="M295" s="198"/>
      <c r="N295" s="153">
        <f t="shared" si="49"/>
        <v>6.99</v>
      </c>
      <c r="O295" s="152">
        <f t="shared" si="50"/>
        <v>62.91</v>
      </c>
      <c r="P295" s="225"/>
      <c r="Q295" s="208"/>
      <c r="R295" s="208"/>
      <c r="S295"/>
      <c r="T295" s="208"/>
      <c r="U295" s="208"/>
      <c r="V295" s="208"/>
      <c r="W295" s="208"/>
      <c r="X295" s="208"/>
      <c r="Y295" s="208"/>
      <c r="Z295" s="208"/>
      <c r="AA295" s="208"/>
      <c r="AB295" s="208"/>
      <c r="AC295" s="208"/>
      <c r="AD295" s="208"/>
      <c r="AE295" s="208"/>
      <c r="AF295" s="208"/>
      <c r="AG295" s="208"/>
      <c r="AH295" s="208"/>
      <c r="AI295" s="208"/>
      <c r="AJ295" s="208"/>
      <c r="AK295" s="208"/>
      <c r="AL295" s="208"/>
      <c r="AM295" s="208"/>
      <c r="AN295" s="208"/>
      <c r="AO295" s="208"/>
      <c r="AP295" s="208"/>
      <c r="AQ295" s="208"/>
      <c r="AR295" s="208"/>
      <c r="AS295" s="208"/>
      <c r="AT295" s="208"/>
      <c r="AU295" s="208"/>
      <c r="AV295" s="208"/>
      <c r="AW295" s="208"/>
      <c r="AX295" s="208"/>
      <c r="AY295" s="208"/>
      <c r="AZ295" s="208"/>
      <c r="BA295" s="208"/>
      <c r="BB295" s="208"/>
      <c r="BC295" s="208"/>
      <c r="BD295" s="208"/>
      <c r="BE295" s="208"/>
      <c r="BF295" s="208"/>
      <c r="BG295" s="208"/>
      <c r="BH295" s="208"/>
      <c r="BI295" s="208"/>
      <c r="BJ295" s="208"/>
      <c r="BK295" s="208"/>
      <c r="BL295" s="208"/>
      <c r="BM295" s="208"/>
      <c r="BN295" s="208"/>
      <c r="BO295" s="208"/>
      <c r="BP295" s="208"/>
      <c r="BQ295" s="208"/>
      <c r="BR295" s="208"/>
      <c r="BS295" s="208"/>
      <c r="BT295" s="208"/>
      <c r="BU295" s="208"/>
      <c r="BV295" s="208"/>
      <c r="BW295" s="208"/>
      <c r="BX295" s="208"/>
      <c r="BY295" s="208"/>
      <c r="BZ295" s="208"/>
      <c r="CA295" s="208"/>
      <c r="CB295" s="208"/>
      <c r="CC295" s="208"/>
      <c r="CD295" s="208"/>
      <c r="CE295" s="208"/>
      <c r="CF295" s="208"/>
      <c r="CG295" s="208"/>
      <c r="CH295" s="208"/>
      <c r="CI295" s="208"/>
      <c r="CJ295" s="208"/>
      <c r="CK295" s="208"/>
      <c r="CL295" s="208"/>
      <c r="CM295" s="208"/>
      <c r="CN295" s="208"/>
      <c r="CO295" s="208"/>
      <c r="CP295" s="208"/>
      <c r="CQ295" s="208"/>
      <c r="CR295" s="208"/>
      <c r="CS295" s="208"/>
      <c r="CT295" s="208"/>
      <c r="CU295" s="208"/>
      <c r="CV295" s="208"/>
      <c r="CW295" s="208"/>
      <c r="CX295" s="208"/>
      <c r="CY295" s="208"/>
      <c r="CZ295" s="208"/>
      <c r="DA295" s="208"/>
      <c r="DB295" s="208"/>
      <c r="DC295" s="208"/>
      <c r="DD295" s="208"/>
      <c r="DE295" s="208"/>
      <c r="DF295" s="208"/>
      <c r="DG295" s="208"/>
      <c r="DH295" s="208"/>
      <c r="DI295" s="208"/>
      <c r="DJ295" s="208"/>
      <c r="DK295" s="208"/>
      <c r="DL295" s="208"/>
      <c r="DM295" s="208"/>
      <c r="DN295" s="208"/>
      <c r="DO295" s="208"/>
      <c r="DP295" s="208"/>
      <c r="DQ295" s="208"/>
      <c r="DR295" s="208"/>
      <c r="DS295" s="208"/>
      <c r="DT295" s="208"/>
      <c r="DU295" s="208"/>
      <c r="DV295" s="208"/>
      <c r="DW295" s="208"/>
      <c r="DX295" s="208"/>
      <c r="DY295" s="208"/>
      <c r="DZ295" s="208"/>
      <c r="EA295" s="208"/>
      <c r="EB295" s="208"/>
      <c r="EC295" s="208"/>
      <c r="ED295" s="208"/>
      <c r="EE295" s="208"/>
      <c r="EF295" s="208"/>
      <c r="EG295" s="208"/>
      <c r="EH295" s="208"/>
      <c r="EI295" s="208"/>
      <c r="EJ295" s="208"/>
      <c r="EK295" s="208"/>
      <c r="EL295" s="208"/>
      <c r="EM295" s="208"/>
      <c r="EN295" s="208"/>
      <c r="EO295" s="208"/>
      <c r="EP295" s="208"/>
      <c r="EQ295" s="208"/>
      <c r="ER295" s="208"/>
      <c r="ES295" s="208"/>
      <c r="ET295" s="208"/>
      <c r="EU295" s="208"/>
      <c r="EV295" s="208"/>
      <c r="EW295" s="208"/>
      <c r="EX295" s="208"/>
      <c r="EY295" s="208"/>
      <c r="EZ295" s="208"/>
      <c r="FA295" s="208"/>
      <c r="FB295" s="208"/>
      <c r="FC295" s="208"/>
      <c r="FD295" s="208"/>
      <c r="FE295" s="208"/>
      <c r="FF295" s="208"/>
      <c r="FG295" s="208"/>
      <c r="FH295" s="208"/>
      <c r="FI295" s="208"/>
      <c r="FJ295" s="208"/>
      <c r="FK295" s="208"/>
      <c r="FL295" s="208"/>
      <c r="FM295" s="208"/>
      <c r="FN295" s="208"/>
      <c r="FO295" s="208"/>
      <c r="FP295" s="208"/>
      <c r="FQ295" s="208"/>
      <c r="FR295" s="208"/>
      <c r="FS295" s="208"/>
      <c r="FT295" s="208"/>
      <c r="FU295" s="208"/>
      <c r="FV295" s="208"/>
      <c r="FW295" s="208"/>
      <c r="FX295" s="208"/>
      <c r="FY295" s="208"/>
      <c r="FZ295" s="208"/>
      <c r="GA295" s="208"/>
      <c r="GB295" s="208"/>
      <c r="GC295" s="208"/>
      <c r="GD295" s="208"/>
      <c r="GE295" s="208"/>
      <c r="GF295" s="208"/>
    </row>
    <row r="296" spans="1:188" s="209" customFormat="1" ht="15" x14ac:dyDescent="0.25">
      <c r="A296" s="195" t="s">
        <v>5075</v>
      </c>
      <c r="B296" s="195" t="s">
        <v>780</v>
      </c>
      <c r="C296" s="196" t="s">
        <v>2678</v>
      </c>
      <c r="D296" s="154" t="s">
        <v>121</v>
      </c>
      <c r="E296" s="154">
        <v>720</v>
      </c>
      <c r="F296" s="154">
        <v>0.1</v>
      </c>
      <c r="G296" s="197"/>
      <c r="H296" s="198"/>
      <c r="I296" s="151">
        <f>IFERROR(INDEX(Composições!$A$5:$J$8391,MATCH(B296,Composições!$A$5:$A$8391,0)+2,8),"")</f>
        <v>12.240179999999999</v>
      </c>
      <c r="J296" s="152">
        <f t="shared" si="48"/>
        <v>881.29</v>
      </c>
      <c r="K296" s="198">
        <f>BDI!$B$17</f>
        <v>0.191</v>
      </c>
      <c r="L296" s="198"/>
      <c r="M296" s="198"/>
      <c r="N296" s="153">
        <f t="shared" si="49"/>
        <v>14.58</v>
      </c>
      <c r="O296" s="152">
        <f t="shared" si="50"/>
        <v>1049.76</v>
      </c>
      <c r="P296" s="225"/>
      <c r="Q296" s="208"/>
      <c r="R296" s="208"/>
      <c r="S296"/>
      <c r="T296" s="208"/>
      <c r="U296" s="208"/>
      <c r="V296" s="208"/>
      <c r="W296" s="208"/>
      <c r="X296" s="208"/>
      <c r="Y296" s="208"/>
      <c r="Z296" s="208"/>
      <c r="AA296" s="208"/>
      <c r="AB296" s="208"/>
      <c r="AC296" s="208"/>
      <c r="AD296" s="208"/>
      <c r="AE296" s="208"/>
      <c r="AF296" s="208"/>
      <c r="AG296" s="208"/>
      <c r="AH296" s="208"/>
      <c r="AI296" s="208"/>
      <c r="AJ296" s="208"/>
      <c r="AK296" s="208"/>
      <c r="AL296" s="208"/>
      <c r="AM296" s="208"/>
      <c r="AN296" s="208"/>
      <c r="AO296" s="208"/>
      <c r="AP296" s="208"/>
      <c r="AQ296" s="208"/>
      <c r="AR296" s="208"/>
      <c r="AS296" s="208"/>
      <c r="AT296" s="208"/>
      <c r="AU296" s="208"/>
      <c r="AV296" s="208"/>
      <c r="AW296" s="208"/>
      <c r="AX296" s="208"/>
      <c r="AY296" s="208"/>
      <c r="AZ296" s="208"/>
      <c r="BA296" s="208"/>
      <c r="BB296" s="208"/>
      <c r="BC296" s="208"/>
      <c r="BD296" s="208"/>
      <c r="BE296" s="208"/>
      <c r="BF296" s="208"/>
      <c r="BG296" s="208"/>
      <c r="BH296" s="208"/>
      <c r="BI296" s="208"/>
      <c r="BJ296" s="208"/>
      <c r="BK296" s="208"/>
      <c r="BL296" s="208"/>
      <c r="BM296" s="208"/>
      <c r="BN296" s="208"/>
      <c r="BO296" s="208"/>
      <c r="BP296" s="208"/>
      <c r="BQ296" s="208"/>
      <c r="BR296" s="208"/>
      <c r="BS296" s="208"/>
      <c r="BT296" s="208"/>
      <c r="BU296" s="208"/>
      <c r="BV296" s="208"/>
      <c r="BW296" s="208"/>
      <c r="BX296" s="208"/>
      <c r="BY296" s="208"/>
      <c r="BZ296" s="208"/>
      <c r="CA296" s="208"/>
      <c r="CB296" s="208"/>
      <c r="CC296" s="208"/>
      <c r="CD296" s="208"/>
      <c r="CE296" s="208"/>
      <c r="CF296" s="208"/>
      <c r="CG296" s="208"/>
      <c r="CH296" s="208"/>
      <c r="CI296" s="208"/>
      <c r="CJ296" s="208"/>
      <c r="CK296" s="208"/>
      <c r="CL296" s="208"/>
      <c r="CM296" s="208"/>
      <c r="CN296" s="208"/>
      <c r="CO296" s="208"/>
      <c r="CP296" s="208"/>
      <c r="CQ296" s="208"/>
      <c r="CR296" s="208"/>
      <c r="CS296" s="208"/>
      <c r="CT296" s="208"/>
      <c r="CU296" s="208"/>
      <c r="CV296" s="208"/>
      <c r="CW296" s="208"/>
      <c r="CX296" s="208"/>
      <c r="CY296" s="208"/>
      <c r="CZ296" s="208"/>
      <c r="DA296" s="208"/>
      <c r="DB296" s="208"/>
      <c r="DC296" s="208"/>
      <c r="DD296" s="208"/>
      <c r="DE296" s="208"/>
      <c r="DF296" s="208"/>
      <c r="DG296" s="208"/>
      <c r="DH296" s="208"/>
      <c r="DI296" s="208"/>
      <c r="DJ296" s="208"/>
      <c r="DK296" s="208"/>
      <c r="DL296" s="208"/>
      <c r="DM296" s="208"/>
      <c r="DN296" s="208"/>
      <c r="DO296" s="208"/>
      <c r="DP296" s="208"/>
      <c r="DQ296" s="208"/>
      <c r="DR296" s="208"/>
      <c r="DS296" s="208"/>
      <c r="DT296" s="208"/>
      <c r="DU296" s="208"/>
      <c r="DV296" s="208"/>
      <c r="DW296" s="208"/>
      <c r="DX296" s="208"/>
      <c r="DY296" s="208"/>
      <c r="DZ296" s="208"/>
      <c r="EA296" s="208"/>
      <c r="EB296" s="208"/>
      <c r="EC296" s="208"/>
      <c r="ED296" s="208"/>
      <c r="EE296" s="208"/>
      <c r="EF296" s="208"/>
      <c r="EG296" s="208"/>
      <c r="EH296" s="208"/>
      <c r="EI296" s="208"/>
      <c r="EJ296" s="208"/>
      <c r="EK296" s="208"/>
      <c r="EL296" s="208"/>
      <c r="EM296" s="208"/>
      <c r="EN296" s="208"/>
      <c r="EO296" s="208"/>
      <c r="EP296" s="208"/>
      <c r="EQ296" s="208"/>
      <c r="ER296" s="208"/>
      <c r="ES296" s="208"/>
      <c r="ET296" s="208"/>
      <c r="EU296" s="208"/>
      <c r="EV296" s="208"/>
      <c r="EW296" s="208"/>
      <c r="EX296" s="208"/>
      <c r="EY296" s="208"/>
      <c r="EZ296" s="208"/>
      <c r="FA296" s="208"/>
      <c r="FB296" s="208"/>
      <c r="FC296" s="208"/>
      <c r="FD296" s="208"/>
      <c r="FE296" s="208"/>
      <c r="FF296" s="208"/>
      <c r="FG296" s="208"/>
      <c r="FH296" s="208"/>
      <c r="FI296" s="208"/>
      <c r="FJ296" s="208"/>
      <c r="FK296" s="208"/>
      <c r="FL296" s="208"/>
      <c r="FM296" s="208"/>
      <c r="FN296" s="208"/>
      <c r="FO296" s="208"/>
      <c r="FP296" s="208"/>
      <c r="FQ296" s="208"/>
      <c r="FR296" s="208"/>
      <c r="FS296" s="208"/>
      <c r="FT296" s="208"/>
      <c r="FU296" s="208"/>
      <c r="FV296" s="208"/>
      <c r="FW296" s="208"/>
      <c r="FX296" s="208"/>
      <c r="FY296" s="208"/>
      <c r="FZ296" s="208"/>
      <c r="GA296" s="208"/>
      <c r="GB296" s="208"/>
      <c r="GC296" s="208"/>
      <c r="GD296" s="208"/>
      <c r="GE296" s="208"/>
      <c r="GF296" s="208"/>
    </row>
    <row r="297" spans="1:188" s="209" customFormat="1" ht="15" x14ac:dyDescent="0.25">
      <c r="A297" s="195" t="s">
        <v>5076</v>
      </c>
      <c r="B297" s="195" t="s">
        <v>783</v>
      </c>
      <c r="C297" s="196" t="s">
        <v>2679</v>
      </c>
      <c r="D297" s="154" t="s">
        <v>28</v>
      </c>
      <c r="E297" s="154">
        <v>6000</v>
      </c>
      <c r="F297" s="154">
        <v>0.1</v>
      </c>
      <c r="G297" s="197"/>
      <c r="H297" s="198"/>
      <c r="I297" s="151">
        <f>IFERROR(INDEX(Composições!$A$5:$J$8391,MATCH(B297,Composições!$A$5:$A$8391,0)+2,8),"")</f>
        <v>38.816999999999993</v>
      </c>
      <c r="J297" s="152">
        <f t="shared" si="48"/>
        <v>23290.2</v>
      </c>
      <c r="K297" s="198">
        <f>BDI!$B$17</f>
        <v>0.191</v>
      </c>
      <c r="L297" s="198"/>
      <c r="M297" s="198"/>
      <c r="N297" s="153">
        <f t="shared" si="49"/>
        <v>46.23</v>
      </c>
      <c r="O297" s="152">
        <f t="shared" si="50"/>
        <v>27738</v>
      </c>
      <c r="P297" s="225"/>
      <c r="Q297" s="208"/>
      <c r="R297" s="208"/>
      <c r="S297"/>
      <c r="T297" s="208"/>
      <c r="U297" s="208"/>
      <c r="V297" s="208"/>
      <c r="W297" s="208"/>
      <c r="X297" s="208"/>
      <c r="Y297" s="208"/>
      <c r="Z297" s="208"/>
      <c r="AA297" s="208"/>
      <c r="AB297" s="208"/>
      <c r="AC297" s="208"/>
      <c r="AD297" s="208"/>
      <c r="AE297" s="208"/>
      <c r="AF297" s="208"/>
      <c r="AG297" s="208"/>
      <c r="AH297" s="208"/>
      <c r="AI297" s="208"/>
      <c r="AJ297" s="208"/>
      <c r="AK297" s="208"/>
      <c r="AL297" s="208"/>
      <c r="AM297" s="208"/>
      <c r="AN297" s="208"/>
      <c r="AO297" s="208"/>
      <c r="AP297" s="208"/>
      <c r="AQ297" s="208"/>
      <c r="AR297" s="208"/>
      <c r="AS297" s="208"/>
      <c r="AT297" s="208"/>
      <c r="AU297" s="208"/>
      <c r="AV297" s="208"/>
      <c r="AW297" s="208"/>
      <c r="AX297" s="208"/>
      <c r="AY297" s="208"/>
      <c r="AZ297" s="208"/>
      <c r="BA297" s="208"/>
      <c r="BB297" s="208"/>
      <c r="BC297" s="208"/>
      <c r="BD297" s="208"/>
      <c r="BE297" s="208"/>
      <c r="BF297" s="208"/>
      <c r="BG297" s="208"/>
      <c r="BH297" s="208"/>
      <c r="BI297" s="208"/>
      <c r="BJ297" s="208"/>
      <c r="BK297" s="208"/>
      <c r="BL297" s="208"/>
      <c r="BM297" s="208"/>
      <c r="BN297" s="208"/>
      <c r="BO297" s="208"/>
      <c r="BP297" s="208"/>
      <c r="BQ297" s="208"/>
      <c r="BR297" s="208"/>
      <c r="BS297" s="208"/>
      <c r="BT297" s="208"/>
      <c r="BU297" s="208"/>
      <c r="BV297" s="208"/>
      <c r="BW297" s="208"/>
      <c r="BX297" s="208"/>
      <c r="BY297" s="208"/>
      <c r="BZ297" s="208"/>
      <c r="CA297" s="208"/>
      <c r="CB297" s="208"/>
      <c r="CC297" s="208"/>
      <c r="CD297" s="208"/>
      <c r="CE297" s="208"/>
      <c r="CF297" s="208"/>
      <c r="CG297" s="208"/>
      <c r="CH297" s="208"/>
      <c r="CI297" s="208"/>
      <c r="CJ297" s="208"/>
      <c r="CK297" s="208"/>
      <c r="CL297" s="208"/>
      <c r="CM297" s="208"/>
      <c r="CN297" s="208"/>
      <c r="CO297" s="208"/>
      <c r="CP297" s="208"/>
      <c r="CQ297" s="208"/>
      <c r="CR297" s="208"/>
      <c r="CS297" s="208"/>
      <c r="CT297" s="208"/>
      <c r="CU297" s="208"/>
      <c r="CV297" s="208"/>
      <c r="CW297" s="208"/>
      <c r="CX297" s="208"/>
      <c r="CY297" s="208"/>
      <c r="CZ297" s="208"/>
      <c r="DA297" s="208"/>
      <c r="DB297" s="208"/>
      <c r="DC297" s="208"/>
      <c r="DD297" s="208"/>
      <c r="DE297" s="208"/>
      <c r="DF297" s="208"/>
      <c r="DG297" s="208"/>
      <c r="DH297" s="208"/>
      <c r="DI297" s="208"/>
      <c r="DJ297" s="208"/>
      <c r="DK297" s="208"/>
      <c r="DL297" s="208"/>
      <c r="DM297" s="208"/>
      <c r="DN297" s="208"/>
      <c r="DO297" s="208"/>
      <c r="DP297" s="208"/>
      <c r="DQ297" s="208"/>
      <c r="DR297" s="208"/>
      <c r="DS297" s="208"/>
      <c r="DT297" s="208"/>
      <c r="DU297" s="208"/>
      <c r="DV297" s="208"/>
      <c r="DW297" s="208"/>
      <c r="DX297" s="208"/>
      <c r="DY297" s="208"/>
      <c r="DZ297" s="208"/>
      <c r="EA297" s="208"/>
      <c r="EB297" s="208"/>
      <c r="EC297" s="208"/>
      <c r="ED297" s="208"/>
      <c r="EE297" s="208"/>
      <c r="EF297" s="208"/>
      <c r="EG297" s="208"/>
      <c r="EH297" s="208"/>
      <c r="EI297" s="208"/>
      <c r="EJ297" s="208"/>
      <c r="EK297" s="208"/>
      <c r="EL297" s="208"/>
      <c r="EM297" s="208"/>
      <c r="EN297" s="208"/>
      <c r="EO297" s="208"/>
      <c r="EP297" s="208"/>
      <c r="EQ297" s="208"/>
      <c r="ER297" s="208"/>
      <c r="ES297" s="208"/>
      <c r="ET297" s="208"/>
      <c r="EU297" s="208"/>
      <c r="EV297" s="208"/>
      <c r="EW297" s="208"/>
      <c r="EX297" s="208"/>
      <c r="EY297" s="208"/>
      <c r="EZ297" s="208"/>
      <c r="FA297" s="208"/>
      <c r="FB297" s="208"/>
      <c r="FC297" s="208"/>
      <c r="FD297" s="208"/>
      <c r="FE297" s="208"/>
      <c r="FF297" s="208"/>
      <c r="FG297" s="208"/>
      <c r="FH297" s="208"/>
      <c r="FI297" s="208"/>
      <c r="FJ297" s="208"/>
      <c r="FK297" s="208"/>
      <c r="FL297" s="208"/>
      <c r="FM297" s="208"/>
      <c r="FN297" s="208"/>
      <c r="FO297" s="208"/>
      <c r="FP297" s="208"/>
      <c r="FQ297" s="208"/>
      <c r="FR297" s="208"/>
      <c r="FS297" s="208"/>
      <c r="FT297" s="208"/>
      <c r="FU297" s="208"/>
      <c r="FV297" s="208"/>
      <c r="FW297" s="208"/>
      <c r="FX297" s="208"/>
      <c r="FY297" s="208"/>
      <c r="FZ297" s="208"/>
      <c r="GA297" s="208"/>
      <c r="GB297" s="208"/>
      <c r="GC297" s="208"/>
      <c r="GD297" s="208"/>
      <c r="GE297" s="208"/>
      <c r="GF297" s="208"/>
    </row>
    <row r="298" spans="1:188" s="209" customFormat="1" ht="15" x14ac:dyDescent="0.25">
      <c r="A298" s="195" t="s">
        <v>5077</v>
      </c>
      <c r="B298" s="195" t="s">
        <v>789</v>
      </c>
      <c r="C298" s="196" t="s">
        <v>2683</v>
      </c>
      <c r="D298" s="154" t="s">
        <v>28</v>
      </c>
      <c r="E298" s="154">
        <v>110</v>
      </c>
      <c r="F298" s="154">
        <v>0.1</v>
      </c>
      <c r="G298" s="197"/>
      <c r="H298" s="198"/>
      <c r="I298" s="151">
        <f>IFERROR(INDEX(Composições!$A$5:$J$8391,MATCH(B298,Composições!$A$5:$A$8391,0)+2,8),"")</f>
        <v>18.335599999999999</v>
      </c>
      <c r="J298" s="152">
        <f t="shared" si="48"/>
        <v>201.69</v>
      </c>
      <c r="K298" s="198">
        <f>BDI!$B$17</f>
        <v>0.191</v>
      </c>
      <c r="L298" s="198"/>
      <c r="M298" s="198"/>
      <c r="N298" s="153">
        <f t="shared" si="49"/>
        <v>21.84</v>
      </c>
      <c r="O298" s="152">
        <f t="shared" si="50"/>
        <v>240.24</v>
      </c>
      <c r="P298" s="225"/>
      <c r="Q298" s="208"/>
      <c r="R298" s="208"/>
      <c r="S298"/>
      <c r="T298" s="208"/>
      <c r="U298" s="208"/>
      <c r="V298" s="208"/>
      <c r="W298" s="208"/>
      <c r="X298" s="208"/>
      <c r="Y298" s="208"/>
      <c r="Z298" s="208"/>
      <c r="AA298" s="208"/>
      <c r="AB298" s="208"/>
      <c r="AC298" s="208"/>
      <c r="AD298" s="208"/>
      <c r="AE298" s="208"/>
      <c r="AF298" s="208"/>
      <c r="AG298" s="208"/>
      <c r="AH298" s="208"/>
      <c r="AI298" s="208"/>
      <c r="AJ298" s="208"/>
      <c r="AK298" s="208"/>
      <c r="AL298" s="208"/>
      <c r="AM298" s="208"/>
      <c r="AN298" s="208"/>
      <c r="AO298" s="208"/>
      <c r="AP298" s="208"/>
      <c r="AQ298" s="208"/>
      <c r="AR298" s="208"/>
      <c r="AS298" s="208"/>
      <c r="AT298" s="208"/>
      <c r="AU298" s="208"/>
      <c r="AV298" s="208"/>
      <c r="AW298" s="208"/>
      <c r="AX298" s="208"/>
      <c r="AY298" s="208"/>
      <c r="AZ298" s="208"/>
      <c r="BA298" s="208"/>
      <c r="BB298" s="208"/>
      <c r="BC298" s="208"/>
      <c r="BD298" s="208"/>
      <c r="BE298" s="208"/>
      <c r="BF298" s="208"/>
      <c r="BG298" s="208"/>
      <c r="BH298" s="208"/>
      <c r="BI298" s="208"/>
      <c r="BJ298" s="208"/>
      <c r="BK298" s="208"/>
      <c r="BL298" s="208"/>
      <c r="BM298" s="208"/>
      <c r="BN298" s="208"/>
      <c r="BO298" s="208"/>
      <c r="BP298" s="208"/>
      <c r="BQ298" s="208"/>
      <c r="BR298" s="208"/>
      <c r="BS298" s="208"/>
      <c r="BT298" s="208"/>
      <c r="BU298" s="208"/>
      <c r="BV298" s="208"/>
      <c r="BW298" s="208"/>
      <c r="BX298" s="208"/>
      <c r="BY298" s="208"/>
      <c r="BZ298" s="208"/>
      <c r="CA298" s="208"/>
      <c r="CB298" s="208"/>
      <c r="CC298" s="208"/>
      <c r="CD298" s="208"/>
      <c r="CE298" s="208"/>
      <c r="CF298" s="208"/>
      <c r="CG298" s="208"/>
      <c r="CH298" s="208"/>
      <c r="CI298" s="208"/>
      <c r="CJ298" s="208"/>
      <c r="CK298" s="208"/>
      <c r="CL298" s="208"/>
      <c r="CM298" s="208"/>
      <c r="CN298" s="208"/>
      <c r="CO298" s="208"/>
      <c r="CP298" s="208"/>
      <c r="CQ298" s="208"/>
      <c r="CR298" s="208"/>
      <c r="CS298" s="208"/>
      <c r="CT298" s="208"/>
      <c r="CU298" s="208"/>
      <c r="CV298" s="208"/>
      <c r="CW298" s="208"/>
      <c r="CX298" s="208"/>
      <c r="CY298" s="208"/>
      <c r="CZ298" s="208"/>
      <c r="DA298" s="208"/>
      <c r="DB298" s="208"/>
      <c r="DC298" s="208"/>
      <c r="DD298" s="208"/>
      <c r="DE298" s="208"/>
      <c r="DF298" s="208"/>
      <c r="DG298" s="208"/>
      <c r="DH298" s="208"/>
      <c r="DI298" s="208"/>
      <c r="DJ298" s="208"/>
      <c r="DK298" s="208"/>
      <c r="DL298" s="208"/>
      <c r="DM298" s="208"/>
      <c r="DN298" s="208"/>
      <c r="DO298" s="208"/>
      <c r="DP298" s="208"/>
      <c r="DQ298" s="208"/>
      <c r="DR298" s="208"/>
      <c r="DS298" s="208"/>
      <c r="DT298" s="208"/>
      <c r="DU298" s="208"/>
      <c r="DV298" s="208"/>
      <c r="DW298" s="208"/>
      <c r="DX298" s="208"/>
      <c r="DY298" s="208"/>
      <c r="DZ298" s="208"/>
      <c r="EA298" s="208"/>
      <c r="EB298" s="208"/>
      <c r="EC298" s="208"/>
      <c r="ED298" s="208"/>
      <c r="EE298" s="208"/>
      <c r="EF298" s="208"/>
      <c r="EG298" s="208"/>
      <c r="EH298" s="208"/>
      <c r="EI298" s="208"/>
      <c r="EJ298" s="208"/>
      <c r="EK298" s="208"/>
      <c r="EL298" s="208"/>
      <c r="EM298" s="208"/>
      <c r="EN298" s="208"/>
      <c r="EO298" s="208"/>
      <c r="EP298" s="208"/>
      <c r="EQ298" s="208"/>
      <c r="ER298" s="208"/>
      <c r="ES298" s="208"/>
      <c r="ET298" s="208"/>
      <c r="EU298" s="208"/>
      <c r="EV298" s="208"/>
      <c r="EW298" s="208"/>
      <c r="EX298" s="208"/>
      <c r="EY298" s="208"/>
      <c r="EZ298" s="208"/>
      <c r="FA298" s="208"/>
      <c r="FB298" s="208"/>
      <c r="FC298" s="208"/>
      <c r="FD298" s="208"/>
      <c r="FE298" s="208"/>
      <c r="FF298" s="208"/>
      <c r="FG298" s="208"/>
      <c r="FH298" s="208"/>
      <c r="FI298" s="208"/>
      <c r="FJ298" s="208"/>
      <c r="FK298" s="208"/>
      <c r="FL298" s="208"/>
      <c r="FM298" s="208"/>
      <c r="FN298" s="208"/>
      <c r="FO298" s="208"/>
      <c r="FP298" s="208"/>
      <c r="FQ298" s="208"/>
      <c r="FR298" s="208"/>
      <c r="FS298" s="208"/>
      <c r="FT298" s="208"/>
      <c r="FU298" s="208"/>
      <c r="FV298" s="208"/>
      <c r="FW298" s="208"/>
      <c r="FX298" s="208"/>
      <c r="FY298" s="208"/>
      <c r="FZ298" s="208"/>
      <c r="GA298" s="208"/>
      <c r="GB298" s="208"/>
      <c r="GC298" s="208"/>
      <c r="GD298" s="208"/>
      <c r="GE298" s="208"/>
      <c r="GF298" s="208"/>
    </row>
    <row r="299" spans="1:188" s="209" customFormat="1" ht="15" x14ac:dyDescent="0.25">
      <c r="A299" s="195" t="s">
        <v>5078</v>
      </c>
      <c r="B299" s="195" t="s">
        <v>791</v>
      </c>
      <c r="C299" s="196" t="s">
        <v>2684</v>
      </c>
      <c r="D299" s="154" t="s">
        <v>28</v>
      </c>
      <c r="E299" s="154">
        <v>40</v>
      </c>
      <c r="F299" s="154">
        <v>0.1</v>
      </c>
      <c r="G299" s="197"/>
      <c r="H299" s="198"/>
      <c r="I299" s="151">
        <f>IFERROR(INDEX(Composições!$A$5:$J$8391,MATCH(B299,Composições!$A$5:$A$8391,0)+2,8),"")</f>
        <v>83.793400000000005</v>
      </c>
      <c r="J299" s="152">
        <f t="shared" si="48"/>
        <v>335.17</v>
      </c>
      <c r="K299" s="198">
        <f>BDI!$B$17</f>
        <v>0.191</v>
      </c>
      <c r="L299" s="198"/>
      <c r="M299" s="198"/>
      <c r="N299" s="153">
        <f t="shared" si="49"/>
        <v>99.8</v>
      </c>
      <c r="O299" s="152">
        <f t="shared" si="50"/>
        <v>399.2</v>
      </c>
      <c r="P299" s="225"/>
      <c r="Q299" s="208"/>
      <c r="R299" s="208"/>
      <c r="S299"/>
      <c r="T299" s="208"/>
      <c r="U299" s="208"/>
      <c r="V299" s="208"/>
      <c r="W299" s="208"/>
      <c r="X299" s="208"/>
      <c r="Y299" s="208"/>
      <c r="Z299" s="208"/>
      <c r="AA299" s="208"/>
      <c r="AB299" s="208"/>
      <c r="AC299" s="208"/>
      <c r="AD299" s="208"/>
      <c r="AE299" s="208"/>
      <c r="AF299" s="208"/>
      <c r="AG299" s="208"/>
      <c r="AH299" s="208"/>
      <c r="AI299" s="208"/>
      <c r="AJ299" s="208"/>
      <c r="AK299" s="208"/>
      <c r="AL299" s="208"/>
      <c r="AM299" s="208"/>
      <c r="AN299" s="208"/>
      <c r="AO299" s="208"/>
      <c r="AP299" s="208"/>
      <c r="AQ299" s="208"/>
      <c r="AR299" s="208"/>
      <c r="AS299" s="208"/>
      <c r="AT299" s="208"/>
      <c r="AU299" s="208"/>
      <c r="AV299" s="208"/>
      <c r="AW299" s="208"/>
      <c r="AX299" s="208"/>
      <c r="AY299" s="208"/>
      <c r="AZ299" s="208"/>
      <c r="BA299" s="208"/>
      <c r="BB299" s="208"/>
      <c r="BC299" s="208"/>
      <c r="BD299" s="208"/>
      <c r="BE299" s="208"/>
      <c r="BF299" s="208"/>
      <c r="BG299" s="208"/>
      <c r="BH299" s="208"/>
      <c r="BI299" s="208"/>
      <c r="BJ299" s="208"/>
      <c r="BK299" s="208"/>
      <c r="BL299" s="208"/>
      <c r="BM299" s="208"/>
      <c r="BN299" s="208"/>
      <c r="BO299" s="208"/>
      <c r="BP299" s="208"/>
      <c r="BQ299" s="208"/>
      <c r="BR299" s="208"/>
      <c r="BS299" s="208"/>
      <c r="BT299" s="208"/>
      <c r="BU299" s="208"/>
      <c r="BV299" s="208"/>
      <c r="BW299" s="208"/>
      <c r="BX299" s="208"/>
      <c r="BY299" s="208"/>
      <c r="BZ299" s="208"/>
      <c r="CA299" s="208"/>
      <c r="CB299" s="208"/>
      <c r="CC299" s="208"/>
      <c r="CD299" s="208"/>
      <c r="CE299" s="208"/>
      <c r="CF299" s="208"/>
      <c r="CG299" s="208"/>
      <c r="CH299" s="208"/>
      <c r="CI299" s="208"/>
      <c r="CJ299" s="208"/>
      <c r="CK299" s="208"/>
      <c r="CL299" s="208"/>
      <c r="CM299" s="208"/>
      <c r="CN299" s="208"/>
      <c r="CO299" s="208"/>
      <c r="CP299" s="208"/>
      <c r="CQ299" s="208"/>
      <c r="CR299" s="208"/>
      <c r="CS299" s="208"/>
      <c r="CT299" s="208"/>
      <c r="CU299" s="208"/>
      <c r="CV299" s="208"/>
      <c r="CW299" s="208"/>
      <c r="CX299" s="208"/>
      <c r="CY299" s="208"/>
      <c r="CZ299" s="208"/>
      <c r="DA299" s="208"/>
      <c r="DB299" s="208"/>
      <c r="DC299" s="208"/>
      <c r="DD299" s="208"/>
      <c r="DE299" s="208"/>
      <c r="DF299" s="208"/>
      <c r="DG299" s="208"/>
      <c r="DH299" s="208"/>
      <c r="DI299" s="208"/>
      <c r="DJ299" s="208"/>
      <c r="DK299" s="208"/>
      <c r="DL299" s="208"/>
      <c r="DM299" s="208"/>
      <c r="DN299" s="208"/>
      <c r="DO299" s="208"/>
      <c r="DP299" s="208"/>
      <c r="DQ299" s="208"/>
      <c r="DR299" s="208"/>
      <c r="DS299" s="208"/>
      <c r="DT299" s="208"/>
      <c r="DU299" s="208"/>
      <c r="DV299" s="208"/>
      <c r="DW299" s="208"/>
      <c r="DX299" s="208"/>
      <c r="DY299" s="208"/>
      <c r="DZ299" s="208"/>
      <c r="EA299" s="208"/>
      <c r="EB299" s="208"/>
      <c r="EC299" s="208"/>
      <c r="ED299" s="208"/>
      <c r="EE299" s="208"/>
      <c r="EF299" s="208"/>
      <c r="EG299" s="208"/>
      <c r="EH299" s="208"/>
      <c r="EI299" s="208"/>
      <c r="EJ299" s="208"/>
      <c r="EK299" s="208"/>
      <c r="EL299" s="208"/>
      <c r="EM299" s="208"/>
      <c r="EN299" s="208"/>
      <c r="EO299" s="208"/>
      <c r="EP299" s="208"/>
      <c r="EQ299" s="208"/>
      <c r="ER299" s="208"/>
      <c r="ES299" s="208"/>
      <c r="ET299" s="208"/>
      <c r="EU299" s="208"/>
      <c r="EV299" s="208"/>
      <c r="EW299" s="208"/>
      <c r="EX299" s="208"/>
      <c r="EY299" s="208"/>
      <c r="EZ299" s="208"/>
      <c r="FA299" s="208"/>
      <c r="FB299" s="208"/>
      <c r="FC299" s="208"/>
      <c r="FD299" s="208"/>
      <c r="FE299" s="208"/>
      <c r="FF299" s="208"/>
      <c r="FG299" s="208"/>
      <c r="FH299" s="208"/>
      <c r="FI299" s="208"/>
      <c r="FJ299" s="208"/>
      <c r="FK299" s="208"/>
      <c r="FL299" s="208"/>
      <c r="FM299" s="208"/>
      <c r="FN299" s="208"/>
      <c r="FO299" s="208"/>
      <c r="FP299" s="208"/>
      <c r="FQ299" s="208"/>
      <c r="FR299" s="208"/>
      <c r="FS299" s="208"/>
      <c r="FT299" s="208"/>
      <c r="FU299" s="208"/>
      <c r="FV299" s="208"/>
      <c r="FW299" s="208"/>
      <c r="FX299" s="208"/>
      <c r="FY299" s="208"/>
      <c r="FZ299" s="208"/>
      <c r="GA299" s="208"/>
      <c r="GB299" s="208"/>
      <c r="GC299" s="208"/>
      <c r="GD299" s="208"/>
      <c r="GE299" s="208"/>
      <c r="GF299" s="208"/>
    </row>
    <row r="300" spans="1:188" s="209" customFormat="1" ht="15" x14ac:dyDescent="0.25">
      <c r="A300" s="195" t="s">
        <v>5079</v>
      </c>
      <c r="B300" s="195" t="s">
        <v>793</v>
      </c>
      <c r="C300" s="196" t="s">
        <v>2685</v>
      </c>
      <c r="D300" s="154" t="s">
        <v>28</v>
      </c>
      <c r="E300" s="154">
        <v>40</v>
      </c>
      <c r="F300" s="154">
        <v>0.1</v>
      </c>
      <c r="G300" s="197"/>
      <c r="H300" s="198"/>
      <c r="I300" s="151">
        <f>IFERROR(INDEX(Composições!$A$5:$J$8391,MATCH(B300,Composições!$A$5:$A$8391,0)+2,8),"")</f>
        <v>83.793400000000005</v>
      </c>
      <c r="J300" s="152">
        <f t="shared" si="48"/>
        <v>335.17</v>
      </c>
      <c r="K300" s="198">
        <f>BDI!$B$17</f>
        <v>0.191</v>
      </c>
      <c r="L300" s="198"/>
      <c r="M300" s="198"/>
      <c r="N300" s="153">
        <f t="shared" si="49"/>
        <v>99.8</v>
      </c>
      <c r="O300" s="152">
        <f t="shared" si="50"/>
        <v>399.2</v>
      </c>
      <c r="P300" s="225"/>
      <c r="Q300" s="208"/>
      <c r="R300" s="208"/>
      <c r="S300"/>
      <c r="T300" s="208"/>
      <c r="U300" s="208"/>
      <c r="V300" s="208"/>
      <c r="W300" s="208"/>
      <c r="X300" s="208"/>
      <c r="Y300" s="208"/>
      <c r="Z300" s="208"/>
      <c r="AA300" s="208"/>
      <c r="AB300" s="208"/>
      <c r="AC300" s="208"/>
      <c r="AD300" s="208"/>
      <c r="AE300" s="208"/>
      <c r="AF300" s="208"/>
      <c r="AG300" s="208"/>
      <c r="AH300" s="208"/>
      <c r="AI300" s="208"/>
      <c r="AJ300" s="208"/>
      <c r="AK300" s="208"/>
      <c r="AL300" s="208"/>
      <c r="AM300" s="208"/>
      <c r="AN300" s="208"/>
      <c r="AO300" s="208"/>
      <c r="AP300" s="208"/>
      <c r="AQ300" s="208"/>
      <c r="AR300" s="208"/>
      <c r="AS300" s="208"/>
      <c r="AT300" s="208"/>
      <c r="AU300" s="208"/>
      <c r="AV300" s="208"/>
      <c r="AW300" s="208"/>
      <c r="AX300" s="208"/>
      <c r="AY300" s="208"/>
      <c r="AZ300" s="208"/>
      <c r="BA300" s="208"/>
      <c r="BB300" s="208"/>
      <c r="BC300" s="208"/>
      <c r="BD300" s="208"/>
      <c r="BE300" s="208"/>
      <c r="BF300" s="208"/>
      <c r="BG300" s="208"/>
      <c r="BH300" s="208"/>
      <c r="BI300" s="208"/>
      <c r="BJ300" s="208"/>
      <c r="BK300" s="208"/>
      <c r="BL300" s="208"/>
      <c r="BM300" s="208"/>
      <c r="BN300" s="208"/>
      <c r="BO300" s="208"/>
      <c r="BP300" s="208"/>
      <c r="BQ300" s="208"/>
      <c r="BR300" s="208"/>
      <c r="BS300" s="208"/>
      <c r="BT300" s="208"/>
      <c r="BU300" s="208"/>
      <c r="BV300" s="208"/>
      <c r="BW300" s="208"/>
      <c r="BX300" s="208"/>
      <c r="BY300" s="208"/>
      <c r="BZ300" s="208"/>
      <c r="CA300" s="208"/>
      <c r="CB300" s="208"/>
      <c r="CC300" s="208"/>
      <c r="CD300" s="208"/>
      <c r="CE300" s="208"/>
      <c r="CF300" s="208"/>
      <c r="CG300" s="208"/>
      <c r="CH300" s="208"/>
      <c r="CI300" s="208"/>
      <c r="CJ300" s="208"/>
      <c r="CK300" s="208"/>
      <c r="CL300" s="208"/>
      <c r="CM300" s="208"/>
      <c r="CN300" s="208"/>
      <c r="CO300" s="208"/>
      <c r="CP300" s="208"/>
      <c r="CQ300" s="208"/>
      <c r="CR300" s="208"/>
      <c r="CS300" s="208"/>
      <c r="CT300" s="208"/>
      <c r="CU300" s="208"/>
      <c r="CV300" s="208"/>
      <c r="CW300" s="208"/>
      <c r="CX300" s="208"/>
      <c r="CY300" s="208"/>
      <c r="CZ300" s="208"/>
      <c r="DA300" s="208"/>
      <c r="DB300" s="208"/>
      <c r="DC300" s="208"/>
      <c r="DD300" s="208"/>
      <c r="DE300" s="208"/>
      <c r="DF300" s="208"/>
      <c r="DG300" s="208"/>
      <c r="DH300" s="208"/>
      <c r="DI300" s="208"/>
      <c r="DJ300" s="208"/>
      <c r="DK300" s="208"/>
      <c r="DL300" s="208"/>
      <c r="DM300" s="208"/>
      <c r="DN300" s="208"/>
      <c r="DO300" s="208"/>
      <c r="DP300" s="208"/>
      <c r="DQ300" s="208"/>
      <c r="DR300" s="208"/>
      <c r="DS300" s="208"/>
      <c r="DT300" s="208"/>
      <c r="DU300" s="208"/>
      <c r="DV300" s="208"/>
      <c r="DW300" s="208"/>
      <c r="DX300" s="208"/>
      <c r="DY300" s="208"/>
      <c r="DZ300" s="208"/>
      <c r="EA300" s="208"/>
      <c r="EB300" s="208"/>
      <c r="EC300" s="208"/>
      <c r="ED300" s="208"/>
      <c r="EE300" s="208"/>
      <c r="EF300" s="208"/>
      <c r="EG300" s="208"/>
      <c r="EH300" s="208"/>
      <c r="EI300" s="208"/>
      <c r="EJ300" s="208"/>
      <c r="EK300" s="208"/>
      <c r="EL300" s="208"/>
      <c r="EM300" s="208"/>
      <c r="EN300" s="208"/>
      <c r="EO300" s="208"/>
      <c r="EP300" s="208"/>
      <c r="EQ300" s="208"/>
      <c r="ER300" s="208"/>
      <c r="ES300" s="208"/>
      <c r="ET300" s="208"/>
      <c r="EU300" s="208"/>
      <c r="EV300" s="208"/>
      <c r="EW300" s="208"/>
      <c r="EX300" s="208"/>
      <c r="EY300" s="208"/>
      <c r="EZ300" s="208"/>
      <c r="FA300" s="208"/>
      <c r="FB300" s="208"/>
      <c r="FC300" s="208"/>
      <c r="FD300" s="208"/>
      <c r="FE300" s="208"/>
      <c r="FF300" s="208"/>
      <c r="FG300" s="208"/>
      <c r="FH300" s="208"/>
      <c r="FI300" s="208"/>
      <c r="FJ300" s="208"/>
      <c r="FK300" s="208"/>
      <c r="FL300" s="208"/>
      <c r="FM300" s="208"/>
      <c r="FN300" s="208"/>
      <c r="FO300" s="208"/>
      <c r="FP300" s="208"/>
      <c r="FQ300" s="208"/>
      <c r="FR300" s="208"/>
      <c r="FS300" s="208"/>
      <c r="FT300" s="208"/>
      <c r="FU300" s="208"/>
      <c r="FV300" s="208"/>
      <c r="FW300" s="208"/>
      <c r="FX300" s="208"/>
      <c r="FY300" s="208"/>
      <c r="FZ300" s="208"/>
      <c r="GA300" s="208"/>
      <c r="GB300" s="208"/>
      <c r="GC300" s="208"/>
      <c r="GD300" s="208"/>
      <c r="GE300" s="208"/>
      <c r="GF300" s="208"/>
    </row>
    <row r="301" spans="1:188" s="209" customFormat="1" ht="15" x14ac:dyDescent="0.25">
      <c r="A301" s="195" t="s">
        <v>5080</v>
      </c>
      <c r="B301" s="195" t="s">
        <v>795</v>
      </c>
      <c r="C301" s="196" t="s">
        <v>2686</v>
      </c>
      <c r="D301" s="154" t="s">
        <v>28</v>
      </c>
      <c r="E301" s="154">
        <v>60</v>
      </c>
      <c r="F301" s="154">
        <v>0.1</v>
      </c>
      <c r="G301" s="197"/>
      <c r="H301" s="198"/>
      <c r="I301" s="151">
        <f>IFERROR(INDEX(Composições!$A$5:$J$8391,MATCH(B301,Composições!$A$5:$A$8391,0)+2,8),"")</f>
        <v>58.373399999999997</v>
      </c>
      <c r="J301" s="152">
        <f t="shared" si="48"/>
        <v>350.24</v>
      </c>
      <c r="K301" s="198">
        <f>BDI!$B$17</f>
        <v>0.191</v>
      </c>
      <c r="L301" s="198"/>
      <c r="M301" s="198"/>
      <c r="N301" s="153">
        <f t="shared" si="49"/>
        <v>69.52</v>
      </c>
      <c r="O301" s="152">
        <f t="shared" si="50"/>
        <v>417.12</v>
      </c>
      <c r="P301" s="225"/>
      <c r="Q301" s="208"/>
      <c r="R301" s="208"/>
      <c r="S301"/>
      <c r="T301" s="208"/>
      <c r="U301" s="208"/>
      <c r="V301" s="208"/>
      <c r="W301" s="208"/>
      <c r="X301" s="208"/>
      <c r="Y301" s="208"/>
      <c r="Z301" s="208"/>
      <c r="AA301" s="208"/>
      <c r="AB301" s="208"/>
      <c r="AC301" s="208"/>
      <c r="AD301" s="208"/>
      <c r="AE301" s="208"/>
      <c r="AF301" s="208"/>
      <c r="AG301" s="208"/>
      <c r="AH301" s="208"/>
      <c r="AI301" s="208"/>
      <c r="AJ301" s="208"/>
      <c r="AK301" s="208"/>
      <c r="AL301" s="208"/>
      <c r="AM301" s="208"/>
      <c r="AN301" s="208"/>
      <c r="AO301" s="208"/>
      <c r="AP301" s="208"/>
      <c r="AQ301" s="208"/>
      <c r="AR301" s="208"/>
      <c r="AS301" s="208"/>
      <c r="AT301" s="208"/>
      <c r="AU301" s="208"/>
      <c r="AV301" s="208"/>
      <c r="AW301" s="208"/>
      <c r="AX301" s="208"/>
      <c r="AY301" s="208"/>
      <c r="AZ301" s="208"/>
      <c r="BA301" s="208"/>
      <c r="BB301" s="208"/>
      <c r="BC301" s="208"/>
      <c r="BD301" s="208"/>
      <c r="BE301" s="208"/>
      <c r="BF301" s="208"/>
      <c r="BG301" s="208"/>
      <c r="BH301" s="208"/>
      <c r="BI301" s="208"/>
      <c r="BJ301" s="208"/>
      <c r="BK301" s="208"/>
      <c r="BL301" s="208"/>
      <c r="BM301" s="208"/>
      <c r="BN301" s="208"/>
      <c r="BO301" s="208"/>
      <c r="BP301" s="208"/>
      <c r="BQ301" s="208"/>
      <c r="BR301" s="208"/>
      <c r="BS301" s="208"/>
      <c r="BT301" s="208"/>
      <c r="BU301" s="208"/>
      <c r="BV301" s="208"/>
      <c r="BW301" s="208"/>
      <c r="BX301" s="208"/>
      <c r="BY301" s="208"/>
      <c r="BZ301" s="208"/>
      <c r="CA301" s="208"/>
      <c r="CB301" s="208"/>
      <c r="CC301" s="208"/>
      <c r="CD301" s="208"/>
      <c r="CE301" s="208"/>
      <c r="CF301" s="208"/>
      <c r="CG301" s="208"/>
      <c r="CH301" s="208"/>
      <c r="CI301" s="208"/>
      <c r="CJ301" s="208"/>
      <c r="CK301" s="208"/>
      <c r="CL301" s="208"/>
      <c r="CM301" s="208"/>
      <c r="CN301" s="208"/>
      <c r="CO301" s="208"/>
      <c r="CP301" s="208"/>
      <c r="CQ301" s="208"/>
      <c r="CR301" s="208"/>
      <c r="CS301" s="208"/>
      <c r="CT301" s="208"/>
      <c r="CU301" s="208"/>
      <c r="CV301" s="208"/>
      <c r="CW301" s="208"/>
      <c r="CX301" s="208"/>
      <c r="CY301" s="208"/>
      <c r="CZ301" s="208"/>
      <c r="DA301" s="208"/>
      <c r="DB301" s="208"/>
      <c r="DC301" s="208"/>
      <c r="DD301" s="208"/>
      <c r="DE301" s="208"/>
      <c r="DF301" s="208"/>
      <c r="DG301" s="208"/>
      <c r="DH301" s="208"/>
      <c r="DI301" s="208"/>
      <c r="DJ301" s="208"/>
      <c r="DK301" s="208"/>
      <c r="DL301" s="208"/>
      <c r="DM301" s="208"/>
      <c r="DN301" s="208"/>
      <c r="DO301" s="208"/>
      <c r="DP301" s="208"/>
      <c r="DQ301" s="208"/>
      <c r="DR301" s="208"/>
      <c r="DS301" s="208"/>
      <c r="DT301" s="208"/>
      <c r="DU301" s="208"/>
      <c r="DV301" s="208"/>
      <c r="DW301" s="208"/>
      <c r="DX301" s="208"/>
      <c r="DY301" s="208"/>
      <c r="DZ301" s="208"/>
      <c r="EA301" s="208"/>
      <c r="EB301" s="208"/>
      <c r="EC301" s="208"/>
      <c r="ED301" s="208"/>
      <c r="EE301" s="208"/>
      <c r="EF301" s="208"/>
      <c r="EG301" s="208"/>
      <c r="EH301" s="208"/>
      <c r="EI301" s="208"/>
      <c r="EJ301" s="208"/>
      <c r="EK301" s="208"/>
      <c r="EL301" s="208"/>
      <c r="EM301" s="208"/>
      <c r="EN301" s="208"/>
      <c r="EO301" s="208"/>
      <c r="EP301" s="208"/>
      <c r="EQ301" s="208"/>
      <c r="ER301" s="208"/>
      <c r="ES301" s="208"/>
      <c r="ET301" s="208"/>
      <c r="EU301" s="208"/>
      <c r="EV301" s="208"/>
      <c r="EW301" s="208"/>
      <c r="EX301" s="208"/>
      <c r="EY301" s="208"/>
      <c r="EZ301" s="208"/>
      <c r="FA301" s="208"/>
      <c r="FB301" s="208"/>
      <c r="FC301" s="208"/>
      <c r="FD301" s="208"/>
      <c r="FE301" s="208"/>
      <c r="FF301" s="208"/>
      <c r="FG301" s="208"/>
      <c r="FH301" s="208"/>
      <c r="FI301" s="208"/>
      <c r="FJ301" s="208"/>
      <c r="FK301" s="208"/>
      <c r="FL301" s="208"/>
      <c r="FM301" s="208"/>
      <c r="FN301" s="208"/>
      <c r="FO301" s="208"/>
      <c r="FP301" s="208"/>
      <c r="FQ301" s="208"/>
      <c r="FR301" s="208"/>
      <c r="FS301" s="208"/>
      <c r="FT301" s="208"/>
      <c r="FU301" s="208"/>
      <c r="FV301" s="208"/>
      <c r="FW301" s="208"/>
      <c r="FX301" s="208"/>
      <c r="FY301" s="208"/>
      <c r="FZ301" s="208"/>
      <c r="GA301" s="208"/>
      <c r="GB301" s="208"/>
      <c r="GC301" s="208"/>
      <c r="GD301" s="208"/>
      <c r="GE301" s="208"/>
      <c r="GF301" s="208"/>
    </row>
    <row r="302" spans="1:188" s="209" customFormat="1" ht="15" x14ac:dyDescent="0.25">
      <c r="A302" s="195" t="s">
        <v>5081</v>
      </c>
      <c r="B302" s="195" t="s">
        <v>797</v>
      </c>
      <c r="C302" s="196" t="s">
        <v>2687</v>
      </c>
      <c r="D302" s="154" t="s">
        <v>28</v>
      </c>
      <c r="E302" s="154">
        <v>60</v>
      </c>
      <c r="F302" s="154">
        <v>0.1</v>
      </c>
      <c r="G302" s="197"/>
      <c r="H302" s="198"/>
      <c r="I302" s="151">
        <f>IFERROR(INDEX(Composições!$A$5:$J$8391,MATCH(B302,Composições!$A$5:$A$8391,0)+2,8),"")</f>
        <v>19.781700000000001</v>
      </c>
      <c r="J302" s="152">
        <f t="shared" si="48"/>
        <v>118.69</v>
      </c>
      <c r="K302" s="198">
        <f>BDI!$B$17</f>
        <v>0.191</v>
      </c>
      <c r="L302" s="198"/>
      <c r="M302" s="198"/>
      <c r="N302" s="153">
        <f t="shared" si="49"/>
        <v>23.56</v>
      </c>
      <c r="O302" s="152">
        <f t="shared" si="50"/>
        <v>141.36000000000001</v>
      </c>
      <c r="P302" s="225"/>
      <c r="Q302" s="208"/>
      <c r="R302" s="208"/>
      <c r="S302"/>
      <c r="T302" s="208"/>
      <c r="U302" s="208"/>
      <c r="V302" s="208"/>
      <c r="W302" s="208"/>
      <c r="X302" s="208"/>
      <c r="Y302" s="208"/>
      <c r="Z302" s="208"/>
      <c r="AA302" s="208"/>
      <c r="AB302" s="208"/>
      <c r="AC302" s="208"/>
      <c r="AD302" s="208"/>
      <c r="AE302" s="208"/>
      <c r="AF302" s="208"/>
      <c r="AG302" s="208"/>
      <c r="AH302" s="208"/>
      <c r="AI302" s="208"/>
      <c r="AJ302" s="208"/>
      <c r="AK302" s="208"/>
      <c r="AL302" s="208"/>
      <c r="AM302" s="208"/>
      <c r="AN302" s="208"/>
      <c r="AO302" s="208"/>
      <c r="AP302" s="208"/>
      <c r="AQ302" s="208"/>
      <c r="AR302" s="208"/>
      <c r="AS302" s="208"/>
      <c r="AT302" s="208"/>
      <c r="AU302" s="208"/>
      <c r="AV302" s="208"/>
      <c r="AW302" s="208"/>
      <c r="AX302" s="208"/>
      <c r="AY302" s="208"/>
      <c r="AZ302" s="208"/>
      <c r="BA302" s="208"/>
      <c r="BB302" s="208"/>
      <c r="BC302" s="208"/>
      <c r="BD302" s="208"/>
      <c r="BE302" s="208"/>
      <c r="BF302" s="208"/>
      <c r="BG302" s="208"/>
      <c r="BH302" s="208"/>
      <c r="BI302" s="208"/>
      <c r="BJ302" s="208"/>
      <c r="BK302" s="208"/>
      <c r="BL302" s="208"/>
      <c r="BM302" s="208"/>
      <c r="BN302" s="208"/>
      <c r="BO302" s="208"/>
      <c r="BP302" s="208"/>
      <c r="BQ302" s="208"/>
      <c r="BR302" s="208"/>
      <c r="BS302" s="208"/>
      <c r="BT302" s="208"/>
      <c r="BU302" s="208"/>
      <c r="BV302" s="208"/>
      <c r="BW302" s="208"/>
      <c r="BX302" s="208"/>
      <c r="BY302" s="208"/>
      <c r="BZ302" s="208"/>
      <c r="CA302" s="208"/>
      <c r="CB302" s="208"/>
      <c r="CC302" s="208"/>
      <c r="CD302" s="208"/>
      <c r="CE302" s="208"/>
      <c r="CF302" s="208"/>
      <c r="CG302" s="208"/>
      <c r="CH302" s="208"/>
      <c r="CI302" s="208"/>
      <c r="CJ302" s="208"/>
      <c r="CK302" s="208"/>
      <c r="CL302" s="208"/>
      <c r="CM302" s="208"/>
      <c r="CN302" s="208"/>
      <c r="CO302" s="208"/>
      <c r="CP302" s="208"/>
      <c r="CQ302" s="208"/>
      <c r="CR302" s="208"/>
      <c r="CS302" s="208"/>
      <c r="CT302" s="208"/>
      <c r="CU302" s="208"/>
      <c r="CV302" s="208"/>
      <c r="CW302" s="208"/>
      <c r="CX302" s="208"/>
      <c r="CY302" s="208"/>
      <c r="CZ302" s="208"/>
      <c r="DA302" s="208"/>
      <c r="DB302" s="208"/>
      <c r="DC302" s="208"/>
      <c r="DD302" s="208"/>
      <c r="DE302" s="208"/>
      <c r="DF302" s="208"/>
      <c r="DG302" s="208"/>
      <c r="DH302" s="208"/>
      <c r="DI302" s="208"/>
      <c r="DJ302" s="208"/>
      <c r="DK302" s="208"/>
      <c r="DL302" s="208"/>
      <c r="DM302" s="208"/>
      <c r="DN302" s="208"/>
      <c r="DO302" s="208"/>
      <c r="DP302" s="208"/>
      <c r="DQ302" s="208"/>
      <c r="DR302" s="208"/>
      <c r="DS302" s="208"/>
      <c r="DT302" s="208"/>
      <c r="DU302" s="208"/>
      <c r="DV302" s="208"/>
      <c r="DW302" s="208"/>
      <c r="DX302" s="208"/>
      <c r="DY302" s="208"/>
      <c r="DZ302" s="208"/>
      <c r="EA302" s="208"/>
      <c r="EB302" s="208"/>
      <c r="EC302" s="208"/>
      <c r="ED302" s="208"/>
      <c r="EE302" s="208"/>
      <c r="EF302" s="208"/>
      <c r="EG302" s="208"/>
      <c r="EH302" s="208"/>
      <c r="EI302" s="208"/>
      <c r="EJ302" s="208"/>
      <c r="EK302" s="208"/>
      <c r="EL302" s="208"/>
      <c r="EM302" s="208"/>
      <c r="EN302" s="208"/>
      <c r="EO302" s="208"/>
      <c r="EP302" s="208"/>
      <c r="EQ302" s="208"/>
      <c r="ER302" s="208"/>
      <c r="ES302" s="208"/>
      <c r="ET302" s="208"/>
      <c r="EU302" s="208"/>
      <c r="EV302" s="208"/>
      <c r="EW302" s="208"/>
      <c r="EX302" s="208"/>
      <c r="EY302" s="208"/>
      <c r="EZ302" s="208"/>
      <c r="FA302" s="208"/>
      <c r="FB302" s="208"/>
      <c r="FC302" s="208"/>
      <c r="FD302" s="208"/>
      <c r="FE302" s="208"/>
      <c r="FF302" s="208"/>
      <c r="FG302" s="208"/>
      <c r="FH302" s="208"/>
      <c r="FI302" s="208"/>
      <c r="FJ302" s="208"/>
      <c r="FK302" s="208"/>
      <c r="FL302" s="208"/>
      <c r="FM302" s="208"/>
      <c r="FN302" s="208"/>
      <c r="FO302" s="208"/>
      <c r="FP302" s="208"/>
      <c r="FQ302" s="208"/>
      <c r="FR302" s="208"/>
      <c r="FS302" s="208"/>
      <c r="FT302" s="208"/>
      <c r="FU302" s="208"/>
      <c r="FV302" s="208"/>
      <c r="FW302" s="208"/>
      <c r="FX302" s="208"/>
      <c r="FY302" s="208"/>
      <c r="FZ302" s="208"/>
      <c r="GA302" s="208"/>
      <c r="GB302" s="208"/>
      <c r="GC302" s="208"/>
      <c r="GD302" s="208"/>
      <c r="GE302" s="208"/>
      <c r="GF302" s="208"/>
    </row>
    <row r="303" spans="1:188" s="209" customFormat="1" ht="15" x14ac:dyDescent="0.25">
      <c r="A303" s="195" t="s">
        <v>5082</v>
      </c>
      <c r="B303" s="195" t="s">
        <v>799</v>
      </c>
      <c r="C303" s="196" t="s">
        <v>2688</v>
      </c>
      <c r="D303" s="154" t="s">
        <v>28</v>
      </c>
      <c r="E303" s="154">
        <v>60</v>
      </c>
      <c r="F303" s="154">
        <v>0.1</v>
      </c>
      <c r="G303" s="197"/>
      <c r="H303" s="198"/>
      <c r="I303" s="151">
        <f>IFERROR(INDEX(Composições!$A$5:$J$8391,MATCH(B303,Composições!$A$5:$A$8391,0)+2,8),"")</f>
        <v>21.281699999999997</v>
      </c>
      <c r="J303" s="152">
        <f t="shared" si="48"/>
        <v>127.69</v>
      </c>
      <c r="K303" s="198">
        <f>BDI!$B$17</f>
        <v>0.191</v>
      </c>
      <c r="L303" s="198"/>
      <c r="M303" s="198"/>
      <c r="N303" s="153">
        <f t="shared" si="49"/>
        <v>25.35</v>
      </c>
      <c r="O303" s="152">
        <f t="shared" si="50"/>
        <v>152.1</v>
      </c>
      <c r="P303" s="225"/>
      <c r="Q303" s="208"/>
      <c r="R303" s="208"/>
      <c r="S303"/>
      <c r="T303" s="208"/>
      <c r="U303" s="208"/>
      <c r="V303" s="208"/>
      <c r="W303" s="208"/>
      <c r="X303" s="208"/>
      <c r="Y303" s="208"/>
      <c r="Z303" s="208"/>
      <c r="AA303" s="208"/>
      <c r="AB303" s="208"/>
      <c r="AC303" s="208"/>
      <c r="AD303" s="208"/>
      <c r="AE303" s="208"/>
      <c r="AF303" s="208"/>
      <c r="AG303" s="208"/>
      <c r="AH303" s="208"/>
      <c r="AI303" s="208"/>
      <c r="AJ303" s="208"/>
      <c r="AK303" s="208"/>
      <c r="AL303" s="208"/>
      <c r="AM303" s="208"/>
      <c r="AN303" s="208"/>
      <c r="AO303" s="208"/>
      <c r="AP303" s="208"/>
      <c r="AQ303" s="208"/>
      <c r="AR303" s="208"/>
      <c r="AS303" s="208"/>
      <c r="AT303" s="208"/>
      <c r="AU303" s="208"/>
      <c r="AV303" s="208"/>
      <c r="AW303" s="208"/>
      <c r="AX303" s="208"/>
      <c r="AY303" s="208"/>
      <c r="AZ303" s="208"/>
      <c r="BA303" s="208"/>
      <c r="BB303" s="208"/>
      <c r="BC303" s="208"/>
      <c r="BD303" s="208"/>
      <c r="BE303" s="208"/>
      <c r="BF303" s="208"/>
      <c r="BG303" s="208"/>
      <c r="BH303" s="208"/>
      <c r="BI303" s="208"/>
      <c r="BJ303" s="208"/>
      <c r="BK303" s="208"/>
      <c r="BL303" s="208"/>
      <c r="BM303" s="208"/>
      <c r="BN303" s="208"/>
      <c r="BO303" s="208"/>
      <c r="BP303" s="208"/>
      <c r="BQ303" s="208"/>
      <c r="BR303" s="208"/>
      <c r="BS303" s="208"/>
      <c r="BT303" s="208"/>
      <c r="BU303" s="208"/>
      <c r="BV303" s="208"/>
      <c r="BW303" s="208"/>
      <c r="BX303" s="208"/>
      <c r="BY303" s="208"/>
      <c r="BZ303" s="208"/>
      <c r="CA303" s="208"/>
      <c r="CB303" s="208"/>
      <c r="CC303" s="208"/>
      <c r="CD303" s="208"/>
      <c r="CE303" s="208"/>
      <c r="CF303" s="208"/>
      <c r="CG303" s="208"/>
      <c r="CH303" s="208"/>
      <c r="CI303" s="208"/>
      <c r="CJ303" s="208"/>
      <c r="CK303" s="208"/>
      <c r="CL303" s="208"/>
      <c r="CM303" s="208"/>
      <c r="CN303" s="208"/>
      <c r="CO303" s="208"/>
      <c r="CP303" s="208"/>
      <c r="CQ303" s="208"/>
      <c r="CR303" s="208"/>
      <c r="CS303" s="208"/>
      <c r="CT303" s="208"/>
      <c r="CU303" s="208"/>
      <c r="CV303" s="208"/>
      <c r="CW303" s="208"/>
      <c r="CX303" s="208"/>
      <c r="CY303" s="208"/>
      <c r="CZ303" s="208"/>
      <c r="DA303" s="208"/>
      <c r="DB303" s="208"/>
      <c r="DC303" s="208"/>
      <c r="DD303" s="208"/>
      <c r="DE303" s="208"/>
      <c r="DF303" s="208"/>
      <c r="DG303" s="208"/>
      <c r="DH303" s="208"/>
      <c r="DI303" s="208"/>
      <c r="DJ303" s="208"/>
      <c r="DK303" s="208"/>
      <c r="DL303" s="208"/>
      <c r="DM303" s="208"/>
      <c r="DN303" s="208"/>
      <c r="DO303" s="208"/>
      <c r="DP303" s="208"/>
      <c r="DQ303" s="208"/>
      <c r="DR303" s="208"/>
      <c r="DS303" s="208"/>
      <c r="DT303" s="208"/>
      <c r="DU303" s="208"/>
      <c r="DV303" s="208"/>
      <c r="DW303" s="208"/>
      <c r="DX303" s="208"/>
      <c r="DY303" s="208"/>
      <c r="DZ303" s="208"/>
      <c r="EA303" s="208"/>
      <c r="EB303" s="208"/>
      <c r="EC303" s="208"/>
      <c r="ED303" s="208"/>
      <c r="EE303" s="208"/>
      <c r="EF303" s="208"/>
      <c r="EG303" s="208"/>
      <c r="EH303" s="208"/>
      <c r="EI303" s="208"/>
      <c r="EJ303" s="208"/>
      <c r="EK303" s="208"/>
      <c r="EL303" s="208"/>
      <c r="EM303" s="208"/>
      <c r="EN303" s="208"/>
      <c r="EO303" s="208"/>
      <c r="EP303" s="208"/>
      <c r="EQ303" s="208"/>
      <c r="ER303" s="208"/>
      <c r="ES303" s="208"/>
      <c r="ET303" s="208"/>
      <c r="EU303" s="208"/>
      <c r="EV303" s="208"/>
      <c r="EW303" s="208"/>
      <c r="EX303" s="208"/>
      <c r="EY303" s="208"/>
      <c r="EZ303" s="208"/>
      <c r="FA303" s="208"/>
      <c r="FB303" s="208"/>
      <c r="FC303" s="208"/>
      <c r="FD303" s="208"/>
      <c r="FE303" s="208"/>
      <c r="FF303" s="208"/>
      <c r="FG303" s="208"/>
      <c r="FH303" s="208"/>
      <c r="FI303" s="208"/>
      <c r="FJ303" s="208"/>
      <c r="FK303" s="208"/>
      <c r="FL303" s="208"/>
      <c r="FM303" s="208"/>
      <c r="FN303" s="208"/>
      <c r="FO303" s="208"/>
      <c r="FP303" s="208"/>
      <c r="FQ303" s="208"/>
      <c r="FR303" s="208"/>
      <c r="FS303" s="208"/>
      <c r="FT303" s="208"/>
      <c r="FU303" s="208"/>
      <c r="FV303" s="208"/>
      <c r="FW303" s="208"/>
      <c r="FX303" s="208"/>
      <c r="FY303" s="208"/>
      <c r="FZ303" s="208"/>
      <c r="GA303" s="208"/>
      <c r="GB303" s="208"/>
      <c r="GC303" s="208"/>
      <c r="GD303" s="208"/>
      <c r="GE303" s="208"/>
      <c r="GF303" s="208"/>
    </row>
    <row r="304" spans="1:188" s="209" customFormat="1" ht="15" x14ac:dyDescent="0.25">
      <c r="A304" s="195" t="s">
        <v>5083</v>
      </c>
      <c r="B304" s="195" t="s">
        <v>801</v>
      </c>
      <c r="C304" s="196" t="s">
        <v>2689</v>
      </c>
      <c r="D304" s="154" t="s">
        <v>28</v>
      </c>
      <c r="E304" s="154">
        <v>40</v>
      </c>
      <c r="F304" s="154">
        <v>0.1</v>
      </c>
      <c r="G304" s="197"/>
      <c r="H304" s="198"/>
      <c r="I304" s="151">
        <f>IFERROR(INDEX(Composições!$A$5:$J$8391,MATCH(B304,Composições!$A$5:$A$8391,0)+2,8),"")</f>
        <v>56.511700000000005</v>
      </c>
      <c r="J304" s="152">
        <f t="shared" si="48"/>
        <v>226.05</v>
      </c>
      <c r="K304" s="198">
        <f>BDI!$B$17</f>
        <v>0.191</v>
      </c>
      <c r="L304" s="198"/>
      <c r="M304" s="198"/>
      <c r="N304" s="153">
        <f t="shared" si="49"/>
        <v>67.31</v>
      </c>
      <c r="O304" s="152">
        <f t="shared" si="50"/>
        <v>269.24</v>
      </c>
      <c r="P304" s="225"/>
      <c r="Q304" s="208"/>
      <c r="R304" s="208"/>
      <c r="S304"/>
      <c r="T304" s="208"/>
      <c r="U304" s="208"/>
      <c r="V304" s="208"/>
      <c r="W304" s="208"/>
      <c r="X304" s="208"/>
      <c r="Y304" s="208"/>
      <c r="Z304" s="208"/>
      <c r="AA304" s="208"/>
      <c r="AB304" s="208"/>
      <c r="AC304" s="208"/>
      <c r="AD304" s="208"/>
      <c r="AE304" s="208"/>
      <c r="AF304" s="208"/>
      <c r="AG304" s="208"/>
      <c r="AH304" s="208"/>
      <c r="AI304" s="208"/>
      <c r="AJ304" s="208"/>
      <c r="AK304" s="208"/>
      <c r="AL304" s="208"/>
      <c r="AM304" s="208"/>
      <c r="AN304" s="208"/>
      <c r="AO304" s="208"/>
      <c r="AP304" s="208"/>
      <c r="AQ304" s="208"/>
      <c r="AR304" s="208"/>
      <c r="AS304" s="208"/>
      <c r="AT304" s="208"/>
      <c r="AU304" s="208"/>
      <c r="AV304" s="208"/>
      <c r="AW304" s="208"/>
      <c r="AX304" s="208"/>
      <c r="AY304" s="208"/>
      <c r="AZ304" s="208"/>
      <c r="BA304" s="208"/>
      <c r="BB304" s="208"/>
      <c r="BC304" s="208"/>
      <c r="BD304" s="208"/>
      <c r="BE304" s="208"/>
      <c r="BF304" s="208"/>
      <c r="BG304" s="208"/>
      <c r="BH304" s="208"/>
      <c r="BI304" s="208"/>
      <c r="BJ304" s="208"/>
      <c r="BK304" s="208"/>
      <c r="BL304" s="208"/>
      <c r="BM304" s="208"/>
      <c r="BN304" s="208"/>
      <c r="BO304" s="208"/>
      <c r="BP304" s="208"/>
      <c r="BQ304" s="208"/>
      <c r="BR304" s="208"/>
      <c r="BS304" s="208"/>
      <c r="BT304" s="208"/>
      <c r="BU304" s="208"/>
      <c r="BV304" s="208"/>
      <c r="BW304" s="208"/>
      <c r="BX304" s="208"/>
      <c r="BY304" s="208"/>
      <c r="BZ304" s="208"/>
      <c r="CA304" s="208"/>
      <c r="CB304" s="208"/>
      <c r="CC304" s="208"/>
      <c r="CD304" s="208"/>
      <c r="CE304" s="208"/>
      <c r="CF304" s="208"/>
      <c r="CG304" s="208"/>
      <c r="CH304" s="208"/>
      <c r="CI304" s="208"/>
      <c r="CJ304" s="208"/>
      <c r="CK304" s="208"/>
      <c r="CL304" s="208"/>
      <c r="CM304" s="208"/>
      <c r="CN304" s="208"/>
      <c r="CO304" s="208"/>
      <c r="CP304" s="208"/>
      <c r="CQ304" s="208"/>
      <c r="CR304" s="208"/>
      <c r="CS304" s="208"/>
      <c r="CT304" s="208"/>
      <c r="CU304" s="208"/>
      <c r="CV304" s="208"/>
      <c r="CW304" s="208"/>
      <c r="CX304" s="208"/>
      <c r="CY304" s="208"/>
      <c r="CZ304" s="208"/>
      <c r="DA304" s="208"/>
      <c r="DB304" s="208"/>
      <c r="DC304" s="208"/>
      <c r="DD304" s="208"/>
      <c r="DE304" s="208"/>
      <c r="DF304" s="208"/>
      <c r="DG304" s="208"/>
      <c r="DH304" s="208"/>
      <c r="DI304" s="208"/>
      <c r="DJ304" s="208"/>
      <c r="DK304" s="208"/>
      <c r="DL304" s="208"/>
      <c r="DM304" s="208"/>
      <c r="DN304" s="208"/>
      <c r="DO304" s="208"/>
      <c r="DP304" s="208"/>
      <c r="DQ304" s="208"/>
      <c r="DR304" s="208"/>
      <c r="DS304" s="208"/>
      <c r="DT304" s="208"/>
      <c r="DU304" s="208"/>
      <c r="DV304" s="208"/>
      <c r="DW304" s="208"/>
      <c r="DX304" s="208"/>
      <c r="DY304" s="208"/>
      <c r="DZ304" s="208"/>
      <c r="EA304" s="208"/>
      <c r="EB304" s="208"/>
      <c r="EC304" s="208"/>
      <c r="ED304" s="208"/>
      <c r="EE304" s="208"/>
      <c r="EF304" s="208"/>
      <c r="EG304" s="208"/>
      <c r="EH304" s="208"/>
      <c r="EI304" s="208"/>
      <c r="EJ304" s="208"/>
      <c r="EK304" s="208"/>
      <c r="EL304" s="208"/>
      <c r="EM304" s="208"/>
      <c r="EN304" s="208"/>
      <c r="EO304" s="208"/>
      <c r="EP304" s="208"/>
      <c r="EQ304" s="208"/>
      <c r="ER304" s="208"/>
      <c r="ES304" s="208"/>
      <c r="ET304" s="208"/>
      <c r="EU304" s="208"/>
      <c r="EV304" s="208"/>
      <c r="EW304" s="208"/>
      <c r="EX304" s="208"/>
      <c r="EY304" s="208"/>
      <c r="EZ304" s="208"/>
      <c r="FA304" s="208"/>
      <c r="FB304" s="208"/>
      <c r="FC304" s="208"/>
      <c r="FD304" s="208"/>
      <c r="FE304" s="208"/>
      <c r="FF304" s="208"/>
      <c r="FG304" s="208"/>
      <c r="FH304" s="208"/>
      <c r="FI304" s="208"/>
      <c r="FJ304" s="208"/>
      <c r="FK304" s="208"/>
      <c r="FL304" s="208"/>
      <c r="FM304" s="208"/>
      <c r="FN304" s="208"/>
      <c r="FO304" s="208"/>
      <c r="FP304" s="208"/>
      <c r="FQ304" s="208"/>
      <c r="FR304" s="208"/>
      <c r="FS304" s="208"/>
      <c r="FT304" s="208"/>
      <c r="FU304" s="208"/>
      <c r="FV304" s="208"/>
      <c r="FW304" s="208"/>
      <c r="FX304" s="208"/>
      <c r="FY304" s="208"/>
      <c r="FZ304" s="208"/>
      <c r="GA304" s="208"/>
      <c r="GB304" s="208"/>
      <c r="GC304" s="208"/>
      <c r="GD304" s="208"/>
      <c r="GE304" s="208"/>
      <c r="GF304" s="208"/>
    </row>
    <row r="305" spans="1:188" s="209" customFormat="1" ht="15" x14ac:dyDescent="0.25">
      <c r="A305" s="195" t="s">
        <v>5084</v>
      </c>
      <c r="B305" s="195" t="s">
        <v>803</v>
      </c>
      <c r="C305" s="196" t="s">
        <v>2690</v>
      </c>
      <c r="D305" s="154" t="s">
        <v>28</v>
      </c>
      <c r="E305" s="154">
        <v>570</v>
      </c>
      <c r="F305" s="154">
        <v>0.1</v>
      </c>
      <c r="G305" s="197"/>
      <c r="H305" s="198"/>
      <c r="I305" s="151">
        <f>IFERROR(INDEX(Composições!$A$5:$J$8391,MATCH(B305,Composições!$A$5:$A$8391,0)+2,8),"")</f>
        <v>7.0716999999999999</v>
      </c>
      <c r="J305" s="152">
        <f t="shared" si="48"/>
        <v>403.09</v>
      </c>
      <c r="K305" s="198">
        <f>BDI!$B$17</f>
        <v>0.191</v>
      </c>
      <c r="L305" s="198"/>
      <c r="M305" s="198"/>
      <c r="N305" s="153">
        <f t="shared" si="49"/>
        <v>8.42</v>
      </c>
      <c r="O305" s="152">
        <f t="shared" si="50"/>
        <v>479.94</v>
      </c>
      <c r="P305" s="225"/>
      <c r="Q305" s="208"/>
      <c r="R305" s="208"/>
      <c r="S305"/>
      <c r="T305" s="208"/>
      <c r="U305" s="208"/>
      <c r="V305" s="208"/>
      <c r="W305" s="208"/>
      <c r="X305" s="208"/>
      <c r="Y305" s="208"/>
      <c r="Z305" s="208"/>
      <c r="AA305" s="208"/>
      <c r="AB305" s="208"/>
      <c r="AC305" s="208"/>
      <c r="AD305" s="208"/>
      <c r="AE305" s="208"/>
      <c r="AF305" s="208"/>
      <c r="AG305" s="208"/>
      <c r="AH305" s="208"/>
      <c r="AI305" s="208"/>
      <c r="AJ305" s="208"/>
      <c r="AK305" s="208"/>
      <c r="AL305" s="208"/>
      <c r="AM305" s="208"/>
      <c r="AN305" s="208"/>
      <c r="AO305" s="208"/>
      <c r="AP305" s="208"/>
      <c r="AQ305" s="208"/>
      <c r="AR305" s="208"/>
      <c r="AS305" s="208"/>
      <c r="AT305" s="208"/>
      <c r="AU305" s="208"/>
      <c r="AV305" s="208"/>
      <c r="AW305" s="208"/>
      <c r="AX305" s="208"/>
      <c r="AY305" s="208"/>
      <c r="AZ305" s="208"/>
      <c r="BA305" s="208"/>
      <c r="BB305" s="208"/>
      <c r="BC305" s="208"/>
      <c r="BD305" s="208"/>
      <c r="BE305" s="208"/>
      <c r="BF305" s="208"/>
      <c r="BG305" s="208"/>
      <c r="BH305" s="208"/>
      <c r="BI305" s="208"/>
      <c r="BJ305" s="208"/>
      <c r="BK305" s="208"/>
      <c r="BL305" s="208"/>
      <c r="BM305" s="208"/>
      <c r="BN305" s="208"/>
      <c r="BO305" s="208"/>
      <c r="BP305" s="208"/>
      <c r="BQ305" s="208"/>
      <c r="BR305" s="208"/>
      <c r="BS305" s="208"/>
      <c r="BT305" s="208"/>
      <c r="BU305" s="208"/>
      <c r="BV305" s="208"/>
      <c r="BW305" s="208"/>
      <c r="BX305" s="208"/>
      <c r="BY305" s="208"/>
      <c r="BZ305" s="208"/>
      <c r="CA305" s="208"/>
      <c r="CB305" s="208"/>
      <c r="CC305" s="208"/>
      <c r="CD305" s="208"/>
      <c r="CE305" s="208"/>
      <c r="CF305" s="208"/>
      <c r="CG305" s="208"/>
      <c r="CH305" s="208"/>
      <c r="CI305" s="208"/>
      <c r="CJ305" s="208"/>
      <c r="CK305" s="208"/>
      <c r="CL305" s="208"/>
      <c r="CM305" s="208"/>
      <c r="CN305" s="208"/>
      <c r="CO305" s="208"/>
      <c r="CP305" s="208"/>
      <c r="CQ305" s="208"/>
      <c r="CR305" s="208"/>
      <c r="CS305" s="208"/>
      <c r="CT305" s="208"/>
      <c r="CU305" s="208"/>
      <c r="CV305" s="208"/>
      <c r="CW305" s="208"/>
      <c r="CX305" s="208"/>
      <c r="CY305" s="208"/>
      <c r="CZ305" s="208"/>
      <c r="DA305" s="208"/>
      <c r="DB305" s="208"/>
      <c r="DC305" s="208"/>
      <c r="DD305" s="208"/>
      <c r="DE305" s="208"/>
      <c r="DF305" s="208"/>
      <c r="DG305" s="208"/>
      <c r="DH305" s="208"/>
      <c r="DI305" s="208"/>
      <c r="DJ305" s="208"/>
      <c r="DK305" s="208"/>
      <c r="DL305" s="208"/>
      <c r="DM305" s="208"/>
      <c r="DN305" s="208"/>
      <c r="DO305" s="208"/>
      <c r="DP305" s="208"/>
      <c r="DQ305" s="208"/>
      <c r="DR305" s="208"/>
      <c r="DS305" s="208"/>
      <c r="DT305" s="208"/>
      <c r="DU305" s="208"/>
      <c r="DV305" s="208"/>
      <c r="DW305" s="208"/>
      <c r="DX305" s="208"/>
      <c r="DY305" s="208"/>
      <c r="DZ305" s="208"/>
      <c r="EA305" s="208"/>
      <c r="EB305" s="208"/>
      <c r="EC305" s="208"/>
      <c r="ED305" s="208"/>
      <c r="EE305" s="208"/>
      <c r="EF305" s="208"/>
      <c r="EG305" s="208"/>
      <c r="EH305" s="208"/>
      <c r="EI305" s="208"/>
      <c r="EJ305" s="208"/>
      <c r="EK305" s="208"/>
      <c r="EL305" s="208"/>
      <c r="EM305" s="208"/>
      <c r="EN305" s="208"/>
      <c r="EO305" s="208"/>
      <c r="EP305" s="208"/>
      <c r="EQ305" s="208"/>
      <c r="ER305" s="208"/>
      <c r="ES305" s="208"/>
      <c r="ET305" s="208"/>
      <c r="EU305" s="208"/>
      <c r="EV305" s="208"/>
      <c r="EW305" s="208"/>
      <c r="EX305" s="208"/>
      <c r="EY305" s="208"/>
      <c r="EZ305" s="208"/>
      <c r="FA305" s="208"/>
      <c r="FB305" s="208"/>
      <c r="FC305" s="208"/>
      <c r="FD305" s="208"/>
      <c r="FE305" s="208"/>
      <c r="FF305" s="208"/>
      <c r="FG305" s="208"/>
      <c r="FH305" s="208"/>
      <c r="FI305" s="208"/>
      <c r="FJ305" s="208"/>
      <c r="FK305" s="208"/>
      <c r="FL305" s="208"/>
      <c r="FM305" s="208"/>
      <c r="FN305" s="208"/>
      <c r="FO305" s="208"/>
      <c r="FP305" s="208"/>
      <c r="FQ305" s="208"/>
      <c r="FR305" s="208"/>
      <c r="FS305" s="208"/>
      <c r="FT305" s="208"/>
      <c r="FU305" s="208"/>
      <c r="FV305" s="208"/>
      <c r="FW305" s="208"/>
      <c r="FX305" s="208"/>
      <c r="FY305" s="208"/>
      <c r="FZ305" s="208"/>
      <c r="GA305" s="208"/>
      <c r="GB305" s="208"/>
      <c r="GC305" s="208"/>
      <c r="GD305" s="208"/>
      <c r="GE305" s="208"/>
      <c r="GF305" s="208"/>
    </row>
    <row r="306" spans="1:188" s="209" customFormat="1" ht="15" x14ac:dyDescent="0.25">
      <c r="A306" s="182" t="s">
        <v>5085</v>
      </c>
      <c r="B306" s="183"/>
      <c r="C306" s="184" t="s">
        <v>5086</v>
      </c>
      <c r="D306" s="185"/>
      <c r="E306" s="185"/>
      <c r="F306" s="185"/>
      <c r="G306" s="186"/>
      <c r="H306" s="187"/>
      <c r="I306" s="245"/>
      <c r="J306" s="188">
        <f>SUBTOTAL(109,J308:J350)</f>
        <v>943967.12</v>
      </c>
      <c r="K306" s="185"/>
      <c r="L306" s="185"/>
      <c r="M306" s="185"/>
      <c r="N306" s="185"/>
      <c r="O306" s="188">
        <f>SUBTOTAL(109,O308:O350)</f>
        <v>1050273.8</v>
      </c>
      <c r="Q306" s="208"/>
      <c r="R306" s="208"/>
      <c r="S306"/>
      <c r="T306" s="208"/>
      <c r="U306" s="208"/>
      <c r="V306" s="208"/>
      <c r="W306" s="208"/>
      <c r="X306" s="208"/>
      <c r="Y306" s="208"/>
      <c r="Z306" s="208"/>
      <c r="AA306" s="208"/>
      <c r="AB306" s="208"/>
      <c r="AC306" s="208"/>
      <c r="AD306" s="208"/>
      <c r="AE306" s="208"/>
      <c r="AF306" s="208"/>
      <c r="AG306" s="208"/>
      <c r="AH306" s="208"/>
      <c r="AI306" s="208"/>
      <c r="AJ306" s="208"/>
      <c r="AK306" s="208"/>
      <c r="AL306" s="208"/>
      <c r="AM306" s="208"/>
      <c r="AN306" s="208"/>
      <c r="AO306" s="208"/>
      <c r="AP306" s="208"/>
      <c r="AQ306" s="208"/>
      <c r="AR306" s="208"/>
      <c r="AS306" s="208"/>
      <c r="AT306" s="208"/>
      <c r="AU306" s="208"/>
      <c r="AV306" s="208"/>
      <c r="AW306" s="208"/>
      <c r="AX306" s="208"/>
      <c r="AY306" s="208"/>
      <c r="AZ306" s="208"/>
      <c r="BA306" s="208"/>
      <c r="BB306" s="208"/>
      <c r="BC306" s="208"/>
      <c r="BD306" s="208"/>
      <c r="BE306" s="208"/>
      <c r="BF306" s="208"/>
      <c r="BG306" s="208"/>
      <c r="BH306" s="208"/>
      <c r="BI306" s="208"/>
      <c r="BJ306" s="208"/>
      <c r="BK306" s="208"/>
      <c r="BL306" s="208"/>
      <c r="BM306" s="208"/>
      <c r="BN306" s="208"/>
      <c r="BO306" s="208"/>
      <c r="BP306" s="208"/>
      <c r="BQ306" s="208"/>
      <c r="BR306" s="208"/>
      <c r="BS306" s="208"/>
      <c r="BT306" s="208"/>
      <c r="BU306" s="208"/>
      <c r="BV306" s="208"/>
      <c r="BW306" s="208"/>
      <c r="BX306" s="208"/>
      <c r="BY306" s="208"/>
      <c r="BZ306" s="208"/>
      <c r="CA306" s="208"/>
      <c r="CB306" s="208"/>
      <c r="CC306" s="208"/>
      <c r="CD306" s="208"/>
      <c r="CE306" s="208"/>
      <c r="CF306" s="208"/>
      <c r="CG306" s="208"/>
      <c r="CH306" s="208"/>
      <c r="CI306" s="208"/>
      <c r="CJ306" s="208"/>
      <c r="CK306" s="208"/>
      <c r="CL306" s="208"/>
      <c r="CM306" s="208"/>
      <c r="CN306" s="208"/>
      <c r="CO306" s="208"/>
      <c r="CP306" s="208"/>
      <c r="CQ306" s="208"/>
      <c r="CR306" s="208"/>
      <c r="CS306" s="208"/>
      <c r="CT306" s="208"/>
      <c r="CU306" s="208"/>
      <c r="CV306" s="208"/>
      <c r="CW306" s="208"/>
      <c r="CX306" s="208"/>
      <c r="CY306" s="208"/>
      <c r="CZ306" s="208"/>
      <c r="DA306" s="208"/>
      <c r="DB306" s="208"/>
      <c r="DC306" s="208"/>
      <c r="DD306" s="208"/>
      <c r="DE306" s="208"/>
      <c r="DF306" s="208"/>
      <c r="DG306" s="208"/>
      <c r="DH306" s="208"/>
      <c r="DI306" s="208"/>
      <c r="DJ306" s="208"/>
      <c r="DK306" s="208"/>
      <c r="DL306" s="208"/>
      <c r="DM306" s="208"/>
      <c r="DN306" s="208"/>
      <c r="DO306" s="208"/>
      <c r="DP306" s="208"/>
      <c r="DQ306" s="208"/>
      <c r="DR306" s="208"/>
      <c r="DS306" s="208"/>
      <c r="DT306" s="208"/>
      <c r="DU306" s="208"/>
      <c r="DV306" s="208"/>
      <c r="DW306" s="208"/>
      <c r="DX306" s="208"/>
      <c r="DY306" s="208"/>
      <c r="DZ306" s="208"/>
      <c r="EA306" s="208"/>
      <c r="EB306" s="208"/>
      <c r="EC306" s="208"/>
      <c r="ED306" s="208"/>
      <c r="EE306" s="208"/>
      <c r="EF306" s="208"/>
      <c r="EG306" s="208"/>
      <c r="EH306" s="208"/>
      <c r="EI306" s="208"/>
      <c r="EJ306" s="208"/>
      <c r="EK306" s="208"/>
      <c r="EL306" s="208"/>
      <c r="EM306" s="208"/>
      <c r="EN306" s="208"/>
      <c r="EO306" s="208"/>
      <c r="EP306" s="208"/>
      <c r="EQ306" s="208"/>
      <c r="ER306" s="208"/>
      <c r="ES306" s="208"/>
      <c r="ET306" s="208"/>
      <c r="EU306" s="208"/>
      <c r="EV306" s="208"/>
      <c r="EW306" s="208"/>
      <c r="EX306" s="208"/>
      <c r="EY306" s="208"/>
      <c r="EZ306" s="208"/>
      <c r="FA306" s="208"/>
      <c r="FB306" s="208"/>
      <c r="FC306" s="208"/>
      <c r="FD306" s="208"/>
      <c r="FE306" s="208"/>
      <c r="FF306" s="208"/>
      <c r="FG306" s="208"/>
      <c r="FH306" s="208"/>
      <c r="FI306" s="208"/>
      <c r="FJ306" s="208"/>
      <c r="FK306" s="208"/>
      <c r="FL306" s="208"/>
      <c r="FM306" s="208"/>
      <c r="FN306" s="208"/>
      <c r="FO306" s="208"/>
      <c r="FP306" s="208"/>
      <c r="FQ306" s="208"/>
      <c r="FR306" s="208"/>
      <c r="FS306" s="208"/>
      <c r="FT306" s="208"/>
      <c r="FU306" s="208"/>
      <c r="FV306" s="208"/>
      <c r="FW306" s="208"/>
      <c r="FX306" s="208"/>
      <c r="FY306" s="208"/>
      <c r="FZ306" s="208"/>
      <c r="GA306" s="208"/>
      <c r="GB306" s="208"/>
      <c r="GC306" s="208"/>
      <c r="GD306" s="208"/>
      <c r="GE306" s="208"/>
      <c r="GF306" s="208"/>
    </row>
    <row r="307" spans="1:188" s="225" customFormat="1" ht="15" x14ac:dyDescent="0.25">
      <c r="A307" s="189" t="s">
        <v>5087</v>
      </c>
      <c r="B307" s="189"/>
      <c r="C307" s="190" t="s">
        <v>5086</v>
      </c>
      <c r="D307" s="191"/>
      <c r="E307" s="191"/>
      <c r="F307" s="191"/>
      <c r="G307" s="192"/>
      <c r="H307" s="193"/>
      <c r="I307" s="246"/>
      <c r="J307" s="194">
        <f>SUBTOTAL(109,J308:J350)</f>
        <v>943967.12</v>
      </c>
      <c r="K307" s="191"/>
      <c r="L307" s="191"/>
      <c r="M307" s="194"/>
      <c r="N307" s="191"/>
      <c r="O307" s="194">
        <f>SUBTOTAL(109,O308:O350)</f>
        <v>1050273.8</v>
      </c>
      <c r="Q307" s="208"/>
      <c r="R307" s="208"/>
      <c r="S307"/>
      <c r="T307" s="208"/>
      <c r="U307" s="208"/>
      <c r="V307" s="208"/>
      <c r="W307" s="208"/>
      <c r="X307" s="208"/>
      <c r="Y307" s="208"/>
      <c r="Z307" s="208"/>
      <c r="AA307" s="208"/>
      <c r="AB307" s="208"/>
      <c r="AC307" s="208"/>
      <c r="AD307" s="208"/>
      <c r="AE307" s="208"/>
      <c r="AF307" s="208"/>
      <c r="AG307" s="208"/>
      <c r="AH307" s="208"/>
      <c r="AI307" s="208"/>
      <c r="AJ307" s="208"/>
      <c r="AK307" s="208"/>
      <c r="AL307" s="208"/>
      <c r="AM307" s="208"/>
      <c r="AN307" s="208"/>
      <c r="AO307" s="208"/>
      <c r="AP307" s="208"/>
      <c r="AQ307" s="208"/>
      <c r="AR307" s="208"/>
      <c r="AS307" s="208"/>
      <c r="AT307" s="208"/>
      <c r="AU307" s="208"/>
      <c r="AV307" s="208"/>
      <c r="AW307" s="208"/>
      <c r="AX307" s="208"/>
      <c r="AY307" s="208"/>
      <c r="AZ307" s="208"/>
      <c r="BA307" s="208"/>
      <c r="BB307" s="208"/>
      <c r="BC307" s="208"/>
      <c r="BD307" s="208"/>
      <c r="BE307" s="208"/>
      <c r="BF307" s="208"/>
      <c r="BG307" s="208"/>
      <c r="BH307" s="208"/>
      <c r="BI307" s="208"/>
      <c r="BJ307" s="208"/>
      <c r="BK307" s="208"/>
      <c r="BL307" s="208"/>
      <c r="BM307" s="208"/>
      <c r="BN307" s="208"/>
      <c r="BO307" s="208"/>
      <c r="BP307" s="208"/>
      <c r="BQ307" s="208"/>
      <c r="BR307" s="208"/>
      <c r="BS307" s="208"/>
      <c r="BT307" s="208"/>
      <c r="BU307" s="208"/>
      <c r="BV307" s="208"/>
      <c r="BW307" s="208"/>
      <c r="BX307" s="208"/>
      <c r="BY307" s="208"/>
      <c r="BZ307" s="208"/>
      <c r="CA307" s="208"/>
      <c r="CB307" s="208"/>
      <c r="CC307" s="208"/>
      <c r="CD307" s="208"/>
      <c r="CE307" s="208"/>
      <c r="CF307" s="208"/>
      <c r="CG307" s="208"/>
      <c r="CH307" s="208"/>
      <c r="CI307" s="208"/>
      <c r="CJ307" s="208"/>
      <c r="CK307" s="208"/>
      <c r="CL307" s="208"/>
      <c r="CM307" s="208"/>
      <c r="CN307" s="208"/>
      <c r="CO307" s="208"/>
      <c r="CP307" s="208"/>
      <c r="CQ307" s="208"/>
      <c r="CR307" s="208"/>
      <c r="CS307" s="208"/>
      <c r="CT307" s="208"/>
      <c r="CU307" s="208"/>
      <c r="CV307" s="208"/>
      <c r="CW307" s="208"/>
      <c r="CX307" s="208"/>
      <c r="CY307" s="208"/>
      <c r="CZ307" s="208"/>
      <c r="DA307" s="208"/>
      <c r="DB307" s="208"/>
      <c r="DC307" s="208"/>
      <c r="DD307" s="208"/>
      <c r="DE307" s="208"/>
      <c r="DF307" s="208"/>
      <c r="DG307" s="208"/>
      <c r="DH307" s="208"/>
      <c r="DI307" s="208"/>
      <c r="DJ307" s="208"/>
      <c r="DK307" s="208"/>
      <c r="DL307" s="208"/>
      <c r="DM307" s="208"/>
      <c r="DN307" s="208"/>
      <c r="DO307" s="208"/>
      <c r="DP307" s="208"/>
      <c r="DQ307" s="208"/>
      <c r="DR307" s="208"/>
      <c r="DS307" s="208"/>
      <c r="DT307" s="208"/>
      <c r="DU307" s="208"/>
      <c r="DV307" s="208"/>
      <c r="DW307" s="208"/>
      <c r="DX307" s="208"/>
      <c r="DY307" s="208"/>
      <c r="DZ307" s="208"/>
      <c r="EA307" s="208"/>
      <c r="EB307" s="208"/>
      <c r="EC307" s="208"/>
      <c r="ED307" s="208"/>
      <c r="EE307" s="208"/>
      <c r="EF307" s="208"/>
      <c r="EG307" s="208"/>
      <c r="EH307" s="208"/>
      <c r="EI307" s="208"/>
      <c r="EJ307" s="208"/>
      <c r="EK307" s="208"/>
      <c r="EL307" s="208"/>
      <c r="EM307" s="208"/>
      <c r="EN307" s="208"/>
      <c r="EO307" s="208"/>
      <c r="EP307" s="208"/>
      <c r="EQ307" s="208"/>
      <c r="ER307" s="208"/>
      <c r="ES307" s="208"/>
      <c r="ET307" s="208"/>
      <c r="EU307" s="208"/>
      <c r="EV307" s="208"/>
      <c r="EW307" s="208"/>
      <c r="EX307" s="208"/>
      <c r="EY307" s="208"/>
      <c r="EZ307" s="208"/>
      <c r="FA307" s="208"/>
      <c r="FB307" s="208"/>
      <c r="FC307" s="208"/>
      <c r="FD307" s="208"/>
      <c r="FE307" s="208"/>
      <c r="FF307" s="208"/>
      <c r="FG307" s="208"/>
      <c r="FH307" s="208"/>
      <c r="FI307" s="208"/>
      <c r="FJ307" s="208"/>
      <c r="FK307" s="208"/>
      <c r="FL307" s="208"/>
      <c r="FM307" s="208"/>
      <c r="FN307" s="208"/>
      <c r="FO307" s="208"/>
      <c r="FP307" s="208"/>
      <c r="FQ307" s="208"/>
      <c r="FR307" s="208"/>
      <c r="FS307" s="208"/>
      <c r="FT307" s="208"/>
      <c r="FU307" s="208"/>
      <c r="FV307" s="208"/>
      <c r="FW307" s="208"/>
      <c r="FX307" s="208"/>
      <c r="FY307" s="208"/>
      <c r="FZ307" s="208"/>
      <c r="GA307" s="208"/>
      <c r="GB307" s="208"/>
      <c r="GC307" s="208"/>
      <c r="GD307" s="208"/>
      <c r="GE307" s="208"/>
      <c r="GF307" s="208"/>
    </row>
    <row r="308" spans="1:188" s="209" customFormat="1" ht="15" x14ac:dyDescent="0.25">
      <c r="A308" s="195" t="s">
        <v>5088</v>
      </c>
      <c r="B308" s="195" t="s">
        <v>665</v>
      </c>
      <c r="C308" s="196" t="s">
        <v>2472</v>
      </c>
      <c r="D308" s="154" t="s">
        <v>78</v>
      </c>
      <c r="E308" s="154">
        <v>3750</v>
      </c>
      <c r="F308" s="154">
        <v>0.2</v>
      </c>
      <c r="G308" s="197"/>
      <c r="H308" s="198"/>
      <c r="I308" s="151">
        <v>2</v>
      </c>
      <c r="J308" s="152">
        <f t="shared" ref="J308:J350" si="51">IF(ISNUMBER(I308),ROUND(F308*E308*I308,2),"")</f>
        <v>1500</v>
      </c>
      <c r="K308" s="198">
        <f>BDI!$E$17</f>
        <v>0.11260000000000001</v>
      </c>
      <c r="L308" s="198"/>
      <c r="M308" s="198"/>
      <c r="N308" s="153">
        <f t="shared" ref="N308:N350" si="52">IF(ISNUMBER(I308),ROUND(I308*(1+K308),2),"")</f>
        <v>2.23</v>
      </c>
      <c r="O308" s="152">
        <f t="shared" ref="O308:O350" si="53">IF(ISNUMBER(I308),ROUND(F308*N308*E308,2),"")</f>
        <v>1672.5</v>
      </c>
      <c r="P308" s="225"/>
      <c r="Q308" s="208"/>
      <c r="R308" s="208"/>
      <c r="S308"/>
      <c r="T308" s="208"/>
      <c r="U308" s="208"/>
      <c r="V308" s="208"/>
      <c r="W308" s="208"/>
      <c r="X308" s="208"/>
      <c r="Y308" s="208"/>
      <c r="Z308" s="208"/>
      <c r="AA308" s="208"/>
      <c r="AB308" s="208"/>
      <c r="AC308" s="208"/>
      <c r="AD308" s="208"/>
      <c r="AE308" s="208"/>
      <c r="AF308" s="208"/>
      <c r="AG308" s="208"/>
      <c r="AH308" s="208"/>
      <c r="AI308" s="208"/>
      <c r="AJ308" s="208"/>
      <c r="AK308" s="208"/>
      <c r="AL308" s="208"/>
      <c r="AM308" s="208"/>
      <c r="AN308" s="208"/>
      <c r="AO308" s="208"/>
      <c r="AP308" s="208"/>
      <c r="AQ308" s="208"/>
      <c r="AR308" s="208"/>
      <c r="AS308" s="208"/>
      <c r="AT308" s="208"/>
      <c r="AU308" s="208"/>
      <c r="AV308" s="208"/>
      <c r="AW308" s="208"/>
      <c r="AX308" s="208"/>
      <c r="AY308" s="208"/>
      <c r="AZ308" s="208"/>
      <c r="BA308" s="208"/>
      <c r="BB308" s="208"/>
      <c r="BC308" s="208"/>
      <c r="BD308" s="208"/>
      <c r="BE308" s="208"/>
      <c r="BF308" s="208"/>
      <c r="BG308" s="208"/>
      <c r="BH308" s="208"/>
      <c r="BI308" s="208"/>
      <c r="BJ308" s="208"/>
      <c r="BK308" s="208"/>
      <c r="BL308" s="208"/>
      <c r="BM308" s="208"/>
      <c r="BN308" s="208"/>
      <c r="BO308" s="208"/>
      <c r="BP308" s="208"/>
      <c r="BQ308" s="208"/>
      <c r="BR308" s="208"/>
      <c r="BS308" s="208"/>
      <c r="BT308" s="208"/>
      <c r="BU308" s="208"/>
      <c r="BV308" s="208"/>
      <c r="BW308" s="208"/>
      <c r="BX308" s="208"/>
      <c r="BY308" s="208"/>
      <c r="BZ308" s="208"/>
      <c r="CA308" s="208"/>
      <c r="CB308" s="208"/>
      <c r="CC308" s="208"/>
      <c r="CD308" s="208"/>
      <c r="CE308" s="208"/>
      <c r="CF308" s="208"/>
      <c r="CG308" s="208"/>
      <c r="CH308" s="208"/>
      <c r="CI308" s="208"/>
      <c r="CJ308" s="208"/>
      <c r="CK308" s="208"/>
      <c r="CL308" s="208"/>
      <c r="CM308" s="208"/>
      <c r="CN308" s="208"/>
      <c r="CO308" s="208"/>
      <c r="CP308" s="208"/>
      <c r="CQ308" s="208"/>
      <c r="CR308" s="208"/>
      <c r="CS308" s="208"/>
      <c r="CT308" s="208"/>
      <c r="CU308" s="208"/>
      <c r="CV308" s="208"/>
      <c r="CW308" s="208"/>
      <c r="CX308" s="208"/>
      <c r="CY308" s="208"/>
      <c r="CZ308" s="208"/>
      <c r="DA308" s="208"/>
      <c r="DB308" s="208"/>
      <c r="DC308" s="208"/>
      <c r="DD308" s="208"/>
      <c r="DE308" s="208"/>
      <c r="DF308" s="208"/>
      <c r="DG308" s="208"/>
      <c r="DH308" s="208"/>
      <c r="DI308" s="208"/>
      <c r="DJ308" s="208"/>
      <c r="DK308" s="208"/>
      <c r="DL308" s="208"/>
      <c r="DM308" s="208"/>
      <c r="DN308" s="208"/>
      <c r="DO308" s="208"/>
      <c r="DP308" s="208"/>
      <c r="DQ308" s="208"/>
      <c r="DR308" s="208"/>
      <c r="DS308" s="208"/>
      <c r="DT308" s="208"/>
      <c r="DU308" s="208"/>
      <c r="DV308" s="208"/>
      <c r="DW308" s="208"/>
      <c r="DX308" s="208"/>
      <c r="DY308" s="208"/>
      <c r="DZ308" s="208"/>
      <c r="EA308" s="208"/>
      <c r="EB308" s="208"/>
      <c r="EC308" s="208"/>
      <c r="ED308" s="208"/>
      <c r="EE308" s="208"/>
      <c r="EF308" s="208"/>
      <c r="EG308" s="208"/>
      <c r="EH308" s="208"/>
      <c r="EI308" s="208"/>
      <c r="EJ308" s="208"/>
      <c r="EK308" s="208"/>
      <c r="EL308" s="208"/>
      <c r="EM308" s="208"/>
      <c r="EN308" s="208"/>
      <c r="EO308" s="208"/>
      <c r="EP308" s="208"/>
      <c r="EQ308" s="208"/>
      <c r="ER308" s="208"/>
      <c r="ES308" s="208"/>
      <c r="ET308" s="208"/>
      <c r="EU308" s="208"/>
      <c r="EV308" s="208"/>
      <c r="EW308" s="208"/>
      <c r="EX308" s="208"/>
      <c r="EY308" s="208"/>
      <c r="EZ308" s="208"/>
      <c r="FA308" s="208"/>
      <c r="FB308" s="208"/>
      <c r="FC308" s="208"/>
      <c r="FD308" s="208"/>
      <c r="FE308" s="208"/>
      <c r="FF308" s="208"/>
      <c r="FG308" s="208"/>
      <c r="FH308" s="208"/>
      <c r="FI308" s="208"/>
      <c r="FJ308" s="208"/>
      <c r="FK308" s="208"/>
      <c r="FL308" s="208"/>
      <c r="FM308" s="208"/>
      <c r="FN308" s="208"/>
      <c r="FO308" s="208"/>
      <c r="FP308" s="208"/>
      <c r="FQ308" s="208"/>
      <c r="FR308" s="208"/>
      <c r="FS308" s="208"/>
      <c r="FT308" s="208"/>
      <c r="FU308" s="208"/>
      <c r="FV308" s="208"/>
      <c r="FW308" s="208"/>
      <c r="FX308" s="208"/>
      <c r="FY308" s="208"/>
      <c r="FZ308" s="208"/>
      <c r="GA308" s="208"/>
      <c r="GB308" s="208"/>
      <c r="GC308" s="208"/>
      <c r="GD308" s="208"/>
      <c r="GE308" s="208"/>
      <c r="GF308" s="208"/>
    </row>
    <row r="309" spans="1:188" s="209" customFormat="1" ht="15" x14ac:dyDescent="0.25">
      <c r="A309" s="195" t="s">
        <v>5089</v>
      </c>
      <c r="B309" s="195" t="s">
        <v>1130</v>
      </c>
      <c r="C309" s="196" t="s">
        <v>2927</v>
      </c>
      <c r="D309" s="154" t="s">
        <v>82</v>
      </c>
      <c r="E309" s="154">
        <v>1000</v>
      </c>
      <c r="F309" s="154">
        <v>0.2</v>
      </c>
      <c r="G309" s="197"/>
      <c r="H309" s="198"/>
      <c r="I309" s="151">
        <f>IFERROR(INDEX(Composições!$A$5:$J$8391,MATCH(B309,Composições!$A$5:$A$8391,0)+2,8),"")</f>
        <v>26.400499999999997</v>
      </c>
      <c r="J309" s="152">
        <f t="shared" si="51"/>
        <v>5280.1</v>
      </c>
      <c r="K309" s="198">
        <f>BDI!$E$17</f>
        <v>0.11260000000000001</v>
      </c>
      <c r="L309" s="198"/>
      <c r="M309" s="198"/>
      <c r="N309" s="153">
        <f t="shared" si="52"/>
        <v>29.37</v>
      </c>
      <c r="O309" s="152">
        <f t="shared" si="53"/>
        <v>5874</v>
      </c>
      <c r="P309" s="225"/>
      <c r="Q309" s="208"/>
      <c r="R309" s="208"/>
      <c r="S309"/>
      <c r="T309" s="208"/>
      <c r="U309" s="208"/>
      <c r="V309" s="208"/>
      <c r="W309" s="208"/>
      <c r="X309" s="208"/>
      <c r="Y309" s="208"/>
      <c r="Z309" s="208"/>
      <c r="AA309" s="208"/>
      <c r="AB309" s="208"/>
      <c r="AC309" s="208"/>
      <c r="AD309" s="208"/>
      <c r="AE309" s="208"/>
      <c r="AF309" s="208"/>
      <c r="AG309" s="208"/>
      <c r="AH309" s="208"/>
      <c r="AI309" s="208"/>
      <c r="AJ309" s="208"/>
      <c r="AK309" s="208"/>
      <c r="AL309" s="208"/>
      <c r="AM309" s="208"/>
      <c r="AN309" s="208"/>
      <c r="AO309" s="208"/>
      <c r="AP309" s="208"/>
      <c r="AQ309" s="208"/>
      <c r="AR309" s="208"/>
      <c r="AS309" s="208"/>
      <c r="AT309" s="208"/>
      <c r="AU309" s="208"/>
      <c r="AV309" s="208"/>
      <c r="AW309" s="208"/>
      <c r="AX309" s="208"/>
      <c r="AY309" s="208"/>
      <c r="AZ309" s="208"/>
      <c r="BA309" s="208"/>
      <c r="BB309" s="208"/>
      <c r="BC309" s="208"/>
      <c r="BD309" s="208"/>
      <c r="BE309" s="208"/>
      <c r="BF309" s="208"/>
      <c r="BG309" s="208"/>
      <c r="BH309" s="208"/>
      <c r="BI309" s="208"/>
      <c r="BJ309" s="208"/>
      <c r="BK309" s="208"/>
      <c r="BL309" s="208"/>
      <c r="BM309" s="208"/>
      <c r="BN309" s="208"/>
      <c r="BO309" s="208"/>
      <c r="BP309" s="208"/>
      <c r="BQ309" s="208"/>
      <c r="BR309" s="208"/>
      <c r="BS309" s="208"/>
      <c r="BT309" s="208"/>
      <c r="BU309" s="208"/>
      <c r="BV309" s="208"/>
      <c r="BW309" s="208"/>
      <c r="BX309" s="208"/>
      <c r="BY309" s="208"/>
      <c r="BZ309" s="208"/>
      <c r="CA309" s="208"/>
      <c r="CB309" s="208"/>
      <c r="CC309" s="208"/>
      <c r="CD309" s="208"/>
      <c r="CE309" s="208"/>
      <c r="CF309" s="208"/>
      <c r="CG309" s="208"/>
      <c r="CH309" s="208"/>
      <c r="CI309" s="208"/>
      <c r="CJ309" s="208"/>
      <c r="CK309" s="208"/>
      <c r="CL309" s="208"/>
      <c r="CM309" s="208"/>
      <c r="CN309" s="208"/>
      <c r="CO309" s="208"/>
      <c r="CP309" s="208"/>
      <c r="CQ309" s="208"/>
      <c r="CR309" s="208"/>
      <c r="CS309" s="208"/>
      <c r="CT309" s="208"/>
      <c r="CU309" s="208"/>
      <c r="CV309" s="208"/>
      <c r="CW309" s="208"/>
      <c r="CX309" s="208"/>
      <c r="CY309" s="208"/>
      <c r="CZ309" s="208"/>
      <c r="DA309" s="208"/>
      <c r="DB309" s="208"/>
      <c r="DC309" s="208"/>
      <c r="DD309" s="208"/>
      <c r="DE309" s="208"/>
      <c r="DF309" s="208"/>
      <c r="DG309" s="208"/>
      <c r="DH309" s="208"/>
      <c r="DI309" s="208"/>
      <c r="DJ309" s="208"/>
      <c r="DK309" s="208"/>
      <c r="DL309" s="208"/>
      <c r="DM309" s="208"/>
      <c r="DN309" s="208"/>
      <c r="DO309" s="208"/>
      <c r="DP309" s="208"/>
      <c r="DQ309" s="208"/>
      <c r="DR309" s="208"/>
      <c r="DS309" s="208"/>
      <c r="DT309" s="208"/>
      <c r="DU309" s="208"/>
      <c r="DV309" s="208"/>
      <c r="DW309" s="208"/>
      <c r="DX309" s="208"/>
      <c r="DY309" s="208"/>
      <c r="DZ309" s="208"/>
      <c r="EA309" s="208"/>
      <c r="EB309" s="208"/>
      <c r="EC309" s="208"/>
      <c r="ED309" s="208"/>
      <c r="EE309" s="208"/>
      <c r="EF309" s="208"/>
      <c r="EG309" s="208"/>
      <c r="EH309" s="208"/>
      <c r="EI309" s="208"/>
      <c r="EJ309" s="208"/>
      <c r="EK309" s="208"/>
      <c r="EL309" s="208"/>
      <c r="EM309" s="208"/>
      <c r="EN309" s="208"/>
      <c r="EO309" s="208"/>
      <c r="EP309" s="208"/>
      <c r="EQ309" s="208"/>
      <c r="ER309" s="208"/>
      <c r="ES309" s="208"/>
      <c r="ET309" s="208"/>
      <c r="EU309" s="208"/>
      <c r="EV309" s="208"/>
      <c r="EW309" s="208"/>
      <c r="EX309" s="208"/>
      <c r="EY309" s="208"/>
      <c r="EZ309" s="208"/>
      <c r="FA309" s="208"/>
      <c r="FB309" s="208"/>
      <c r="FC309" s="208"/>
      <c r="FD309" s="208"/>
      <c r="FE309" s="208"/>
      <c r="FF309" s="208"/>
      <c r="FG309" s="208"/>
      <c r="FH309" s="208"/>
      <c r="FI309" s="208"/>
      <c r="FJ309" s="208"/>
      <c r="FK309" s="208"/>
      <c r="FL309" s="208"/>
      <c r="FM309" s="208"/>
      <c r="FN309" s="208"/>
      <c r="FO309" s="208"/>
      <c r="FP309" s="208"/>
      <c r="FQ309" s="208"/>
      <c r="FR309" s="208"/>
      <c r="FS309" s="208"/>
      <c r="FT309" s="208"/>
      <c r="FU309" s="208"/>
      <c r="FV309" s="208"/>
      <c r="FW309" s="208"/>
      <c r="FX309" s="208"/>
      <c r="FY309" s="208"/>
      <c r="FZ309" s="208"/>
      <c r="GA309" s="208"/>
      <c r="GB309" s="208"/>
      <c r="GC309" s="208"/>
      <c r="GD309" s="208"/>
      <c r="GE309" s="208"/>
      <c r="GF309" s="208"/>
    </row>
    <row r="310" spans="1:188" s="209" customFormat="1" ht="15" x14ac:dyDescent="0.25">
      <c r="A310" s="195" t="s">
        <v>5090</v>
      </c>
      <c r="B310" s="195" t="s">
        <v>1132</v>
      </c>
      <c r="C310" s="196" t="s">
        <v>2928</v>
      </c>
      <c r="D310" s="154" t="s">
        <v>82</v>
      </c>
      <c r="E310" s="154">
        <v>500</v>
      </c>
      <c r="F310" s="154">
        <v>0.2</v>
      </c>
      <c r="G310" s="197"/>
      <c r="H310" s="198"/>
      <c r="I310" s="151">
        <f>IFERROR(INDEX(Composições!$A$5:$J$8391,MATCH(B310,Composições!$A$5:$A$8391,0)+2,8),"")</f>
        <v>8.2516999999999996</v>
      </c>
      <c r="J310" s="152">
        <f t="shared" si="51"/>
        <v>825.17</v>
      </c>
      <c r="K310" s="198">
        <f>BDI!$E$17</f>
        <v>0.11260000000000001</v>
      </c>
      <c r="L310" s="198"/>
      <c r="M310" s="198"/>
      <c r="N310" s="153">
        <f t="shared" si="52"/>
        <v>9.18</v>
      </c>
      <c r="O310" s="152">
        <f t="shared" si="53"/>
        <v>918</v>
      </c>
      <c r="P310" s="225"/>
      <c r="Q310" s="208"/>
      <c r="R310" s="208"/>
      <c r="S310"/>
      <c r="T310" s="208"/>
      <c r="U310" s="208"/>
      <c r="V310" s="208"/>
      <c r="W310" s="208"/>
      <c r="X310" s="208"/>
      <c r="Y310" s="208"/>
      <c r="Z310" s="208"/>
      <c r="AA310" s="208"/>
      <c r="AB310" s="208"/>
      <c r="AC310" s="208"/>
      <c r="AD310" s="208"/>
      <c r="AE310" s="208"/>
      <c r="AF310" s="208"/>
      <c r="AG310" s="208"/>
      <c r="AH310" s="208"/>
      <c r="AI310" s="208"/>
      <c r="AJ310" s="208"/>
      <c r="AK310" s="208"/>
      <c r="AL310" s="208"/>
      <c r="AM310" s="208"/>
      <c r="AN310" s="208"/>
      <c r="AO310" s="208"/>
      <c r="AP310" s="208"/>
      <c r="AQ310" s="208"/>
      <c r="AR310" s="208"/>
      <c r="AS310" s="208"/>
      <c r="AT310" s="208"/>
      <c r="AU310" s="208"/>
      <c r="AV310" s="208"/>
      <c r="AW310" s="208"/>
      <c r="AX310" s="208"/>
      <c r="AY310" s="208"/>
      <c r="AZ310" s="208"/>
      <c r="BA310" s="208"/>
      <c r="BB310" s="208"/>
      <c r="BC310" s="208"/>
      <c r="BD310" s="208"/>
      <c r="BE310" s="208"/>
      <c r="BF310" s="208"/>
      <c r="BG310" s="208"/>
      <c r="BH310" s="208"/>
      <c r="BI310" s="208"/>
      <c r="BJ310" s="208"/>
      <c r="BK310" s="208"/>
      <c r="BL310" s="208"/>
      <c r="BM310" s="208"/>
      <c r="BN310" s="208"/>
      <c r="BO310" s="208"/>
      <c r="BP310" s="208"/>
      <c r="BQ310" s="208"/>
      <c r="BR310" s="208"/>
      <c r="BS310" s="208"/>
      <c r="BT310" s="208"/>
      <c r="BU310" s="208"/>
      <c r="BV310" s="208"/>
      <c r="BW310" s="208"/>
      <c r="BX310" s="208"/>
      <c r="BY310" s="208"/>
      <c r="BZ310" s="208"/>
      <c r="CA310" s="208"/>
      <c r="CB310" s="208"/>
      <c r="CC310" s="208"/>
      <c r="CD310" s="208"/>
      <c r="CE310" s="208"/>
      <c r="CF310" s="208"/>
      <c r="CG310" s="208"/>
      <c r="CH310" s="208"/>
      <c r="CI310" s="208"/>
      <c r="CJ310" s="208"/>
      <c r="CK310" s="208"/>
      <c r="CL310" s="208"/>
      <c r="CM310" s="208"/>
      <c r="CN310" s="208"/>
      <c r="CO310" s="208"/>
      <c r="CP310" s="208"/>
      <c r="CQ310" s="208"/>
      <c r="CR310" s="208"/>
      <c r="CS310" s="208"/>
      <c r="CT310" s="208"/>
      <c r="CU310" s="208"/>
      <c r="CV310" s="208"/>
      <c r="CW310" s="208"/>
      <c r="CX310" s="208"/>
      <c r="CY310" s="208"/>
      <c r="CZ310" s="208"/>
      <c r="DA310" s="208"/>
      <c r="DB310" s="208"/>
      <c r="DC310" s="208"/>
      <c r="DD310" s="208"/>
      <c r="DE310" s="208"/>
      <c r="DF310" s="208"/>
      <c r="DG310" s="208"/>
      <c r="DH310" s="208"/>
      <c r="DI310" s="208"/>
      <c r="DJ310" s="208"/>
      <c r="DK310" s="208"/>
      <c r="DL310" s="208"/>
      <c r="DM310" s="208"/>
      <c r="DN310" s="208"/>
      <c r="DO310" s="208"/>
      <c r="DP310" s="208"/>
      <c r="DQ310" s="208"/>
      <c r="DR310" s="208"/>
      <c r="DS310" s="208"/>
      <c r="DT310" s="208"/>
      <c r="DU310" s="208"/>
      <c r="DV310" s="208"/>
      <c r="DW310" s="208"/>
      <c r="DX310" s="208"/>
      <c r="DY310" s="208"/>
      <c r="DZ310" s="208"/>
      <c r="EA310" s="208"/>
      <c r="EB310" s="208"/>
      <c r="EC310" s="208"/>
      <c r="ED310" s="208"/>
      <c r="EE310" s="208"/>
      <c r="EF310" s="208"/>
      <c r="EG310" s="208"/>
      <c r="EH310" s="208"/>
      <c r="EI310" s="208"/>
      <c r="EJ310" s="208"/>
      <c r="EK310" s="208"/>
      <c r="EL310" s="208"/>
      <c r="EM310" s="208"/>
      <c r="EN310" s="208"/>
      <c r="EO310" s="208"/>
      <c r="EP310" s="208"/>
      <c r="EQ310" s="208"/>
      <c r="ER310" s="208"/>
      <c r="ES310" s="208"/>
      <c r="ET310" s="208"/>
      <c r="EU310" s="208"/>
      <c r="EV310" s="208"/>
      <c r="EW310" s="208"/>
      <c r="EX310" s="208"/>
      <c r="EY310" s="208"/>
      <c r="EZ310" s="208"/>
      <c r="FA310" s="208"/>
      <c r="FB310" s="208"/>
      <c r="FC310" s="208"/>
      <c r="FD310" s="208"/>
      <c r="FE310" s="208"/>
      <c r="FF310" s="208"/>
      <c r="FG310" s="208"/>
      <c r="FH310" s="208"/>
      <c r="FI310" s="208"/>
      <c r="FJ310" s="208"/>
      <c r="FK310" s="208"/>
      <c r="FL310" s="208"/>
      <c r="FM310" s="208"/>
      <c r="FN310" s="208"/>
      <c r="FO310" s="208"/>
      <c r="FP310" s="208"/>
      <c r="FQ310" s="208"/>
      <c r="FR310" s="208"/>
      <c r="FS310" s="208"/>
      <c r="FT310" s="208"/>
      <c r="FU310" s="208"/>
      <c r="FV310" s="208"/>
      <c r="FW310" s="208"/>
      <c r="FX310" s="208"/>
      <c r="FY310" s="208"/>
      <c r="FZ310" s="208"/>
      <c r="GA310" s="208"/>
      <c r="GB310" s="208"/>
      <c r="GC310" s="208"/>
      <c r="GD310" s="208"/>
      <c r="GE310" s="208"/>
      <c r="GF310" s="208"/>
    </row>
    <row r="311" spans="1:188" s="209" customFormat="1" ht="15" x14ac:dyDescent="0.25">
      <c r="A311" s="195" t="s">
        <v>5091</v>
      </c>
      <c r="B311" s="195" t="s">
        <v>664</v>
      </c>
      <c r="C311" s="196" t="s">
        <v>2471</v>
      </c>
      <c r="D311" s="154" t="s">
        <v>80</v>
      </c>
      <c r="E311" s="154">
        <v>2000</v>
      </c>
      <c r="F311" s="154">
        <v>0.2</v>
      </c>
      <c r="G311" s="197"/>
      <c r="H311" s="198"/>
      <c r="I311" s="151">
        <v>8.2459999999999987</v>
      </c>
      <c r="J311" s="152">
        <f t="shared" si="51"/>
        <v>3298.4</v>
      </c>
      <c r="K311" s="198">
        <f>BDI!$E$17</f>
        <v>0.11260000000000001</v>
      </c>
      <c r="L311" s="198"/>
      <c r="M311" s="198"/>
      <c r="N311" s="153">
        <f t="shared" si="52"/>
        <v>9.17</v>
      </c>
      <c r="O311" s="152">
        <f t="shared" si="53"/>
        <v>3668</v>
      </c>
      <c r="P311" s="225"/>
      <c r="Q311" s="208"/>
      <c r="R311" s="208"/>
      <c r="S311"/>
      <c r="T311" s="208"/>
      <c r="U311" s="208"/>
      <c r="V311" s="208"/>
      <c r="W311" s="208"/>
      <c r="X311" s="208"/>
      <c r="Y311" s="208"/>
      <c r="Z311" s="208"/>
      <c r="AA311" s="208"/>
      <c r="AB311" s="208"/>
      <c r="AC311" s="208"/>
      <c r="AD311" s="208"/>
      <c r="AE311" s="208"/>
      <c r="AF311" s="208"/>
      <c r="AG311" s="208"/>
      <c r="AH311" s="208"/>
      <c r="AI311" s="208"/>
      <c r="AJ311" s="208"/>
      <c r="AK311" s="208"/>
      <c r="AL311" s="208"/>
      <c r="AM311" s="208"/>
      <c r="AN311" s="208"/>
      <c r="AO311" s="208"/>
      <c r="AP311" s="208"/>
      <c r="AQ311" s="208"/>
      <c r="AR311" s="208"/>
      <c r="AS311" s="208"/>
      <c r="AT311" s="208"/>
      <c r="AU311" s="208"/>
      <c r="AV311" s="208"/>
      <c r="AW311" s="208"/>
      <c r="AX311" s="208"/>
      <c r="AY311" s="208"/>
      <c r="AZ311" s="208"/>
      <c r="BA311" s="208"/>
      <c r="BB311" s="208"/>
      <c r="BC311" s="208"/>
      <c r="BD311" s="208"/>
      <c r="BE311" s="208"/>
      <c r="BF311" s="208"/>
      <c r="BG311" s="208"/>
      <c r="BH311" s="208"/>
      <c r="BI311" s="208"/>
      <c r="BJ311" s="208"/>
      <c r="BK311" s="208"/>
      <c r="BL311" s="208"/>
      <c r="BM311" s="208"/>
      <c r="BN311" s="208"/>
      <c r="BO311" s="208"/>
      <c r="BP311" s="208"/>
      <c r="BQ311" s="208"/>
      <c r="BR311" s="208"/>
      <c r="BS311" s="208"/>
      <c r="BT311" s="208"/>
      <c r="BU311" s="208"/>
      <c r="BV311" s="208"/>
      <c r="BW311" s="208"/>
      <c r="BX311" s="208"/>
      <c r="BY311" s="208"/>
      <c r="BZ311" s="208"/>
      <c r="CA311" s="208"/>
      <c r="CB311" s="208"/>
      <c r="CC311" s="208"/>
      <c r="CD311" s="208"/>
      <c r="CE311" s="208"/>
      <c r="CF311" s="208"/>
      <c r="CG311" s="208"/>
      <c r="CH311" s="208"/>
      <c r="CI311" s="208"/>
      <c r="CJ311" s="208"/>
      <c r="CK311" s="208"/>
      <c r="CL311" s="208"/>
      <c r="CM311" s="208"/>
      <c r="CN311" s="208"/>
      <c r="CO311" s="208"/>
      <c r="CP311" s="208"/>
      <c r="CQ311" s="208"/>
      <c r="CR311" s="208"/>
      <c r="CS311" s="208"/>
      <c r="CT311" s="208"/>
      <c r="CU311" s="208"/>
      <c r="CV311" s="208"/>
      <c r="CW311" s="208"/>
      <c r="CX311" s="208"/>
      <c r="CY311" s="208"/>
      <c r="CZ311" s="208"/>
      <c r="DA311" s="208"/>
      <c r="DB311" s="208"/>
      <c r="DC311" s="208"/>
      <c r="DD311" s="208"/>
      <c r="DE311" s="208"/>
      <c r="DF311" s="208"/>
      <c r="DG311" s="208"/>
      <c r="DH311" s="208"/>
      <c r="DI311" s="208"/>
      <c r="DJ311" s="208"/>
      <c r="DK311" s="208"/>
      <c r="DL311" s="208"/>
      <c r="DM311" s="208"/>
      <c r="DN311" s="208"/>
      <c r="DO311" s="208"/>
      <c r="DP311" s="208"/>
      <c r="DQ311" s="208"/>
      <c r="DR311" s="208"/>
      <c r="DS311" s="208"/>
      <c r="DT311" s="208"/>
      <c r="DU311" s="208"/>
      <c r="DV311" s="208"/>
      <c r="DW311" s="208"/>
      <c r="DX311" s="208"/>
      <c r="DY311" s="208"/>
      <c r="DZ311" s="208"/>
      <c r="EA311" s="208"/>
      <c r="EB311" s="208"/>
      <c r="EC311" s="208"/>
      <c r="ED311" s="208"/>
      <c r="EE311" s="208"/>
      <c r="EF311" s="208"/>
      <c r="EG311" s="208"/>
      <c r="EH311" s="208"/>
      <c r="EI311" s="208"/>
      <c r="EJ311" s="208"/>
      <c r="EK311" s="208"/>
      <c r="EL311" s="208"/>
      <c r="EM311" s="208"/>
      <c r="EN311" s="208"/>
      <c r="EO311" s="208"/>
      <c r="EP311" s="208"/>
      <c r="EQ311" s="208"/>
      <c r="ER311" s="208"/>
      <c r="ES311" s="208"/>
      <c r="ET311" s="208"/>
      <c r="EU311" s="208"/>
      <c r="EV311" s="208"/>
      <c r="EW311" s="208"/>
      <c r="EX311" s="208"/>
      <c r="EY311" s="208"/>
      <c r="EZ311" s="208"/>
      <c r="FA311" s="208"/>
      <c r="FB311" s="208"/>
      <c r="FC311" s="208"/>
      <c r="FD311" s="208"/>
      <c r="FE311" s="208"/>
      <c r="FF311" s="208"/>
      <c r="FG311" s="208"/>
      <c r="FH311" s="208"/>
      <c r="FI311" s="208"/>
      <c r="FJ311" s="208"/>
      <c r="FK311" s="208"/>
      <c r="FL311" s="208"/>
      <c r="FM311" s="208"/>
      <c r="FN311" s="208"/>
      <c r="FO311" s="208"/>
      <c r="FP311" s="208"/>
      <c r="FQ311" s="208"/>
      <c r="FR311" s="208"/>
      <c r="FS311" s="208"/>
      <c r="FT311" s="208"/>
      <c r="FU311" s="208"/>
      <c r="FV311" s="208"/>
      <c r="FW311" s="208"/>
      <c r="FX311" s="208"/>
      <c r="FY311" s="208"/>
      <c r="FZ311" s="208"/>
      <c r="GA311" s="208"/>
      <c r="GB311" s="208"/>
      <c r="GC311" s="208"/>
      <c r="GD311" s="208"/>
      <c r="GE311" s="208"/>
      <c r="GF311" s="208"/>
    </row>
    <row r="312" spans="1:188" s="209" customFormat="1" ht="15" x14ac:dyDescent="0.25">
      <c r="A312" s="195" t="s">
        <v>5092</v>
      </c>
      <c r="B312" s="195" t="s">
        <v>640</v>
      </c>
      <c r="C312" s="196" t="s">
        <v>2447</v>
      </c>
      <c r="D312" s="154" t="s">
        <v>2448</v>
      </c>
      <c r="E312" s="154">
        <v>2430</v>
      </c>
      <c r="F312" s="154">
        <v>0.2</v>
      </c>
      <c r="G312" s="197"/>
      <c r="H312" s="198"/>
      <c r="I312" s="151">
        <v>25.46</v>
      </c>
      <c r="J312" s="152">
        <f t="shared" si="51"/>
        <v>12373.56</v>
      </c>
      <c r="K312" s="198">
        <f>BDI!$E$17</f>
        <v>0.11260000000000001</v>
      </c>
      <c r="L312" s="198"/>
      <c r="M312" s="198"/>
      <c r="N312" s="153">
        <f t="shared" si="52"/>
        <v>28.33</v>
      </c>
      <c r="O312" s="152">
        <f t="shared" si="53"/>
        <v>13768.38</v>
      </c>
      <c r="P312" s="225"/>
      <c r="Q312" s="208"/>
      <c r="R312" s="208"/>
      <c r="S312"/>
      <c r="T312" s="208"/>
      <c r="U312" s="208"/>
      <c r="V312" s="208"/>
      <c r="W312" s="208"/>
      <c r="X312" s="208"/>
      <c r="Y312" s="208"/>
      <c r="Z312" s="208"/>
      <c r="AA312" s="208"/>
      <c r="AB312" s="208"/>
      <c r="AC312" s="208"/>
      <c r="AD312" s="208"/>
      <c r="AE312" s="208"/>
      <c r="AF312" s="208"/>
      <c r="AG312" s="208"/>
      <c r="AH312" s="208"/>
      <c r="AI312" s="208"/>
      <c r="AJ312" s="208"/>
      <c r="AK312" s="208"/>
      <c r="AL312" s="208"/>
      <c r="AM312" s="208"/>
      <c r="AN312" s="208"/>
      <c r="AO312" s="208"/>
      <c r="AP312" s="208"/>
      <c r="AQ312" s="208"/>
      <c r="AR312" s="208"/>
      <c r="AS312" s="208"/>
      <c r="AT312" s="208"/>
      <c r="AU312" s="208"/>
      <c r="AV312" s="208"/>
      <c r="AW312" s="208"/>
      <c r="AX312" s="208"/>
      <c r="AY312" s="208"/>
      <c r="AZ312" s="208"/>
      <c r="BA312" s="208"/>
      <c r="BB312" s="208"/>
      <c r="BC312" s="208"/>
      <c r="BD312" s="208"/>
      <c r="BE312" s="208"/>
      <c r="BF312" s="208"/>
      <c r="BG312" s="208"/>
      <c r="BH312" s="208"/>
      <c r="BI312" s="208"/>
      <c r="BJ312" s="208"/>
      <c r="BK312" s="208"/>
      <c r="BL312" s="208"/>
      <c r="BM312" s="208"/>
      <c r="BN312" s="208"/>
      <c r="BO312" s="208"/>
      <c r="BP312" s="208"/>
      <c r="BQ312" s="208"/>
      <c r="BR312" s="208"/>
      <c r="BS312" s="208"/>
      <c r="BT312" s="208"/>
      <c r="BU312" s="208"/>
      <c r="BV312" s="208"/>
      <c r="BW312" s="208"/>
      <c r="BX312" s="208"/>
      <c r="BY312" s="208"/>
      <c r="BZ312" s="208"/>
      <c r="CA312" s="208"/>
      <c r="CB312" s="208"/>
      <c r="CC312" s="208"/>
      <c r="CD312" s="208"/>
      <c r="CE312" s="208"/>
      <c r="CF312" s="208"/>
      <c r="CG312" s="208"/>
      <c r="CH312" s="208"/>
      <c r="CI312" s="208"/>
      <c r="CJ312" s="208"/>
      <c r="CK312" s="208"/>
      <c r="CL312" s="208"/>
      <c r="CM312" s="208"/>
      <c r="CN312" s="208"/>
      <c r="CO312" s="208"/>
      <c r="CP312" s="208"/>
      <c r="CQ312" s="208"/>
      <c r="CR312" s="208"/>
      <c r="CS312" s="208"/>
      <c r="CT312" s="208"/>
      <c r="CU312" s="208"/>
      <c r="CV312" s="208"/>
      <c r="CW312" s="208"/>
      <c r="CX312" s="208"/>
      <c r="CY312" s="208"/>
      <c r="CZ312" s="208"/>
      <c r="DA312" s="208"/>
      <c r="DB312" s="208"/>
      <c r="DC312" s="208"/>
      <c r="DD312" s="208"/>
      <c r="DE312" s="208"/>
      <c r="DF312" s="208"/>
      <c r="DG312" s="208"/>
      <c r="DH312" s="208"/>
      <c r="DI312" s="208"/>
      <c r="DJ312" s="208"/>
      <c r="DK312" s="208"/>
      <c r="DL312" s="208"/>
      <c r="DM312" s="208"/>
      <c r="DN312" s="208"/>
      <c r="DO312" s="208"/>
      <c r="DP312" s="208"/>
      <c r="DQ312" s="208"/>
      <c r="DR312" s="208"/>
      <c r="DS312" s="208"/>
      <c r="DT312" s="208"/>
      <c r="DU312" s="208"/>
      <c r="DV312" s="208"/>
      <c r="DW312" s="208"/>
      <c r="DX312" s="208"/>
      <c r="DY312" s="208"/>
      <c r="DZ312" s="208"/>
      <c r="EA312" s="208"/>
      <c r="EB312" s="208"/>
      <c r="EC312" s="208"/>
      <c r="ED312" s="208"/>
      <c r="EE312" s="208"/>
      <c r="EF312" s="208"/>
      <c r="EG312" s="208"/>
      <c r="EH312" s="208"/>
      <c r="EI312" s="208"/>
      <c r="EJ312" s="208"/>
      <c r="EK312" s="208"/>
      <c r="EL312" s="208"/>
      <c r="EM312" s="208"/>
      <c r="EN312" s="208"/>
      <c r="EO312" s="208"/>
      <c r="EP312" s="208"/>
      <c r="EQ312" s="208"/>
      <c r="ER312" s="208"/>
      <c r="ES312" s="208"/>
      <c r="ET312" s="208"/>
      <c r="EU312" s="208"/>
      <c r="EV312" s="208"/>
      <c r="EW312" s="208"/>
      <c r="EX312" s="208"/>
      <c r="EY312" s="208"/>
      <c r="EZ312" s="208"/>
      <c r="FA312" s="208"/>
      <c r="FB312" s="208"/>
      <c r="FC312" s="208"/>
      <c r="FD312" s="208"/>
      <c r="FE312" s="208"/>
      <c r="FF312" s="208"/>
      <c r="FG312" s="208"/>
      <c r="FH312" s="208"/>
      <c r="FI312" s="208"/>
      <c r="FJ312" s="208"/>
      <c r="FK312" s="208"/>
      <c r="FL312" s="208"/>
      <c r="FM312" s="208"/>
      <c r="FN312" s="208"/>
      <c r="FO312" s="208"/>
      <c r="FP312" s="208"/>
      <c r="FQ312" s="208"/>
      <c r="FR312" s="208"/>
      <c r="FS312" s="208"/>
      <c r="FT312" s="208"/>
      <c r="FU312" s="208"/>
      <c r="FV312" s="208"/>
      <c r="FW312" s="208"/>
      <c r="FX312" s="208"/>
      <c r="FY312" s="208"/>
      <c r="FZ312" s="208"/>
      <c r="GA312" s="208"/>
      <c r="GB312" s="208"/>
      <c r="GC312" s="208"/>
      <c r="GD312" s="208"/>
      <c r="GE312" s="208"/>
      <c r="GF312" s="208"/>
    </row>
    <row r="313" spans="1:188" s="209" customFormat="1" ht="15" x14ac:dyDescent="0.25">
      <c r="A313" s="195" t="s">
        <v>5093</v>
      </c>
      <c r="B313" s="195" t="s">
        <v>641</v>
      </c>
      <c r="C313" s="196" t="s">
        <v>2449</v>
      </c>
      <c r="D313" s="154" t="s">
        <v>2448</v>
      </c>
      <c r="E313" s="154">
        <v>7650</v>
      </c>
      <c r="F313" s="154">
        <v>0.2</v>
      </c>
      <c r="G313" s="197"/>
      <c r="H313" s="198"/>
      <c r="I313" s="151">
        <v>26.98</v>
      </c>
      <c r="J313" s="152">
        <f t="shared" si="51"/>
        <v>41279.4</v>
      </c>
      <c r="K313" s="198">
        <f>BDI!$E$17</f>
        <v>0.11260000000000001</v>
      </c>
      <c r="L313" s="198"/>
      <c r="M313" s="198"/>
      <c r="N313" s="153">
        <f t="shared" si="52"/>
        <v>30.02</v>
      </c>
      <c r="O313" s="152">
        <f t="shared" si="53"/>
        <v>45930.6</v>
      </c>
      <c r="P313" s="225"/>
      <c r="Q313" s="208"/>
      <c r="R313" s="208"/>
      <c r="S313"/>
      <c r="T313" s="208"/>
      <c r="U313" s="208"/>
      <c r="V313" s="208"/>
      <c r="W313" s="208"/>
      <c r="X313" s="208"/>
      <c r="Y313" s="208"/>
      <c r="Z313" s="208"/>
      <c r="AA313" s="208"/>
      <c r="AB313" s="208"/>
      <c r="AC313" s="208"/>
      <c r="AD313" s="208"/>
      <c r="AE313" s="208"/>
      <c r="AF313" s="208"/>
      <c r="AG313" s="208"/>
      <c r="AH313" s="208"/>
      <c r="AI313" s="208"/>
      <c r="AJ313" s="208"/>
      <c r="AK313" s="208"/>
      <c r="AL313" s="208"/>
      <c r="AM313" s="208"/>
      <c r="AN313" s="208"/>
      <c r="AO313" s="208"/>
      <c r="AP313" s="208"/>
      <c r="AQ313" s="208"/>
      <c r="AR313" s="208"/>
      <c r="AS313" s="208"/>
      <c r="AT313" s="208"/>
      <c r="AU313" s="208"/>
      <c r="AV313" s="208"/>
      <c r="AW313" s="208"/>
      <c r="AX313" s="208"/>
      <c r="AY313" s="208"/>
      <c r="AZ313" s="208"/>
      <c r="BA313" s="208"/>
      <c r="BB313" s="208"/>
      <c r="BC313" s="208"/>
      <c r="BD313" s="208"/>
      <c r="BE313" s="208"/>
      <c r="BF313" s="208"/>
      <c r="BG313" s="208"/>
      <c r="BH313" s="208"/>
      <c r="BI313" s="208"/>
      <c r="BJ313" s="208"/>
      <c r="BK313" s="208"/>
      <c r="BL313" s="208"/>
      <c r="BM313" s="208"/>
      <c r="BN313" s="208"/>
      <c r="BO313" s="208"/>
      <c r="BP313" s="208"/>
      <c r="BQ313" s="208"/>
      <c r="BR313" s="208"/>
      <c r="BS313" s="208"/>
      <c r="BT313" s="208"/>
      <c r="BU313" s="208"/>
      <c r="BV313" s="208"/>
      <c r="BW313" s="208"/>
      <c r="BX313" s="208"/>
      <c r="BY313" s="208"/>
      <c r="BZ313" s="208"/>
      <c r="CA313" s="208"/>
      <c r="CB313" s="208"/>
      <c r="CC313" s="208"/>
      <c r="CD313" s="208"/>
      <c r="CE313" s="208"/>
      <c r="CF313" s="208"/>
      <c r="CG313" s="208"/>
      <c r="CH313" s="208"/>
      <c r="CI313" s="208"/>
      <c r="CJ313" s="208"/>
      <c r="CK313" s="208"/>
      <c r="CL313" s="208"/>
      <c r="CM313" s="208"/>
      <c r="CN313" s="208"/>
      <c r="CO313" s="208"/>
      <c r="CP313" s="208"/>
      <c r="CQ313" s="208"/>
      <c r="CR313" s="208"/>
      <c r="CS313" s="208"/>
      <c r="CT313" s="208"/>
      <c r="CU313" s="208"/>
      <c r="CV313" s="208"/>
      <c r="CW313" s="208"/>
      <c r="CX313" s="208"/>
      <c r="CY313" s="208"/>
      <c r="CZ313" s="208"/>
      <c r="DA313" s="208"/>
      <c r="DB313" s="208"/>
      <c r="DC313" s="208"/>
      <c r="DD313" s="208"/>
      <c r="DE313" s="208"/>
      <c r="DF313" s="208"/>
      <c r="DG313" s="208"/>
      <c r="DH313" s="208"/>
      <c r="DI313" s="208"/>
      <c r="DJ313" s="208"/>
      <c r="DK313" s="208"/>
      <c r="DL313" s="208"/>
      <c r="DM313" s="208"/>
      <c r="DN313" s="208"/>
      <c r="DO313" s="208"/>
      <c r="DP313" s="208"/>
      <c r="DQ313" s="208"/>
      <c r="DR313" s="208"/>
      <c r="DS313" s="208"/>
      <c r="DT313" s="208"/>
      <c r="DU313" s="208"/>
      <c r="DV313" s="208"/>
      <c r="DW313" s="208"/>
      <c r="DX313" s="208"/>
      <c r="DY313" s="208"/>
      <c r="DZ313" s="208"/>
      <c r="EA313" s="208"/>
      <c r="EB313" s="208"/>
      <c r="EC313" s="208"/>
      <c r="ED313" s="208"/>
      <c r="EE313" s="208"/>
      <c r="EF313" s="208"/>
      <c r="EG313" s="208"/>
      <c r="EH313" s="208"/>
      <c r="EI313" s="208"/>
      <c r="EJ313" s="208"/>
      <c r="EK313" s="208"/>
      <c r="EL313" s="208"/>
      <c r="EM313" s="208"/>
      <c r="EN313" s="208"/>
      <c r="EO313" s="208"/>
      <c r="EP313" s="208"/>
      <c r="EQ313" s="208"/>
      <c r="ER313" s="208"/>
      <c r="ES313" s="208"/>
      <c r="ET313" s="208"/>
      <c r="EU313" s="208"/>
      <c r="EV313" s="208"/>
      <c r="EW313" s="208"/>
      <c r="EX313" s="208"/>
      <c r="EY313" s="208"/>
      <c r="EZ313" s="208"/>
      <c r="FA313" s="208"/>
      <c r="FB313" s="208"/>
      <c r="FC313" s="208"/>
      <c r="FD313" s="208"/>
      <c r="FE313" s="208"/>
      <c r="FF313" s="208"/>
      <c r="FG313" s="208"/>
      <c r="FH313" s="208"/>
      <c r="FI313" s="208"/>
      <c r="FJ313" s="208"/>
      <c r="FK313" s="208"/>
      <c r="FL313" s="208"/>
      <c r="FM313" s="208"/>
      <c r="FN313" s="208"/>
      <c r="FO313" s="208"/>
      <c r="FP313" s="208"/>
      <c r="FQ313" s="208"/>
      <c r="FR313" s="208"/>
      <c r="FS313" s="208"/>
      <c r="FT313" s="208"/>
      <c r="FU313" s="208"/>
      <c r="FV313" s="208"/>
      <c r="FW313" s="208"/>
      <c r="FX313" s="208"/>
      <c r="FY313" s="208"/>
      <c r="FZ313" s="208"/>
      <c r="GA313" s="208"/>
      <c r="GB313" s="208"/>
      <c r="GC313" s="208"/>
      <c r="GD313" s="208"/>
      <c r="GE313" s="208"/>
      <c r="GF313" s="208"/>
    </row>
    <row r="314" spans="1:188" s="209" customFormat="1" ht="15" x14ac:dyDescent="0.25">
      <c r="A314" s="195" t="s">
        <v>5094</v>
      </c>
      <c r="B314" s="195" t="s">
        <v>642</v>
      </c>
      <c r="C314" s="196" t="s">
        <v>2450</v>
      </c>
      <c r="D314" s="154" t="s">
        <v>2451</v>
      </c>
      <c r="E314" s="154">
        <v>15890</v>
      </c>
      <c r="F314" s="154">
        <v>0.2</v>
      </c>
      <c r="G314" s="197"/>
      <c r="H314" s="198"/>
      <c r="I314" s="151">
        <v>31.35</v>
      </c>
      <c r="J314" s="152">
        <f t="shared" si="51"/>
        <v>99630.3</v>
      </c>
      <c r="K314" s="198">
        <f>BDI!$E$17</f>
        <v>0.11260000000000001</v>
      </c>
      <c r="L314" s="198"/>
      <c r="M314" s="198"/>
      <c r="N314" s="153">
        <f t="shared" si="52"/>
        <v>34.880000000000003</v>
      </c>
      <c r="O314" s="152">
        <f t="shared" si="53"/>
        <v>110848.64</v>
      </c>
      <c r="P314" s="225"/>
      <c r="Q314" s="208"/>
      <c r="R314" s="208"/>
      <c r="S314"/>
      <c r="T314" s="208"/>
      <c r="U314" s="208"/>
      <c r="V314" s="208"/>
      <c r="W314" s="208"/>
      <c r="X314" s="208"/>
      <c r="Y314" s="208"/>
      <c r="Z314" s="208"/>
      <c r="AA314" s="208"/>
      <c r="AB314" s="208"/>
      <c r="AC314" s="208"/>
      <c r="AD314" s="208"/>
      <c r="AE314" s="208"/>
      <c r="AF314" s="208"/>
      <c r="AG314" s="208"/>
      <c r="AH314" s="208"/>
      <c r="AI314" s="208"/>
      <c r="AJ314" s="208"/>
      <c r="AK314" s="208"/>
      <c r="AL314" s="208"/>
      <c r="AM314" s="208"/>
      <c r="AN314" s="208"/>
      <c r="AO314" s="208"/>
      <c r="AP314" s="208"/>
      <c r="AQ314" s="208"/>
      <c r="AR314" s="208"/>
      <c r="AS314" s="208"/>
      <c r="AT314" s="208"/>
      <c r="AU314" s="208"/>
      <c r="AV314" s="208"/>
      <c r="AW314" s="208"/>
      <c r="AX314" s="208"/>
      <c r="AY314" s="208"/>
      <c r="AZ314" s="208"/>
      <c r="BA314" s="208"/>
      <c r="BB314" s="208"/>
      <c r="BC314" s="208"/>
      <c r="BD314" s="208"/>
      <c r="BE314" s="208"/>
      <c r="BF314" s="208"/>
      <c r="BG314" s="208"/>
      <c r="BH314" s="208"/>
      <c r="BI314" s="208"/>
      <c r="BJ314" s="208"/>
      <c r="BK314" s="208"/>
      <c r="BL314" s="208"/>
      <c r="BM314" s="208"/>
      <c r="BN314" s="208"/>
      <c r="BO314" s="208"/>
      <c r="BP314" s="208"/>
      <c r="BQ314" s="208"/>
      <c r="BR314" s="208"/>
      <c r="BS314" s="208"/>
      <c r="BT314" s="208"/>
      <c r="BU314" s="208"/>
      <c r="BV314" s="208"/>
      <c r="BW314" s="208"/>
      <c r="BX314" s="208"/>
      <c r="BY314" s="208"/>
      <c r="BZ314" s="208"/>
      <c r="CA314" s="208"/>
      <c r="CB314" s="208"/>
      <c r="CC314" s="208"/>
      <c r="CD314" s="208"/>
      <c r="CE314" s="208"/>
      <c r="CF314" s="208"/>
      <c r="CG314" s="208"/>
      <c r="CH314" s="208"/>
      <c r="CI314" s="208"/>
      <c r="CJ314" s="208"/>
      <c r="CK314" s="208"/>
      <c r="CL314" s="208"/>
      <c r="CM314" s="208"/>
      <c r="CN314" s="208"/>
      <c r="CO314" s="208"/>
      <c r="CP314" s="208"/>
      <c r="CQ314" s="208"/>
      <c r="CR314" s="208"/>
      <c r="CS314" s="208"/>
      <c r="CT314" s="208"/>
      <c r="CU314" s="208"/>
      <c r="CV314" s="208"/>
      <c r="CW314" s="208"/>
      <c r="CX314" s="208"/>
      <c r="CY314" s="208"/>
      <c r="CZ314" s="208"/>
      <c r="DA314" s="208"/>
      <c r="DB314" s="208"/>
      <c r="DC314" s="208"/>
      <c r="DD314" s="208"/>
      <c r="DE314" s="208"/>
      <c r="DF314" s="208"/>
      <c r="DG314" s="208"/>
      <c r="DH314" s="208"/>
      <c r="DI314" s="208"/>
      <c r="DJ314" s="208"/>
      <c r="DK314" s="208"/>
      <c r="DL314" s="208"/>
      <c r="DM314" s="208"/>
      <c r="DN314" s="208"/>
      <c r="DO314" s="208"/>
      <c r="DP314" s="208"/>
      <c r="DQ314" s="208"/>
      <c r="DR314" s="208"/>
      <c r="DS314" s="208"/>
      <c r="DT314" s="208"/>
      <c r="DU314" s="208"/>
      <c r="DV314" s="208"/>
      <c r="DW314" s="208"/>
      <c r="DX314" s="208"/>
      <c r="DY314" s="208"/>
      <c r="DZ314" s="208"/>
      <c r="EA314" s="208"/>
      <c r="EB314" s="208"/>
      <c r="EC314" s="208"/>
      <c r="ED314" s="208"/>
      <c r="EE314" s="208"/>
      <c r="EF314" s="208"/>
      <c r="EG314" s="208"/>
      <c r="EH314" s="208"/>
      <c r="EI314" s="208"/>
      <c r="EJ314" s="208"/>
      <c r="EK314" s="208"/>
      <c r="EL314" s="208"/>
      <c r="EM314" s="208"/>
      <c r="EN314" s="208"/>
      <c r="EO314" s="208"/>
      <c r="EP314" s="208"/>
      <c r="EQ314" s="208"/>
      <c r="ER314" s="208"/>
      <c r="ES314" s="208"/>
      <c r="ET314" s="208"/>
      <c r="EU314" s="208"/>
      <c r="EV314" s="208"/>
      <c r="EW314" s="208"/>
      <c r="EX314" s="208"/>
      <c r="EY314" s="208"/>
      <c r="EZ314" s="208"/>
      <c r="FA314" s="208"/>
      <c r="FB314" s="208"/>
      <c r="FC314" s="208"/>
      <c r="FD314" s="208"/>
      <c r="FE314" s="208"/>
      <c r="FF314" s="208"/>
      <c r="FG314" s="208"/>
      <c r="FH314" s="208"/>
      <c r="FI314" s="208"/>
      <c r="FJ314" s="208"/>
      <c r="FK314" s="208"/>
      <c r="FL314" s="208"/>
      <c r="FM314" s="208"/>
      <c r="FN314" s="208"/>
      <c r="FO314" s="208"/>
      <c r="FP314" s="208"/>
      <c r="FQ314" s="208"/>
      <c r="FR314" s="208"/>
      <c r="FS314" s="208"/>
      <c r="FT314" s="208"/>
      <c r="FU314" s="208"/>
      <c r="FV314" s="208"/>
      <c r="FW314" s="208"/>
      <c r="FX314" s="208"/>
      <c r="FY314" s="208"/>
      <c r="FZ314" s="208"/>
      <c r="GA314" s="208"/>
      <c r="GB314" s="208"/>
      <c r="GC314" s="208"/>
      <c r="GD314" s="208"/>
      <c r="GE314" s="208"/>
      <c r="GF314" s="208"/>
    </row>
    <row r="315" spans="1:188" s="209" customFormat="1" ht="15" x14ac:dyDescent="0.25">
      <c r="A315" s="195" t="s">
        <v>5095</v>
      </c>
      <c r="B315" s="195" t="s">
        <v>643</v>
      </c>
      <c r="C315" s="196" t="s">
        <v>2452</v>
      </c>
      <c r="D315" s="154" t="s">
        <v>2453</v>
      </c>
      <c r="E315" s="154">
        <v>1390</v>
      </c>
      <c r="F315" s="154">
        <v>0.2</v>
      </c>
      <c r="G315" s="197"/>
      <c r="H315" s="198"/>
      <c r="I315" s="151">
        <v>37.81</v>
      </c>
      <c r="J315" s="152">
        <f t="shared" si="51"/>
        <v>10511.18</v>
      </c>
      <c r="K315" s="198">
        <f>BDI!$E$17</f>
        <v>0.11260000000000001</v>
      </c>
      <c r="L315" s="198"/>
      <c r="M315" s="198"/>
      <c r="N315" s="153">
        <f t="shared" si="52"/>
        <v>42.07</v>
      </c>
      <c r="O315" s="152">
        <f t="shared" si="53"/>
        <v>11695.46</v>
      </c>
      <c r="P315" s="225"/>
      <c r="Q315" s="208"/>
      <c r="R315" s="208"/>
      <c r="S315"/>
      <c r="T315" s="208"/>
      <c r="U315" s="208"/>
      <c r="V315" s="208"/>
      <c r="W315" s="208"/>
      <c r="X315" s="208"/>
      <c r="Y315" s="208"/>
      <c r="Z315" s="208"/>
      <c r="AA315" s="208"/>
      <c r="AB315" s="208"/>
      <c r="AC315" s="208"/>
      <c r="AD315" s="208"/>
      <c r="AE315" s="208"/>
      <c r="AF315" s="208"/>
      <c r="AG315" s="208"/>
      <c r="AH315" s="208"/>
      <c r="AI315" s="208"/>
      <c r="AJ315" s="208"/>
      <c r="AK315" s="208"/>
      <c r="AL315" s="208"/>
      <c r="AM315" s="208"/>
      <c r="AN315" s="208"/>
      <c r="AO315" s="208"/>
      <c r="AP315" s="208"/>
      <c r="AQ315" s="208"/>
      <c r="AR315" s="208"/>
      <c r="AS315" s="208"/>
      <c r="AT315" s="208"/>
      <c r="AU315" s="208"/>
      <c r="AV315" s="208"/>
      <c r="AW315" s="208"/>
      <c r="AX315" s="208"/>
      <c r="AY315" s="208"/>
      <c r="AZ315" s="208"/>
      <c r="BA315" s="208"/>
      <c r="BB315" s="208"/>
      <c r="BC315" s="208"/>
      <c r="BD315" s="208"/>
      <c r="BE315" s="208"/>
      <c r="BF315" s="208"/>
      <c r="BG315" s="208"/>
      <c r="BH315" s="208"/>
      <c r="BI315" s="208"/>
      <c r="BJ315" s="208"/>
      <c r="BK315" s="208"/>
      <c r="BL315" s="208"/>
      <c r="BM315" s="208"/>
      <c r="BN315" s="208"/>
      <c r="BO315" s="208"/>
      <c r="BP315" s="208"/>
      <c r="BQ315" s="208"/>
      <c r="BR315" s="208"/>
      <c r="BS315" s="208"/>
      <c r="BT315" s="208"/>
      <c r="BU315" s="208"/>
      <c r="BV315" s="208"/>
      <c r="BW315" s="208"/>
      <c r="BX315" s="208"/>
      <c r="BY315" s="208"/>
      <c r="BZ315" s="208"/>
      <c r="CA315" s="208"/>
      <c r="CB315" s="208"/>
      <c r="CC315" s="208"/>
      <c r="CD315" s="208"/>
      <c r="CE315" s="208"/>
      <c r="CF315" s="208"/>
      <c r="CG315" s="208"/>
      <c r="CH315" s="208"/>
      <c r="CI315" s="208"/>
      <c r="CJ315" s="208"/>
      <c r="CK315" s="208"/>
      <c r="CL315" s="208"/>
      <c r="CM315" s="208"/>
      <c r="CN315" s="208"/>
      <c r="CO315" s="208"/>
      <c r="CP315" s="208"/>
      <c r="CQ315" s="208"/>
      <c r="CR315" s="208"/>
      <c r="CS315" s="208"/>
      <c r="CT315" s="208"/>
      <c r="CU315" s="208"/>
      <c r="CV315" s="208"/>
      <c r="CW315" s="208"/>
      <c r="CX315" s="208"/>
      <c r="CY315" s="208"/>
      <c r="CZ315" s="208"/>
      <c r="DA315" s="208"/>
      <c r="DB315" s="208"/>
      <c r="DC315" s="208"/>
      <c r="DD315" s="208"/>
      <c r="DE315" s="208"/>
      <c r="DF315" s="208"/>
      <c r="DG315" s="208"/>
      <c r="DH315" s="208"/>
      <c r="DI315" s="208"/>
      <c r="DJ315" s="208"/>
      <c r="DK315" s="208"/>
      <c r="DL315" s="208"/>
      <c r="DM315" s="208"/>
      <c r="DN315" s="208"/>
      <c r="DO315" s="208"/>
      <c r="DP315" s="208"/>
      <c r="DQ315" s="208"/>
      <c r="DR315" s="208"/>
      <c r="DS315" s="208"/>
      <c r="DT315" s="208"/>
      <c r="DU315" s="208"/>
      <c r="DV315" s="208"/>
      <c r="DW315" s="208"/>
      <c r="DX315" s="208"/>
      <c r="DY315" s="208"/>
      <c r="DZ315" s="208"/>
      <c r="EA315" s="208"/>
      <c r="EB315" s="208"/>
      <c r="EC315" s="208"/>
      <c r="ED315" s="208"/>
      <c r="EE315" s="208"/>
      <c r="EF315" s="208"/>
      <c r="EG315" s="208"/>
      <c r="EH315" s="208"/>
      <c r="EI315" s="208"/>
      <c r="EJ315" s="208"/>
      <c r="EK315" s="208"/>
      <c r="EL315" s="208"/>
      <c r="EM315" s="208"/>
      <c r="EN315" s="208"/>
      <c r="EO315" s="208"/>
      <c r="EP315" s="208"/>
      <c r="EQ315" s="208"/>
      <c r="ER315" s="208"/>
      <c r="ES315" s="208"/>
      <c r="ET315" s="208"/>
      <c r="EU315" s="208"/>
      <c r="EV315" s="208"/>
      <c r="EW315" s="208"/>
      <c r="EX315" s="208"/>
      <c r="EY315" s="208"/>
      <c r="EZ315" s="208"/>
      <c r="FA315" s="208"/>
      <c r="FB315" s="208"/>
      <c r="FC315" s="208"/>
      <c r="FD315" s="208"/>
      <c r="FE315" s="208"/>
      <c r="FF315" s="208"/>
      <c r="FG315" s="208"/>
      <c r="FH315" s="208"/>
      <c r="FI315" s="208"/>
      <c r="FJ315" s="208"/>
      <c r="FK315" s="208"/>
      <c r="FL315" s="208"/>
      <c r="FM315" s="208"/>
      <c r="FN315" s="208"/>
      <c r="FO315" s="208"/>
      <c r="FP315" s="208"/>
      <c r="FQ315" s="208"/>
      <c r="FR315" s="208"/>
      <c r="FS315" s="208"/>
      <c r="FT315" s="208"/>
      <c r="FU315" s="208"/>
      <c r="FV315" s="208"/>
      <c r="FW315" s="208"/>
      <c r="FX315" s="208"/>
      <c r="FY315" s="208"/>
      <c r="FZ315" s="208"/>
      <c r="GA315" s="208"/>
      <c r="GB315" s="208"/>
      <c r="GC315" s="208"/>
      <c r="GD315" s="208"/>
      <c r="GE315" s="208"/>
      <c r="GF315" s="208"/>
    </row>
    <row r="316" spans="1:188" s="209" customFormat="1" ht="15" x14ac:dyDescent="0.25">
      <c r="A316" s="195" t="s">
        <v>5096</v>
      </c>
      <c r="B316" s="195" t="s">
        <v>1743</v>
      </c>
      <c r="C316" s="196" t="s">
        <v>3492</v>
      </c>
      <c r="D316" s="154" t="s">
        <v>3493</v>
      </c>
      <c r="E316" s="154">
        <v>3900</v>
      </c>
      <c r="F316" s="154">
        <v>0.2</v>
      </c>
      <c r="G316" s="197"/>
      <c r="H316" s="198"/>
      <c r="I316" s="151">
        <v>48.45</v>
      </c>
      <c r="J316" s="152">
        <f t="shared" si="51"/>
        <v>37791</v>
      </c>
      <c r="K316" s="198">
        <f>BDI!$E$17</f>
        <v>0.11260000000000001</v>
      </c>
      <c r="L316" s="198"/>
      <c r="M316" s="198"/>
      <c r="N316" s="153">
        <f t="shared" si="52"/>
        <v>53.91</v>
      </c>
      <c r="O316" s="152">
        <f t="shared" si="53"/>
        <v>42049.8</v>
      </c>
      <c r="P316" s="225"/>
      <c r="Q316" s="208"/>
      <c r="R316" s="208"/>
      <c r="S316"/>
      <c r="T316" s="208"/>
      <c r="U316" s="208"/>
      <c r="V316" s="208"/>
      <c r="W316" s="208"/>
      <c r="X316" s="208"/>
      <c r="Y316" s="208"/>
      <c r="Z316" s="208"/>
      <c r="AA316" s="208"/>
      <c r="AB316" s="208"/>
      <c r="AC316" s="208"/>
      <c r="AD316" s="208"/>
      <c r="AE316" s="208"/>
      <c r="AF316" s="208"/>
      <c r="AG316" s="208"/>
      <c r="AH316" s="208"/>
      <c r="AI316" s="208"/>
      <c r="AJ316" s="208"/>
      <c r="AK316" s="208"/>
      <c r="AL316" s="208"/>
      <c r="AM316" s="208"/>
      <c r="AN316" s="208"/>
      <c r="AO316" s="208"/>
      <c r="AP316" s="208"/>
      <c r="AQ316" s="208"/>
      <c r="AR316" s="208"/>
      <c r="AS316" s="208"/>
      <c r="AT316" s="208"/>
      <c r="AU316" s="208"/>
      <c r="AV316" s="208"/>
      <c r="AW316" s="208"/>
      <c r="AX316" s="208"/>
      <c r="AY316" s="208"/>
      <c r="AZ316" s="208"/>
      <c r="BA316" s="208"/>
      <c r="BB316" s="208"/>
      <c r="BC316" s="208"/>
      <c r="BD316" s="208"/>
      <c r="BE316" s="208"/>
      <c r="BF316" s="208"/>
      <c r="BG316" s="208"/>
      <c r="BH316" s="208"/>
      <c r="BI316" s="208"/>
      <c r="BJ316" s="208"/>
      <c r="BK316" s="208"/>
      <c r="BL316" s="208"/>
      <c r="BM316" s="208"/>
      <c r="BN316" s="208"/>
      <c r="BO316" s="208"/>
      <c r="BP316" s="208"/>
      <c r="BQ316" s="208"/>
      <c r="BR316" s="208"/>
      <c r="BS316" s="208"/>
      <c r="BT316" s="208"/>
      <c r="BU316" s="208"/>
      <c r="BV316" s="208"/>
      <c r="BW316" s="208"/>
      <c r="BX316" s="208"/>
      <c r="BY316" s="208"/>
      <c r="BZ316" s="208"/>
      <c r="CA316" s="208"/>
      <c r="CB316" s="208"/>
      <c r="CC316" s="208"/>
      <c r="CD316" s="208"/>
      <c r="CE316" s="208"/>
      <c r="CF316" s="208"/>
      <c r="CG316" s="208"/>
      <c r="CH316" s="208"/>
      <c r="CI316" s="208"/>
      <c r="CJ316" s="208"/>
      <c r="CK316" s="208"/>
      <c r="CL316" s="208"/>
      <c r="CM316" s="208"/>
      <c r="CN316" s="208"/>
      <c r="CO316" s="208"/>
      <c r="CP316" s="208"/>
      <c r="CQ316" s="208"/>
      <c r="CR316" s="208"/>
      <c r="CS316" s="208"/>
      <c r="CT316" s="208"/>
      <c r="CU316" s="208"/>
      <c r="CV316" s="208"/>
      <c r="CW316" s="208"/>
      <c r="CX316" s="208"/>
      <c r="CY316" s="208"/>
      <c r="CZ316" s="208"/>
      <c r="DA316" s="208"/>
      <c r="DB316" s="208"/>
      <c r="DC316" s="208"/>
      <c r="DD316" s="208"/>
      <c r="DE316" s="208"/>
      <c r="DF316" s="208"/>
      <c r="DG316" s="208"/>
      <c r="DH316" s="208"/>
      <c r="DI316" s="208"/>
      <c r="DJ316" s="208"/>
      <c r="DK316" s="208"/>
      <c r="DL316" s="208"/>
      <c r="DM316" s="208"/>
      <c r="DN316" s="208"/>
      <c r="DO316" s="208"/>
      <c r="DP316" s="208"/>
      <c r="DQ316" s="208"/>
      <c r="DR316" s="208"/>
      <c r="DS316" s="208"/>
      <c r="DT316" s="208"/>
      <c r="DU316" s="208"/>
      <c r="DV316" s="208"/>
      <c r="DW316" s="208"/>
      <c r="DX316" s="208"/>
      <c r="DY316" s="208"/>
      <c r="DZ316" s="208"/>
      <c r="EA316" s="208"/>
      <c r="EB316" s="208"/>
      <c r="EC316" s="208"/>
      <c r="ED316" s="208"/>
      <c r="EE316" s="208"/>
      <c r="EF316" s="208"/>
      <c r="EG316" s="208"/>
      <c r="EH316" s="208"/>
      <c r="EI316" s="208"/>
      <c r="EJ316" s="208"/>
      <c r="EK316" s="208"/>
      <c r="EL316" s="208"/>
      <c r="EM316" s="208"/>
      <c r="EN316" s="208"/>
      <c r="EO316" s="208"/>
      <c r="EP316" s="208"/>
      <c r="EQ316" s="208"/>
      <c r="ER316" s="208"/>
      <c r="ES316" s="208"/>
      <c r="ET316" s="208"/>
      <c r="EU316" s="208"/>
      <c r="EV316" s="208"/>
      <c r="EW316" s="208"/>
      <c r="EX316" s="208"/>
      <c r="EY316" s="208"/>
      <c r="EZ316" s="208"/>
      <c r="FA316" s="208"/>
      <c r="FB316" s="208"/>
      <c r="FC316" s="208"/>
      <c r="FD316" s="208"/>
      <c r="FE316" s="208"/>
      <c r="FF316" s="208"/>
      <c r="FG316" s="208"/>
      <c r="FH316" s="208"/>
      <c r="FI316" s="208"/>
      <c r="FJ316" s="208"/>
      <c r="FK316" s="208"/>
      <c r="FL316" s="208"/>
      <c r="FM316" s="208"/>
      <c r="FN316" s="208"/>
      <c r="FO316" s="208"/>
      <c r="FP316" s="208"/>
      <c r="FQ316" s="208"/>
      <c r="FR316" s="208"/>
      <c r="FS316" s="208"/>
      <c r="FT316" s="208"/>
      <c r="FU316" s="208"/>
      <c r="FV316" s="208"/>
      <c r="FW316" s="208"/>
      <c r="FX316" s="208"/>
      <c r="FY316" s="208"/>
      <c r="FZ316" s="208"/>
      <c r="GA316" s="208"/>
      <c r="GB316" s="208"/>
      <c r="GC316" s="208"/>
      <c r="GD316" s="208"/>
      <c r="GE316" s="208"/>
      <c r="GF316" s="208"/>
    </row>
    <row r="317" spans="1:188" s="209" customFormat="1" ht="15" x14ac:dyDescent="0.25">
      <c r="A317" s="195" t="s">
        <v>5097</v>
      </c>
      <c r="B317" s="195" t="s">
        <v>661</v>
      </c>
      <c r="C317" s="196" t="s">
        <v>2468</v>
      </c>
      <c r="D317" s="154" t="s">
        <v>82</v>
      </c>
      <c r="E317" s="154">
        <v>810</v>
      </c>
      <c r="F317" s="154">
        <v>0.2</v>
      </c>
      <c r="G317" s="197"/>
      <c r="H317" s="198"/>
      <c r="I317" s="151">
        <v>61.11</v>
      </c>
      <c r="J317" s="152">
        <f t="shared" si="51"/>
        <v>9899.82</v>
      </c>
      <c r="K317" s="198">
        <f>BDI!$E$17</f>
        <v>0.11260000000000001</v>
      </c>
      <c r="L317" s="198"/>
      <c r="M317" s="198"/>
      <c r="N317" s="153">
        <f t="shared" si="52"/>
        <v>67.989999999999995</v>
      </c>
      <c r="O317" s="152">
        <f t="shared" si="53"/>
        <v>11014.38</v>
      </c>
      <c r="P317" s="225"/>
      <c r="Q317" s="208"/>
      <c r="R317" s="208"/>
      <c r="S317"/>
      <c r="T317" s="208"/>
      <c r="U317" s="208"/>
      <c r="V317" s="208"/>
      <c r="W317" s="208"/>
      <c r="X317" s="208"/>
      <c r="Y317" s="208"/>
      <c r="Z317" s="208"/>
      <c r="AA317" s="208"/>
      <c r="AB317" s="208"/>
      <c r="AC317" s="208"/>
      <c r="AD317" s="208"/>
      <c r="AE317" s="208"/>
      <c r="AF317" s="208"/>
      <c r="AG317" s="208"/>
      <c r="AH317" s="208"/>
      <c r="AI317" s="208"/>
      <c r="AJ317" s="208"/>
      <c r="AK317" s="208"/>
      <c r="AL317" s="208"/>
      <c r="AM317" s="208"/>
      <c r="AN317" s="208"/>
      <c r="AO317" s="208"/>
      <c r="AP317" s="208"/>
      <c r="AQ317" s="208"/>
      <c r="AR317" s="208"/>
      <c r="AS317" s="208"/>
      <c r="AT317" s="208"/>
      <c r="AU317" s="208"/>
      <c r="AV317" s="208"/>
      <c r="AW317" s="208"/>
      <c r="AX317" s="208"/>
      <c r="AY317" s="208"/>
      <c r="AZ317" s="208"/>
      <c r="BA317" s="208"/>
      <c r="BB317" s="208"/>
      <c r="BC317" s="208"/>
      <c r="BD317" s="208"/>
      <c r="BE317" s="208"/>
      <c r="BF317" s="208"/>
      <c r="BG317" s="208"/>
      <c r="BH317" s="208"/>
      <c r="BI317" s="208"/>
      <c r="BJ317" s="208"/>
      <c r="BK317" s="208"/>
      <c r="BL317" s="208"/>
      <c r="BM317" s="208"/>
      <c r="BN317" s="208"/>
      <c r="BO317" s="208"/>
      <c r="BP317" s="208"/>
      <c r="BQ317" s="208"/>
      <c r="BR317" s="208"/>
      <c r="BS317" s="208"/>
      <c r="BT317" s="208"/>
      <c r="BU317" s="208"/>
      <c r="BV317" s="208"/>
      <c r="BW317" s="208"/>
      <c r="BX317" s="208"/>
      <c r="BY317" s="208"/>
      <c r="BZ317" s="208"/>
      <c r="CA317" s="208"/>
      <c r="CB317" s="208"/>
      <c r="CC317" s="208"/>
      <c r="CD317" s="208"/>
      <c r="CE317" s="208"/>
      <c r="CF317" s="208"/>
      <c r="CG317" s="208"/>
      <c r="CH317" s="208"/>
      <c r="CI317" s="208"/>
      <c r="CJ317" s="208"/>
      <c r="CK317" s="208"/>
      <c r="CL317" s="208"/>
      <c r="CM317" s="208"/>
      <c r="CN317" s="208"/>
      <c r="CO317" s="208"/>
      <c r="CP317" s="208"/>
      <c r="CQ317" s="208"/>
      <c r="CR317" s="208"/>
      <c r="CS317" s="208"/>
      <c r="CT317" s="208"/>
      <c r="CU317" s="208"/>
      <c r="CV317" s="208"/>
      <c r="CW317" s="208"/>
      <c r="CX317" s="208"/>
      <c r="CY317" s="208"/>
      <c r="CZ317" s="208"/>
      <c r="DA317" s="208"/>
      <c r="DB317" s="208"/>
      <c r="DC317" s="208"/>
      <c r="DD317" s="208"/>
      <c r="DE317" s="208"/>
      <c r="DF317" s="208"/>
      <c r="DG317" s="208"/>
      <c r="DH317" s="208"/>
      <c r="DI317" s="208"/>
      <c r="DJ317" s="208"/>
      <c r="DK317" s="208"/>
      <c r="DL317" s="208"/>
      <c r="DM317" s="208"/>
      <c r="DN317" s="208"/>
      <c r="DO317" s="208"/>
      <c r="DP317" s="208"/>
      <c r="DQ317" s="208"/>
      <c r="DR317" s="208"/>
      <c r="DS317" s="208"/>
      <c r="DT317" s="208"/>
      <c r="DU317" s="208"/>
      <c r="DV317" s="208"/>
      <c r="DW317" s="208"/>
      <c r="DX317" s="208"/>
      <c r="DY317" s="208"/>
      <c r="DZ317" s="208"/>
      <c r="EA317" s="208"/>
      <c r="EB317" s="208"/>
      <c r="EC317" s="208"/>
      <c r="ED317" s="208"/>
      <c r="EE317" s="208"/>
      <c r="EF317" s="208"/>
      <c r="EG317" s="208"/>
      <c r="EH317" s="208"/>
      <c r="EI317" s="208"/>
      <c r="EJ317" s="208"/>
      <c r="EK317" s="208"/>
      <c r="EL317" s="208"/>
      <c r="EM317" s="208"/>
      <c r="EN317" s="208"/>
      <c r="EO317" s="208"/>
      <c r="EP317" s="208"/>
      <c r="EQ317" s="208"/>
      <c r="ER317" s="208"/>
      <c r="ES317" s="208"/>
      <c r="ET317" s="208"/>
      <c r="EU317" s="208"/>
      <c r="EV317" s="208"/>
      <c r="EW317" s="208"/>
      <c r="EX317" s="208"/>
      <c r="EY317" s="208"/>
      <c r="EZ317" s="208"/>
      <c r="FA317" s="208"/>
      <c r="FB317" s="208"/>
      <c r="FC317" s="208"/>
      <c r="FD317" s="208"/>
      <c r="FE317" s="208"/>
      <c r="FF317" s="208"/>
      <c r="FG317" s="208"/>
      <c r="FH317" s="208"/>
      <c r="FI317" s="208"/>
      <c r="FJ317" s="208"/>
      <c r="FK317" s="208"/>
      <c r="FL317" s="208"/>
      <c r="FM317" s="208"/>
      <c r="FN317" s="208"/>
      <c r="FO317" s="208"/>
      <c r="FP317" s="208"/>
      <c r="FQ317" s="208"/>
      <c r="FR317" s="208"/>
      <c r="FS317" s="208"/>
      <c r="FT317" s="208"/>
      <c r="FU317" s="208"/>
      <c r="FV317" s="208"/>
      <c r="FW317" s="208"/>
      <c r="FX317" s="208"/>
      <c r="FY317" s="208"/>
      <c r="FZ317" s="208"/>
      <c r="GA317" s="208"/>
      <c r="GB317" s="208"/>
      <c r="GC317" s="208"/>
      <c r="GD317" s="208"/>
      <c r="GE317" s="208"/>
      <c r="GF317" s="208"/>
    </row>
    <row r="318" spans="1:188" s="209" customFormat="1" ht="15" x14ac:dyDescent="0.25">
      <c r="A318" s="195" t="s">
        <v>5098</v>
      </c>
      <c r="B318" s="195" t="s">
        <v>644</v>
      </c>
      <c r="C318" s="196" t="s">
        <v>2454</v>
      </c>
      <c r="D318" s="154" t="s">
        <v>2448</v>
      </c>
      <c r="E318" s="154">
        <v>250</v>
      </c>
      <c r="F318" s="154">
        <v>0.2</v>
      </c>
      <c r="G318" s="197"/>
      <c r="H318" s="198"/>
      <c r="I318" s="151">
        <v>26.22</v>
      </c>
      <c r="J318" s="152">
        <f t="shared" si="51"/>
        <v>1311</v>
      </c>
      <c r="K318" s="198">
        <f>BDI!$E$17</f>
        <v>0.11260000000000001</v>
      </c>
      <c r="L318" s="198"/>
      <c r="M318" s="198"/>
      <c r="N318" s="153">
        <f t="shared" si="52"/>
        <v>29.17</v>
      </c>
      <c r="O318" s="152">
        <f t="shared" si="53"/>
        <v>1458.5</v>
      </c>
      <c r="P318" s="225"/>
      <c r="Q318" s="208"/>
      <c r="R318" s="208"/>
      <c r="S318"/>
      <c r="T318" s="208"/>
      <c r="U318" s="208"/>
      <c r="V318" s="208"/>
      <c r="W318" s="208"/>
      <c r="X318" s="208"/>
      <c r="Y318" s="208"/>
      <c r="Z318" s="208"/>
      <c r="AA318" s="208"/>
      <c r="AB318" s="208"/>
      <c r="AC318" s="208"/>
      <c r="AD318" s="208"/>
      <c r="AE318" s="208"/>
      <c r="AF318" s="208"/>
      <c r="AG318" s="208"/>
      <c r="AH318" s="208"/>
      <c r="AI318" s="208"/>
      <c r="AJ318" s="208"/>
      <c r="AK318" s="208"/>
      <c r="AL318" s="208"/>
      <c r="AM318" s="208"/>
      <c r="AN318" s="208"/>
      <c r="AO318" s="208"/>
      <c r="AP318" s="208"/>
      <c r="AQ318" s="208"/>
      <c r="AR318" s="208"/>
      <c r="AS318" s="208"/>
      <c r="AT318" s="208"/>
      <c r="AU318" s="208"/>
      <c r="AV318" s="208"/>
      <c r="AW318" s="208"/>
      <c r="AX318" s="208"/>
      <c r="AY318" s="208"/>
      <c r="AZ318" s="208"/>
      <c r="BA318" s="208"/>
      <c r="BB318" s="208"/>
      <c r="BC318" s="208"/>
      <c r="BD318" s="208"/>
      <c r="BE318" s="208"/>
      <c r="BF318" s="208"/>
      <c r="BG318" s="208"/>
      <c r="BH318" s="208"/>
      <c r="BI318" s="208"/>
      <c r="BJ318" s="208"/>
      <c r="BK318" s="208"/>
      <c r="BL318" s="208"/>
      <c r="BM318" s="208"/>
      <c r="BN318" s="208"/>
      <c r="BO318" s="208"/>
      <c r="BP318" s="208"/>
      <c r="BQ318" s="208"/>
      <c r="BR318" s="208"/>
      <c r="BS318" s="208"/>
      <c r="BT318" s="208"/>
      <c r="BU318" s="208"/>
      <c r="BV318" s="208"/>
      <c r="BW318" s="208"/>
      <c r="BX318" s="208"/>
      <c r="BY318" s="208"/>
      <c r="BZ318" s="208"/>
      <c r="CA318" s="208"/>
      <c r="CB318" s="208"/>
      <c r="CC318" s="208"/>
      <c r="CD318" s="208"/>
      <c r="CE318" s="208"/>
      <c r="CF318" s="208"/>
      <c r="CG318" s="208"/>
      <c r="CH318" s="208"/>
      <c r="CI318" s="208"/>
      <c r="CJ318" s="208"/>
      <c r="CK318" s="208"/>
      <c r="CL318" s="208"/>
      <c r="CM318" s="208"/>
      <c r="CN318" s="208"/>
      <c r="CO318" s="208"/>
      <c r="CP318" s="208"/>
      <c r="CQ318" s="208"/>
      <c r="CR318" s="208"/>
      <c r="CS318" s="208"/>
      <c r="CT318" s="208"/>
      <c r="CU318" s="208"/>
      <c r="CV318" s="208"/>
      <c r="CW318" s="208"/>
      <c r="CX318" s="208"/>
      <c r="CY318" s="208"/>
      <c r="CZ318" s="208"/>
      <c r="DA318" s="208"/>
      <c r="DB318" s="208"/>
      <c r="DC318" s="208"/>
      <c r="DD318" s="208"/>
      <c r="DE318" s="208"/>
      <c r="DF318" s="208"/>
      <c r="DG318" s="208"/>
      <c r="DH318" s="208"/>
      <c r="DI318" s="208"/>
      <c r="DJ318" s="208"/>
      <c r="DK318" s="208"/>
      <c r="DL318" s="208"/>
      <c r="DM318" s="208"/>
      <c r="DN318" s="208"/>
      <c r="DO318" s="208"/>
      <c r="DP318" s="208"/>
      <c r="DQ318" s="208"/>
      <c r="DR318" s="208"/>
      <c r="DS318" s="208"/>
      <c r="DT318" s="208"/>
      <c r="DU318" s="208"/>
      <c r="DV318" s="208"/>
      <c r="DW318" s="208"/>
      <c r="DX318" s="208"/>
      <c r="DY318" s="208"/>
      <c r="DZ318" s="208"/>
      <c r="EA318" s="208"/>
      <c r="EB318" s="208"/>
      <c r="EC318" s="208"/>
      <c r="ED318" s="208"/>
      <c r="EE318" s="208"/>
      <c r="EF318" s="208"/>
      <c r="EG318" s="208"/>
      <c r="EH318" s="208"/>
      <c r="EI318" s="208"/>
      <c r="EJ318" s="208"/>
      <c r="EK318" s="208"/>
      <c r="EL318" s="208"/>
      <c r="EM318" s="208"/>
      <c r="EN318" s="208"/>
      <c r="EO318" s="208"/>
      <c r="EP318" s="208"/>
      <c r="EQ318" s="208"/>
      <c r="ER318" s="208"/>
      <c r="ES318" s="208"/>
      <c r="ET318" s="208"/>
      <c r="EU318" s="208"/>
      <c r="EV318" s="208"/>
      <c r="EW318" s="208"/>
      <c r="EX318" s="208"/>
      <c r="EY318" s="208"/>
      <c r="EZ318" s="208"/>
      <c r="FA318" s="208"/>
      <c r="FB318" s="208"/>
      <c r="FC318" s="208"/>
      <c r="FD318" s="208"/>
      <c r="FE318" s="208"/>
      <c r="FF318" s="208"/>
      <c r="FG318" s="208"/>
      <c r="FH318" s="208"/>
      <c r="FI318" s="208"/>
      <c r="FJ318" s="208"/>
      <c r="FK318" s="208"/>
      <c r="FL318" s="208"/>
      <c r="FM318" s="208"/>
      <c r="FN318" s="208"/>
      <c r="FO318" s="208"/>
      <c r="FP318" s="208"/>
      <c r="FQ318" s="208"/>
      <c r="FR318" s="208"/>
      <c r="FS318" s="208"/>
      <c r="FT318" s="208"/>
      <c r="FU318" s="208"/>
      <c r="FV318" s="208"/>
      <c r="FW318" s="208"/>
      <c r="FX318" s="208"/>
      <c r="FY318" s="208"/>
      <c r="FZ318" s="208"/>
      <c r="GA318" s="208"/>
      <c r="GB318" s="208"/>
      <c r="GC318" s="208"/>
      <c r="GD318" s="208"/>
      <c r="GE318" s="208"/>
      <c r="GF318" s="208"/>
    </row>
    <row r="319" spans="1:188" s="209" customFormat="1" ht="15" x14ac:dyDescent="0.25">
      <c r="A319" s="195" t="s">
        <v>5099</v>
      </c>
      <c r="B319" s="195" t="s">
        <v>639</v>
      </c>
      <c r="C319" s="196" t="s">
        <v>2446</v>
      </c>
      <c r="D319" s="154" t="s">
        <v>28</v>
      </c>
      <c r="E319" s="154">
        <v>270</v>
      </c>
      <c r="F319" s="154">
        <v>0.2</v>
      </c>
      <c r="G319" s="197"/>
      <c r="H319" s="198"/>
      <c r="I319" s="151">
        <v>13.59</v>
      </c>
      <c r="J319" s="152">
        <f t="shared" si="51"/>
        <v>733.86</v>
      </c>
      <c r="K319" s="198">
        <f>BDI!$E$17</f>
        <v>0.11260000000000001</v>
      </c>
      <c r="L319" s="198"/>
      <c r="M319" s="198"/>
      <c r="N319" s="153">
        <f t="shared" si="52"/>
        <v>15.12</v>
      </c>
      <c r="O319" s="152">
        <f t="shared" si="53"/>
        <v>816.48</v>
      </c>
      <c r="P319" s="225"/>
      <c r="Q319" s="208"/>
      <c r="R319" s="208"/>
      <c r="S319"/>
      <c r="T319" s="208"/>
      <c r="U319" s="208"/>
      <c r="V319" s="208"/>
      <c r="W319" s="208"/>
      <c r="X319" s="208"/>
      <c r="Y319" s="208"/>
      <c r="Z319" s="208"/>
      <c r="AA319" s="208"/>
      <c r="AB319" s="208"/>
      <c r="AC319" s="208"/>
      <c r="AD319" s="208"/>
      <c r="AE319" s="208"/>
      <c r="AF319" s="208"/>
      <c r="AG319" s="208"/>
      <c r="AH319" s="208"/>
      <c r="AI319" s="208"/>
      <c r="AJ319" s="208"/>
      <c r="AK319" s="208"/>
      <c r="AL319" s="208"/>
      <c r="AM319" s="208"/>
      <c r="AN319" s="208"/>
      <c r="AO319" s="208"/>
      <c r="AP319" s="208"/>
      <c r="AQ319" s="208"/>
      <c r="AR319" s="208"/>
      <c r="AS319" s="208"/>
      <c r="AT319" s="208"/>
      <c r="AU319" s="208"/>
      <c r="AV319" s="208"/>
      <c r="AW319" s="208"/>
      <c r="AX319" s="208"/>
      <c r="AY319" s="208"/>
      <c r="AZ319" s="208"/>
      <c r="BA319" s="208"/>
      <c r="BB319" s="208"/>
      <c r="BC319" s="208"/>
      <c r="BD319" s="208"/>
      <c r="BE319" s="208"/>
      <c r="BF319" s="208"/>
      <c r="BG319" s="208"/>
      <c r="BH319" s="208"/>
      <c r="BI319" s="208"/>
      <c r="BJ319" s="208"/>
      <c r="BK319" s="208"/>
      <c r="BL319" s="208"/>
      <c r="BM319" s="208"/>
      <c r="BN319" s="208"/>
      <c r="BO319" s="208"/>
      <c r="BP319" s="208"/>
      <c r="BQ319" s="208"/>
      <c r="BR319" s="208"/>
      <c r="BS319" s="208"/>
      <c r="BT319" s="208"/>
      <c r="BU319" s="208"/>
      <c r="BV319" s="208"/>
      <c r="BW319" s="208"/>
      <c r="BX319" s="208"/>
      <c r="BY319" s="208"/>
      <c r="BZ319" s="208"/>
      <c r="CA319" s="208"/>
      <c r="CB319" s="208"/>
      <c r="CC319" s="208"/>
      <c r="CD319" s="208"/>
      <c r="CE319" s="208"/>
      <c r="CF319" s="208"/>
      <c r="CG319" s="208"/>
      <c r="CH319" s="208"/>
      <c r="CI319" s="208"/>
      <c r="CJ319" s="208"/>
      <c r="CK319" s="208"/>
      <c r="CL319" s="208"/>
      <c r="CM319" s="208"/>
      <c r="CN319" s="208"/>
      <c r="CO319" s="208"/>
      <c r="CP319" s="208"/>
      <c r="CQ319" s="208"/>
      <c r="CR319" s="208"/>
      <c r="CS319" s="208"/>
      <c r="CT319" s="208"/>
      <c r="CU319" s="208"/>
      <c r="CV319" s="208"/>
      <c r="CW319" s="208"/>
      <c r="CX319" s="208"/>
      <c r="CY319" s="208"/>
      <c r="CZ319" s="208"/>
      <c r="DA319" s="208"/>
      <c r="DB319" s="208"/>
      <c r="DC319" s="208"/>
      <c r="DD319" s="208"/>
      <c r="DE319" s="208"/>
      <c r="DF319" s="208"/>
      <c r="DG319" s="208"/>
      <c r="DH319" s="208"/>
      <c r="DI319" s="208"/>
      <c r="DJ319" s="208"/>
      <c r="DK319" s="208"/>
      <c r="DL319" s="208"/>
      <c r="DM319" s="208"/>
      <c r="DN319" s="208"/>
      <c r="DO319" s="208"/>
      <c r="DP319" s="208"/>
      <c r="DQ319" s="208"/>
      <c r="DR319" s="208"/>
      <c r="DS319" s="208"/>
      <c r="DT319" s="208"/>
      <c r="DU319" s="208"/>
      <c r="DV319" s="208"/>
      <c r="DW319" s="208"/>
      <c r="DX319" s="208"/>
      <c r="DY319" s="208"/>
      <c r="DZ319" s="208"/>
      <c r="EA319" s="208"/>
      <c r="EB319" s="208"/>
      <c r="EC319" s="208"/>
      <c r="ED319" s="208"/>
      <c r="EE319" s="208"/>
      <c r="EF319" s="208"/>
      <c r="EG319" s="208"/>
      <c r="EH319" s="208"/>
      <c r="EI319" s="208"/>
      <c r="EJ319" s="208"/>
      <c r="EK319" s="208"/>
      <c r="EL319" s="208"/>
      <c r="EM319" s="208"/>
      <c r="EN319" s="208"/>
      <c r="EO319" s="208"/>
      <c r="EP319" s="208"/>
      <c r="EQ319" s="208"/>
      <c r="ER319" s="208"/>
      <c r="ES319" s="208"/>
      <c r="ET319" s="208"/>
      <c r="EU319" s="208"/>
      <c r="EV319" s="208"/>
      <c r="EW319" s="208"/>
      <c r="EX319" s="208"/>
      <c r="EY319" s="208"/>
      <c r="EZ319" s="208"/>
      <c r="FA319" s="208"/>
      <c r="FB319" s="208"/>
      <c r="FC319" s="208"/>
      <c r="FD319" s="208"/>
      <c r="FE319" s="208"/>
      <c r="FF319" s="208"/>
      <c r="FG319" s="208"/>
      <c r="FH319" s="208"/>
      <c r="FI319" s="208"/>
      <c r="FJ319" s="208"/>
      <c r="FK319" s="208"/>
      <c r="FL319" s="208"/>
      <c r="FM319" s="208"/>
      <c r="FN319" s="208"/>
      <c r="FO319" s="208"/>
      <c r="FP319" s="208"/>
      <c r="FQ319" s="208"/>
      <c r="FR319" s="208"/>
      <c r="FS319" s="208"/>
      <c r="FT319" s="208"/>
      <c r="FU319" s="208"/>
      <c r="FV319" s="208"/>
      <c r="FW319" s="208"/>
      <c r="FX319" s="208"/>
      <c r="FY319" s="208"/>
      <c r="FZ319" s="208"/>
      <c r="GA319" s="208"/>
      <c r="GB319" s="208"/>
      <c r="GC319" s="208"/>
      <c r="GD319" s="208"/>
      <c r="GE319" s="208"/>
      <c r="GF319" s="208"/>
    </row>
    <row r="320" spans="1:188" s="209" customFormat="1" ht="15" x14ac:dyDescent="0.25">
      <c r="A320" s="195" t="s">
        <v>5100</v>
      </c>
      <c r="B320" s="195" t="s">
        <v>2404</v>
      </c>
      <c r="C320" s="196" t="s">
        <v>2405</v>
      </c>
      <c r="D320" s="154" t="s">
        <v>82</v>
      </c>
      <c r="E320" s="154">
        <v>210</v>
      </c>
      <c r="F320" s="154">
        <v>0.2</v>
      </c>
      <c r="G320" s="197"/>
      <c r="H320" s="198"/>
      <c r="I320" s="247">
        <v>17.579999999999998</v>
      </c>
      <c r="J320" s="152">
        <f t="shared" si="51"/>
        <v>738.36</v>
      </c>
      <c r="K320" s="198">
        <f>BDI!$E$17</f>
        <v>0.11260000000000001</v>
      </c>
      <c r="L320" s="198"/>
      <c r="M320" s="198"/>
      <c r="N320" s="153">
        <f t="shared" si="52"/>
        <v>19.559999999999999</v>
      </c>
      <c r="O320" s="152">
        <f t="shared" si="53"/>
        <v>821.52</v>
      </c>
      <c r="P320" s="225"/>
      <c r="Q320" s="208"/>
      <c r="R320" s="208"/>
      <c r="S320"/>
      <c r="T320" s="208"/>
      <c r="U320" s="208"/>
      <c r="V320" s="208"/>
      <c r="W320" s="208"/>
      <c r="X320" s="208"/>
      <c r="Y320" s="208"/>
      <c r="Z320" s="208"/>
      <c r="AA320" s="208"/>
      <c r="AB320" s="208"/>
      <c r="AC320" s="208"/>
      <c r="AD320" s="208"/>
      <c r="AE320" s="208"/>
      <c r="AF320" s="208"/>
      <c r="AG320" s="208"/>
      <c r="AH320" s="208"/>
      <c r="AI320" s="208"/>
      <c r="AJ320" s="208"/>
      <c r="AK320" s="208"/>
      <c r="AL320" s="208"/>
      <c r="AM320" s="208"/>
      <c r="AN320" s="208"/>
      <c r="AO320" s="208"/>
      <c r="AP320" s="208"/>
      <c r="AQ320" s="208"/>
      <c r="AR320" s="208"/>
      <c r="AS320" s="208"/>
      <c r="AT320" s="208"/>
      <c r="AU320" s="208"/>
      <c r="AV320" s="208"/>
      <c r="AW320" s="208"/>
      <c r="AX320" s="208"/>
      <c r="AY320" s="208"/>
      <c r="AZ320" s="208"/>
      <c r="BA320" s="208"/>
      <c r="BB320" s="208"/>
      <c r="BC320" s="208"/>
      <c r="BD320" s="208"/>
      <c r="BE320" s="208"/>
      <c r="BF320" s="208"/>
      <c r="BG320" s="208"/>
      <c r="BH320" s="208"/>
      <c r="BI320" s="208"/>
      <c r="BJ320" s="208"/>
      <c r="BK320" s="208"/>
      <c r="BL320" s="208"/>
      <c r="BM320" s="208"/>
      <c r="BN320" s="208"/>
      <c r="BO320" s="208"/>
      <c r="BP320" s="208"/>
      <c r="BQ320" s="208"/>
      <c r="BR320" s="208"/>
      <c r="BS320" s="208"/>
      <c r="BT320" s="208"/>
      <c r="BU320" s="208"/>
      <c r="BV320" s="208"/>
      <c r="BW320" s="208"/>
      <c r="BX320" s="208"/>
      <c r="BY320" s="208"/>
      <c r="BZ320" s="208"/>
      <c r="CA320" s="208"/>
      <c r="CB320" s="208"/>
      <c r="CC320" s="208"/>
      <c r="CD320" s="208"/>
      <c r="CE320" s="208"/>
      <c r="CF320" s="208"/>
      <c r="CG320" s="208"/>
      <c r="CH320" s="208"/>
      <c r="CI320" s="208"/>
      <c r="CJ320" s="208"/>
      <c r="CK320" s="208"/>
      <c r="CL320" s="208"/>
      <c r="CM320" s="208"/>
      <c r="CN320" s="208"/>
      <c r="CO320" s="208"/>
      <c r="CP320" s="208"/>
      <c r="CQ320" s="208"/>
      <c r="CR320" s="208"/>
      <c r="CS320" s="208"/>
      <c r="CT320" s="208"/>
      <c r="CU320" s="208"/>
      <c r="CV320" s="208"/>
      <c r="CW320" s="208"/>
      <c r="CX320" s="208"/>
      <c r="CY320" s="208"/>
      <c r="CZ320" s="208"/>
      <c r="DA320" s="208"/>
      <c r="DB320" s="208"/>
      <c r="DC320" s="208"/>
      <c r="DD320" s="208"/>
      <c r="DE320" s="208"/>
      <c r="DF320" s="208"/>
      <c r="DG320" s="208"/>
      <c r="DH320" s="208"/>
      <c r="DI320" s="208"/>
      <c r="DJ320" s="208"/>
      <c r="DK320" s="208"/>
      <c r="DL320" s="208"/>
      <c r="DM320" s="208"/>
      <c r="DN320" s="208"/>
      <c r="DO320" s="208"/>
      <c r="DP320" s="208"/>
      <c r="DQ320" s="208"/>
      <c r="DR320" s="208"/>
      <c r="DS320" s="208"/>
      <c r="DT320" s="208"/>
      <c r="DU320" s="208"/>
      <c r="DV320" s="208"/>
      <c r="DW320" s="208"/>
      <c r="DX320" s="208"/>
      <c r="DY320" s="208"/>
      <c r="DZ320" s="208"/>
      <c r="EA320" s="208"/>
      <c r="EB320" s="208"/>
      <c r="EC320" s="208"/>
      <c r="ED320" s="208"/>
      <c r="EE320" s="208"/>
      <c r="EF320" s="208"/>
      <c r="EG320" s="208"/>
      <c r="EH320" s="208"/>
      <c r="EI320" s="208"/>
      <c r="EJ320" s="208"/>
      <c r="EK320" s="208"/>
      <c r="EL320" s="208"/>
      <c r="EM320" s="208"/>
      <c r="EN320" s="208"/>
      <c r="EO320" s="208"/>
      <c r="EP320" s="208"/>
      <c r="EQ320" s="208"/>
      <c r="ER320" s="208"/>
      <c r="ES320" s="208"/>
      <c r="ET320" s="208"/>
      <c r="EU320" s="208"/>
      <c r="EV320" s="208"/>
      <c r="EW320" s="208"/>
      <c r="EX320" s="208"/>
      <c r="EY320" s="208"/>
      <c r="EZ320" s="208"/>
      <c r="FA320" s="208"/>
      <c r="FB320" s="208"/>
      <c r="FC320" s="208"/>
      <c r="FD320" s="208"/>
      <c r="FE320" s="208"/>
      <c r="FF320" s="208"/>
      <c r="FG320" s="208"/>
      <c r="FH320" s="208"/>
      <c r="FI320" s="208"/>
      <c r="FJ320" s="208"/>
      <c r="FK320" s="208"/>
      <c r="FL320" s="208"/>
      <c r="FM320" s="208"/>
      <c r="FN320" s="208"/>
      <c r="FO320" s="208"/>
      <c r="FP320" s="208"/>
      <c r="FQ320" s="208"/>
      <c r="FR320" s="208"/>
      <c r="FS320" s="208"/>
      <c r="FT320" s="208"/>
      <c r="FU320" s="208"/>
      <c r="FV320" s="208"/>
      <c r="FW320" s="208"/>
      <c r="FX320" s="208"/>
      <c r="FY320" s="208"/>
      <c r="FZ320" s="208"/>
      <c r="GA320" s="208"/>
      <c r="GB320" s="208"/>
      <c r="GC320" s="208"/>
      <c r="GD320" s="208"/>
      <c r="GE320" s="208"/>
      <c r="GF320" s="208"/>
    </row>
    <row r="321" spans="1:188" s="209" customFormat="1" ht="15" x14ac:dyDescent="0.25">
      <c r="A321" s="195" t="s">
        <v>5101</v>
      </c>
      <c r="B321" s="195" t="s">
        <v>662</v>
      </c>
      <c r="C321" s="196" t="s">
        <v>2469</v>
      </c>
      <c r="D321" s="154" t="s">
        <v>28</v>
      </c>
      <c r="E321" s="154">
        <v>7320</v>
      </c>
      <c r="F321" s="154">
        <v>0.2</v>
      </c>
      <c r="G321" s="197"/>
      <c r="H321" s="198"/>
      <c r="I321" s="151">
        <v>39.549999999999997</v>
      </c>
      <c r="J321" s="152">
        <f t="shared" si="51"/>
        <v>57901.2</v>
      </c>
      <c r="K321" s="198">
        <f>BDI!$E$17</f>
        <v>0.11260000000000001</v>
      </c>
      <c r="L321" s="198"/>
      <c r="M321" s="198"/>
      <c r="N321" s="153">
        <f t="shared" si="52"/>
        <v>44</v>
      </c>
      <c r="O321" s="152">
        <f t="shared" si="53"/>
        <v>64416</v>
      </c>
      <c r="P321" s="225"/>
      <c r="Q321" s="208"/>
      <c r="R321" s="208"/>
      <c r="S321"/>
      <c r="T321" s="208"/>
      <c r="U321" s="208"/>
      <c r="V321" s="208"/>
      <c r="W321" s="208"/>
      <c r="X321" s="208"/>
      <c r="Y321" s="208"/>
      <c r="Z321" s="208"/>
      <c r="AA321" s="208"/>
      <c r="AB321" s="208"/>
      <c r="AC321" s="208"/>
      <c r="AD321" s="208"/>
      <c r="AE321" s="208"/>
      <c r="AF321" s="208"/>
      <c r="AG321" s="208"/>
      <c r="AH321" s="208"/>
      <c r="AI321" s="208"/>
      <c r="AJ321" s="208"/>
      <c r="AK321" s="208"/>
      <c r="AL321" s="208"/>
      <c r="AM321" s="208"/>
      <c r="AN321" s="208"/>
      <c r="AO321" s="208"/>
      <c r="AP321" s="208"/>
      <c r="AQ321" s="208"/>
      <c r="AR321" s="208"/>
      <c r="AS321" s="208"/>
      <c r="AT321" s="208"/>
      <c r="AU321" s="208"/>
      <c r="AV321" s="208"/>
      <c r="AW321" s="208"/>
      <c r="AX321" s="208"/>
      <c r="AY321" s="208"/>
      <c r="AZ321" s="208"/>
      <c r="BA321" s="208"/>
      <c r="BB321" s="208"/>
      <c r="BC321" s="208"/>
      <c r="BD321" s="208"/>
      <c r="BE321" s="208"/>
      <c r="BF321" s="208"/>
      <c r="BG321" s="208"/>
      <c r="BH321" s="208"/>
      <c r="BI321" s="208"/>
      <c r="BJ321" s="208"/>
      <c r="BK321" s="208"/>
      <c r="BL321" s="208"/>
      <c r="BM321" s="208"/>
      <c r="BN321" s="208"/>
      <c r="BO321" s="208"/>
      <c r="BP321" s="208"/>
      <c r="BQ321" s="208"/>
      <c r="BR321" s="208"/>
      <c r="BS321" s="208"/>
      <c r="BT321" s="208"/>
      <c r="BU321" s="208"/>
      <c r="BV321" s="208"/>
      <c r="BW321" s="208"/>
      <c r="BX321" s="208"/>
      <c r="BY321" s="208"/>
      <c r="BZ321" s="208"/>
      <c r="CA321" s="208"/>
      <c r="CB321" s="208"/>
      <c r="CC321" s="208"/>
      <c r="CD321" s="208"/>
      <c r="CE321" s="208"/>
      <c r="CF321" s="208"/>
      <c r="CG321" s="208"/>
      <c r="CH321" s="208"/>
      <c r="CI321" s="208"/>
      <c r="CJ321" s="208"/>
      <c r="CK321" s="208"/>
      <c r="CL321" s="208"/>
      <c r="CM321" s="208"/>
      <c r="CN321" s="208"/>
      <c r="CO321" s="208"/>
      <c r="CP321" s="208"/>
      <c r="CQ321" s="208"/>
      <c r="CR321" s="208"/>
      <c r="CS321" s="208"/>
      <c r="CT321" s="208"/>
      <c r="CU321" s="208"/>
      <c r="CV321" s="208"/>
      <c r="CW321" s="208"/>
      <c r="CX321" s="208"/>
      <c r="CY321" s="208"/>
      <c r="CZ321" s="208"/>
      <c r="DA321" s="208"/>
      <c r="DB321" s="208"/>
      <c r="DC321" s="208"/>
      <c r="DD321" s="208"/>
      <c r="DE321" s="208"/>
      <c r="DF321" s="208"/>
      <c r="DG321" s="208"/>
      <c r="DH321" s="208"/>
      <c r="DI321" s="208"/>
      <c r="DJ321" s="208"/>
      <c r="DK321" s="208"/>
      <c r="DL321" s="208"/>
      <c r="DM321" s="208"/>
      <c r="DN321" s="208"/>
      <c r="DO321" s="208"/>
      <c r="DP321" s="208"/>
      <c r="DQ321" s="208"/>
      <c r="DR321" s="208"/>
      <c r="DS321" s="208"/>
      <c r="DT321" s="208"/>
      <c r="DU321" s="208"/>
      <c r="DV321" s="208"/>
      <c r="DW321" s="208"/>
      <c r="DX321" s="208"/>
      <c r="DY321" s="208"/>
      <c r="DZ321" s="208"/>
      <c r="EA321" s="208"/>
      <c r="EB321" s="208"/>
      <c r="EC321" s="208"/>
      <c r="ED321" s="208"/>
      <c r="EE321" s="208"/>
      <c r="EF321" s="208"/>
      <c r="EG321" s="208"/>
      <c r="EH321" s="208"/>
      <c r="EI321" s="208"/>
      <c r="EJ321" s="208"/>
      <c r="EK321" s="208"/>
      <c r="EL321" s="208"/>
      <c r="EM321" s="208"/>
      <c r="EN321" s="208"/>
      <c r="EO321" s="208"/>
      <c r="EP321" s="208"/>
      <c r="EQ321" s="208"/>
      <c r="ER321" s="208"/>
      <c r="ES321" s="208"/>
      <c r="ET321" s="208"/>
      <c r="EU321" s="208"/>
      <c r="EV321" s="208"/>
      <c r="EW321" s="208"/>
      <c r="EX321" s="208"/>
      <c r="EY321" s="208"/>
      <c r="EZ321" s="208"/>
      <c r="FA321" s="208"/>
      <c r="FB321" s="208"/>
      <c r="FC321" s="208"/>
      <c r="FD321" s="208"/>
      <c r="FE321" s="208"/>
      <c r="FF321" s="208"/>
      <c r="FG321" s="208"/>
      <c r="FH321" s="208"/>
      <c r="FI321" s="208"/>
      <c r="FJ321" s="208"/>
      <c r="FK321" s="208"/>
      <c r="FL321" s="208"/>
      <c r="FM321" s="208"/>
      <c r="FN321" s="208"/>
      <c r="FO321" s="208"/>
      <c r="FP321" s="208"/>
      <c r="FQ321" s="208"/>
      <c r="FR321" s="208"/>
      <c r="FS321" s="208"/>
      <c r="FT321" s="208"/>
      <c r="FU321" s="208"/>
      <c r="FV321" s="208"/>
      <c r="FW321" s="208"/>
      <c r="FX321" s="208"/>
      <c r="FY321" s="208"/>
      <c r="FZ321" s="208"/>
      <c r="GA321" s="208"/>
      <c r="GB321" s="208"/>
      <c r="GC321" s="208"/>
      <c r="GD321" s="208"/>
      <c r="GE321" s="208"/>
      <c r="GF321" s="208"/>
    </row>
    <row r="322" spans="1:188" s="209" customFormat="1" ht="15" x14ac:dyDescent="0.25">
      <c r="A322" s="195" t="s">
        <v>5102</v>
      </c>
      <c r="B322" s="195" t="s">
        <v>610</v>
      </c>
      <c r="C322" s="196" t="s">
        <v>2416</v>
      </c>
      <c r="D322" s="154" t="s">
        <v>2417</v>
      </c>
      <c r="E322" s="154">
        <v>30</v>
      </c>
      <c r="F322" s="154">
        <v>0.2</v>
      </c>
      <c r="G322" s="197"/>
      <c r="H322" s="198"/>
      <c r="I322" s="151">
        <v>26.6</v>
      </c>
      <c r="J322" s="152">
        <f t="shared" si="51"/>
        <v>159.6</v>
      </c>
      <c r="K322" s="198">
        <f>BDI!$E$17</f>
        <v>0.11260000000000001</v>
      </c>
      <c r="L322" s="198"/>
      <c r="M322" s="198"/>
      <c r="N322" s="153">
        <f t="shared" si="52"/>
        <v>29.6</v>
      </c>
      <c r="O322" s="152">
        <f t="shared" si="53"/>
        <v>177.6</v>
      </c>
      <c r="P322" s="225"/>
      <c r="Q322" s="208"/>
      <c r="R322" s="208"/>
      <c r="S322"/>
      <c r="T322" s="208"/>
      <c r="U322" s="208"/>
      <c r="V322" s="208"/>
      <c r="W322" s="208"/>
      <c r="X322" s="208"/>
      <c r="Y322" s="208"/>
      <c r="Z322" s="208"/>
      <c r="AA322" s="208"/>
      <c r="AB322" s="208"/>
      <c r="AC322" s="208"/>
      <c r="AD322" s="208"/>
      <c r="AE322" s="208"/>
      <c r="AF322" s="208"/>
      <c r="AG322" s="208"/>
      <c r="AH322" s="208"/>
      <c r="AI322" s="208"/>
      <c r="AJ322" s="208"/>
      <c r="AK322" s="208"/>
      <c r="AL322" s="208"/>
      <c r="AM322" s="208"/>
      <c r="AN322" s="208"/>
      <c r="AO322" s="208"/>
      <c r="AP322" s="208"/>
      <c r="AQ322" s="208"/>
      <c r="AR322" s="208"/>
      <c r="AS322" s="208"/>
      <c r="AT322" s="208"/>
      <c r="AU322" s="208"/>
      <c r="AV322" s="208"/>
      <c r="AW322" s="208"/>
      <c r="AX322" s="208"/>
      <c r="AY322" s="208"/>
      <c r="AZ322" s="208"/>
      <c r="BA322" s="208"/>
      <c r="BB322" s="208"/>
      <c r="BC322" s="208"/>
      <c r="BD322" s="208"/>
      <c r="BE322" s="208"/>
      <c r="BF322" s="208"/>
      <c r="BG322" s="208"/>
      <c r="BH322" s="208"/>
      <c r="BI322" s="208"/>
      <c r="BJ322" s="208"/>
      <c r="BK322" s="208"/>
      <c r="BL322" s="208"/>
      <c r="BM322" s="208"/>
      <c r="BN322" s="208"/>
      <c r="BO322" s="208"/>
      <c r="BP322" s="208"/>
      <c r="BQ322" s="208"/>
      <c r="BR322" s="208"/>
      <c r="BS322" s="208"/>
      <c r="BT322" s="208"/>
      <c r="BU322" s="208"/>
      <c r="BV322" s="208"/>
      <c r="BW322" s="208"/>
      <c r="BX322" s="208"/>
      <c r="BY322" s="208"/>
      <c r="BZ322" s="208"/>
      <c r="CA322" s="208"/>
      <c r="CB322" s="208"/>
      <c r="CC322" s="208"/>
      <c r="CD322" s="208"/>
      <c r="CE322" s="208"/>
      <c r="CF322" s="208"/>
      <c r="CG322" s="208"/>
      <c r="CH322" s="208"/>
      <c r="CI322" s="208"/>
      <c r="CJ322" s="208"/>
      <c r="CK322" s="208"/>
      <c r="CL322" s="208"/>
      <c r="CM322" s="208"/>
      <c r="CN322" s="208"/>
      <c r="CO322" s="208"/>
      <c r="CP322" s="208"/>
      <c r="CQ322" s="208"/>
      <c r="CR322" s="208"/>
      <c r="CS322" s="208"/>
      <c r="CT322" s="208"/>
      <c r="CU322" s="208"/>
      <c r="CV322" s="208"/>
      <c r="CW322" s="208"/>
      <c r="CX322" s="208"/>
      <c r="CY322" s="208"/>
      <c r="CZ322" s="208"/>
      <c r="DA322" s="208"/>
      <c r="DB322" s="208"/>
      <c r="DC322" s="208"/>
      <c r="DD322" s="208"/>
      <c r="DE322" s="208"/>
      <c r="DF322" s="208"/>
      <c r="DG322" s="208"/>
      <c r="DH322" s="208"/>
      <c r="DI322" s="208"/>
      <c r="DJ322" s="208"/>
      <c r="DK322" s="208"/>
      <c r="DL322" s="208"/>
      <c r="DM322" s="208"/>
      <c r="DN322" s="208"/>
      <c r="DO322" s="208"/>
      <c r="DP322" s="208"/>
      <c r="DQ322" s="208"/>
      <c r="DR322" s="208"/>
      <c r="DS322" s="208"/>
      <c r="DT322" s="208"/>
      <c r="DU322" s="208"/>
      <c r="DV322" s="208"/>
      <c r="DW322" s="208"/>
      <c r="DX322" s="208"/>
      <c r="DY322" s="208"/>
      <c r="DZ322" s="208"/>
      <c r="EA322" s="208"/>
      <c r="EB322" s="208"/>
      <c r="EC322" s="208"/>
      <c r="ED322" s="208"/>
      <c r="EE322" s="208"/>
      <c r="EF322" s="208"/>
      <c r="EG322" s="208"/>
      <c r="EH322" s="208"/>
      <c r="EI322" s="208"/>
      <c r="EJ322" s="208"/>
      <c r="EK322" s="208"/>
      <c r="EL322" s="208"/>
      <c r="EM322" s="208"/>
      <c r="EN322" s="208"/>
      <c r="EO322" s="208"/>
      <c r="EP322" s="208"/>
      <c r="EQ322" s="208"/>
      <c r="ER322" s="208"/>
      <c r="ES322" s="208"/>
      <c r="ET322" s="208"/>
      <c r="EU322" s="208"/>
      <c r="EV322" s="208"/>
      <c r="EW322" s="208"/>
      <c r="EX322" s="208"/>
      <c r="EY322" s="208"/>
      <c r="EZ322" s="208"/>
      <c r="FA322" s="208"/>
      <c r="FB322" s="208"/>
      <c r="FC322" s="208"/>
      <c r="FD322" s="208"/>
      <c r="FE322" s="208"/>
      <c r="FF322" s="208"/>
      <c r="FG322" s="208"/>
      <c r="FH322" s="208"/>
      <c r="FI322" s="208"/>
      <c r="FJ322" s="208"/>
      <c r="FK322" s="208"/>
      <c r="FL322" s="208"/>
      <c r="FM322" s="208"/>
      <c r="FN322" s="208"/>
      <c r="FO322" s="208"/>
      <c r="FP322" s="208"/>
      <c r="FQ322" s="208"/>
      <c r="FR322" s="208"/>
      <c r="FS322" s="208"/>
      <c r="FT322" s="208"/>
      <c r="FU322" s="208"/>
      <c r="FV322" s="208"/>
      <c r="FW322" s="208"/>
      <c r="FX322" s="208"/>
      <c r="FY322" s="208"/>
      <c r="FZ322" s="208"/>
      <c r="GA322" s="208"/>
      <c r="GB322" s="208"/>
      <c r="GC322" s="208"/>
      <c r="GD322" s="208"/>
      <c r="GE322" s="208"/>
      <c r="GF322" s="208"/>
    </row>
    <row r="323" spans="1:188" s="209" customFormat="1" ht="15" x14ac:dyDescent="0.25">
      <c r="A323" s="195" t="s">
        <v>5103</v>
      </c>
      <c r="B323" s="195" t="s">
        <v>1983</v>
      </c>
      <c r="C323" s="196" t="s">
        <v>3694</v>
      </c>
      <c r="D323" s="154" t="s">
        <v>1748</v>
      </c>
      <c r="E323" s="154">
        <v>10000</v>
      </c>
      <c r="F323" s="154">
        <v>0.2</v>
      </c>
      <c r="G323" s="197"/>
      <c r="H323" s="198"/>
      <c r="I323" s="151">
        <v>119.55</v>
      </c>
      <c r="J323" s="152">
        <f t="shared" si="51"/>
        <v>239100</v>
      </c>
      <c r="K323" s="198">
        <f>BDI!$E$17</f>
        <v>0.11260000000000001</v>
      </c>
      <c r="L323" s="198"/>
      <c r="M323" s="198"/>
      <c r="N323" s="153">
        <f t="shared" si="52"/>
        <v>133.01</v>
      </c>
      <c r="O323" s="152">
        <f t="shared" si="53"/>
        <v>266020</v>
      </c>
      <c r="P323" s="225"/>
      <c r="Q323" s="208"/>
      <c r="R323" s="208"/>
      <c r="S323"/>
      <c r="T323" s="208"/>
      <c r="U323" s="208"/>
      <c r="V323" s="208"/>
      <c r="W323" s="208"/>
      <c r="X323" s="208"/>
      <c r="Y323" s="208"/>
      <c r="Z323" s="208"/>
      <c r="AA323" s="208"/>
      <c r="AB323" s="208"/>
      <c r="AC323" s="208"/>
      <c r="AD323" s="208"/>
      <c r="AE323" s="208"/>
      <c r="AF323" s="208"/>
      <c r="AG323" s="208"/>
      <c r="AH323" s="208"/>
      <c r="AI323" s="208"/>
      <c r="AJ323" s="208"/>
      <c r="AK323" s="208"/>
      <c r="AL323" s="208"/>
      <c r="AM323" s="208"/>
      <c r="AN323" s="208"/>
      <c r="AO323" s="208"/>
      <c r="AP323" s="208"/>
      <c r="AQ323" s="208"/>
      <c r="AR323" s="208"/>
      <c r="AS323" s="208"/>
      <c r="AT323" s="208"/>
      <c r="AU323" s="208"/>
      <c r="AV323" s="208"/>
      <c r="AW323" s="208"/>
      <c r="AX323" s="208"/>
      <c r="AY323" s="208"/>
      <c r="AZ323" s="208"/>
      <c r="BA323" s="208"/>
      <c r="BB323" s="208"/>
      <c r="BC323" s="208"/>
      <c r="BD323" s="208"/>
      <c r="BE323" s="208"/>
      <c r="BF323" s="208"/>
      <c r="BG323" s="208"/>
      <c r="BH323" s="208"/>
      <c r="BI323" s="208"/>
      <c r="BJ323" s="208"/>
      <c r="BK323" s="208"/>
      <c r="BL323" s="208"/>
      <c r="BM323" s="208"/>
      <c r="BN323" s="208"/>
      <c r="BO323" s="208"/>
      <c r="BP323" s="208"/>
      <c r="BQ323" s="208"/>
      <c r="BR323" s="208"/>
      <c r="BS323" s="208"/>
      <c r="BT323" s="208"/>
      <c r="BU323" s="208"/>
      <c r="BV323" s="208"/>
      <c r="BW323" s="208"/>
      <c r="BX323" s="208"/>
      <c r="BY323" s="208"/>
      <c r="BZ323" s="208"/>
      <c r="CA323" s="208"/>
      <c r="CB323" s="208"/>
      <c r="CC323" s="208"/>
      <c r="CD323" s="208"/>
      <c r="CE323" s="208"/>
      <c r="CF323" s="208"/>
      <c r="CG323" s="208"/>
      <c r="CH323" s="208"/>
      <c r="CI323" s="208"/>
      <c r="CJ323" s="208"/>
      <c r="CK323" s="208"/>
      <c r="CL323" s="208"/>
      <c r="CM323" s="208"/>
      <c r="CN323" s="208"/>
      <c r="CO323" s="208"/>
      <c r="CP323" s="208"/>
      <c r="CQ323" s="208"/>
      <c r="CR323" s="208"/>
      <c r="CS323" s="208"/>
      <c r="CT323" s="208"/>
      <c r="CU323" s="208"/>
      <c r="CV323" s="208"/>
      <c r="CW323" s="208"/>
      <c r="CX323" s="208"/>
      <c r="CY323" s="208"/>
      <c r="CZ323" s="208"/>
      <c r="DA323" s="208"/>
      <c r="DB323" s="208"/>
      <c r="DC323" s="208"/>
      <c r="DD323" s="208"/>
      <c r="DE323" s="208"/>
      <c r="DF323" s="208"/>
      <c r="DG323" s="208"/>
      <c r="DH323" s="208"/>
      <c r="DI323" s="208"/>
      <c r="DJ323" s="208"/>
      <c r="DK323" s="208"/>
      <c r="DL323" s="208"/>
      <c r="DM323" s="208"/>
      <c r="DN323" s="208"/>
      <c r="DO323" s="208"/>
      <c r="DP323" s="208"/>
      <c r="DQ323" s="208"/>
      <c r="DR323" s="208"/>
      <c r="DS323" s="208"/>
      <c r="DT323" s="208"/>
      <c r="DU323" s="208"/>
      <c r="DV323" s="208"/>
      <c r="DW323" s="208"/>
      <c r="DX323" s="208"/>
      <c r="DY323" s="208"/>
      <c r="DZ323" s="208"/>
      <c r="EA323" s="208"/>
      <c r="EB323" s="208"/>
      <c r="EC323" s="208"/>
      <c r="ED323" s="208"/>
      <c r="EE323" s="208"/>
      <c r="EF323" s="208"/>
      <c r="EG323" s="208"/>
      <c r="EH323" s="208"/>
      <c r="EI323" s="208"/>
      <c r="EJ323" s="208"/>
      <c r="EK323" s="208"/>
      <c r="EL323" s="208"/>
      <c r="EM323" s="208"/>
      <c r="EN323" s="208"/>
      <c r="EO323" s="208"/>
      <c r="EP323" s="208"/>
      <c r="EQ323" s="208"/>
      <c r="ER323" s="208"/>
      <c r="ES323" s="208"/>
      <c r="ET323" s="208"/>
      <c r="EU323" s="208"/>
      <c r="EV323" s="208"/>
      <c r="EW323" s="208"/>
      <c r="EX323" s="208"/>
      <c r="EY323" s="208"/>
      <c r="EZ323" s="208"/>
      <c r="FA323" s="208"/>
      <c r="FB323" s="208"/>
      <c r="FC323" s="208"/>
      <c r="FD323" s="208"/>
      <c r="FE323" s="208"/>
      <c r="FF323" s="208"/>
      <c r="FG323" s="208"/>
      <c r="FH323" s="208"/>
      <c r="FI323" s="208"/>
      <c r="FJ323" s="208"/>
      <c r="FK323" s="208"/>
      <c r="FL323" s="208"/>
      <c r="FM323" s="208"/>
      <c r="FN323" s="208"/>
      <c r="FO323" s="208"/>
      <c r="FP323" s="208"/>
      <c r="FQ323" s="208"/>
      <c r="FR323" s="208"/>
      <c r="FS323" s="208"/>
      <c r="FT323" s="208"/>
      <c r="FU323" s="208"/>
      <c r="FV323" s="208"/>
      <c r="FW323" s="208"/>
      <c r="FX323" s="208"/>
      <c r="FY323" s="208"/>
      <c r="FZ323" s="208"/>
      <c r="GA323" s="208"/>
      <c r="GB323" s="208"/>
      <c r="GC323" s="208"/>
      <c r="GD323" s="208"/>
      <c r="GE323" s="208"/>
      <c r="GF323" s="208"/>
    </row>
    <row r="324" spans="1:188" s="209" customFormat="1" ht="15" x14ac:dyDescent="0.25">
      <c r="A324" s="195" t="s">
        <v>5104</v>
      </c>
      <c r="B324" s="195" t="s">
        <v>645</v>
      </c>
      <c r="C324" s="196" t="s">
        <v>2455</v>
      </c>
      <c r="D324" s="154" t="s">
        <v>1748</v>
      </c>
      <c r="E324" s="154">
        <v>2520</v>
      </c>
      <c r="F324" s="154">
        <v>0.2</v>
      </c>
      <c r="G324" s="197"/>
      <c r="H324" s="198"/>
      <c r="I324" s="151">
        <v>246.71</v>
      </c>
      <c r="J324" s="152">
        <f t="shared" si="51"/>
        <v>124341.84</v>
      </c>
      <c r="K324" s="198">
        <f>BDI!$E$17</f>
        <v>0.11260000000000001</v>
      </c>
      <c r="L324" s="198"/>
      <c r="M324" s="198"/>
      <c r="N324" s="153">
        <f t="shared" si="52"/>
        <v>274.49</v>
      </c>
      <c r="O324" s="152">
        <f t="shared" si="53"/>
        <v>138342.96</v>
      </c>
      <c r="P324" s="225"/>
      <c r="Q324" s="208"/>
      <c r="R324" s="208"/>
      <c r="S324"/>
      <c r="T324" s="208"/>
      <c r="U324" s="208"/>
      <c r="V324" s="208"/>
      <c r="W324" s="208"/>
      <c r="X324" s="208"/>
      <c r="Y324" s="208"/>
      <c r="Z324" s="208"/>
      <c r="AA324" s="208"/>
      <c r="AB324" s="208"/>
      <c r="AC324" s="208"/>
      <c r="AD324" s="208"/>
      <c r="AE324" s="208"/>
      <c r="AF324" s="208"/>
      <c r="AG324" s="208"/>
      <c r="AH324" s="208"/>
      <c r="AI324" s="208"/>
      <c r="AJ324" s="208"/>
      <c r="AK324" s="208"/>
      <c r="AL324" s="208"/>
      <c r="AM324" s="208"/>
      <c r="AN324" s="208"/>
      <c r="AO324" s="208"/>
      <c r="AP324" s="208"/>
      <c r="AQ324" s="208"/>
      <c r="AR324" s="208"/>
      <c r="AS324" s="208"/>
      <c r="AT324" s="208"/>
      <c r="AU324" s="208"/>
      <c r="AV324" s="208"/>
      <c r="AW324" s="208"/>
      <c r="AX324" s="208"/>
      <c r="AY324" s="208"/>
      <c r="AZ324" s="208"/>
      <c r="BA324" s="208"/>
      <c r="BB324" s="208"/>
      <c r="BC324" s="208"/>
      <c r="BD324" s="208"/>
      <c r="BE324" s="208"/>
      <c r="BF324" s="208"/>
      <c r="BG324" s="208"/>
      <c r="BH324" s="208"/>
      <c r="BI324" s="208"/>
      <c r="BJ324" s="208"/>
      <c r="BK324" s="208"/>
      <c r="BL324" s="208"/>
      <c r="BM324" s="208"/>
      <c r="BN324" s="208"/>
      <c r="BO324" s="208"/>
      <c r="BP324" s="208"/>
      <c r="BQ324" s="208"/>
      <c r="BR324" s="208"/>
      <c r="BS324" s="208"/>
      <c r="BT324" s="208"/>
      <c r="BU324" s="208"/>
      <c r="BV324" s="208"/>
      <c r="BW324" s="208"/>
      <c r="BX324" s="208"/>
      <c r="BY324" s="208"/>
      <c r="BZ324" s="208"/>
      <c r="CA324" s="208"/>
      <c r="CB324" s="208"/>
      <c r="CC324" s="208"/>
      <c r="CD324" s="208"/>
      <c r="CE324" s="208"/>
      <c r="CF324" s="208"/>
      <c r="CG324" s="208"/>
      <c r="CH324" s="208"/>
      <c r="CI324" s="208"/>
      <c r="CJ324" s="208"/>
      <c r="CK324" s="208"/>
      <c r="CL324" s="208"/>
      <c r="CM324" s="208"/>
      <c r="CN324" s="208"/>
      <c r="CO324" s="208"/>
      <c r="CP324" s="208"/>
      <c r="CQ324" s="208"/>
      <c r="CR324" s="208"/>
      <c r="CS324" s="208"/>
      <c r="CT324" s="208"/>
      <c r="CU324" s="208"/>
      <c r="CV324" s="208"/>
      <c r="CW324" s="208"/>
      <c r="CX324" s="208"/>
      <c r="CY324" s="208"/>
      <c r="CZ324" s="208"/>
      <c r="DA324" s="208"/>
      <c r="DB324" s="208"/>
      <c r="DC324" s="208"/>
      <c r="DD324" s="208"/>
      <c r="DE324" s="208"/>
      <c r="DF324" s="208"/>
      <c r="DG324" s="208"/>
      <c r="DH324" s="208"/>
      <c r="DI324" s="208"/>
      <c r="DJ324" s="208"/>
      <c r="DK324" s="208"/>
      <c r="DL324" s="208"/>
      <c r="DM324" s="208"/>
      <c r="DN324" s="208"/>
      <c r="DO324" s="208"/>
      <c r="DP324" s="208"/>
      <c r="DQ324" s="208"/>
      <c r="DR324" s="208"/>
      <c r="DS324" s="208"/>
      <c r="DT324" s="208"/>
      <c r="DU324" s="208"/>
      <c r="DV324" s="208"/>
      <c r="DW324" s="208"/>
      <c r="DX324" s="208"/>
      <c r="DY324" s="208"/>
      <c r="DZ324" s="208"/>
      <c r="EA324" s="208"/>
      <c r="EB324" s="208"/>
      <c r="EC324" s="208"/>
      <c r="ED324" s="208"/>
      <c r="EE324" s="208"/>
      <c r="EF324" s="208"/>
      <c r="EG324" s="208"/>
      <c r="EH324" s="208"/>
      <c r="EI324" s="208"/>
      <c r="EJ324" s="208"/>
      <c r="EK324" s="208"/>
      <c r="EL324" s="208"/>
      <c r="EM324" s="208"/>
      <c r="EN324" s="208"/>
      <c r="EO324" s="208"/>
      <c r="EP324" s="208"/>
      <c r="EQ324" s="208"/>
      <c r="ER324" s="208"/>
      <c r="ES324" s="208"/>
      <c r="ET324" s="208"/>
      <c r="EU324" s="208"/>
      <c r="EV324" s="208"/>
      <c r="EW324" s="208"/>
      <c r="EX324" s="208"/>
      <c r="EY324" s="208"/>
      <c r="EZ324" s="208"/>
      <c r="FA324" s="208"/>
      <c r="FB324" s="208"/>
      <c r="FC324" s="208"/>
      <c r="FD324" s="208"/>
      <c r="FE324" s="208"/>
      <c r="FF324" s="208"/>
      <c r="FG324" s="208"/>
      <c r="FH324" s="208"/>
      <c r="FI324" s="208"/>
      <c r="FJ324" s="208"/>
      <c r="FK324" s="208"/>
      <c r="FL324" s="208"/>
      <c r="FM324" s="208"/>
      <c r="FN324" s="208"/>
      <c r="FO324" s="208"/>
      <c r="FP324" s="208"/>
      <c r="FQ324" s="208"/>
      <c r="FR324" s="208"/>
      <c r="FS324" s="208"/>
      <c r="FT324" s="208"/>
      <c r="FU324" s="208"/>
      <c r="FV324" s="208"/>
      <c r="FW324" s="208"/>
      <c r="FX324" s="208"/>
      <c r="FY324" s="208"/>
      <c r="FZ324" s="208"/>
      <c r="GA324" s="208"/>
      <c r="GB324" s="208"/>
      <c r="GC324" s="208"/>
      <c r="GD324" s="208"/>
      <c r="GE324" s="208"/>
      <c r="GF324" s="208"/>
    </row>
    <row r="325" spans="1:188" s="209" customFormat="1" ht="15" x14ac:dyDescent="0.25">
      <c r="A325" s="195" t="s">
        <v>5105</v>
      </c>
      <c r="B325" s="195" t="s">
        <v>647</v>
      </c>
      <c r="C325" s="196" t="s">
        <v>2456</v>
      </c>
      <c r="D325" s="154" t="s">
        <v>1748</v>
      </c>
      <c r="E325" s="154">
        <v>710</v>
      </c>
      <c r="F325" s="154">
        <v>0.2</v>
      </c>
      <c r="G325" s="197"/>
      <c r="H325" s="198"/>
      <c r="I325" s="151">
        <v>238.85925524999999</v>
      </c>
      <c r="J325" s="152">
        <f t="shared" si="51"/>
        <v>33918.01</v>
      </c>
      <c r="K325" s="198">
        <f>BDI!$E$17</f>
        <v>0.11260000000000001</v>
      </c>
      <c r="L325" s="198"/>
      <c r="M325" s="198"/>
      <c r="N325" s="153">
        <f t="shared" si="52"/>
        <v>265.75</v>
      </c>
      <c r="O325" s="152">
        <f t="shared" si="53"/>
        <v>37736.5</v>
      </c>
      <c r="P325" s="225"/>
      <c r="Q325" s="208"/>
      <c r="R325" s="208"/>
      <c r="S325"/>
      <c r="T325" s="208"/>
      <c r="U325" s="208"/>
      <c r="V325" s="208"/>
      <c r="W325" s="208"/>
      <c r="X325" s="208"/>
      <c r="Y325" s="208"/>
      <c r="Z325" s="208"/>
      <c r="AA325" s="208"/>
      <c r="AB325" s="208"/>
      <c r="AC325" s="208"/>
      <c r="AD325" s="208"/>
      <c r="AE325" s="208"/>
      <c r="AF325" s="208"/>
      <c r="AG325" s="208"/>
      <c r="AH325" s="208"/>
      <c r="AI325" s="208"/>
      <c r="AJ325" s="208"/>
      <c r="AK325" s="208"/>
      <c r="AL325" s="208"/>
      <c r="AM325" s="208"/>
      <c r="AN325" s="208"/>
      <c r="AO325" s="208"/>
      <c r="AP325" s="208"/>
      <c r="AQ325" s="208"/>
      <c r="AR325" s="208"/>
      <c r="AS325" s="208"/>
      <c r="AT325" s="208"/>
      <c r="AU325" s="208"/>
      <c r="AV325" s="208"/>
      <c r="AW325" s="208"/>
      <c r="AX325" s="208"/>
      <c r="AY325" s="208"/>
      <c r="AZ325" s="208"/>
      <c r="BA325" s="208"/>
      <c r="BB325" s="208"/>
      <c r="BC325" s="208"/>
      <c r="BD325" s="208"/>
      <c r="BE325" s="208"/>
      <c r="BF325" s="208"/>
      <c r="BG325" s="208"/>
      <c r="BH325" s="208"/>
      <c r="BI325" s="208"/>
      <c r="BJ325" s="208"/>
      <c r="BK325" s="208"/>
      <c r="BL325" s="208"/>
      <c r="BM325" s="208"/>
      <c r="BN325" s="208"/>
      <c r="BO325" s="208"/>
      <c r="BP325" s="208"/>
      <c r="BQ325" s="208"/>
      <c r="BR325" s="208"/>
      <c r="BS325" s="208"/>
      <c r="BT325" s="208"/>
      <c r="BU325" s="208"/>
      <c r="BV325" s="208"/>
      <c r="BW325" s="208"/>
      <c r="BX325" s="208"/>
      <c r="BY325" s="208"/>
      <c r="BZ325" s="208"/>
      <c r="CA325" s="208"/>
      <c r="CB325" s="208"/>
      <c r="CC325" s="208"/>
      <c r="CD325" s="208"/>
      <c r="CE325" s="208"/>
      <c r="CF325" s="208"/>
      <c r="CG325" s="208"/>
      <c r="CH325" s="208"/>
      <c r="CI325" s="208"/>
      <c r="CJ325" s="208"/>
      <c r="CK325" s="208"/>
      <c r="CL325" s="208"/>
      <c r="CM325" s="208"/>
      <c r="CN325" s="208"/>
      <c r="CO325" s="208"/>
      <c r="CP325" s="208"/>
      <c r="CQ325" s="208"/>
      <c r="CR325" s="208"/>
      <c r="CS325" s="208"/>
      <c r="CT325" s="208"/>
      <c r="CU325" s="208"/>
      <c r="CV325" s="208"/>
      <c r="CW325" s="208"/>
      <c r="CX325" s="208"/>
      <c r="CY325" s="208"/>
      <c r="CZ325" s="208"/>
      <c r="DA325" s="208"/>
      <c r="DB325" s="208"/>
      <c r="DC325" s="208"/>
      <c r="DD325" s="208"/>
      <c r="DE325" s="208"/>
      <c r="DF325" s="208"/>
      <c r="DG325" s="208"/>
      <c r="DH325" s="208"/>
      <c r="DI325" s="208"/>
      <c r="DJ325" s="208"/>
      <c r="DK325" s="208"/>
      <c r="DL325" s="208"/>
      <c r="DM325" s="208"/>
      <c r="DN325" s="208"/>
      <c r="DO325" s="208"/>
      <c r="DP325" s="208"/>
      <c r="DQ325" s="208"/>
      <c r="DR325" s="208"/>
      <c r="DS325" s="208"/>
      <c r="DT325" s="208"/>
      <c r="DU325" s="208"/>
      <c r="DV325" s="208"/>
      <c r="DW325" s="208"/>
      <c r="DX325" s="208"/>
      <c r="DY325" s="208"/>
      <c r="DZ325" s="208"/>
      <c r="EA325" s="208"/>
      <c r="EB325" s="208"/>
      <c r="EC325" s="208"/>
      <c r="ED325" s="208"/>
      <c r="EE325" s="208"/>
      <c r="EF325" s="208"/>
      <c r="EG325" s="208"/>
      <c r="EH325" s="208"/>
      <c r="EI325" s="208"/>
      <c r="EJ325" s="208"/>
      <c r="EK325" s="208"/>
      <c r="EL325" s="208"/>
      <c r="EM325" s="208"/>
      <c r="EN325" s="208"/>
      <c r="EO325" s="208"/>
      <c r="EP325" s="208"/>
      <c r="EQ325" s="208"/>
      <c r="ER325" s="208"/>
      <c r="ES325" s="208"/>
      <c r="ET325" s="208"/>
      <c r="EU325" s="208"/>
      <c r="EV325" s="208"/>
      <c r="EW325" s="208"/>
      <c r="EX325" s="208"/>
      <c r="EY325" s="208"/>
      <c r="EZ325" s="208"/>
      <c r="FA325" s="208"/>
      <c r="FB325" s="208"/>
      <c r="FC325" s="208"/>
      <c r="FD325" s="208"/>
      <c r="FE325" s="208"/>
      <c r="FF325" s="208"/>
      <c r="FG325" s="208"/>
      <c r="FH325" s="208"/>
      <c r="FI325" s="208"/>
      <c r="FJ325" s="208"/>
      <c r="FK325" s="208"/>
      <c r="FL325" s="208"/>
      <c r="FM325" s="208"/>
      <c r="FN325" s="208"/>
      <c r="FO325" s="208"/>
      <c r="FP325" s="208"/>
      <c r="FQ325" s="208"/>
      <c r="FR325" s="208"/>
      <c r="FS325" s="208"/>
      <c r="FT325" s="208"/>
      <c r="FU325" s="208"/>
      <c r="FV325" s="208"/>
      <c r="FW325" s="208"/>
      <c r="FX325" s="208"/>
      <c r="FY325" s="208"/>
      <c r="FZ325" s="208"/>
      <c r="GA325" s="208"/>
      <c r="GB325" s="208"/>
      <c r="GC325" s="208"/>
      <c r="GD325" s="208"/>
      <c r="GE325" s="208"/>
      <c r="GF325" s="208"/>
    </row>
    <row r="326" spans="1:188" s="209" customFormat="1" ht="15" x14ac:dyDescent="0.25">
      <c r="A326" s="195" t="s">
        <v>5106</v>
      </c>
      <c r="B326" s="195" t="s">
        <v>649</v>
      </c>
      <c r="C326" s="196" t="s">
        <v>2457</v>
      </c>
      <c r="D326" s="154" t="s">
        <v>1748</v>
      </c>
      <c r="E326" s="154">
        <v>110</v>
      </c>
      <c r="F326" s="154">
        <v>0.2</v>
      </c>
      <c r="G326" s="197"/>
      <c r="H326" s="198"/>
      <c r="I326" s="151">
        <v>212.58</v>
      </c>
      <c r="J326" s="152">
        <f t="shared" si="51"/>
        <v>4676.76</v>
      </c>
      <c r="K326" s="198">
        <f>BDI!$E$17</f>
        <v>0.11260000000000001</v>
      </c>
      <c r="L326" s="198"/>
      <c r="M326" s="198"/>
      <c r="N326" s="153">
        <f t="shared" si="52"/>
        <v>236.52</v>
      </c>
      <c r="O326" s="152">
        <f t="shared" si="53"/>
        <v>5203.4399999999996</v>
      </c>
      <c r="P326" s="225"/>
      <c r="Q326" s="208"/>
      <c r="R326" s="208"/>
      <c r="S326"/>
      <c r="T326" s="208"/>
      <c r="U326" s="208"/>
      <c r="V326" s="208"/>
      <c r="W326" s="208"/>
      <c r="X326" s="208"/>
      <c r="Y326" s="208"/>
      <c r="Z326" s="208"/>
      <c r="AA326" s="208"/>
      <c r="AB326" s="208"/>
      <c r="AC326" s="208"/>
      <c r="AD326" s="208"/>
      <c r="AE326" s="208"/>
      <c r="AF326" s="208"/>
      <c r="AG326" s="208"/>
      <c r="AH326" s="208"/>
      <c r="AI326" s="208"/>
      <c r="AJ326" s="208"/>
      <c r="AK326" s="208"/>
      <c r="AL326" s="208"/>
      <c r="AM326" s="208"/>
      <c r="AN326" s="208"/>
      <c r="AO326" s="208"/>
      <c r="AP326" s="208"/>
      <c r="AQ326" s="208"/>
      <c r="AR326" s="208"/>
      <c r="AS326" s="208"/>
      <c r="AT326" s="208"/>
      <c r="AU326" s="208"/>
      <c r="AV326" s="208"/>
      <c r="AW326" s="208"/>
      <c r="AX326" s="208"/>
      <c r="AY326" s="208"/>
      <c r="AZ326" s="208"/>
      <c r="BA326" s="208"/>
      <c r="BB326" s="208"/>
      <c r="BC326" s="208"/>
      <c r="BD326" s="208"/>
      <c r="BE326" s="208"/>
      <c r="BF326" s="208"/>
      <c r="BG326" s="208"/>
      <c r="BH326" s="208"/>
      <c r="BI326" s="208"/>
      <c r="BJ326" s="208"/>
      <c r="BK326" s="208"/>
      <c r="BL326" s="208"/>
      <c r="BM326" s="208"/>
      <c r="BN326" s="208"/>
      <c r="BO326" s="208"/>
      <c r="BP326" s="208"/>
      <c r="BQ326" s="208"/>
      <c r="BR326" s="208"/>
      <c r="BS326" s="208"/>
      <c r="BT326" s="208"/>
      <c r="BU326" s="208"/>
      <c r="BV326" s="208"/>
      <c r="BW326" s="208"/>
      <c r="BX326" s="208"/>
      <c r="BY326" s="208"/>
      <c r="BZ326" s="208"/>
      <c r="CA326" s="208"/>
      <c r="CB326" s="208"/>
      <c r="CC326" s="208"/>
      <c r="CD326" s="208"/>
      <c r="CE326" s="208"/>
      <c r="CF326" s="208"/>
      <c r="CG326" s="208"/>
      <c r="CH326" s="208"/>
      <c r="CI326" s="208"/>
      <c r="CJ326" s="208"/>
      <c r="CK326" s="208"/>
      <c r="CL326" s="208"/>
      <c r="CM326" s="208"/>
      <c r="CN326" s="208"/>
      <c r="CO326" s="208"/>
      <c r="CP326" s="208"/>
      <c r="CQ326" s="208"/>
      <c r="CR326" s="208"/>
      <c r="CS326" s="208"/>
      <c r="CT326" s="208"/>
      <c r="CU326" s="208"/>
      <c r="CV326" s="208"/>
      <c r="CW326" s="208"/>
      <c r="CX326" s="208"/>
      <c r="CY326" s="208"/>
      <c r="CZ326" s="208"/>
      <c r="DA326" s="208"/>
      <c r="DB326" s="208"/>
      <c r="DC326" s="208"/>
      <c r="DD326" s="208"/>
      <c r="DE326" s="208"/>
      <c r="DF326" s="208"/>
      <c r="DG326" s="208"/>
      <c r="DH326" s="208"/>
      <c r="DI326" s="208"/>
      <c r="DJ326" s="208"/>
      <c r="DK326" s="208"/>
      <c r="DL326" s="208"/>
      <c r="DM326" s="208"/>
      <c r="DN326" s="208"/>
      <c r="DO326" s="208"/>
      <c r="DP326" s="208"/>
      <c r="DQ326" s="208"/>
      <c r="DR326" s="208"/>
      <c r="DS326" s="208"/>
      <c r="DT326" s="208"/>
      <c r="DU326" s="208"/>
      <c r="DV326" s="208"/>
      <c r="DW326" s="208"/>
      <c r="DX326" s="208"/>
      <c r="DY326" s="208"/>
      <c r="DZ326" s="208"/>
      <c r="EA326" s="208"/>
      <c r="EB326" s="208"/>
      <c r="EC326" s="208"/>
      <c r="ED326" s="208"/>
      <c r="EE326" s="208"/>
      <c r="EF326" s="208"/>
      <c r="EG326" s="208"/>
      <c r="EH326" s="208"/>
      <c r="EI326" s="208"/>
      <c r="EJ326" s="208"/>
      <c r="EK326" s="208"/>
      <c r="EL326" s="208"/>
      <c r="EM326" s="208"/>
      <c r="EN326" s="208"/>
      <c r="EO326" s="208"/>
      <c r="EP326" s="208"/>
      <c r="EQ326" s="208"/>
      <c r="ER326" s="208"/>
      <c r="ES326" s="208"/>
      <c r="ET326" s="208"/>
      <c r="EU326" s="208"/>
      <c r="EV326" s="208"/>
      <c r="EW326" s="208"/>
      <c r="EX326" s="208"/>
      <c r="EY326" s="208"/>
      <c r="EZ326" s="208"/>
      <c r="FA326" s="208"/>
      <c r="FB326" s="208"/>
      <c r="FC326" s="208"/>
      <c r="FD326" s="208"/>
      <c r="FE326" s="208"/>
      <c r="FF326" s="208"/>
      <c r="FG326" s="208"/>
      <c r="FH326" s="208"/>
      <c r="FI326" s="208"/>
      <c r="FJ326" s="208"/>
      <c r="FK326" s="208"/>
      <c r="FL326" s="208"/>
      <c r="FM326" s="208"/>
      <c r="FN326" s="208"/>
      <c r="FO326" s="208"/>
      <c r="FP326" s="208"/>
      <c r="FQ326" s="208"/>
      <c r="FR326" s="208"/>
      <c r="FS326" s="208"/>
      <c r="FT326" s="208"/>
      <c r="FU326" s="208"/>
      <c r="FV326" s="208"/>
      <c r="FW326" s="208"/>
      <c r="FX326" s="208"/>
      <c r="FY326" s="208"/>
      <c r="FZ326" s="208"/>
      <c r="GA326" s="208"/>
      <c r="GB326" s="208"/>
      <c r="GC326" s="208"/>
      <c r="GD326" s="208"/>
      <c r="GE326" s="208"/>
      <c r="GF326" s="208"/>
    </row>
    <row r="327" spans="1:188" s="209" customFormat="1" ht="15" x14ac:dyDescent="0.25">
      <c r="A327" s="195" t="s">
        <v>5107</v>
      </c>
      <c r="B327" s="195" t="s">
        <v>1134</v>
      </c>
      <c r="C327" s="196" t="s">
        <v>2929</v>
      </c>
      <c r="D327" s="154" t="s">
        <v>1748</v>
      </c>
      <c r="E327" s="154">
        <v>360</v>
      </c>
      <c r="F327" s="154">
        <v>0.2</v>
      </c>
      <c r="G327" s="197"/>
      <c r="H327" s="198"/>
      <c r="I327" s="151">
        <v>230.67318125</v>
      </c>
      <c r="J327" s="152">
        <f t="shared" si="51"/>
        <v>16608.47</v>
      </c>
      <c r="K327" s="198">
        <f>BDI!$E$17</f>
        <v>0.11260000000000001</v>
      </c>
      <c r="L327" s="198"/>
      <c r="M327" s="198"/>
      <c r="N327" s="153">
        <f t="shared" si="52"/>
        <v>256.64999999999998</v>
      </c>
      <c r="O327" s="152">
        <f t="shared" si="53"/>
        <v>18478.8</v>
      </c>
      <c r="P327" s="225"/>
      <c r="Q327" s="208"/>
      <c r="R327" s="208"/>
      <c r="S327"/>
      <c r="T327" s="208"/>
      <c r="U327" s="208"/>
      <c r="V327" s="208"/>
      <c r="W327" s="208"/>
      <c r="X327" s="208"/>
      <c r="Y327" s="208"/>
      <c r="Z327" s="208"/>
      <c r="AA327" s="208"/>
      <c r="AB327" s="208"/>
      <c r="AC327" s="208"/>
      <c r="AD327" s="208"/>
      <c r="AE327" s="208"/>
      <c r="AF327" s="208"/>
      <c r="AG327" s="208"/>
      <c r="AH327" s="208"/>
      <c r="AI327" s="208"/>
      <c r="AJ327" s="208"/>
      <c r="AK327" s="208"/>
      <c r="AL327" s="208"/>
      <c r="AM327" s="208"/>
      <c r="AN327" s="208"/>
      <c r="AO327" s="208"/>
      <c r="AP327" s="208"/>
      <c r="AQ327" s="208"/>
      <c r="AR327" s="208"/>
      <c r="AS327" s="208"/>
      <c r="AT327" s="208"/>
      <c r="AU327" s="208"/>
      <c r="AV327" s="208"/>
      <c r="AW327" s="208"/>
      <c r="AX327" s="208"/>
      <c r="AY327" s="208"/>
      <c r="AZ327" s="208"/>
      <c r="BA327" s="208"/>
      <c r="BB327" s="208"/>
      <c r="BC327" s="208"/>
      <c r="BD327" s="208"/>
      <c r="BE327" s="208"/>
      <c r="BF327" s="208"/>
      <c r="BG327" s="208"/>
      <c r="BH327" s="208"/>
      <c r="BI327" s="208"/>
      <c r="BJ327" s="208"/>
      <c r="BK327" s="208"/>
      <c r="BL327" s="208"/>
      <c r="BM327" s="208"/>
      <c r="BN327" s="208"/>
      <c r="BO327" s="208"/>
      <c r="BP327" s="208"/>
      <c r="BQ327" s="208"/>
      <c r="BR327" s="208"/>
      <c r="BS327" s="208"/>
      <c r="BT327" s="208"/>
      <c r="BU327" s="208"/>
      <c r="BV327" s="208"/>
      <c r="BW327" s="208"/>
      <c r="BX327" s="208"/>
      <c r="BY327" s="208"/>
      <c r="BZ327" s="208"/>
      <c r="CA327" s="208"/>
      <c r="CB327" s="208"/>
      <c r="CC327" s="208"/>
      <c r="CD327" s="208"/>
      <c r="CE327" s="208"/>
      <c r="CF327" s="208"/>
      <c r="CG327" s="208"/>
      <c r="CH327" s="208"/>
      <c r="CI327" s="208"/>
      <c r="CJ327" s="208"/>
      <c r="CK327" s="208"/>
      <c r="CL327" s="208"/>
      <c r="CM327" s="208"/>
      <c r="CN327" s="208"/>
      <c r="CO327" s="208"/>
      <c r="CP327" s="208"/>
      <c r="CQ327" s="208"/>
      <c r="CR327" s="208"/>
      <c r="CS327" s="208"/>
      <c r="CT327" s="208"/>
      <c r="CU327" s="208"/>
      <c r="CV327" s="208"/>
      <c r="CW327" s="208"/>
      <c r="CX327" s="208"/>
      <c r="CY327" s="208"/>
      <c r="CZ327" s="208"/>
      <c r="DA327" s="208"/>
      <c r="DB327" s="208"/>
      <c r="DC327" s="208"/>
      <c r="DD327" s="208"/>
      <c r="DE327" s="208"/>
      <c r="DF327" s="208"/>
      <c r="DG327" s="208"/>
      <c r="DH327" s="208"/>
      <c r="DI327" s="208"/>
      <c r="DJ327" s="208"/>
      <c r="DK327" s="208"/>
      <c r="DL327" s="208"/>
      <c r="DM327" s="208"/>
      <c r="DN327" s="208"/>
      <c r="DO327" s="208"/>
      <c r="DP327" s="208"/>
      <c r="DQ327" s="208"/>
      <c r="DR327" s="208"/>
      <c r="DS327" s="208"/>
      <c r="DT327" s="208"/>
      <c r="DU327" s="208"/>
      <c r="DV327" s="208"/>
      <c r="DW327" s="208"/>
      <c r="DX327" s="208"/>
      <c r="DY327" s="208"/>
      <c r="DZ327" s="208"/>
      <c r="EA327" s="208"/>
      <c r="EB327" s="208"/>
      <c r="EC327" s="208"/>
      <c r="ED327" s="208"/>
      <c r="EE327" s="208"/>
      <c r="EF327" s="208"/>
      <c r="EG327" s="208"/>
      <c r="EH327" s="208"/>
      <c r="EI327" s="208"/>
      <c r="EJ327" s="208"/>
      <c r="EK327" s="208"/>
      <c r="EL327" s="208"/>
      <c r="EM327" s="208"/>
      <c r="EN327" s="208"/>
      <c r="EO327" s="208"/>
      <c r="EP327" s="208"/>
      <c r="EQ327" s="208"/>
      <c r="ER327" s="208"/>
      <c r="ES327" s="208"/>
      <c r="ET327" s="208"/>
      <c r="EU327" s="208"/>
      <c r="EV327" s="208"/>
      <c r="EW327" s="208"/>
      <c r="EX327" s="208"/>
      <c r="EY327" s="208"/>
      <c r="EZ327" s="208"/>
      <c r="FA327" s="208"/>
      <c r="FB327" s="208"/>
      <c r="FC327" s="208"/>
      <c r="FD327" s="208"/>
      <c r="FE327" s="208"/>
      <c r="FF327" s="208"/>
      <c r="FG327" s="208"/>
      <c r="FH327" s="208"/>
      <c r="FI327" s="208"/>
      <c r="FJ327" s="208"/>
      <c r="FK327" s="208"/>
      <c r="FL327" s="208"/>
      <c r="FM327" s="208"/>
      <c r="FN327" s="208"/>
      <c r="FO327" s="208"/>
      <c r="FP327" s="208"/>
      <c r="FQ327" s="208"/>
      <c r="FR327" s="208"/>
      <c r="FS327" s="208"/>
      <c r="FT327" s="208"/>
      <c r="FU327" s="208"/>
      <c r="FV327" s="208"/>
      <c r="FW327" s="208"/>
      <c r="FX327" s="208"/>
      <c r="FY327" s="208"/>
      <c r="FZ327" s="208"/>
      <c r="GA327" s="208"/>
      <c r="GB327" s="208"/>
      <c r="GC327" s="208"/>
      <c r="GD327" s="208"/>
      <c r="GE327" s="208"/>
      <c r="GF327" s="208"/>
    </row>
    <row r="328" spans="1:188" s="209" customFormat="1" ht="15" x14ac:dyDescent="0.25">
      <c r="A328" s="195" t="s">
        <v>5108</v>
      </c>
      <c r="B328" s="195" t="s">
        <v>1746</v>
      </c>
      <c r="C328" s="196" t="s">
        <v>3496</v>
      </c>
      <c r="D328" s="154" t="s">
        <v>3497</v>
      </c>
      <c r="E328" s="154">
        <v>200</v>
      </c>
      <c r="F328" s="154">
        <v>0.2</v>
      </c>
      <c r="G328" s="197"/>
      <c r="H328" s="198"/>
      <c r="I328" s="151">
        <v>110.12</v>
      </c>
      <c r="J328" s="152">
        <f t="shared" si="51"/>
        <v>4404.8</v>
      </c>
      <c r="K328" s="198">
        <f>BDI!$E$17</f>
        <v>0.11260000000000001</v>
      </c>
      <c r="L328" s="198"/>
      <c r="M328" s="198"/>
      <c r="N328" s="153">
        <f t="shared" si="52"/>
        <v>122.52</v>
      </c>
      <c r="O328" s="152">
        <f t="shared" si="53"/>
        <v>4900.8</v>
      </c>
      <c r="P328" s="225"/>
      <c r="Q328" s="208"/>
      <c r="R328" s="208"/>
      <c r="S328"/>
      <c r="T328" s="208"/>
      <c r="U328" s="208"/>
      <c r="V328" s="208"/>
      <c r="W328" s="208"/>
      <c r="X328" s="208"/>
      <c r="Y328" s="208"/>
      <c r="Z328" s="208"/>
      <c r="AA328" s="208"/>
      <c r="AB328" s="208"/>
      <c r="AC328" s="208"/>
      <c r="AD328" s="208"/>
      <c r="AE328" s="208"/>
      <c r="AF328" s="208"/>
      <c r="AG328" s="208"/>
      <c r="AH328" s="208"/>
      <c r="AI328" s="208"/>
      <c r="AJ328" s="208"/>
      <c r="AK328" s="208"/>
      <c r="AL328" s="208"/>
      <c r="AM328" s="208"/>
      <c r="AN328" s="208"/>
      <c r="AO328" s="208"/>
      <c r="AP328" s="208"/>
      <c r="AQ328" s="208"/>
      <c r="AR328" s="208"/>
      <c r="AS328" s="208"/>
      <c r="AT328" s="208"/>
      <c r="AU328" s="208"/>
      <c r="AV328" s="208"/>
      <c r="AW328" s="208"/>
      <c r="AX328" s="208"/>
      <c r="AY328" s="208"/>
      <c r="AZ328" s="208"/>
      <c r="BA328" s="208"/>
      <c r="BB328" s="208"/>
      <c r="BC328" s="208"/>
      <c r="BD328" s="208"/>
      <c r="BE328" s="208"/>
      <c r="BF328" s="208"/>
      <c r="BG328" s="208"/>
      <c r="BH328" s="208"/>
      <c r="BI328" s="208"/>
      <c r="BJ328" s="208"/>
      <c r="BK328" s="208"/>
      <c r="BL328" s="208"/>
      <c r="BM328" s="208"/>
      <c r="BN328" s="208"/>
      <c r="BO328" s="208"/>
      <c r="BP328" s="208"/>
      <c r="BQ328" s="208"/>
      <c r="BR328" s="208"/>
      <c r="BS328" s="208"/>
      <c r="BT328" s="208"/>
      <c r="BU328" s="208"/>
      <c r="BV328" s="208"/>
      <c r="BW328" s="208"/>
      <c r="BX328" s="208"/>
      <c r="BY328" s="208"/>
      <c r="BZ328" s="208"/>
      <c r="CA328" s="208"/>
      <c r="CB328" s="208"/>
      <c r="CC328" s="208"/>
      <c r="CD328" s="208"/>
      <c r="CE328" s="208"/>
      <c r="CF328" s="208"/>
      <c r="CG328" s="208"/>
      <c r="CH328" s="208"/>
      <c r="CI328" s="208"/>
      <c r="CJ328" s="208"/>
      <c r="CK328" s="208"/>
      <c r="CL328" s="208"/>
      <c r="CM328" s="208"/>
      <c r="CN328" s="208"/>
      <c r="CO328" s="208"/>
      <c r="CP328" s="208"/>
      <c r="CQ328" s="208"/>
      <c r="CR328" s="208"/>
      <c r="CS328" s="208"/>
      <c r="CT328" s="208"/>
      <c r="CU328" s="208"/>
      <c r="CV328" s="208"/>
      <c r="CW328" s="208"/>
      <c r="CX328" s="208"/>
      <c r="CY328" s="208"/>
      <c r="CZ328" s="208"/>
      <c r="DA328" s="208"/>
      <c r="DB328" s="208"/>
      <c r="DC328" s="208"/>
      <c r="DD328" s="208"/>
      <c r="DE328" s="208"/>
      <c r="DF328" s="208"/>
      <c r="DG328" s="208"/>
      <c r="DH328" s="208"/>
      <c r="DI328" s="208"/>
      <c r="DJ328" s="208"/>
      <c r="DK328" s="208"/>
      <c r="DL328" s="208"/>
      <c r="DM328" s="208"/>
      <c r="DN328" s="208"/>
      <c r="DO328" s="208"/>
      <c r="DP328" s="208"/>
      <c r="DQ328" s="208"/>
      <c r="DR328" s="208"/>
      <c r="DS328" s="208"/>
      <c r="DT328" s="208"/>
      <c r="DU328" s="208"/>
      <c r="DV328" s="208"/>
      <c r="DW328" s="208"/>
      <c r="DX328" s="208"/>
      <c r="DY328" s="208"/>
      <c r="DZ328" s="208"/>
      <c r="EA328" s="208"/>
      <c r="EB328" s="208"/>
      <c r="EC328" s="208"/>
      <c r="ED328" s="208"/>
      <c r="EE328" s="208"/>
      <c r="EF328" s="208"/>
      <c r="EG328" s="208"/>
      <c r="EH328" s="208"/>
      <c r="EI328" s="208"/>
      <c r="EJ328" s="208"/>
      <c r="EK328" s="208"/>
      <c r="EL328" s="208"/>
      <c r="EM328" s="208"/>
      <c r="EN328" s="208"/>
      <c r="EO328" s="208"/>
      <c r="EP328" s="208"/>
      <c r="EQ328" s="208"/>
      <c r="ER328" s="208"/>
      <c r="ES328" s="208"/>
      <c r="ET328" s="208"/>
      <c r="EU328" s="208"/>
      <c r="EV328" s="208"/>
      <c r="EW328" s="208"/>
      <c r="EX328" s="208"/>
      <c r="EY328" s="208"/>
      <c r="EZ328" s="208"/>
      <c r="FA328" s="208"/>
      <c r="FB328" s="208"/>
      <c r="FC328" s="208"/>
      <c r="FD328" s="208"/>
      <c r="FE328" s="208"/>
      <c r="FF328" s="208"/>
      <c r="FG328" s="208"/>
      <c r="FH328" s="208"/>
      <c r="FI328" s="208"/>
      <c r="FJ328" s="208"/>
      <c r="FK328" s="208"/>
      <c r="FL328" s="208"/>
      <c r="FM328" s="208"/>
      <c r="FN328" s="208"/>
      <c r="FO328" s="208"/>
      <c r="FP328" s="208"/>
      <c r="FQ328" s="208"/>
      <c r="FR328" s="208"/>
      <c r="FS328" s="208"/>
      <c r="FT328" s="208"/>
      <c r="FU328" s="208"/>
      <c r="FV328" s="208"/>
      <c r="FW328" s="208"/>
      <c r="FX328" s="208"/>
      <c r="FY328" s="208"/>
      <c r="FZ328" s="208"/>
      <c r="GA328" s="208"/>
      <c r="GB328" s="208"/>
      <c r="GC328" s="208"/>
      <c r="GD328" s="208"/>
      <c r="GE328" s="208"/>
      <c r="GF328" s="208"/>
    </row>
    <row r="329" spans="1:188" s="209" customFormat="1" ht="15" x14ac:dyDescent="0.25">
      <c r="A329" s="195" t="s">
        <v>5109</v>
      </c>
      <c r="B329" s="195" t="s">
        <v>650</v>
      </c>
      <c r="C329" s="196" t="s">
        <v>2458</v>
      </c>
      <c r="D329" s="154" t="s">
        <v>28</v>
      </c>
      <c r="E329" s="154">
        <v>50000</v>
      </c>
      <c r="F329" s="154">
        <v>0.2</v>
      </c>
      <c r="G329" s="197"/>
      <c r="H329" s="198"/>
      <c r="I329" s="151">
        <v>0.75049999999999994</v>
      </c>
      <c r="J329" s="152">
        <f t="shared" si="51"/>
        <v>7505</v>
      </c>
      <c r="K329" s="198">
        <f>BDI!$E$17</f>
        <v>0.11260000000000001</v>
      </c>
      <c r="L329" s="198"/>
      <c r="M329" s="198"/>
      <c r="N329" s="153">
        <f t="shared" si="52"/>
        <v>0.84</v>
      </c>
      <c r="O329" s="152">
        <f t="shared" si="53"/>
        <v>8400</v>
      </c>
      <c r="P329" s="225"/>
      <c r="Q329" s="208"/>
      <c r="R329" s="208"/>
      <c r="S329"/>
      <c r="T329" s="208"/>
      <c r="U329" s="208"/>
      <c r="V329" s="208"/>
      <c r="W329" s="208"/>
      <c r="X329" s="208"/>
      <c r="Y329" s="208"/>
      <c r="Z329" s="208"/>
      <c r="AA329" s="208"/>
      <c r="AB329" s="208"/>
      <c r="AC329" s="208"/>
      <c r="AD329" s="208"/>
      <c r="AE329" s="208"/>
      <c r="AF329" s="208"/>
      <c r="AG329" s="208"/>
      <c r="AH329" s="208"/>
      <c r="AI329" s="208"/>
      <c r="AJ329" s="208"/>
      <c r="AK329" s="208"/>
      <c r="AL329" s="208"/>
      <c r="AM329" s="208"/>
      <c r="AN329" s="208"/>
      <c r="AO329" s="208"/>
      <c r="AP329" s="208"/>
      <c r="AQ329" s="208"/>
      <c r="AR329" s="208"/>
      <c r="AS329" s="208"/>
      <c r="AT329" s="208"/>
      <c r="AU329" s="208"/>
      <c r="AV329" s="208"/>
      <c r="AW329" s="208"/>
      <c r="AX329" s="208"/>
      <c r="AY329" s="208"/>
      <c r="AZ329" s="208"/>
      <c r="BA329" s="208"/>
      <c r="BB329" s="208"/>
      <c r="BC329" s="208"/>
      <c r="BD329" s="208"/>
      <c r="BE329" s="208"/>
      <c r="BF329" s="208"/>
      <c r="BG329" s="208"/>
      <c r="BH329" s="208"/>
      <c r="BI329" s="208"/>
      <c r="BJ329" s="208"/>
      <c r="BK329" s="208"/>
      <c r="BL329" s="208"/>
      <c r="BM329" s="208"/>
      <c r="BN329" s="208"/>
      <c r="BO329" s="208"/>
      <c r="BP329" s="208"/>
      <c r="BQ329" s="208"/>
      <c r="BR329" s="208"/>
      <c r="BS329" s="208"/>
      <c r="BT329" s="208"/>
      <c r="BU329" s="208"/>
      <c r="BV329" s="208"/>
      <c r="BW329" s="208"/>
      <c r="BX329" s="208"/>
      <c r="BY329" s="208"/>
      <c r="BZ329" s="208"/>
      <c r="CA329" s="208"/>
      <c r="CB329" s="208"/>
      <c r="CC329" s="208"/>
      <c r="CD329" s="208"/>
      <c r="CE329" s="208"/>
      <c r="CF329" s="208"/>
      <c r="CG329" s="208"/>
      <c r="CH329" s="208"/>
      <c r="CI329" s="208"/>
      <c r="CJ329" s="208"/>
      <c r="CK329" s="208"/>
      <c r="CL329" s="208"/>
      <c r="CM329" s="208"/>
      <c r="CN329" s="208"/>
      <c r="CO329" s="208"/>
      <c r="CP329" s="208"/>
      <c r="CQ329" s="208"/>
      <c r="CR329" s="208"/>
      <c r="CS329" s="208"/>
      <c r="CT329" s="208"/>
      <c r="CU329" s="208"/>
      <c r="CV329" s="208"/>
      <c r="CW329" s="208"/>
      <c r="CX329" s="208"/>
      <c r="CY329" s="208"/>
      <c r="CZ329" s="208"/>
      <c r="DA329" s="208"/>
      <c r="DB329" s="208"/>
      <c r="DC329" s="208"/>
      <c r="DD329" s="208"/>
      <c r="DE329" s="208"/>
      <c r="DF329" s="208"/>
      <c r="DG329" s="208"/>
      <c r="DH329" s="208"/>
      <c r="DI329" s="208"/>
      <c r="DJ329" s="208"/>
      <c r="DK329" s="208"/>
      <c r="DL329" s="208"/>
      <c r="DM329" s="208"/>
      <c r="DN329" s="208"/>
      <c r="DO329" s="208"/>
      <c r="DP329" s="208"/>
      <c r="DQ329" s="208"/>
      <c r="DR329" s="208"/>
      <c r="DS329" s="208"/>
      <c r="DT329" s="208"/>
      <c r="DU329" s="208"/>
      <c r="DV329" s="208"/>
      <c r="DW329" s="208"/>
      <c r="DX329" s="208"/>
      <c r="DY329" s="208"/>
      <c r="DZ329" s="208"/>
      <c r="EA329" s="208"/>
      <c r="EB329" s="208"/>
      <c r="EC329" s="208"/>
      <c r="ED329" s="208"/>
      <c r="EE329" s="208"/>
      <c r="EF329" s="208"/>
      <c r="EG329" s="208"/>
      <c r="EH329" s="208"/>
      <c r="EI329" s="208"/>
      <c r="EJ329" s="208"/>
      <c r="EK329" s="208"/>
      <c r="EL329" s="208"/>
      <c r="EM329" s="208"/>
      <c r="EN329" s="208"/>
      <c r="EO329" s="208"/>
      <c r="EP329" s="208"/>
      <c r="EQ329" s="208"/>
      <c r="ER329" s="208"/>
      <c r="ES329" s="208"/>
      <c r="ET329" s="208"/>
      <c r="EU329" s="208"/>
      <c r="EV329" s="208"/>
      <c r="EW329" s="208"/>
      <c r="EX329" s="208"/>
      <c r="EY329" s="208"/>
      <c r="EZ329" s="208"/>
      <c r="FA329" s="208"/>
      <c r="FB329" s="208"/>
      <c r="FC329" s="208"/>
      <c r="FD329" s="208"/>
      <c r="FE329" s="208"/>
      <c r="FF329" s="208"/>
      <c r="FG329" s="208"/>
      <c r="FH329" s="208"/>
      <c r="FI329" s="208"/>
      <c r="FJ329" s="208"/>
      <c r="FK329" s="208"/>
      <c r="FL329" s="208"/>
      <c r="FM329" s="208"/>
      <c r="FN329" s="208"/>
      <c r="FO329" s="208"/>
      <c r="FP329" s="208"/>
      <c r="FQ329" s="208"/>
      <c r="FR329" s="208"/>
      <c r="FS329" s="208"/>
      <c r="FT329" s="208"/>
      <c r="FU329" s="208"/>
      <c r="FV329" s="208"/>
      <c r="FW329" s="208"/>
      <c r="FX329" s="208"/>
      <c r="FY329" s="208"/>
      <c r="FZ329" s="208"/>
      <c r="GA329" s="208"/>
      <c r="GB329" s="208"/>
      <c r="GC329" s="208"/>
      <c r="GD329" s="208"/>
      <c r="GE329" s="208"/>
      <c r="GF329" s="208"/>
    </row>
    <row r="330" spans="1:188" s="209" customFormat="1" ht="15" x14ac:dyDescent="0.25">
      <c r="A330" s="195" t="s">
        <v>5110</v>
      </c>
      <c r="B330" s="195" t="s">
        <v>651</v>
      </c>
      <c r="C330" s="196" t="s">
        <v>2459</v>
      </c>
      <c r="D330" s="154" t="s">
        <v>28</v>
      </c>
      <c r="E330" s="154">
        <v>50000</v>
      </c>
      <c r="F330" s="154">
        <v>0.2</v>
      </c>
      <c r="G330" s="197"/>
      <c r="H330" s="198"/>
      <c r="I330" s="151">
        <v>0.64</v>
      </c>
      <c r="J330" s="152">
        <f t="shared" si="51"/>
        <v>6400</v>
      </c>
      <c r="K330" s="198">
        <f>BDI!$E$17</f>
        <v>0.11260000000000001</v>
      </c>
      <c r="L330" s="198"/>
      <c r="M330" s="198"/>
      <c r="N330" s="153">
        <f t="shared" si="52"/>
        <v>0.71</v>
      </c>
      <c r="O330" s="152">
        <f t="shared" si="53"/>
        <v>7100</v>
      </c>
      <c r="P330" s="225"/>
      <c r="Q330" s="208"/>
      <c r="R330" s="208"/>
      <c r="S330"/>
      <c r="T330" s="208"/>
      <c r="U330" s="208"/>
      <c r="V330" s="208"/>
      <c r="W330" s="208"/>
      <c r="X330" s="208"/>
      <c r="Y330" s="208"/>
      <c r="Z330" s="208"/>
      <c r="AA330" s="208"/>
      <c r="AB330" s="208"/>
      <c r="AC330" s="208"/>
      <c r="AD330" s="208"/>
      <c r="AE330" s="208"/>
      <c r="AF330" s="208"/>
      <c r="AG330" s="208"/>
      <c r="AH330" s="208"/>
      <c r="AI330" s="208"/>
      <c r="AJ330" s="208"/>
      <c r="AK330" s="208"/>
      <c r="AL330" s="208"/>
      <c r="AM330" s="208"/>
      <c r="AN330" s="208"/>
      <c r="AO330" s="208"/>
      <c r="AP330" s="208"/>
      <c r="AQ330" s="208"/>
      <c r="AR330" s="208"/>
      <c r="AS330" s="208"/>
      <c r="AT330" s="208"/>
      <c r="AU330" s="208"/>
      <c r="AV330" s="208"/>
      <c r="AW330" s="208"/>
      <c r="AX330" s="208"/>
      <c r="AY330" s="208"/>
      <c r="AZ330" s="208"/>
      <c r="BA330" s="208"/>
      <c r="BB330" s="208"/>
      <c r="BC330" s="208"/>
      <c r="BD330" s="208"/>
      <c r="BE330" s="208"/>
      <c r="BF330" s="208"/>
      <c r="BG330" s="208"/>
      <c r="BH330" s="208"/>
      <c r="BI330" s="208"/>
      <c r="BJ330" s="208"/>
      <c r="BK330" s="208"/>
      <c r="BL330" s="208"/>
      <c r="BM330" s="208"/>
      <c r="BN330" s="208"/>
      <c r="BO330" s="208"/>
      <c r="BP330" s="208"/>
      <c r="BQ330" s="208"/>
      <c r="BR330" s="208"/>
      <c r="BS330" s="208"/>
      <c r="BT330" s="208"/>
      <c r="BU330" s="208"/>
      <c r="BV330" s="208"/>
      <c r="BW330" s="208"/>
      <c r="BX330" s="208"/>
      <c r="BY330" s="208"/>
      <c r="BZ330" s="208"/>
      <c r="CA330" s="208"/>
      <c r="CB330" s="208"/>
      <c r="CC330" s="208"/>
      <c r="CD330" s="208"/>
      <c r="CE330" s="208"/>
      <c r="CF330" s="208"/>
      <c r="CG330" s="208"/>
      <c r="CH330" s="208"/>
      <c r="CI330" s="208"/>
      <c r="CJ330" s="208"/>
      <c r="CK330" s="208"/>
      <c r="CL330" s="208"/>
      <c r="CM330" s="208"/>
      <c r="CN330" s="208"/>
      <c r="CO330" s="208"/>
      <c r="CP330" s="208"/>
      <c r="CQ330" s="208"/>
      <c r="CR330" s="208"/>
      <c r="CS330" s="208"/>
      <c r="CT330" s="208"/>
      <c r="CU330" s="208"/>
      <c r="CV330" s="208"/>
      <c r="CW330" s="208"/>
      <c r="CX330" s="208"/>
      <c r="CY330" s="208"/>
      <c r="CZ330" s="208"/>
      <c r="DA330" s="208"/>
      <c r="DB330" s="208"/>
      <c r="DC330" s="208"/>
      <c r="DD330" s="208"/>
      <c r="DE330" s="208"/>
      <c r="DF330" s="208"/>
      <c r="DG330" s="208"/>
      <c r="DH330" s="208"/>
      <c r="DI330" s="208"/>
      <c r="DJ330" s="208"/>
      <c r="DK330" s="208"/>
      <c r="DL330" s="208"/>
      <c r="DM330" s="208"/>
      <c r="DN330" s="208"/>
      <c r="DO330" s="208"/>
      <c r="DP330" s="208"/>
      <c r="DQ330" s="208"/>
      <c r="DR330" s="208"/>
      <c r="DS330" s="208"/>
      <c r="DT330" s="208"/>
      <c r="DU330" s="208"/>
      <c r="DV330" s="208"/>
      <c r="DW330" s="208"/>
      <c r="DX330" s="208"/>
      <c r="DY330" s="208"/>
      <c r="DZ330" s="208"/>
      <c r="EA330" s="208"/>
      <c r="EB330" s="208"/>
      <c r="EC330" s="208"/>
      <c r="ED330" s="208"/>
      <c r="EE330" s="208"/>
      <c r="EF330" s="208"/>
      <c r="EG330" s="208"/>
      <c r="EH330" s="208"/>
      <c r="EI330" s="208"/>
      <c r="EJ330" s="208"/>
      <c r="EK330" s="208"/>
      <c r="EL330" s="208"/>
      <c r="EM330" s="208"/>
      <c r="EN330" s="208"/>
      <c r="EO330" s="208"/>
      <c r="EP330" s="208"/>
      <c r="EQ330" s="208"/>
      <c r="ER330" s="208"/>
      <c r="ES330" s="208"/>
      <c r="ET330" s="208"/>
      <c r="EU330" s="208"/>
      <c r="EV330" s="208"/>
      <c r="EW330" s="208"/>
      <c r="EX330" s="208"/>
      <c r="EY330" s="208"/>
      <c r="EZ330" s="208"/>
      <c r="FA330" s="208"/>
      <c r="FB330" s="208"/>
      <c r="FC330" s="208"/>
      <c r="FD330" s="208"/>
      <c r="FE330" s="208"/>
      <c r="FF330" s="208"/>
      <c r="FG330" s="208"/>
      <c r="FH330" s="208"/>
      <c r="FI330" s="208"/>
      <c r="FJ330" s="208"/>
      <c r="FK330" s="208"/>
      <c r="FL330" s="208"/>
      <c r="FM330" s="208"/>
      <c r="FN330" s="208"/>
      <c r="FO330" s="208"/>
      <c r="FP330" s="208"/>
      <c r="FQ330" s="208"/>
      <c r="FR330" s="208"/>
      <c r="FS330" s="208"/>
      <c r="FT330" s="208"/>
      <c r="FU330" s="208"/>
      <c r="FV330" s="208"/>
      <c r="FW330" s="208"/>
      <c r="FX330" s="208"/>
      <c r="FY330" s="208"/>
      <c r="FZ330" s="208"/>
      <c r="GA330" s="208"/>
      <c r="GB330" s="208"/>
      <c r="GC330" s="208"/>
      <c r="GD330" s="208"/>
      <c r="GE330" s="208"/>
      <c r="GF330" s="208"/>
    </row>
    <row r="331" spans="1:188" s="209" customFormat="1" ht="15" x14ac:dyDescent="0.25">
      <c r="A331" s="195" t="s">
        <v>5111</v>
      </c>
      <c r="B331" s="195" t="s">
        <v>1739</v>
      </c>
      <c r="C331" s="196" t="s">
        <v>3487</v>
      </c>
      <c r="D331" s="154" t="s">
        <v>28</v>
      </c>
      <c r="E331" s="154">
        <v>1350</v>
      </c>
      <c r="F331" s="154">
        <v>0.2</v>
      </c>
      <c r="G331" s="197"/>
      <c r="H331" s="198"/>
      <c r="I331" s="151">
        <v>5.8045</v>
      </c>
      <c r="J331" s="152">
        <f t="shared" si="51"/>
        <v>1567.22</v>
      </c>
      <c r="K331" s="198">
        <f>BDI!$E$17</f>
        <v>0.11260000000000001</v>
      </c>
      <c r="L331" s="198"/>
      <c r="M331" s="198"/>
      <c r="N331" s="153">
        <f t="shared" si="52"/>
        <v>6.46</v>
      </c>
      <c r="O331" s="152">
        <f t="shared" si="53"/>
        <v>1744.2</v>
      </c>
      <c r="P331" s="225"/>
      <c r="Q331" s="208"/>
      <c r="R331" s="208"/>
      <c r="S331"/>
      <c r="T331" s="208"/>
      <c r="U331" s="208"/>
      <c r="V331" s="208"/>
      <c r="W331" s="208"/>
      <c r="X331" s="208"/>
      <c r="Y331" s="208"/>
      <c r="Z331" s="208"/>
      <c r="AA331" s="208"/>
      <c r="AB331" s="208"/>
      <c r="AC331" s="208"/>
      <c r="AD331" s="208"/>
      <c r="AE331" s="208"/>
      <c r="AF331" s="208"/>
      <c r="AG331" s="208"/>
      <c r="AH331" s="208"/>
      <c r="AI331" s="208"/>
      <c r="AJ331" s="208"/>
      <c r="AK331" s="208"/>
      <c r="AL331" s="208"/>
      <c r="AM331" s="208"/>
      <c r="AN331" s="208"/>
      <c r="AO331" s="208"/>
      <c r="AP331" s="208"/>
      <c r="AQ331" s="208"/>
      <c r="AR331" s="208"/>
      <c r="AS331" s="208"/>
      <c r="AT331" s="208"/>
      <c r="AU331" s="208"/>
      <c r="AV331" s="208"/>
      <c r="AW331" s="208"/>
      <c r="AX331" s="208"/>
      <c r="AY331" s="208"/>
      <c r="AZ331" s="208"/>
      <c r="BA331" s="208"/>
      <c r="BB331" s="208"/>
      <c r="BC331" s="208"/>
      <c r="BD331" s="208"/>
      <c r="BE331" s="208"/>
      <c r="BF331" s="208"/>
      <c r="BG331" s="208"/>
      <c r="BH331" s="208"/>
      <c r="BI331" s="208"/>
      <c r="BJ331" s="208"/>
      <c r="BK331" s="208"/>
      <c r="BL331" s="208"/>
      <c r="BM331" s="208"/>
      <c r="BN331" s="208"/>
      <c r="BO331" s="208"/>
      <c r="BP331" s="208"/>
      <c r="BQ331" s="208"/>
      <c r="BR331" s="208"/>
      <c r="BS331" s="208"/>
      <c r="BT331" s="208"/>
      <c r="BU331" s="208"/>
      <c r="BV331" s="208"/>
      <c r="BW331" s="208"/>
      <c r="BX331" s="208"/>
      <c r="BY331" s="208"/>
      <c r="BZ331" s="208"/>
      <c r="CA331" s="208"/>
      <c r="CB331" s="208"/>
      <c r="CC331" s="208"/>
      <c r="CD331" s="208"/>
      <c r="CE331" s="208"/>
      <c r="CF331" s="208"/>
      <c r="CG331" s="208"/>
      <c r="CH331" s="208"/>
      <c r="CI331" s="208"/>
      <c r="CJ331" s="208"/>
      <c r="CK331" s="208"/>
      <c r="CL331" s="208"/>
      <c r="CM331" s="208"/>
      <c r="CN331" s="208"/>
      <c r="CO331" s="208"/>
      <c r="CP331" s="208"/>
      <c r="CQ331" s="208"/>
      <c r="CR331" s="208"/>
      <c r="CS331" s="208"/>
      <c r="CT331" s="208"/>
      <c r="CU331" s="208"/>
      <c r="CV331" s="208"/>
      <c r="CW331" s="208"/>
      <c r="CX331" s="208"/>
      <c r="CY331" s="208"/>
      <c r="CZ331" s="208"/>
      <c r="DA331" s="208"/>
      <c r="DB331" s="208"/>
      <c r="DC331" s="208"/>
      <c r="DD331" s="208"/>
      <c r="DE331" s="208"/>
      <c r="DF331" s="208"/>
      <c r="DG331" s="208"/>
      <c r="DH331" s="208"/>
      <c r="DI331" s="208"/>
      <c r="DJ331" s="208"/>
      <c r="DK331" s="208"/>
      <c r="DL331" s="208"/>
      <c r="DM331" s="208"/>
      <c r="DN331" s="208"/>
      <c r="DO331" s="208"/>
      <c r="DP331" s="208"/>
      <c r="DQ331" s="208"/>
      <c r="DR331" s="208"/>
      <c r="DS331" s="208"/>
      <c r="DT331" s="208"/>
      <c r="DU331" s="208"/>
      <c r="DV331" s="208"/>
      <c r="DW331" s="208"/>
      <c r="DX331" s="208"/>
      <c r="DY331" s="208"/>
      <c r="DZ331" s="208"/>
      <c r="EA331" s="208"/>
      <c r="EB331" s="208"/>
      <c r="EC331" s="208"/>
      <c r="ED331" s="208"/>
      <c r="EE331" s="208"/>
      <c r="EF331" s="208"/>
      <c r="EG331" s="208"/>
      <c r="EH331" s="208"/>
      <c r="EI331" s="208"/>
      <c r="EJ331" s="208"/>
      <c r="EK331" s="208"/>
      <c r="EL331" s="208"/>
      <c r="EM331" s="208"/>
      <c r="EN331" s="208"/>
      <c r="EO331" s="208"/>
      <c r="EP331" s="208"/>
      <c r="EQ331" s="208"/>
      <c r="ER331" s="208"/>
      <c r="ES331" s="208"/>
      <c r="ET331" s="208"/>
      <c r="EU331" s="208"/>
      <c r="EV331" s="208"/>
      <c r="EW331" s="208"/>
      <c r="EX331" s="208"/>
      <c r="EY331" s="208"/>
      <c r="EZ331" s="208"/>
      <c r="FA331" s="208"/>
      <c r="FB331" s="208"/>
      <c r="FC331" s="208"/>
      <c r="FD331" s="208"/>
      <c r="FE331" s="208"/>
      <c r="FF331" s="208"/>
      <c r="FG331" s="208"/>
      <c r="FH331" s="208"/>
      <c r="FI331" s="208"/>
      <c r="FJ331" s="208"/>
      <c r="FK331" s="208"/>
      <c r="FL331" s="208"/>
      <c r="FM331" s="208"/>
      <c r="FN331" s="208"/>
      <c r="FO331" s="208"/>
      <c r="FP331" s="208"/>
      <c r="FQ331" s="208"/>
      <c r="FR331" s="208"/>
      <c r="FS331" s="208"/>
      <c r="FT331" s="208"/>
      <c r="FU331" s="208"/>
      <c r="FV331" s="208"/>
      <c r="FW331" s="208"/>
      <c r="FX331" s="208"/>
      <c r="FY331" s="208"/>
      <c r="FZ331" s="208"/>
      <c r="GA331" s="208"/>
      <c r="GB331" s="208"/>
      <c r="GC331" s="208"/>
      <c r="GD331" s="208"/>
      <c r="GE331" s="208"/>
      <c r="GF331" s="208"/>
    </row>
    <row r="332" spans="1:188" s="209" customFormat="1" ht="15" x14ac:dyDescent="0.25">
      <c r="A332" s="195" t="s">
        <v>5112</v>
      </c>
      <c r="B332" s="195" t="s">
        <v>1740</v>
      </c>
      <c r="C332" s="196" t="s">
        <v>3488</v>
      </c>
      <c r="D332" s="154" t="s">
        <v>28</v>
      </c>
      <c r="E332" s="154">
        <v>1350</v>
      </c>
      <c r="F332" s="154">
        <v>0.2</v>
      </c>
      <c r="G332" s="197"/>
      <c r="H332" s="198"/>
      <c r="I332" s="151">
        <v>6.5454999999999997</v>
      </c>
      <c r="J332" s="152">
        <f t="shared" si="51"/>
        <v>1767.29</v>
      </c>
      <c r="K332" s="198">
        <f>BDI!$E$17</f>
        <v>0.11260000000000001</v>
      </c>
      <c r="L332" s="198"/>
      <c r="M332" s="198"/>
      <c r="N332" s="153">
        <f t="shared" si="52"/>
        <v>7.28</v>
      </c>
      <c r="O332" s="152">
        <f t="shared" si="53"/>
        <v>1965.6</v>
      </c>
      <c r="P332" s="225"/>
      <c r="Q332" s="208"/>
      <c r="R332" s="208"/>
      <c r="S332"/>
      <c r="T332" s="208"/>
      <c r="U332" s="208"/>
      <c r="V332" s="208"/>
      <c r="W332" s="208"/>
      <c r="X332" s="208"/>
      <c r="Y332" s="208"/>
      <c r="Z332" s="208"/>
      <c r="AA332" s="208"/>
      <c r="AB332" s="208"/>
      <c r="AC332" s="208"/>
      <c r="AD332" s="208"/>
      <c r="AE332" s="208"/>
      <c r="AF332" s="208"/>
      <c r="AG332" s="208"/>
      <c r="AH332" s="208"/>
      <c r="AI332" s="208"/>
      <c r="AJ332" s="208"/>
      <c r="AK332" s="208"/>
      <c r="AL332" s="208"/>
      <c r="AM332" s="208"/>
      <c r="AN332" s="208"/>
      <c r="AO332" s="208"/>
      <c r="AP332" s="208"/>
      <c r="AQ332" s="208"/>
      <c r="AR332" s="208"/>
      <c r="AS332" s="208"/>
      <c r="AT332" s="208"/>
      <c r="AU332" s="208"/>
      <c r="AV332" s="208"/>
      <c r="AW332" s="208"/>
      <c r="AX332" s="208"/>
      <c r="AY332" s="208"/>
      <c r="AZ332" s="208"/>
      <c r="BA332" s="208"/>
      <c r="BB332" s="208"/>
      <c r="BC332" s="208"/>
      <c r="BD332" s="208"/>
      <c r="BE332" s="208"/>
      <c r="BF332" s="208"/>
      <c r="BG332" s="208"/>
      <c r="BH332" s="208"/>
      <c r="BI332" s="208"/>
      <c r="BJ332" s="208"/>
      <c r="BK332" s="208"/>
      <c r="BL332" s="208"/>
      <c r="BM332" s="208"/>
      <c r="BN332" s="208"/>
      <c r="BO332" s="208"/>
      <c r="BP332" s="208"/>
      <c r="BQ332" s="208"/>
      <c r="BR332" s="208"/>
      <c r="BS332" s="208"/>
      <c r="BT332" s="208"/>
      <c r="BU332" s="208"/>
      <c r="BV332" s="208"/>
      <c r="BW332" s="208"/>
      <c r="BX332" s="208"/>
      <c r="BY332" s="208"/>
      <c r="BZ332" s="208"/>
      <c r="CA332" s="208"/>
      <c r="CB332" s="208"/>
      <c r="CC332" s="208"/>
      <c r="CD332" s="208"/>
      <c r="CE332" s="208"/>
      <c r="CF332" s="208"/>
      <c r="CG332" s="208"/>
      <c r="CH332" s="208"/>
      <c r="CI332" s="208"/>
      <c r="CJ332" s="208"/>
      <c r="CK332" s="208"/>
      <c r="CL332" s="208"/>
      <c r="CM332" s="208"/>
      <c r="CN332" s="208"/>
      <c r="CO332" s="208"/>
      <c r="CP332" s="208"/>
      <c r="CQ332" s="208"/>
      <c r="CR332" s="208"/>
      <c r="CS332" s="208"/>
      <c r="CT332" s="208"/>
      <c r="CU332" s="208"/>
      <c r="CV332" s="208"/>
      <c r="CW332" s="208"/>
      <c r="CX332" s="208"/>
      <c r="CY332" s="208"/>
      <c r="CZ332" s="208"/>
      <c r="DA332" s="208"/>
      <c r="DB332" s="208"/>
      <c r="DC332" s="208"/>
      <c r="DD332" s="208"/>
      <c r="DE332" s="208"/>
      <c r="DF332" s="208"/>
      <c r="DG332" s="208"/>
      <c r="DH332" s="208"/>
      <c r="DI332" s="208"/>
      <c r="DJ332" s="208"/>
      <c r="DK332" s="208"/>
      <c r="DL332" s="208"/>
      <c r="DM332" s="208"/>
      <c r="DN332" s="208"/>
      <c r="DO332" s="208"/>
      <c r="DP332" s="208"/>
      <c r="DQ332" s="208"/>
      <c r="DR332" s="208"/>
      <c r="DS332" s="208"/>
      <c r="DT332" s="208"/>
      <c r="DU332" s="208"/>
      <c r="DV332" s="208"/>
      <c r="DW332" s="208"/>
      <c r="DX332" s="208"/>
      <c r="DY332" s="208"/>
      <c r="DZ332" s="208"/>
      <c r="EA332" s="208"/>
      <c r="EB332" s="208"/>
      <c r="EC332" s="208"/>
      <c r="ED332" s="208"/>
      <c r="EE332" s="208"/>
      <c r="EF332" s="208"/>
      <c r="EG332" s="208"/>
      <c r="EH332" s="208"/>
      <c r="EI332" s="208"/>
      <c r="EJ332" s="208"/>
      <c r="EK332" s="208"/>
      <c r="EL332" s="208"/>
      <c r="EM332" s="208"/>
      <c r="EN332" s="208"/>
      <c r="EO332" s="208"/>
      <c r="EP332" s="208"/>
      <c r="EQ332" s="208"/>
      <c r="ER332" s="208"/>
      <c r="ES332" s="208"/>
      <c r="ET332" s="208"/>
      <c r="EU332" s="208"/>
      <c r="EV332" s="208"/>
      <c r="EW332" s="208"/>
      <c r="EX332" s="208"/>
      <c r="EY332" s="208"/>
      <c r="EZ332" s="208"/>
      <c r="FA332" s="208"/>
      <c r="FB332" s="208"/>
      <c r="FC332" s="208"/>
      <c r="FD332" s="208"/>
      <c r="FE332" s="208"/>
      <c r="FF332" s="208"/>
      <c r="FG332" s="208"/>
      <c r="FH332" s="208"/>
      <c r="FI332" s="208"/>
      <c r="FJ332" s="208"/>
      <c r="FK332" s="208"/>
      <c r="FL332" s="208"/>
      <c r="FM332" s="208"/>
      <c r="FN332" s="208"/>
      <c r="FO332" s="208"/>
      <c r="FP332" s="208"/>
      <c r="FQ332" s="208"/>
      <c r="FR332" s="208"/>
      <c r="FS332" s="208"/>
      <c r="FT332" s="208"/>
      <c r="FU332" s="208"/>
      <c r="FV332" s="208"/>
      <c r="FW332" s="208"/>
      <c r="FX332" s="208"/>
      <c r="FY332" s="208"/>
      <c r="FZ332" s="208"/>
      <c r="GA332" s="208"/>
      <c r="GB332" s="208"/>
      <c r="GC332" s="208"/>
      <c r="GD332" s="208"/>
      <c r="GE332" s="208"/>
      <c r="GF332" s="208"/>
    </row>
    <row r="333" spans="1:188" s="209" customFormat="1" ht="15" x14ac:dyDescent="0.25">
      <c r="A333" s="195" t="s">
        <v>5113</v>
      </c>
      <c r="B333" s="195" t="s">
        <v>3489</v>
      </c>
      <c r="C333" s="196" t="s">
        <v>3490</v>
      </c>
      <c r="D333" s="154" t="s">
        <v>28</v>
      </c>
      <c r="E333" s="154">
        <v>500</v>
      </c>
      <c r="F333" s="154">
        <v>0.2</v>
      </c>
      <c r="G333" s="197"/>
      <c r="H333" s="198"/>
      <c r="I333" s="247">
        <v>1.47</v>
      </c>
      <c r="J333" s="152">
        <f t="shared" si="51"/>
        <v>147</v>
      </c>
      <c r="K333" s="198">
        <f>BDI!$E$17</f>
        <v>0.11260000000000001</v>
      </c>
      <c r="L333" s="198"/>
      <c r="M333" s="198"/>
      <c r="N333" s="153">
        <f t="shared" si="52"/>
        <v>1.64</v>
      </c>
      <c r="O333" s="152">
        <f t="shared" si="53"/>
        <v>164</v>
      </c>
      <c r="P333" s="225"/>
      <c r="Q333" s="208"/>
      <c r="R333" s="208"/>
      <c r="S333"/>
      <c r="T333" s="208"/>
      <c r="U333" s="208"/>
      <c r="V333" s="208"/>
      <c r="W333" s="208"/>
      <c r="X333" s="208"/>
      <c r="Y333" s="208"/>
      <c r="Z333" s="208"/>
      <c r="AA333" s="208"/>
      <c r="AB333" s="208"/>
      <c r="AC333" s="208"/>
      <c r="AD333" s="208"/>
      <c r="AE333" s="208"/>
      <c r="AF333" s="208"/>
      <c r="AG333" s="208"/>
      <c r="AH333" s="208"/>
      <c r="AI333" s="208"/>
      <c r="AJ333" s="208"/>
      <c r="AK333" s="208"/>
      <c r="AL333" s="208"/>
      <c r="AM333" s="208"/>
      <c r="AN333" s="208"/>
      <c r="AO333" s="208"/>
      <c r="AP333" s="208"/>
      <c r="AQ333" s="208"/>
      <c r="AR333" s="208"/>
      <c r="AS333" s="208"/>
      <c r="AT333" s="208"/>
      <c r="AU333" s="208"/>
      <c r="AV333" s="208"/>
      <c r="AW333" s="208"/>
      <c r="AX333" s="208"/>
      <c r="AY333" s="208"/>
      <c r="AZ333" s="208"/>
      <c r="BA333" s="208"/>
      <c r="BB333" s="208"/>
      <c r="BC333" s="208"/>
      <c r="BD333" s="208"/>
      <c r="BE333" s="208"/>
      <c r="BF333" s="208"/>
      <c r="BG333" s="208"/>
      <c r="BH333" s="208"/>
      <c r="BI333" s="208"/>
      <c r="BJ333" s="208"/>
      <c r="BK333" s="208"/>
      <c r="BL333" s="208"/>
      <c r="BM333" s="208"/>
      <c r="BN333" s="208"/>
      <c r="BO333" s="208"/>
      <c r="BP333" s="208"/>
      <c r="BQ333" s="208"/>
      <c r="BR333" s="208"/>
      <c r="BS333" s="208"/>
      <c r="BT333" s="208"/>
      <c r="BU333" s="208"/>
      <c r="BV333" s="208"/>
      <c r="BW333" s="208"/>
      <c r="BX333" s="208"/>
      <c r="BY333" s="208"/>
      <c r="BZ333" s="208"/>
      <c r="CA333" s="208"/>
      <c r="CB333" s="208"/>
      <c r="CC333" s="208"/>
      <c r="CD333" s="208"/>
      <c r="CE333" s="208"/>
      <c r="CF333" s="208"/>
      <c r="CG333" s="208"/>
      <c r="CH333" s="208"/>
      <c r="CI333" s="208"/>
      <c r="CJ333" s="208"/>
      <c r="CK333" s="208"/>
      <c r="CL333" s="208"/>
      <c r="CM333" s="208"/>
      <c r="CN333" s="208"/>
      <c r="CO333" s="208"/>
      <c r="CP333" s="208"/>
      <c r="CQ333" s="208"/>
      <c r="CR333" s="208"/>
      <c r="CS333" s="208"/>
      <c r="CT333" s="208"/>
      <c r="CU333" s="208"/>
      <c r="CV333" s="208"/>
      <c r="CW333" s="208"/>
      <c r="CX333" s="208"/>
      <c r="CY333" s="208"/>
      <c r="CZ333" s="208"/>
      <c r="DA333" s="208"/>
      <c r="DB333" s="208"/>
      <c r="DC333" s="208"/>
      <c r="DD333" s="208"/>
      <c r="DE333" s="208"/>
      <c r="DF333" s="208"/>
      <c r="DG333" s="208"/>
      <c r="DH333" s="208"/>
      <c r="DI333" s="208"/>
      <c r="DJ333" s="208"/>
      <c r="DK333" s="208"/>
      <c r="DL333" s="208"/>
      <c r="DM333" s="208"/>
      <c r="DN333" s="208"/>
      <c r="DO333" s="208"/>
      <c r="DP333" s="208"/>
      <c r="DQ333" s="208"/>
      <c r="DR333" s="208"/>
      <c r="DS333" s="208"/>
      <c r="DT333" s="208"/>
      <c r="DU333" s="208"/>
      <c r="DV333" s="208"/>
      <c r="DW333" s="208"/>
      <c r="DX333" s="208"/>
      <c r="DY333" s="208"/>
      <c r="DZ333" s="208"/>
      <c r="EA333" s="208"/>
      <c r="EB333" s="208"/>
      <c r="EC333" s="208"/>
      <c r="ED333" s="208"/>
      <c r="EE333" s="208"/>
      <c r="EF333" s="208"/>
      <c r="EG333" s="208"/>
      <c r="EH333" s="208"/>
      <c r="EI333" s="208"/>
      <c r="EJ333" s="208"/>
      <c r="EK333" s="208"/>
      <c r="EL333" s="208"/>
      <c r="EM333" s="208"/>
      <c r="EN333" s="208"/>
      <c r="EO333" s="208"/>
      <c r="EP333" s="208"/>
      <c r="EQ333" s="208"/>
      <c r="ER333" s="208"/>
      <c r="ES333" s="208"/>
      <c r="ET333" s="208"/>
      <c r="EU333" s="208"/>
      <c r="EV333" s="208"/>
      <c r="EW333" s="208"/>
      <c r="EX333" s="208"/>
      <c r="EY333" s="208"/>
      <c r="EZ333" s="208"/>
      <c r="FA333" s="208"/>
      <c r="FB333" s="208"/>
      <c r="FC333" s="208"/>
      <c r="FD333" s="208"/>
      <c r="FE333" s="208"/>
      <c r="FF333" s="208"/>
      <c r="FG333" s="208"/>
      <c r="FH333" s="208"/>
      <c r="FI333" s="208"/>
      <c r="FJ333" s="208"/>
      <c r="FK333" s="208"/>
      <c r="FL333" s="208"/>
      <c r="FM333" s="208"/>
      <c r="FN333" s="208"/>
      <c r="FO333" s="208"/>
      <c r="FP333" s="208"/>
      <c r="FQ333" s="208"/>
      <c r="FR333" s="208"/>
      <c r="FS333" s="208"/>
      <c r="FT333" s="208"/>
      <c r="FU333" s="208"/>
      <c r="FV333" s="208"/>
      <c r="FW333" s="208"/>
      <c r="FX333" s="208"/>
      <c r="FY333" s="208"/>
      <c r="FZ333" s="208"/>
      <c r="GA333" s="208"/>
      <c r="GB333" s="208"/>
      <c r="GC333" s="208"/>
      <c r="GD333" s="208"/>
      <c r="GE333" s="208"/>
      <c r="GF333" s="208"/>
    </row>
    <row r="334" spans="1:188" s="209" customFormat="1" ht="15" x14ac:dyDescent="0.25">
      <c r="A334" s="195" t="s">
        <v>5114</v>
      </c>
      <c r="B334" s="195" t="s">
        <v>3692</v>
      </c>
      <c r="C334" s="196" t="s">
        <v>3693</v>
      </c>
      <c r="D334" s="154" t="s">
        <v>28</v>
      </c>
      <c r="E334" s="154">
        <v>16500</v>
      </c>
      <c r="F334" s="154">
        <v>0.2</v>
      </c>
      <c r="G334" s="197"/>
      <c r="H334" s="198"/>
      <c r="I334" s="247">
        <v>3.71</v>
      </c>
      <c r="J334" s="152">
        <f t="shared" si="51"/>
        <v>12243</v>
      </c>
      <c r="K334" s="198">
        <f>BDI!$E$17</f>
        <v>0.11260000000000001</v>
      </c>
      <c r="L334" s="198"/>
      <c r="M334" s="198"/>
      <c r="N334" s="153">
        <f t="shared" si="52"/>
        <v>4.13</v>
      </c>
      <c r="O334" s="152">
        <f t="shared" si="53"/>
        <v>13629</v>
      </c>
      <c r="P334" s="225"/>
      <c r="Q334" s="208"/>
      <c r="R334" s="208"/>
      <c r="S334"/>
      <c r="T334" s="208"/>
      <c r="U334" s="208"/>
      <c r="V334" s="208"/>
      <c r="W334" s="208"/>
      <c r="X334" s="208"/>
      <c r="Y334" s="208"/>
      <c r="Z334" s="208"/>
      <c r="AA334" s="208"/>
      <c r="AB334" s="208"/>
      <c r="AC334" s="208"/>
      <c r="AD334" s="208"/>
      <c r="AE334" s="208"/>
      <c r="AF334" s="208"/>
      <c r="AG334" s="208"/>
      <c r="AH334" s="208"/>
      <c r="AI334" s="208"/>
      <c r="AJ334" s="208"/>
      <c r="AK334" s="208"/>
      <c r="AL334" s="208"/>
      <c r="AM334" s="208"/>
      <c r="AN334" s="208"/>
      <c r="AO334" s="208"/>
      <c r="AP334" s="208"/>
      <c r="AQ334" s="208"/>
      <c r="AR334" s="208"/>
      <c r="AS334" s="208"/>
      <c r="AT334" s="208"/>
      <c r="AU334" s="208"/>
      <c r="AV334" s="208"/>
      <c r="AW334" s="208"/>
      <c r="AX334" s="208"/>
      <c r="AY334" s="208"/>
      <c r="AZ334" s="208"/>
      <c r="BA334" s="208"/>
      <c r="BB334" s="208"/>
      <c r="BC334" s="208"/>
      <c r="BD334" s="208"/>
      <c r="BE334" s="208"/>
      <c r="BF334" s="208"/>
      <c r="BG334" s="208"/>
      <c r="BH334" s="208"/>
      <c r="BI334" s="208"/>
      <c r="BJ334" s="208"/>
      <c r="BK334" s="208"/>
      <c r="BL334" s="208"/>
      <c r="BM334" s="208"/>
      <c r="BN334" s="208"/>
      <c r="BO334" s="208"/>
      <c r="BP334" s="208"/>
      <c r="BQ334" s="208"/>
      <c r="BR334" s="208"/>
      <c r="BS334" s="208"/>
      <c r="BT334" s="208"/>
      <c r="BU334" s="208"/>
      <c r="BV334" s="208"/>
      <c r="BW334" s="208"/>
      <c r="BX334" s="208"/>
      <c r="BY334" s="208"/>
      <c r="BZ334" s="208"/>
      <c r="CA334" s="208"/>
      <c r="CB334" s="208"/>
      <c r="CC334" s="208"/>
      <c r="CD334" s="208"/>
      <c r="CE334" s="208"/>
      <c r="CF334" s="208"/>
      <c r="CG334" s="208"/>
      <c r="CH334" s="208"/>
      <c r="CI334" s="208"/>
      <c r="CJ334" s="208"/>
      <c r="CK334" s="208"/>
      <c r="CL334" s="208"/>
      <c r="CM334" s="208"/>
      <c r="CN334" s="208"/>
      <c r="CO334" s="208"/>
      <c r="CP334" s="208"/>
      <c r="CQ334" s="208"/>
      <c r="CR334" s="208"/>
      <c r="CS334" s="208"/>
      <c r="CT334" s="208"/>
      <c r="CU334" s="208"/>
      <c r="CV334" s="208"/>
      <c r="CW334" s="208"/>
      <c r="CX334" s="208"/>
      <c r="CY334" s="208"/>
      <c r="CZ334" s="208"/>
      <c r="DA334" s="208"/>
      <c r="DB334" s="208"/>
      <c r="DC334" s="208"/>
      <c r="DD334" s="208"/>
      <c r="DE334" s="208"/>
      <c r="DF334" s="208"/>
      <c r="DG334" s="208"/>
      <c r="DH334" s="208"/>
      <c r="DI334" s="208"/>
      <c r="DJ334" s="208"/>
      <c r="DK334" s="208"/>
      <c r="DL334" s="208"/>
      <c r="DM334" s="208"/>
      <c r="DN334" s="208"/>
      <c r="DO334" s="208"/>
      <c r="DP334" s="208"/>
      <c r="DQ334" s="208"/>
      <c r="DR334" s="208"/>
      <c r="DS334" s="208"/>
      <c r="DT334" s="208"/>
      <c r="DU334" s="208"/>
      <c r="DV334" s="208"/>
      <c r="DW334" s="208"/>
      <c r="DX334" s="208"/>
      <c r="DY334" s="208"/>
      <c r="DZ334" s="208"/>
      <c r="EA334" s="208"/>
      <c r="EB334" s="208"/>
      <c r="EC334" s="208"/>
      <c r="ED334" s="208"/>
      <c r="EE334" s="208"/>
      <c r="EF334" s="208"/>
      <c r="EG334" s="208"/>
      <c r="EH334" s="208"/>
      <c r="EI334" s="208"/>
      <c r="EJ334" s="208"/>
      <c r="EK334" s="208"/>
      <c r="EL334" s="208"/>
      <c r="EM334" s="208"/>
      <c r="EN334" s="208"/>
      <c r="EO334" s="208"/>
      <c r="EP334" s="208"/>
      <c r="EQ334" s="208"/>
      <c r="ER334" s="208"/>
      <c r="ES334" s="208"/>
      <c r="ET334" s="208"/>
      <c r="EU334" s="208"/>
      <c r="EV334" s="208"/>
      <c r="EW334" s="208"/>
      <c r="EX334" s="208"/>
      <c r="EY334" s="208"/>
      <c r="EZ334" s="208"/>
      <c r="FA334" s="208"/>
      <c r="FB334" s="208"/>
      <c r="FC334" s="208"/>
      <c r="FD334" s="208"/>
      <c r="FE334" s="208"/>
      <c r="FF334" s="208"/>
      <c r="FG334" s="208"/>
      <c r="FH334" s="208"/>
      <c r="FI334" s="208"/>
      <c r="FJ334" s="208"/>
      <c r="FK334" s="208"/>
      <c r="FL334" s="208"/>
      <c r="FM334" s="208"/>
      <c r="FN334" s="208"/>
      <c r="FO334" s="208"/>
      <c r="FP334" s="208"/>
      <c r="FQ334" s="208"/>
      <c r="FR334" s="208"/>
      <c r="FS334" s="208"/>
      <c r="FT334" s="208"/>
      <c r="FU334" s="208"/>
      <c r="FV334" s="208"/>
      <c r="FW334" s="208"/>
      <c r="FX334" s="208"/>
      <c r="FY334" s="208"/>
      <c r="FZ334" s="208"/>
      <c r="GA334" s="208"/>
      <c r="GB334" s="208"/>
      <c r="GC334" s="208"/>
      <c r="GD334" s="208"/>
      <c r="GE334" s="208"/>
      <c r="GF334" s="208"/>
    </row>
    <row r="335" spans="1:188" s="209" customFormat="1" ht="15" x14ac:dyDescent="0.25">
      <c r="A335" s="195" t="s">
        <v>5115</v>
      </c>
      <c r="B335" s="195" t="s">
        <v>652</v>
      </c>
      <c r="C335" s="196" t="s">
        <v>2460</v>
      </c>
      <c r="D335" s="154" t="s">
        <v>28</v>
      </c>
      <c r="E335" s="154">
        <v>16290</v>
      </c>
      <c r="F335" s="154">
        <v>0.2</v>
      </c>
      <c r="G335" s="197"/>
      <c r="H335" s="198"/>
      <c r="I335" s="151">
        <v>2.9164999999999996</v>
      </c>
      <c r="J335" s="152">
        <f t="shared" si="51"/>
        <v>9501.9599999999991</v>
      </c>
      <c r="K335" s="198">
        <f>BDI!$E$17</f>
        <v>0.11260000000000001</v>
      </c>
      <c r="L335" s="198"/>
      <c r="M335" s="198"/>
      <c r="N335" s="153">
        <f t="shared" si="52"/>
        <v>3.24</v>
      </c>
      <c r="O335" s="152">
        <f t="shared" si="53"/>
        <v>10555.92</v>
      </c>
      <c r="P335" s="225"/>
      <c r="Q335" s="208"/>
      <c r="R335" s="208"/>
      <c r="S335"/>
      <c r="T335" s="208"/>
      <c r="U335" s="208"/>
      <c r="V335" s="208"/>
      <c r="W335" s="208"/>
      <c r="X335" s="208"/>
      <c r="Y335" s="208"/>
      <c r="Z335" s="208"/>
      <c r="AA335" s="208"/>
      <c r="AB335" s="208"/>
      <c r="AC335" s="208"/>
      <c r="AD335" s="208"/>
      <c r="AE335" s="208"/>
      <c r="AF335" s="208"/>
      <c r="AG335" s="208"/>
      <c r="AH335" s="208"/>
      <c r="AI335" s="208"/>
      <c r="AJ335" s="208"/>
      <c r="AK335" s="208"/>
      <c r="AL335" s="208"/>
      <c r="AM335" s="208"/>
      <c r="AN335" s="208"/>
      <c r="AO335" s="208"/>
      <c r="AP335" s="208"/>
      <c r="AQ335" s="208"/>
      <c r="AR335" s="208"/>
      <c r="AS335" s="208"/>
      <c r="AT335" s="208"/>
      <c r="AU335" s="208"/>
      <c r="AV335" s="208"/>
      <c r="AW335" s="208"/>
      <c r="AX335" s="208"/>
      <c r="AY335" s="208"/>
      <c r="AZ335" s="208"/>
      <c r="BA335" s="208"/>
      <c r="BB335" s="208"/>
      <c r="BC335" s="208"/>
      <c r="BD335" s="208"/>
      <c r="BE335" s="208"/>
      <c r="BF335" s="208"/>
      <c r="BG335" s="208"/>
      <c r="BH335" s="208"/>
      <c r="BI335" s="208"/>
      <c r="BJ335" s="208"/>
      <c r="BK335" s="208"/>
      <c r="BL335" s="208"/>
      <c r="BM335" s="208"/>
      <c r="BN335" s="208"/>
      <c r="BO335" s="208"/>
      <c r="BP335" s="208"/>
      <c r="BQ335" s="208"/>
      <c r="BR335" s="208"/>
      <c r="BS335" s="208"/>
      <c r="BT335" s="208"/>
      <c r="BU335" s="208"/>
      <c r="BV335" s="208"/>
      <c r="BW335" s="208"/>
      <c r="BX335" s="208"/>
      <c r="BY335" s="208"/>
      <c r="BZ335" s="208"/>
      <c r="CA335" s="208"/>
      <c r="CB335" s="208"/>
      <c r="CC335" s="208"/>
      <c r="CD335" s="208"/>
      <c r="CE335" s="208"/>
      <c r="CF335" s="208"/>
      <c r="CG335" s="208"/>
      <c r="CH335" s="208"/>
      <c r="CI335" s="208"/>
      <c r="CJ335" s="208"/>
      <c r="CK335" s="208"/>
      <c r="CL335" s="208"/>
      <c r="CM335" s="208"/>
      <c r="CN335" s="208"/>
      <c r="CO335" s="208"/>
      <c r="CP335" s="208"/>
      <c r="CQ335" s="208"/>
      <c r="CR335" s="208"/>
      <c r="CS335" s="208"/>
      <c r="CT335" s="208"/>
      <c r="CU335" s="208"/>
      <c r="CV335" s="208"/>
      <c r="CW335" s="208"/>
      <c r="CX335" s="208"/>
      <c r="CY335" s="208"/>
      <c r="CZ335" s="208"/>
      <c r="DA335" s="208"/>
      <c r="DB335" s="208"/>
      <c r="DC335" s="208"/>
      <c r="DD335" s="208"/>
      <c r="DE335" s="208"/>
      <c r="DF335" s="208"/>
      <c r="DG335" s="208"/>
      <c r="DH335" s="208"/>
      <c r="DI335" s="208"/>
      <c r="DJ335" s="208"/>
      <c r="DK335" s="208"/>
      <c r="DL335" s="208"/>
      <c r="DM335" s="208"/>
      <c r="DN335" s="208"/>
      <c r="DO335" s="208"/>
      <c r="DP335" s="208"/>
      <c r="DQ335" s="208"/>
      <c r="DR335" s="208"/>
      <c r="DS335" s="208"/>
      <c r="DT335" s="208"/>
      <c r="DU335" s="208"/>
      <c r="DV335" s="208"/>
      <c r="DW335" s="208"/>
      <c r="DX335" s="208"/>
      <c r="DY335" s="208"/>
      <c r="DZ335" s="208"/>
      <c r="EA335" s="208"/>
      <c r="EB335" s="208"/>
      <c r="EC335" s="208"/>
      <c r="ED335" s="208"/>
      <c r="EE335" s="208"/>
      <c r="EF335" s="208"/>
      <c r="EG335" s="208"/>
      <c r="EH335" s="208"/>
      <c r="EI335" s="208"/>
      <c r="EJ335" s="208"/>
      <c r="EK335" s="208"/>
      <c r="EL335" s="208"/>
      <c r="EM335" s="208"/>
      <c r="EN335" s="208"/>
      <c r="EO335" s="208"/>
      <c r="EP335" s="208"/>
      <c r="EQ335" s="208"/>
      <c r="ER335" s="208"/>
      <c r="ES335" s="208"/>
      <c r="ET335" s="208"/>
      <c r="EU335" s="208"/>
      <c r="EV335" s="208"/>
      <c r="EW335" s="208"/>
      <c r="EX335" s="208"/>
      <c r="EY335" s="208"/>
      <c r="EZ335" s="208"/>
      <c r="FA335" s="208"/>
      <c r="FB335" s="208"/>
      <c r="FC335" s="208"/>
      <c r="FD335" s="208"/>
      <c r="FE335" s="208"/>
      <c r="FF335" s="208"/>
      <c r="FG335" s="208"/>
      <c r="FH335" s="208"/>
      <c r="FI335" s="208"/>
      <c r="FJ335" s="208"/>
      <c r="FK335" s="208"/>
      <c r="FL335" s="208"/>
      <c r="FM335" s="208"/>
      <c r="FN335" s="208"/>
      <c r="FO335" s="208"/>
      <c r="FP335" s="208"/>
      <c r="FQ335" s="208"/>
      <c r="FR335" s="208"/>
      <c r="FS335" s="208"/>
      <c r="FT335" s="208"/>
      <c r="FU335" s="208"/>
      <c r="FV335" s="208"/>
      <c r="FW335" s="208"/>
      <c r="FX335" s="208"/>
      <c r="FY335" s="208"/>
      <c r="FZ335" s="208"/>
      <c r="GA335" s="208"/>
      <c r="GB335" s="208"/>
      <c r="GC335" s="208"/>
      <c r="GD335" s="208"/>
      <c r="GE335" s="208"/>
      <c r="GF335" s="208"/>
    </row>
    <row r="336" spans="1:188" s="209" customFormat="1" ht="15" x14ac:dyDescent="0.25">
      <c r="A336" s="195" t="s">
        <v>5116</v>
      </c>
      <c r="B336" s="195" t="s">
        <v>1742</v>
      </c>
      <c r="C336" s="196" t="s">
        <v>3491</v>
      </c>
      <c r="D336" s="154" t="s">
        <v>28</v>
      </c>
      <c r="E336" s="154">
        <v>5000</v>
      </c>
      <c r="F336" s="154">
        <v>0.2</v>
      </c>
      <c r="G336" s="197"/>
      <c r="H336" s="198"/>
      <c r="I336" s="151">
        <v>1.748</v>
      </c>
      <c r="J336" s="152">
        <f t="shared" si="51"/>
        <v>1748</v>
      </c>
      <c r="K336" s="198">
        <f>BDI!$E$17</f>
        <v>0.11260000000000001</v>
      </c>
      <c r="L336" s="198"/>
      <c r="M336" s="198"/>
      <c r="N336" s="153">
        <f t="shared" si="52"/>
        <v>1.94</v>
      </c>
      <c r="O336" s="152">
        <f t="shared" si="53"/>
        <v>1940</v>
      </c>
      <c r="P336" s="225"/>
      <c r="Q336" s="208"/>
      <c r="R336" s="208"/>
      <c r="S336"/>
      <c r="T336" s="208"/>
      <c r="U336" s="208"/>
      <c r="V336" s="208"/>
      <c r="W336" s="208"/>
      <c r="X336" s="208"/>
      <c r="Y336" s="208"/>
      <c r="Z336" s="208"/>
      <c r="AA336" s="208"/>
      <c r="AB336" s="208"/>
      <c r="AC336" s="208"/>
      <c r="AD336" s="208"/>
      <c r="AE336" s="208"/>
      <c r="AF336" s="208"/>
      <c r="AG336" s="208"/>
      <c r="AH336" s="208"/>
      <c r="AI336" s="208"/>
      <c r="AJ336" s="208"/>
      <c r="AK336" s="208"/>
      <c r="AL336" s="208"/>
      <c r="AM336" s="208"/>
      <c r="AN336" s="208"/>
      <c r="AO336" s="208"/>
      <c r="AP336" s="208"/>
      <c r="AQ336" s="208"/>
      <c r="AR336" s="208"/>
      <c r="AS336" s="208"/>
      <c r="AT336" s="208"/>
      <c r="AU336" s="208"/>
      <c r="AV336" s="208"/>
      <c r="AW336" s="208"/>
      <c r="AX336" s="208"/>
      <c r="AY336" s="208"/>
      <c r="AZ336" s="208"/>
      <c r="BA336" s="208"/>
      <c r="BB336" s="208"/>
      <c r="BC336" s="208"/>
      <c r="BD336" s="208"/>
      <c r="BE336" s="208"/>
      <c r="BF336" s="208"/>
      <c r="BG336" s="208"/>
      <c r="BH336" s="208"/>
      <c r="BI336" s="208"/>
      <c r="BJ336" s="208"/>
      <c r="BK336" s="208"/>
      <c r="BL336" s="208"/>
      <c r="BM336" s="208"/>
      <c r="BN336" s="208"/>
      <c r="BO336" s="208"/>
      <c r="BP336" s="208"/>
      <c r="BQ336" s="208"/>
      <c r="BR336" s="208"/>
      <c r="BS336" s="208"/>
      <c r="BT336" s="208"/>
      <c r="BU336" s="208"/>
      <c r="BV336" s="208"/>
      <c r="BW336" s="208"/>
      <c r="BX336" s="208"/>
      <c r="BY336" s="208"/>
      <c r="BZ336" s="208"/>
      <c r="CA336" s="208"/>
      <c r="CB336" s="208"/>
      <c r="CC336" s="208"/>
      <c r="CD336" s="208"/>
      <c r="CE336" s="208"/>
      <c r="CF336" s="208"/>
      <c r="CG336" s="208"/>
      <c r="CH336" s="208"/>
      <c r="CI336" s="208"/>
      <c r="CJ336" s="208"/>
      <c r="CK336" s="208"/>
      <c r="CL336" s="208"/>
      <c r="CM336" s="208"/>
      <c r="CN336" s="208"/>
      <c r="CO336" s="208"/>
      <c r="CP336" s="208"/>
      <c r="CQ336" s="208"/>
      <c r="CR336" s="208"/>
      <c r="CS336" s="208"/>
      <c r="CT336" s="208"/>
      <c r="CU336" s="208"/>
      <c r="CV336" s="208"/>
      <c r="CW336" s="208"/>
      <c r="CX336" s="208"/>
      <c r="CY336" s="208"/>
      <c r="CZ336" s="208"/>
      <c r="DA336" s="208"/>
      <c r="DB336" s="208"/>
      <c r="DC336" s="208"/>
      <c r="DD336" s="208"/>
      <c r="DE336" s="208"/>
      <c r="DF336" s="208"/>
      <c r="DG336" s="208"/>
      <c r="DH336" s="208"/>
      <c r="DI336" s="208"/>
      <c r="DJ336" s="208"/>
      <c r="DK336" s="208"/>
      <c r="DL336" s="208"/>
      <c r="DM336" s="208"/>
      <c r="DN336" s="208"/>
      <c r="DO336" s="208"/>
      <c r="DP336" s="208"/>
      <c r="DQ336" s="208"/>
      <c r="DR336" s="208"/>
      <c r="DS336" s="208"/>
      <c r="DT336" s="208"/>
      <c r="DU336" s="208"/>
      <c r="DV336" s="208"/>
      <c r="DW336" s="208"/>
      <c r="DX336" s="208"/>
      <c r="DY336" s="208"/>
      <c r="DZ336" s="208"/>
      <c r="EA336" s="208"/>
      <c r="EB336" s="208"/>
      <c r="EC336" s="208"/>
      <c r="ED336" s="208"/>
      <c r="EE336" s="208"/>
      <c r="EF336" s="208"/>
      <c r="EG336" s="208"/>
      <c r="EH336" s="208"/>
      <c r="EI336" s="208"/>
      <c r="EJ336" s="208"/>
      <c r="EK336" s="208"/>
      <c r="EL336" s="208"/>
      <c r="EM336" s="208"/>
      <c r="EN336" s="208"/>
      <c r="EO336" s="208"/>
      <c r="EP336" s="208"/>
      <c r="EQ336" s="208"/>
      <c r="ER336" s="208"/>
      <c r="ES336" s="208"/>
      <c r="ET336" s="208"/>
      <c r="EU336" s="208"/>
      <c r="EV336" s="208"/>
      <c r="EW336" s="208"/>
      <c r="EX336" s="208"/>
      <c r="EY336" s="208"/>
      <c r="EZ336" s="208"/>
      <c r="FA336" s="208"/>
      <c r="FB336" s="208"/>
      <c r="FC336" s="208"/>
      <c r="FD336" s="208"/>
      <c r="FE336" s="208"/>
      <c r="FF336" s="208"/>
      <c r="FG336" s="208"/>
      <c r="FH336" s="208"/>
      <c r="FI336" s="208"/>
      <c r="FJ336" s="208"/>
      <c r="FK336" s="208"/>
      <c r="FL336" s="208"/>
      <c r="FM336" s="208"/>
      <c r="FN336" s="208"/>
      <c r="FO336" s="208"/>
      <c r="FP336" s="208"/>
      <c r="FQ336" s="208"/>
      <c r="FR336" s="208"/>
      <c r="FS336" s="208"/>
      <c r="FT336" s="208"/>
      <c r="FU336" s="208"/>
      <c r="FV336" s="208"/>
      <c r="FW336" s="208"/>
      <c r="FX336" s="208"/>
      <c r="FY336" s="208"/>
      <c r="FZ336" s="208"/>
      <c r="GA336" s="208"/>
      <c r="GB336" s="208"/>
      <c r="GC336" s="208"/>
      <c r="GD336" s="208"/>
      <c r="GE336" s="208"/>
      <c r="GF336" s="208"/>
    </row>
    <row r="337" spans="1:188" s="209" customFormat="1" ht="15" x14ac:dyDescent="0.25">
      <c r="A337" s="195" t="s">
        <v>5117</v>
      </c>
      <c r="B337" s="195" t="s">
        <v>653</v>
      </c>
      <c r="C337" s="196" t="s">
        <v>2461</v>
      </c>
      <c r="D337" s="154" t="s">
        <v>28</v>
      </c>
      <c r="E337" s="154">
        <v>1000</v>
      </c>
      <c r="F337" s="154">
        <v>0.2</v>
      </c>
      <c r="G337" s="197"/>
      <c r="H337" s="198"/>
      <c r="I337" s="151">
        <v>4.1500000000000004</v>
      </c>
      <c r="J337" s="152">
        <f t="shared" si="51"/>
        <v>830</v>
      </c>
      <c r="K337" s="198">
        <f>BDI!$E$17</f>
        <v>0.11260000000000001</v>
      </c>
      <c r="L337" s="198"/>
      <c r="M337" s="198"/>
      <c r="N337" s="153">
        <f t="shared" si="52"/>
        <v>4.62</v>
      </c>
      <c r="O337" s="152">
        <f t="shared" si="53"/>
        <v>924</v>
      </c>
      <c r="P337" s="225"/>
      <c r="Q337" s="208"/>
      <c r="R337" s="208"/>
      <c r="S337"/>
      <c r="T337" s="208"/>
      <c r="U337" s="208"/>
      <c r="V337" s="208"/>
      <c r="W337" s="208"/>
      <c r="X337" s="208"/>
      <c r="Y337" s="208"/>
      <c r="Z337" s="208"/>
      <c r="AA337" s="208"/>
      <c r="AB337" s="208"/>
      <c r="AC337" s="208"/>
      <c r="AD337" s="208"/>
      <c r="AE337" s="208"/>
      <c r="AF337" s="208"/>
      <c r="AG337" s="208"/>
      <c r="AH337" s="208"/>
      <c r="AI337" s="208"/>
      <c r="AJ337" s="208"/>
      <c r="AK337" s="208"/>
      <c r="AL337" s="208"/>
      <c r="AM337" s="208"/>
      <c r="AN337" s="208"/>
      <c r="AO337" s="208"/>
      <c r="AP337" s="208"/>
      <c r="AQ337" s="208"/>
      <c r="AR337" s="208"/>
      <c r="AS337" s="208"/>
      <c r="AT337" s="208"/>
      <c r="AU337" s="208"/>
      <c r="AV337" s="208"/>
      <c r="AW337" s="208"/>
      <c r="AX337" s="208"/>
      <c r="AY337" s="208"/>
      <c r="AZ337" s="208"/>
      <c r="BA337" s="208"/>
      <c r="BB337" s="208"/>
      <c r="BC337" s="208"/>
      <c r="BD337" s="208"/>
      <c r="BE337" s="208"/>
      <c r="BF337" s="208"/>
      <c r="BG337" s="208"/>
      <c r="BH337" s="208"/>
      <c r="BI337" s="208"/>
      <c r="BJ337" s="208"/>
      <c r="BK337" s="208"/>
      <c r="BL337" s="208"/>
      <c r="BM337" s="208"/>
      <c r="BN337" s="208"/>
      <c r="BO337" s="208"/>
      <c r="BP337" s="208"/>
      <c r="BQ337" s="208"/>
      <c r="BR337" s="208"/>
      <c r="BS337" s="208"/>
      <c r="BT337" s="208"/>
      <c r="BU337" s="208"/>
      <c r="BV337" s="208"/>
      <c r="BW337" s="208"/>
      <c r="BX337" s="208"/>
      <c r="BY337" s="208"/>
      <c r="BZ337" s="208"/>
      <c r="CA337" s="208"/>
      <c r="CB337" s="208"/>
      <c r="CC337" s="208"/>
      <c r="CD337" s="208"/>
      <c r="CE337" s="208"/>
      <c r="CF337" s="208"/>
      <c r="CG337" s="208"/>
      <c r="CH337" s="208"/>
      <c r="CI337" s="208"/>
      <c r="CJ337" s="208"/>
      <c r="CK337" s="208"/>
      <c r="CL337" s="208"/>
      <c r="CM337" s="208"/>
      <c r="CN337" s="208"/>
      <c r="CO337" s="208"/>
      <c r="CP337" s="208"/>
      <c r="CQ337" s="208"/>
      <c r="CR337" s="208"/>
      <c r="CS337" s="208"/>
      <c r="CT337" s="208"/>
      <c r="CU337" s="208"/>
      <c r="CV337" s="208"/>
      <c r="CW337" s="208"/>
      <c r="CX337" s="208"/>
      <c r="CY337" s="208"/>
      <c r="CZ337" s="208"/>
      <c r="DA337" s="208"/>
      <c r="DB337" s="208"/>
      <c r="DC337" s="208"/>
      <c r="DD337" s="208"/>
      <c r="DE337" s="208"/>
      <c r="DF337" s="208"/>
      <c r="DG337" s="208"/>
      <c r="DH337" s="208"/>
      <c r="DI337" s="208"/>
      <c r="DJ337" s="208"/>
      <c r="DK337" s="208"/>
      <c r="DL337" s="208"/>
      <c r="DM337" s="208"/>
      <c r="DN337" s="208"/>
      <c r="DO337" s="208"/>
      <c r="DP337" s="208"/>
      <c r="DQ337" s="208"/>
      <c r="DR337" s="208"/>
      <c r="DS337" s="208"/>
      <c r="DT337" s="208"/>
      <c r="DU337" s="208"/>
      <c r="DV337" s="208"/>
      <c r="DW337" s="208"/>
      <c r="DX337" s="208"/>
      <c r="DY337" s="208"/>
      <c r="DZ337" s="208"/>
      <c r="EA337" s="208"/>
      <c r="EB337" s="208"/>
      <c r="EC337" s="208"/>
      <c r="ED337" s="208"/>
      <c r="EE337" s="208"/>
      <c r="EF337" s="208"/>
      <c r="EG337" s="208"/>
      <c r="EH337" s="208"/>
      <c r="EI337" s="208"/>
      <c r="EJ337" s="208"/>
      <c r="EK337" s="208"/>
      <c r="EL337" s="208"/>
      <c r="EM337" s="208"/>
      <c r="EN337" s="208"/>
      <c r="EO337" s="208"/>
      <c r="EP337" s="208"/>
      <c r="EQ337" s="208"/>
      <c r="ER337" s="208"/>
      <c r="ES337" s="208"/>
      <c r="ET337" s="208"/>
      <c r="EU337" s="208"/>
      <c r="EV337" s="208"/>
      <c r="EW337" s="208"/>
      <c r="EX337" s="208"/>
      <c r="EY337" s="208"/>
      <c r="EZ337" s="208"/>
      <c r="FA337" s="208"/>
      <c r="FB337" s="208"/>
      <c r="FC337" s="208"/>
      <c r="FD337" s="208"/>
      <c r="FE337" s="208"/>
      <c r="FF337" s="208"/>
      <c r="FG337" s="208"/>
      <c r="FH337" s="208"/>
      <c r="FI337" s="208"/>
      <c r="FJ337" s="208"/>
      <c r="FK337" s="208"/>
      <c r="FL337" s="208"/>
      <c r="FM337" s="208"/>
      <c r="FN337" s="208"/>
      <c r="FO337" s="208"/>
      <c r="FP337" s="208"/>
      <c r="FQ337" s="208"/>
      <c r="FR337" s="208"/>
      <c r="FS337" s="208"/>
      <c r="FT337" s="208"/>
      <c r="FU337" s="208"/>
      <c r="FV337" s="208"/>
      <c r="FW337" s="208"/>
      <c r="FX337" s="208"/>
      <c r="FY337" s="208"/>
      <c r="FZ337" s="208"/>
      <c r="GA337" s="208"/>
      <c r="GB337" s="208"/>
      <c r="GC337" s="208"/>
      <c r="GD337" s="208"/>
      <c r="GE337" s="208"/>
      <c r="GF337" s="208"/>
    </row>
    <row r="338" spans="1:188" s="209" customFormat="1" ht="15" x14ac:dyDescent="0.25">
      <c r="A338" s="195" t="s">
        <v>5118</v>
      </c>
      <c r="B338" s="195" t="s">
        <v>1745</v>
      </c>
      <c r="C338" s="196" t="s">
        <v>3495</v>
      </c>
      <c r="D338" s="154" t="s">
        <v>121</v>
      </c>
      <c r="E338" s="154">
        <v>4000</v>
      </c>
      <c r="F338" s="154">
        <v>0.2</v>
      </c>
      <c r="G338" s="197"/>
      <c r="H338" s="198"/>
      <c r="I338" s="151">
        <v>1.04</v>
      </c>
      <c r="J338" s="152">
        <f t="shared" si="51"/>
        <v>832</v>
      </c>
      <c r="K338" s="198">
        <f>BDI!$E$17</f>
        <v>0.11260000000000001</v>
      </c>
      <c r="L338" s="198"/>
      <c r="M338" s="198"/>
      <c r="N338" s="153">
        <f t="shared" si="52"/>
        <v>1.1599999999999999</v>
      </c>
      <c r="O338" s="152">
        <f t="shared" si="53"/>
        <v>928</v>
      </c>
      <c r="P338" s="225"/>
      <c r="Q338" s="208"/>
      <c r="R338" s="208"/>
      <c r="S338"/>
      <c r="T338" s="208"/>
      <c r="U338" s="208"/>
      <c r="V338" s="208"/>
      <c r="W338" s="208"/>
      <c r="X338" s="208"/>
      <c r="Y338" s="208"/>
      <c r="Z338" s="208"/>
      <c r="AA338" s="208"/>
      <c r="AB338" s="208"/>
      <c r="AC338" s="208"/>
      <c r="AD338" s="208"/>
      <c r="AE338" s="208"/>
      <c r="AF338" s="208"/>
      <c r="AG338" s="208"/>
      <c r="AH338" s="208"/>
      <c r="AI338" s="208"/>
      <c r="AJ338" s="208"/>
      <c r="AK338" s="208"/>
      <c r="AL338" s="208"/>
      <c r="AM338" s="208"/>
      <c r="AN338" s="208"/>
      <c r="AO338" s="208"/>
      <c r="AP338" s="208"/>
      <c r="AQ338" s="208"/>
      <c r="AR338" s="208"/>
      <c r="AS338" s="208"/>
      <c r="AT338" s="208"/>
      <c r="AU338" s="208"/>
      <c r="AV338" s="208"/>
      <c r="AW338" s="208"/>
      <c r="AX338" s="208"/>
      <c r="AY338" s="208"/>
      <c r="AZ338" s="208"/>
      <c r="BA338" s="208"/>
      <c r="BB338" s="208"/>
      <c r="BC338" s="208"/>
      <c r="BD338" s="208"/>
      <c r="BE338" s="208"/>
      <c r="BF338" s="208"/>
      <c r="BG338" s="208"/>
      <c r="BH338" s="208"/>
      <c r="BI338" s="208"/>
      <c r="BJ338" s="208"/>
      <c r="BK338" s="208"/>
      <c r="BL338" s="208"/>
      <c r="BM338" s="208"/>
      <c r="BN338" s="208"/>
      <c r="BO338" s="208"/>
      <c r="BP338" s="208"/>
      <c r="BQ338" s="208"/>
      <c r="BR338" s="208"/>
      <c r="BS338" s="208"/>
      <c r="BT338" s="208"/>
      <c r="BU338" s="208"/>
      <c r="BV338" s="208"/>
      <c r="BW338" s="208"/>
      <c r="BX338" s="208"/>
      <c r="BY338" s="208"/>
      <c r="BZ338" s="208"/>
      <c r="CA338" s="208"/>
      <c r="CB338" s="208"/>
      <c r="CC338" s="208"/>
      <c r="CD338" s="208"/>
      <c r="CE338" s="208"/>
      <c r="CF338" s="208"/>
      <c r="CG338" s="208"/>
      <c r="CH338" s="208"/>
      <c r="CI338" s="208"/>
      <c r="CJ338" s="208"/>
      <c r="CK338" s="208"/>
      <c r="CL338" s="208"/>
      <c r="CM338" s="208"/>
      <c r="CN338" s="208"/>
      <c r="CO338" s="208"/>
      <c r="CP338" s="208"/>
      <c r="CQ338" s="208"/>
      <c r="CR338" s="208"/>
      <c r="CS338" s="208"/>
      <c r="CT338" s="208"/>
      <c r="CU338" s="208"/>
      <c r="CV338" s="208"/>
      <c r="CW338" s="208"/>
      <c r="CX338" s="208"/>
      <c r="CY338" s="208"/>
      <c r="CZ338" s="208"/>
      <c r="DA338" s="208"/>
      <c r="DB338" s="208"/>
      <c r="DC338" s="208"/>
      <c r="DD338" s="208"/>
      <c r="DE338" s="208"/>
      <c r="DF338" s="208"/>
      <c r="DG338" s="208"/>
      <c r="DH338" s="208"/>
      <c r="DI338" s="208"/>
      <c r="DJ338" s="208"/>
      <c r="DK338" s="208"/>
      <c r="DL338" s="208"/>
      <c r="DM338" s="208"/>
      <c r="DN338" s="208"/>
      <c r="DO338" s="208"/>
      <c r="DP338" s="208"/>
      <c r="DQ338" s="208"/>
      <c r="DR338" s="208"/>
      <c r="DS338" s="208"/>
      <c r="DT338" s="208"/>
      <c r="DU338" s="208"/>
      <c r="DV338" s="208"/>
      <c r="DW338" s="208"/>
      <c r="DX338" s="208"/>
      <c r="DY338" s="208"/>
      <c r="DZ338" s="208"/>
      <c r="EA338" s="208"/>
      <c r="EB338" s="208"/>
      <c r="EC338" s="208"/>
      <c r="ED338" s="208"/>
      <c r="EE338" s="208"/>
      <c r="EF338" s="208"/>
      <c r="EG338" s="208"/>
      <c r="EH338" s="208"/>
      <c r="EI338" s="208"/>
      <c r="EJ338" s="208"/>
      <c r="EK338" s="208"/>
      <c r="EL338" s="208"/>
      <c r="EM338" s="208"/>
      <c r="EN338" s="208"/>
      <c r="EO338" s="208"/>
      <c r="EP338" s="208"/>
      <c r="EQ338" s="208"/>
      <c r="ER338" s="208"/>
      <c r="ES338" s="208"/>
      <c r="ET338" s="208"/>
      <c r="EU338" s="208"/>
      <c r="EV338" s="208"/>
      <c r="EW338" s="208"/>
      <c r="EX338" s="208"/>
      <c r="EY338" s="208"/>
      <c r="EZ338" s="208"/>
      <c r="FA338" s="208"/>
      <c r="FB338" s="208"/>
      <c r="FC338" s="208"/>
      <c r="FD338" s="208"/>
      <c r="FE338" s="208"/>
      <c r="FF338" s="208"/>
      <c r="FG338" s="208"/>
      <c r="FH338" s="208"/>
      <c r="FI338" s="208"/>
      <c r="FJ338" s="208"/>
      <c r="FK338" s="208"/>
      <c r="FL338" s="208"/>
      <c r="FM338" s="208"/>
      <c r="FN338" s="208"/>
      <c r="FO338" s="208"/>
      <c r="FP338" s="208"/>
      <c r="FQ338" s="208"/>
      <c r="FR338" s="208"/>
      <c r="FS338" s="208"/>
      <c r="FT338" s="208"/>
      <c r="FU338" s="208"/>
      <c r="FV338" s="208"/>
      <c r="FW338" s="208"/>
      <c r="FX338" s="208"/>
      <c r="FY338" s="208"/>
      <c r="FZ338" s="208"/>
      <c r="GA338" s="208"/>
      <c r="GB338" s="208"/>
      <c r="GC338" s="208"/>
      <c r="GD338" s="208"/>
      <c r="GE338" s="208"/>
      <c r="GF338" s="208"/>
    </row>
    <row r="339" spans="1:188" s="209" customFormat="1" ht="15" x14ac:dyDescent="0.25">
      <c r="A339" s="195" t="s">
        <v>5119</v>
      </c>
      <c r="B339" s="195" t="s">
        <v>655</v>
      </c>
      <c r="C339" s="196" t="s">
        <v>2462</v>
      </c>
      <c r="D339" s="154" t="s">
        <v>121</v>
      </c>
      <c r="E339" s="154">
        <v>500</v>
      </c>
      <c r="F339" s="154">
        <v>0.2</v>
      </c>
      <c r="G339" s="197"/>
      <c r="H339" s="198"/>
      <c r="I339" s="151">
        <v>1.47</v>
      </c>
      <c r="J339" s="152">
        <f t="shared" si="51"/>
        <v>147</v>
      </c>
      <c r="K339" s="198">
        <f>BDI!$E$17</f>
        <v>0.11260000000000001</v>
      </c>
      <c r="L339" s="198"/>
      <c r="M339" s="198"/>
      <c r="N339" s="153">
        <f t="shared" si="52"/>
        <v>1.64</v>
      </c>
      <c r="O339" s="152">
        <f t="shared" si="53"/>
        <v>164</v>
      </c>
      <c r="P339" s="225"/>
      <c r="Q339" s="208"/>
      <c r="R339" s="208"/>
      <c r="S339"/>
      <c r="T339" s="208"/>
      <c r="U339" s="208"/>
      <c r="V339" s="208"/>
      <c r="W339" s="208"/>
      <c r="X339" s="208"/>
      <c r="Y339" s="208"/>
      <c r="Z339" s="208"/>
      <c r="AA339" s="208"/>
      <c r="AB339" s="208"/>
      <c r="AC339" s="208"/>
      <c r="AD339" s="208"/>
      <c r="AE339" s="208"/>
      <c r="AF339" s="208"/>
      <c r="AG339" s="208"/>
      <c r="AH339" s="208"/>
      <c r="AI339" s="208"/>
      <c r="AJ339" s="208"/>
      <c r="AK339" s="208"/>
      <c r="AL339" s="208"/>
      <c r="AM339" s="208"/>
      <c r="AN339" s="208"/>
      <c r="AO339" s="208"/>
      <c r="AP339" s="208"/>
      <c r="AQ339" s="208"/>
      <c r="AR339" s="208"/>
      <c r="AS339" s="208"/>
      <c r="AT339" s="208"/>
      <c r="AU339" s="208"/>
      <c r="AV339" s="208"/>
      <c r="AW339" s="208"/>
      <c r="AX339" s="208"/>
      <c r="AY339" s="208"/>
      <c r="AZ339" s="208"/>
      <c r="BA339" s="208"/>
      <c r="BB339" s="208"/>
      <c r="BC339" s="208"/>
      <c r="BD339" s="208"/>
      <c r="BE339" s="208"/>
      <c r="BF339" s="208"/>
      <c r="BG339" s="208"/>
      <c r="BH339" s="208"/>
      <c r="BI339" s="208"/>
      <c r="BJ339" s="208"/>
      <c r="BK339" s="208"/>
      <c r="BL339" s="208"/>
      <c r="BM339" s="208"/>
      <c r="BN339" s="208"/>
      <c r="BO339" s="208"/>
      <c r="BP339" s="208"/>
      <c r="BQ339" s="208"/>
      <c r="BR339" s="208"/>
      <c r="BS339" s="208"/>
      <c r="BT339" s="208"/>
      <c r="BU339" s="208"/>
      <c r="BV339" s="208"/>
      <c r="BW339" s="208"/>
      <c r="BX339" s="208"/>
      <c r="BY339" s="208"/>
      <c r="BZ339" s="208"/>
      <c r="CA339" s="208"/>
      <c r="CB339" s="208"/>
      <c r="CC339" s="208"/>
      <c r="CD339" s="208"/>
      <c r="CE339" s="208"/>
      <c r="CF339" s="208"/>
      <c r="CG339" s="208"/>
      <c r="CH339" s="208"/>
      <c r="CI339" s="208"/>
      <c r="CJ339" s="208"/>
      <c r="CK339" s="208"/>
      <c r="CL339" s="208"/>
      <c r="CM339" s="208"/>
      <c r="CN339" s="208"/>
      <c r="CO339" s="208"/>
      <c r="CP339" s="208"/>
      <c r="CQ339" s="208"/>
      <c r="CR339" s="208"/>
      <c r="CS339" s="208"/>
      <c r="CT339" s="208"/>
      <c r="CU339" s="208"/>
      <c r="CV339" s="208"/>
      <c r="CW339" s="208"/>
      <c r="CX339" s="208"/>
      <c r="CY339" s="208"/>
      <c r="CZ339" s="208"/>
      <c r="DA339" s="208"/>
      <c r="DB339" s="208"/>
      <c r="DC339" s="208"/>
      <c r="DD339" s="208"/>
      <c r="DE339" s="208"/>
      <c r="DF339" s="208"/>
      <c r="DG339" s="208"/>
      <c r="DH339" s="208"/>
      <c r="DI339" s="208"/>
      <c r="DJ339" s="208"/>
      <c r="DK339" s="208"/>
      <c r="DL339" s="208"/>
      <c r="DM339" s="208"/>
      <c r="DN339" s="208"/>
      <c r="DO339" s="208"/>
      <c r="DP339" s="208"/>
      <c r="DQ339" s="208"/>
      <c r="DR339" s="208"/>
      <c r="DS339" s="208"/>
      <c r="DT339" s="208"/>
      <c r="DU339" s="208"/>
      <c r="DV339" s="208"/>
      <c r="DW339" s="208"/>
      <c r="DX339" s="208"/>
      <c r="DY339" s="208"/>
      <c r="DZ339" s="208"/>
      <c r="EA339" s="208"/>
      <c r="EB339" s="208"/>
      <c r="EC339" s="208"/>
      <c r="ED339" s="208"/>
      <c r="EE339" s="208"/>
      <c r="EF339" s="208"/>
      <c r="EG339" s="208"/>
      <c r="EH339" s="208"/>
      <c r="EI339" s="208"/>
      <c r="EJ339" s="208"/>
      <c r="EK339" s="208"/>
      <c r="EL339" s="208"/>
      <c r="EM339" s="208"/>
      <c r="EN339" s="208"/>
      <c r="EO339" s="208"/>
      <c r="EP339" s="208"/>
      <c r="EQ339" s="208"/>
      <c r="ER339" s="208"/>
      <c r="ES339" s="208"/>
      <c r="ET339" s="208"/>
      <c r="EU339" s="208"/>
      <c r="EV339" s="208"/>
      <c r="EW339" s="208"/>
      <c r="EX339" s="208"/>
      <c r="EY339" s="208"/>
      <c r="EZ339" s="208"/>
      <c r="FA339" s="208"/>
      <c r="FB339" s="208"/>
      <c r="FC339" s="208"/>
      <c r="FD339" s="208"/>
      <c r="FE339" s="208"/>
      <c r="FF339" s="208"/>
      <c r="FG339" s="208"/>
      <c r="FH339" s="208"/>
      <c r="FI339" s="208"/>
      <c r="FJ339" s="208"/>
      <c r="FK339" s="208"/>
      <c r="FL339" s="208"/>
      <c r="FM339" s="208"/>
      <c r="FN339" s="208"/>
      <c r="FO339" s="208"/>
      <c r="FP339" s="208"/>
      <c r="FQ339" s="208"/>
      <c r="FR339" s="208"/>
      <c r="FS339" s="208"/>
      <c r="FT339" s="208"/>
      <c r="FU339" s="208"/>
      <c r="FV339" s="208"/>
      <c r="FW339" s="208"/>
      <c r="FX339" s="208"/>
      <c r="FY339" s="208"/>
      <c r="FZ339" s="208"/>
      <c r="GA339" s="208"/>
      <c r="GB339" s="208"/>
      <c r="GC339" s="208"/>
      <c r="GD339" s="208"/>
      <c r="GE339" s="208"/>
      <c r="GF339" s="208"/>
    </row>
    <row r="340" spans="1:188" s="209" customFormat="1" ht="15" x14ac:dyDescent="0.25">
      <c r="A340" s="195" t="s">
        <v>5120</v>
      </c>
      <c r="B340" s="195" t="s">
        <v>656</v>
      </c>
      <c r="C340" s="196" t="s">
        <v>2463</v>
      </c>
      <c r="D340" s="154" t="s">
        <v>121</v>
      </c>
      <c r="E340" s="154">
        <v>1060</v>
      </c>
      <c r="F340" s="154">
        <v>0.2</v>
      </c>
      <c r="G340" s="197"/>
      <c r="H340" s="198"/>
      <c r="I340" s="151">
        <v>2.6161099999999999</v>
      </c>
      <c r="J340" s="152">
        <f t="shared" si="51"/>
        <v>554.62</v>
      </c>
      <c r="K340" s="198">
        <f>BDI!$E$17</f>
        <v>0.11260000000000001</v>
      </c>
      <c r="L340" s="198"/>
      <c r="M340" s="198"/>
      <c r="N340" s="153">
        <f t="shared" si="52"/>
        <v>2.91</v>
      </c>
      <c r="O340" s="152">
        <f t="shared" si="53"/>
        <v>616.91999999999996</v>
      </c>
      <c r="P340" s="225"/>
      <c r="Q340" s="208"/>
      <c r="R340" s="208"/>
      <c r="S340"/>
      <c r="T340" s="208"/>
      <c r="U340" s="208"/>
      <c r="V340" s="208"/>
      <c r="W340" s="208"/>
      <c r="X340" s="208"/>
      <c r="Y340" s="208"/>
      <c r="Z340" s="208"/>
      <c r="AA340" s="208"/>
      <c r="AB340" s="208"/>
      <c r="AC340" s="208"/>
      <c r="AD340" s="208"/>
      <c r="AE340" s="208"/>
      <c r="AF340" s="208"/>
      <c r="AG340" s="208"/>
      <c r="AH340" s="208"/>
      <c r="AI340" s="208"/>
      <c r="AJ340" s="208"/>
      <c r="AK340" s="208"/>
      <c r="AL340" s="208"/>
      <c r="AM340" s="208"/>
      <c r="AN340" s="208"/>
      <c r="AO340" s="208"/>
      <c r="AP340" s="208"/>
      <c r="AQ340" s="208"/>
      <c r="AR340" s="208"/>
      <c r="AS340" s="208"/>
      <c r="AT340" s="208"/>
      <c r="AU340" s="208"/>
      <c r="AV340" s="208"/>
      <c r="AW340" s="208"/>
      <c r="AX340" s="208"/>
      <c r="AY340" s="208"/>
      <c r="AZ340" s="208"/>
      <c r="BA340" s="208"/>
      <c r="BB340" s="208"/>
      <c r="BC340" s="208"/>
      <c r="BD340" s="208"/>
      <c r="BE340" s="208"/>
      <c r="BF340" s="208"/>
      <c r="BG340" s="208"/>
      <c r="BH340" s="208"/>
      <c r="BI340" s="208"/>
      <c r="BJ340" s="208"/>
      <c r="BK340" s="208"/>
      <c r="BL340" s="208"/>
      <c r="BM340" s="208"/>
      <c r="BN340" s="208"/>
      <c r="BO340" s="208"/>
      <c r="BP340" s="208"/>
      <c r="BQ340" s="208"/>
      <c r="BR340" s="208"/>
      <c r="BS340" s="208"/>
      <c r="BT340" s="208"/>
      <c r="BU340" s="208"/>
      <c r="BV340" s="208"/>
      <c r="BW340" s="208"/>
      <c r="BX340" s="208"/>
      <c r="BY340" s="208"/>
      <c r="BZ340" s="208"/>
      <c r="CA340" s="208"/>
      <c r="CB340" s="208"/>
      <c r="CC340" s="208"/>
      <c r="CD340" s="208"/>
      <c r="CE340" s="208"/>
      <c r="CF340" s="208"/>
      <c r="CG340" s="208"/>
      <c r="CH340" s="208"/>
      <c r="CI340" s="208"/>
      <c r="CJ340" s="208"/>
      <c r="CK340" s="208"/>
      <c r="CL340" s="208"/>
      <c r="CM340" s="208"/>
      <c r="CN340" s="208"/>
      <c r="CO340" s="208"/>
      <c r="CP340" s="208"/>
      <c r="CQ340" s="208"/>
      <c r="CR340" s="208"/>
      <c r="CS340" s="208"/>
      <c r="CT340" s="208"/>
      <c r="CU340" s="208"/>
      <c r="CV340" s="208"/>
      <c r="CW340" s="208"/>
      <c r="CX340" s="208"/>
      <c r="CY340" s="208"/>
      <c r="CZ340" s="208"/>
      <c r="DA340" s="208"/>
      <c r="DB340" s="208"/>
      <c r="DC340" s="208"/>
      <c r="DD340" s="208"/>
      <c r="DE340" s="208"/>
      <c r="DF340" s="208"/>
      <c r="DG340" s="208"/>
      <c r="DH340" s="208"/>
      <c r="DI340" s="208"/>
      <c r="DJ340" s="208"/>
      <c r="DK340" s="208"/>
      <c r="DL340" s="208"/>
      <c r="DM340" s="208"/>
      <c r="DN340" s="208"/>
      <c r="DO340" s="208"/>
      <c r="DP340" s="208"/>
      <c r="DQ340" s="208"/>
      <c r="DR340" s="208"/>
      <c r="DS340" s="208"/>
      <c r="DT340" s="208"/>
      <c r="DU340" s="208"/>
      <c r="DV340" s="208"/>
      <c r="DW340" s="208"/>
      <c r="DX340" s="208"/>
      <c r="DY340" s="208"/>
      <c r="DZ340" s="208"/>
      <c r="EA340" s="208"/>
      <c r="EB340" s="208"/>
      <c r="EC340" s="208"/>
      <c r="ED340" s="208"/>
      <c r="EE340" s="208"/>
      <c r="EF340" s="208"/>
      <c r="EG340" s="208"/>
      <c r="EH340" s="208"/>
      <c r="EI340" s="208"/>
      <c r="EJ340" s="208"/>
      <c r="EK340" s="208"/>
      <c r="EL340" s="208"/>
      <c r="EM340" s="208"/>
      <c r="EN340" s="208"/>
      <c r="EO340" s="208"/>
      <c r="EP340" s="208"/>
      <c r="EQ340" s="208"/>
      <c r="ER340" s="208"/>
      <c r="ES340" s="208"/>
      <c r="ET340" s="208"/>
      <c r="EU340" s="208"/>
      <c r="EV340" s="208"/>
      <c r="EW340" s="208"/>
      <c r="EX340" s="208"/>
      <c r="EY340" s="208"/>
      <c r="EZ340" s="208"/>
      <c r="FA340" s="208"/>
      <c r="FB340" s="208"/>
      <c r="FC340" s="208"/>
      <c r="FD340" s="208"/>
      <c r="FE340" s="208"/>
      <c r="FF340" s="208"/>
      <c r="FG340" s="208"/>
      <c r="FH340" s="208"/>
      <c r="FI340" s="208"/>
      <c r="FJ340" s="208"/>
      <c r="FK340" s="208"/>
      <c r="FL340" s="208"/>
      <c r="FM340" s="208"/>
      <c r="FN340" s="208"/>
      <c r="FO340" s="208"/>
      <c r="FP340" s="208"/>
      <c r="FQ340" s="208"/>
      <c r="FR340" s="208"/>
      <c r="FS340" s="208"/>
      <c r="FT340" s="208"/>
      <c r="FU340" s="208"/>
      <c r="FV340" s="208"/>
      <c r="FW340" s="208"/>
      <c r="FX340" s="208"/>
      <c r="FY340" s="208"/>
      <c r="FZ340" s="208"/>
      <c r="GA340" s="208"/>
      <c r="GB340" s="208"/>
      <c r="GC340" s="208"/>
      <c r="GD340" s="208"/>
      <c r="GE340" s="208"/>
      <c r="GF340" s="208"/>
    </row>
    <row r="341" spans="1:188" s="209" customFormat="1" ht="15" x14ac:dyDescent="0.25">
      <c r="A341" s="195" t="s">
        <v>5121</v>
      </c>
      <c r="B341" s="195" t="s">
        <v>657</v>
      </c>
      <c r="C341" s="196" t="s">
        <v>2464</v>
      </c>
      <c r="D341" s="154" t="s">
        <v>121</v>
      </c>
      <c r="E341" s="154">
        <v>880</v>
      </c>
      <c r="F341" s="154">
        <v>0.2</v>
      </c>
      <c r="G341" s="197"/>
      <c r="H341" s="198"/>
      <c r="I341" s="151">
        <v>4.24</v>
      </c>
      <c r="J341" s="152">
        <f t="shared" si="51"/>
        <v>746.24</v>
      </c>
      <c r="K341" s="198">
        <f>BDI!$E$17</f>
        <v>0.11260000000000001</v>
      </c>
      <c r="L341" s="198"/>
      <c r="M341" s="198"/>
      <c r="N341" s="153">
        <f t="shared" si="52"/>
        <v>4.72</v>
      </c>
      <c r="O341" s="152">
        <f t="shared" si="53"/>
        <v>830.72</v>
      </c>
      <c r="P341" s="225"/>
      <c r="Q341" s="208"/>
      <c r="R341" s="208"/>
      <c r="S341"/>
      <c r="T341" s="208"/>
      <c r="U341" s="208"/>
      <c r="V341" s="208"/>
      <c r="W341" s="208"/>
      <c r="X341" s="208"/>
      <c r="Y341" s="208"/>
      <c r="Z341" s="208"/>
      <c r="AA341" s="208"/>
      <c r="AB341" s="208"/>
      <c r="AC341" s="208"/>
      <c r="AD341" s="208"/>
      <c r="AE341" s="208"/>
      <c r="AF341" s="208"/>
      <c r="AG341" s="208"/>
      <c r="AH341" s="208"/>
      <c r="AI341" s="208"/>
      <c r="AJ341" s="208"/>
      <c r="AK341" s="208"/>
      <c r="AL341" s="208"/>
      <c r="AM341" s="208"/>
      <c r="AN341" s="208"/>
      <c r="AO341" s="208"/>
      <c r="AP341" s="208"/>
      <c r="AQ341" s="208"/>
      <c r="AR341" s="208"/>
      <c r="AS341" s="208"/>
      <c r="AT341" s="208"/>
      <c r="AU341" s="208"/>
      <c r="AV341" s="208"/>
      <c r="AW341" s="208"/>
      <c r="AX341" s="208"/>
      <c r="AY341" s="208"/>
      <c r="AZ341" s="208"/>
      <c r="BA341" s="208"/>
      <c r="BB341" s="208"/>
      <c r="BC341" s="208"/>
      <c r="BD341" s="208"/>
      <c r="BE341" s="208"/>
      <c r="BF341" s="208"/>
      <c r="BG341" s="208"/>
      <c r="BH341" s="208"/>
      <c r="BI341" s="208"/>
      <c r="BJ341" s="208"/>
      <c r="BK341" s="208"/>
      <c r="BL341" s="208"/>
      <c r="BM341" s="208"/>
      <c r="BN341" s="208"/>
      <c r="BO341" s="208"/>
      <c r="BP341" s="208"/>
      <c r="BQ341" s="208"/>
      <c r="BR341" s="208"/>
      <c r="BS341" s="208"/>
      <c r="BT341" s="208"/>
      <c r="BU341" s="208"/>
      <c r="BV341" s="208"/>
      <c r="BW341" s="208"/>
      <c r="BX341" s="208"/>
      <c r="BY341" s="208"/>
      <c r="BZ341" s="208"/>
      <c r="CA341" s="208"/>
      <c r="CB341" s="208"/>
      <c r="CC341" s="208"/>
      <c r="CD341" s="208"/>
      <c r="CE341" s="208"/>
      <c r="CF341" s="208"/>
      <c r="CG341" s="208"/>
      <c r="CH341" s="208"/>
      <c r="CI341" s="208"/>
      <c r="CJ341" s="208"/>
      <c r="CK341" s="208"/>
      <c r="CL341" s="208"/>
      <c r="CM341" s="208"/>
      <c r="CN341" s="208"/>
      <c r="CO341" s="208"/>
      <c r="CP341" s="208"/>
      <c r="CQ341" s="208"/>
      <c r="CR341" s="208"/>
      <c r="CS341" s="208"/>
      <c r="CT341" s="208"/>
      <c r="CU341" s="208"/>
      <c r="CV341" s="208"/>
      <c r="CW341" s="208"/>
      <c r="CX341" s="208"/>
      <c r="CY341" s="208"/>
      <c r="CZ341" s="208"/>
      <c r="DA341" s="208"/>
      <c r="DB341" s="208"/>
      <c r="DC341" s="208"/>
      <c r="DD341" s="208"/>
      <c r="DE341" s="208"/>
      <c r="DF341" s="208"/>
      <c r="DG341" s="208"/>
      <c r="DH341" s="208"/>
      <c r="DI341" s="208"/>
      <c r="DJ341" s="208"/>
      <c r="DK341" s="208"/>
      <c r="DL341" s="208"/>
      <c r="DM341" s="208"/>
      <c r="DN341" s="208"/>
      <c r="DO341" s="208"/>
      <c r="DP341" s="208"/>
      <c r="DQ341" s="208"/>
      <c r="DR341" s="208"/>
      <c r="DS341" s="208"/>
      <c r="DT341" s="208"/>
      <c r="DU341" s="208"/>
      <c r="DV341" s="208"/>
      <c r="DW341" s="208"/>
      <c r="DX341" s="208"/>
      <c r="DY341" s="208"/>
      <c r="DZ341" s="208"/>
      <c r="EA341" s="208"/>
      <c r="EB341" s="208"/>
      <c r="EC341" s="208"/>
      <c r="ED341" s="208"/>
      <c r="EE341" s="208"/>
      <c r="EF341" s="208"/>
      <c r="EG341" s="208"/>
      <c r="EH341" s="208"/>
      <c r="EI341" s="208"/>
      <c r="EJ341" s="208"/>
      <c r="EK341" s="208"/>
      <c r="EL341" s="208"/>
      <c r="EM341" s="208"/>
      <c r="EN341" s="208"/>
      <c r="EO341" s="208"/>
      <c r="EP341" s="208"/>
      <c r="EQ341" s="208"/>
      <c r="ER341" s="208"/>
      <c r="ES341" s="208"/>
      <c r="ET341" s="208"/>
      <c r="EU341" s="208"/>
      <c r="EV341" s="208"/>
      <c r="EW341" s="208"/>
      <c r="EX341" s="208"/>
      <c r="EY341" s="208"/>
      <c r="EZ341" s="208"/>
      <c r="FA341" s="208"/>
      <c r="FB341" s="208"/>
      <c r="FC341" s="208"/>
      <c r="FD341" s="208"/>
      <c r="FE341" s="208"/>
      <c r="FF341" s="208"/>
      <c r="FG341" s="208"/>
      <c r="FH341" s="208"/>
      <c r="FI341" s="208"/>
      <c r="FJ341" s="208"/>
      <c r="FK341" s="208"/>
      <c r="FL341" s="208"/>
      <c r="FM341" s="208"/>
      <c r="FN341" s="208"/>
      <c r="FO341" s="208"/>
      <c r="FP341" s="208"/>
      <c r="FQ341" s="208"/>
      <c r="FR341" s="208"/>
      <c r="FS341" s="208"/>
      <c r="FT341" s="208"/>
      <c r="FU341" s="208"/>
      <c r="FV341" s="208"/>
      <c r="FW341" s="208"/>
      <c r="FX341" s="208"/>
      <c r="FY341" s="208"/>
      <c r="FZ341" s="208"/>
      <c r="GA341" s="208"/>
      <c r="GB341" s="208"/>
      <c r="GC341" s="208"/>
      <c r="GD341" s="208"/>
      <c r="GE341" s="208"/>
      <c r="GF341" s="208"/>
    </row>
    <row r="342" spans="1:188" s="209" customFormat="1" ht="15" x14ac:dyDescent="0.25">
      <c r="A342" s="195" t="s">
        <v>5122</v>
      </c>
      <c r="B342" s="195" t="s">
        <v>658</v>
      </c>
      <c r="C342" s="196" t="s">
        <v>2465</v>
      </c>
      <c r="D342" s="154" t="s">
        <v>121</v>
      </c>
      <c r="E342" s="154">
        <v>500</v>
      </c>
      <c r="F342" s="154">
        <v>0.2</v>
      </c>
      <c r="G342" s="197"/>
      <c r="H342" s="198"/>
      <c r="I342" s="151">
        <v>6.25</v>
      </c>
      <c r="J342" s="152">
        <f t="shared" si="51"/>
        <v>625</v>
      </c>
      <c r="K342" s="198">
        <f>BDI!$E$17</f>
        <v>0.11260000000000001</v>
      </c>
      <c r="L342" s="198"/>
      <c r="M342" s="198"/>
      <c r="N342" s="153">
        <f t="shared" si="52"/>
        <v>6.95</v>
      </c>
      <c r="O342" s="152">
        <f t="shared" si="53"/>
        <v>695</v>
      </c>
      <c r="P342" s="225"/>
      <c r="Q342" s="208"/>
      <c r="R342" s="208"/>
      <c r="S342"/>
      <c r="T342" s="208"/>
      <c r="U342" s="208"/>
      <c r="V342" s="208"/>
      <c r="W342" s="208"/>
      <c r="X342" s="208"/>
      <c r="Y342" s="208"/>
      <c r="Z342" s="208"/>
      <c r="AA342" s="208"/>
      <c r="AB342" s="208"/>
      <c r="AC342" s="208"/>
      <c r="AD342" s="208"/>
      <c r="AE342" s="208"/>
      <c r="AF342" s="208"/>
      <c r="AG342" s="208"/>
      <c r="AH342" s="208"/>
      <c r="AI342" s="208"/>
      <c r="AJ342" s="208"/>
      <c r="AK342" s="208"/>
      <c r="AL342" s="208"/>
      <c r="AM342" s="208"/>
      <c r="AN342" s="208"/>
      <c r="AO342" s="208"/>
      <c r="AP342" s="208"/>
      <c r="AQ342" s="208"/>
      <c r="AR342" s="208"/>
      <c r="AS342" s="208"/>
      <c r="AT342" s="208"/>
      <c r="AU342" s="208"/>
      <c r="AV342" s="208"/>
      <c r="AW342" s="208"/>
      <c r="AX342" s="208"/>
      <c r="AY342" s="208"/>
      <c r="AZ342" s="208"/>
      <c r="BA342" s="208"/>
      <c r="BB342" s="208"/>
      <c r="BC342" s="208"/>
      <c r="BD342" s="208"/>
      <c r="BE342" s="208"/>
      <c r="BF342" s="208"/>
      <c r="BG342" s="208"/>
      <c r="BH342" s="208"/>
      <c r="BI342" s="208"/>
      <c r="BJ342" s="208"/>
      <c r="BK342" s="208"/>
      <c r="BL342" s="208"/>
      <c r="BM342" s="208"/>
      <c r="BN342" s="208"/>
      <c r="BO342" s="208"/>
      <c r="BP342" s="208"/>
      <c r="BQ342" s="208"/>
      <c r="BR342" s="208"/>
      <c r="BS342" s="208"/>
      <c r="BT342" s="208"/>
      <c r="BU342" s="208"/>
      <c r="BV342" s="208"/>
      <c r="BW342" s="208"/>
      <c r="BX342" s="208"/>
      <c r="BY342" s="208"/>
      <c r="BZ342" s="208"/>
      <c r="CA342" s="208"/>
      <c r="CB342" s="208"/>
      <c r="CC342" s="208"/>
      <c r="CD342" s="208"/>
      <c r="CE342" s="208"/>
      <c r="CF342" s="208"/>
      <c r="CG342" s="208"/>
      <c r="CH342" s="208"/>
      <c r="CI342" s="208"/>
      <c r="CJ342" s="208"/>
      <c r="CK342" s="208"/>
      <c r="CL342" s="208"/>
      <c r="CM342" s="208"/>
      <c r="CN342" s="208"/>
      <c r="CO342" s="208"/>
      <c r="CP342" s="208"/>
      <c r="CQ342" s="208"/>
      <c r="CR342" s="208"/>
      <c r="CS342" s="208"/>
      <c r="CT342" s="208"/>
      <c r="CU342" s="208"/>
      <c r="CV342" s="208"/>
      <c r="CW342" s="208"/>
      <c r="CX342" s="208"/>
      <c r="CY342" s="208"/>
      <c r="CZ342" s="208"/>
      <c r="DA342" s="208"/>
      <c r="DB342" s="208"/>
      <c r="DC342" s="208"/>
      <c r="DD342" s="208"/>
      <c r="DE342" s="208"/>
      <c r="DF342" s="208"/>
      <c r="DG342" s="208"/>
      <c r="DH342" s="208"/>
      <c r="DI342" s="208"/>
      <c r="DJ342" s="208"/>
      <c r="DK342" s="208"/>
      <c r="DL342" s="208"/>
      <c r="DM342" s="208"/>
      <c r="DN342" s="208"/>
      <c r="DO342" s="208"/>
      <c r="DP342" s="208"/>
      <c r="DQ342" s="208"/>
      <c r="DR342" s="208"/>
      <c r="DS342" s="208"/>
      <c r="DT342" s="208"/>
      <c r="DU342" s="208"/>
      <c r="DV342" s="208"/>
      <c r="DW342" s="208"/>
      <c r="DX342" s="208"/>
      <c r="DY342" s="208"/>
      <c r="DZ342" s="208"/>
      <c r="EA342" s="208"/>
      <c r="EB342" s="208"/>
      <c r="EC342" s="208"/>
      <c r="ED342" s="208"/>
      <c r="EE342" s="208"/>
      <c r="EF342" s="208"/>
      <c r="EG342" s="208"/>
      <c r="EH342" s="208"/>
      <c r="EI342" s="208"/>
      <c r="EJ342" s="208"/>
      <c r="EK342" s="208"/>
      <c r="EL342" s="208"/>
      <c r="EM342" s="208"/>
      <c r="EN342" s="208"/>
      <c r="EO342" s="208"/>
      <c r="EP342" s="208"/>
      <c r="EQ342" s="208"/>
      <c r="ER342" s="208"/>
      <c r="ES342" s="208"/>
      <c r="ET342" s="208"/>
      <c r="EU342" s="208"/>
      <c r="EV342" s="208"/>
      <c r="EW342" s="208"/>
      <c r="EX342" s="208"/>
      <c r="EY342" s="208"/>
      <c r="EZ342" s="208"/>
      <c r="FA342" s="208"/>
      <c r="FB342" s="208"/>
      <c r="FC342" s="208"/>
      <c r="FD342" s="208"/>
      <c r="FE342" s="208"/>
      <c r="FF342" s="208"/>
      <c r="FG342" s="208"/>
      <c r="FH342" s="208"/>
      <c r="FI342" s="208"/>
      <c r="FJ342" s="208"/>
      <c r="FK342" s="208"/>
      <c r="FL342" s="208"/>
      <c r="FM342" s="208"/>
      <c r="FN342" s="208"/>
      <c r="FO342" s="208"/>
      <c r="FP342" s="208"/>
      <c r="FQ342" s="208"/>
      <c r="FR342" s="208"/>
      <c r="FS342" s="208"/>
      <c r="FT342" s="208"/>
      <c r="FU342" s="208"/>
      <c r="FV342" s="208"/>
      <c r="FW342" s="208"/>
      <c r="FX342" s="208"/>
      <c r="FY342" s="208"/>
      <c r="FZ342" s="208"/>
      <c r="GA342" s="208"/>
      <c r="GB342" s="208"/>
      <c r="GC342" s="208"/>
      <c r="GD342" s="208"/>
      <c r="GE342" s="208"/>
      <c r="GF342" s="208"/>
    </row>
    <row r="343" spans="1:188" s="209" customFormat="1" ht="15" x14ac:dyDescent="0.25">
      <c r="A343" s="195" t="s">
        <v>5123</v>
      </c>
      <c r="B343" s="195" t="s">
        <v>659</v>
      </c>
      <c r="C343" s="196" t="s">
        <v>2466</v>
      </c>
      <c r="D343" s="154" t="s">
        <v>121</v>
      </c>
      <c r="E343" s="154">
        <v>2540</v>
      </c>
      <c r="F343" s="154">
        <v>0.2</v>
      </c>
      <c r="G343" s="197"/>
      <c r="H343" s="198"/>
      <c r="I343" s="151">
        <v>8.44</v>
      </c>
      <c r="J343" s="152">
        <f t="shared" si="51"/>
        <v>4287.5200000000004</v>
      </c>
      <c r="K343" s="198">
        <f>BDI!$E$17</f>
        <v>0.11260000000000001</v>
      </c>
      <c r="L343" s="198"/>
      <c r="M343" s="198"/>
      <c r="N343" s="153">
        <f t="shared" si="52"/>
        <v>9.39</v>
      </c>
      <c r="O343" s="152">
        <f t="shared" si="53"/>
        <v>4770.12</v>
      </c>
      <c r="P343" s="225"/>
      <c r="Q343" s="208"/>
      <c r="R343" s="208"/>
      <c r="S343"/>
      <c r="T343" s="208"/>
      <c r="U343" s="208"/>
      <c r="V343" s="208"/>
      <c r="W343" s="208"/>
      <c r="X343" s="208"/>
      <c r="Y343" s="208"/>
      <c r="Z343" s="208"/>
      <c r="AA343" s="208"/>
      <c r="AB343" s="208"/>
      <c r="AC343" s="208"/>
      <c r="AD343" s="208"/>
      <c r="AE343" s="208"/>
      <c r="AF343" s="208"/>
      <c r="AG343" s="208"/>
      <c r="AH343" s="208"/>
      <c r="AI343" s="208"/>
      <c r="AJ343" s="208"/>
      <c r="AK343" s="208"/>
      <c r="AL343" s="208"/>
      <c r="AM343" s="208"/>
      <c r="AN343" s="208"/>
      <c r="AO343" s="208"/>
      <c r="AP343" s="208"/>
      <c r="AQ343" s="208"/>
      <c r="AR343" s="208"/>
      <c r="AS343" s="208"/>
      <c r="AT343" s="208"/>
      <c r="AU343" s="208"/>
      <c r="AV343" s="208"/>
      <c r="AW343" s="208"/>
      <c r="AX343" s="208"/>
      <c r="AY343" s="208"/>
      <c r="AZ343" s="208"/>
      <c r="BA343" s="208"/>
      <c r="BB343" s="208"/>
      <c r="BC343" s="208"/>
      <c r="BD343" s="208"/>
      <c r="BE343" s="208"/>
      <c r="BF343" s="208"/>
      <c r="BG343" s="208"/>
      <c r="BH343" s="208"/>
      <c r="BI343" s="208"/>
      <c r="BJ343" s="208"/>
      <c r="BK343" s="208"/>
      <c r="BL343" s="208"/>
      <c r="BM343" s="208"/>
      <c r="BN343" s="208"/>
      <c r="BO343" s="208"/>
      <c r="BP343" s="208"/>
      <c r="BQ343" s="208"/>
      <c r="BR343" s="208"/>
      <c r="BS343" s="208"/>
      <c r="BT343" s="208"/>
      <c r="BU343" s="208"/>
      <c r="BV343" s="208"/>
      <c r="BW343" s="208"/>
      <c r="BX343" s="208"/>
      <c r="BY343" s="208"/>
      <c r="BZ343" s="208"/>
      <c r="CA343" s="208"/>
      <c r="CB343" s="208"/>
      <c r="CC343" s="208"/>
      <c r="CD343" s="208"/>
      <c r="CE343" s="208"/>
      <c r="CF343" s="208"/>
      <c r="CG343" s="208"/>
      <c r="CH343" s="208"/>
      <c r="CI343" s="208"/>
      <c r="CJ343" s="208"/>
      <c r="CK343" s="208"/>
      <c r="CL343" s="208"/>
      <c r="CM343" s="208"/>
      <c r="CN343" s="208"/>
      <c r="CO343" s="208"/>
      <c r="CP343" s="208"/>
      <c r="CQ343" s="208"/>
      <c r="CR343" s="208"/>
      <c r="CS343" s="208"/>
      <c r="CT343" s="208"/>
      <c r="CU343" s="208"/>
      <c r="CV343" s="208"/>
      <c r="CW343" s="208"/>
      <c r="CX343" s="208"/>
      <c r="CY343" s="208"/>
      <c r="CZ343" s="208"/>
      <c r="DA343" s="208"/>
      <c r="DB343" s="208"/>
      <c r="DC343" s="208"/>
      <c r="DD343" s="208"/>
      <c r="DE343" s="208"/>
      <c r="DF343" s="208"/>
      <c r="DG343" s="208"/>
      <c r="DH343" s="208"/>
      <c r="DI343" s="208"/>
      <c r="DJ343" s="208"/>
      <c r="DK343" s="208"/>
      <c r="DL343" s="208"/>
      <c r="DM343" s="208"/>
      <c r="DN343" s="208"/>
      <c r="DO343" s="208"/>
      <c r="DP343" s="208"/>
      <c r="DQ343" s="208"/>
      <c r="DR343" s="208"/>
      <c r="DS343" s="208"/>
      <c r="DT343" s="208"/>
      <c r="DU343" s="208"/>
      <c r="DV343" s="208"/>
      <c r="DW343" s="208"/>
      <c r="DX343" s="208"/>
      <c r="DY343" s="208"/>
      <c r="DZ343" s="208"/>
      <c r="EA343" s="208"/>
      <c r="EB343" s="208"/>
      <c r="EC343" s="208"/>
      <c r="ED343" s="208"/>
      <c r="EE343" s="208"/>
      <c r="EF343" s="208"/>
      <c r="EG343" s="208"/>
      <c r="EH343" s="208"/>
      <c r="EI343" s="208"/>
      <c r="EJ343" s="208"/>
      <c r="EK343" s="208"/>
      <c r="EL343" s="208"/>
      <c r="EM343" s="208"/>
      <c r="EN343" s="208"/>
      <c r="EO343" s="208"/>
      <c r="EP343" s="208"/>
      <c r="EQ343" s="208"/>
      <c r="ER343" s="208"/>
      <c r="ES343" s="208"/>
      <c r="ET343" s="208"/>
      <c r="EU343" s="208"/>
      <c r="EV343" s="208"/>
      <c r="EW343" s="208"/>
      <c r="EX343" s="208"/>
      <c r="EY343" s="208"/>
      <c r="EZ343" s="208"/>
      <c r="FA343" s="208"/>
      <c r="FB343" s="208"/>
      <c r="FC343" s="208"/>
      <c r="FD343" s="208"/>
      <c r="FE343" s="208"/>
      <c r="FF343" s="208"/>
      <c r="FG343" s="208"/>
      <c r="FH343" s="208"/>
      <c r="FI343" s="208"/>
      <c r="FJ343" s="208"/>
      <c r="FK343" s="208"/>
      <c r="FL343" s="208"/>
      <c r="FM343" s="208"/>
      <c r="FN343" s="208"/>
      <c r="FO343" s="208"/>
      <c r="FP343" s="208"/>
      <c r="FQ343" s="208"/>
      <c r="FR343" s="208"/>
      <c r="FS343" s="208"/>
      <c r="FT343" s="208"/>
      <c r="FU343" s="208"/>
      <c r="FV343" s="208"/>
      <c r="FW343" s="208"/>
      <c r="FX343" s="208"/>
      <c r="FY343" s="208"/>
      <c r="FZ343" s="208"/>
      <c r="GA343" s="208"/>
      <c r="GB343" s="208"/>
      <c r="GC343" s="208"/>
      <c r="GD343" s="208"/>
      <c r="GE343" s="208"/>
      <c r="GF343" s="208"/>
    </row>
    <row r="344" spans="1:188" s="209" customFormat="1" ht="15" x14ac:dyDescent="0.25">
      <c r="A344" s="195" t="s">
        <v>5124</v>
      </c>
      <c r="B344" s="195" t="s">
        <v>1993</v>
      </c>
      <c r="C344" s="196" t="s">
        <v>3708</v>
      </c>
      <c r="D344" s="154" t="s">
        <v>121</v>
      </c>
      <c r="E344" s="154">
        <v>3000</v>
      </c>
      <c r="F344" s="154">
        <v>0.2</v>
      </c>
      <c r="G344" s="197"/>
      <c r="H344" s="198"/>
      <c r="I344" s="151">
        <v>15.89</v>
      </c>
      <c r="J344" s="152">
        <f t="shared" si="51"/>
        <v>9534</v>
      </c>
      <c r="K344" s="198">
        <f>BDI!$E$17</f>
        <v>0.11260000000000001</v>
      </c>
      <c r="L344" s="198"/>
      <c r="M344" s="198"/>
      <c r="N344" s="153">
        <f t="shared" si="52"/>
        <v>17.68</v>
      </c>
      <c r="O344" s="152">
        <f t="shared" si="53"/>
        <v>10608</v>
      </c>
      <c r="P344" s="225"/>
      <c r="Q344" s="208"/>
      <c r="R344" s="208"/>
      <c r="S344"/>
      <c r="T344" s="208"/>
      <c r="U344" s="208"/>
      <c r="V344" s="208"/>
      <c r="W344" s="208"/>
      <c r="X344" s="208"/>
      <c r="Y344" s="208"/>
      <c r="Z344" s="208"/>
      <c r="AA344" s="208"/>
      <c r="AB344" s="208"/>
      <c r="AC344" s="208"/>
      <c r="AD344" s="208"/>
      <c r="AE344" s="208"/>
      <c r="AF344" s="208"/>
      <c r="AG344" s="208"/>
      <c r="AH344" s="208"/>
      <c r="AI344" s="208"/>
      <c r="AJ344" s="208"/>
      <c r="AK344" s="208"/>
      <c r="AL344" s="208"/>
      <c r="AM344" s="208"/>
      <c r="AN344" s="208"/>
      <c r="AO344" s="208"/>
      <c r="AP344" s="208"/>
      <c r="AQ344" s="208"/>
      <c r="AR344" s="208"/>
      <c r="AS344" s="208"/>
      <c r="AT344" s="208"/>
      <c r="AU344" s="208"/>
      <c r="AV344" s="208"/>
      <c r="AW344" s="208"/>
      <c r="AX344" s="208"/>
      <c r="AY344" s="208"/>
      <c r="AZ344" s="208"/>
      <c r="BA344" s="208"/>
      <c r="BB344" s="208"/>
      <c r="BC344" s="208"/>
      <c r="BD344" s="208"/>
      <c r="BE344" s="208"/>
      <c r="BF344" s="208"/>
      <c r="BG344" s="208"/>
      <c r="BH344" s="208"/>
      <c r="BI344" s="208"/>
      <c r="BJ344" s="208"/>
      <c r="BK344" s="208"/>
      <c r="BL344" s="208"/>
      <c r="BM344" s="208"/>
      <c r="BN344" s="208"/>
      <c r="BO344" s="208"/>
      <c r="BP344" s="208"/>
      <c r="BQ344" s="208"/>
      <c r="BR344" s="208"/>
      <c r="BS344" s="208"/>
      <c r="BT344" s="208"/>
      <c r="BU344" s="208"/>
      <c r="BV344" s="208"/>
      <c r="BW344" s="208"/>
      <c r="BX344" s="208"/>
      <c r="BY344" s="208"/>
      <c r="BZ344" s="208"/>
      <c r="CA344" s="208"/>
      <c r="CB344" s="208"/>
      <c r="CC344" s="208"/>
      <c r="CD344" s="208"/>
      <c r="CE344" s="208"/>
      <c r="CF344" s="208"/>
      <c r="CG344" s="208"/>
      <c r="CH344" s="208"/>
      <c r="CI344" s="208"/>
      <c r="CJ344" s="208"/>
      <c r="CK344" s="208"/>
      <c r="CL344" s="208"/>
      <c r="CM344" s="208"/>
      <c r="CN344" s="208"/>
      <c r="CO344" s="208"/>
      <c r="CP344" s="208"/>
      <c r="CQ344" s="208"/>
      <c r="CR344" s="208"/>
      <c r="CS344" s="208"/>
      <c r="CT344" s="208"/>
      <c r="CU344" s="208"/>
      <c r="CV344" s="208"/>
      <c r="CW344" s="208"/>
      <c r="CX344" s="208"/>
      <c r="CY344" s="208"/>
      <c r="CZ344" s="208"/>
      <c r="DA344" s="208"/>
      <c r="DB344" s="208"/>
      <c r="DC344" s="208"/>
      <c r="DD344" s="208"/>
      <c r="DE344" s="208"/>
      <c r="DF344" s="208"/>
      <c r="DG344" s="208"/>
      <c r="DH344" s="208"/>
      <c r="DI344" s="208"/>
      <c r="DJ344" s="208"/>
      <c r="DK344" s="208"/>
      <c r="DL344" s="208"/>
      <c r="DM344" s="208"/>
      <c r="DN344" s="208"/>
      <c r="DO344" s="208"/>
      <c r="DP344" s="208"/>
      <c r="DQ344" s="208"/>
      <c r="DR344" s="208"/>
      <c r="DS344" s="208"/>
      <c r="DT344" s="208"/>
      <c r="DU344" s="208"/>
      <c r="DV344" s="208"/>
      <c r="DW344" s="208"/>
      <c r="DX344" s="208"/>
      <c r="DY344" s="208"/>
      <c r="DZ344" s="208"/>
      <c r="EA344" s="208"/>
      <c r="EB344" s="208"/>
      <c r="EC344" s="208"/>
      <c r="ED344" s="208"/>
      <c r="EE344" s="208"/>
      <c r="EF344" s="208"/>
      <c r="EG344" s="208"/>
      <c r="EH344" s="208"/>
      <c r="EI344" s="208"/>
      <c r="EJ344" s="208"/>
      <c r="EK344" s="208"/>
      <c r="EL344" s="208"/>
      <c r="EM344" s="208"/>
      <c r="EN344" s="208"/>
      <c r="EO344" s="208"/>
      <c r="EP344" s="208"/>
      <c r="EQ344" s="208"/>
      <c r="ER344" s="208"/>
      <c r="ES344" s="208"/>
      <c r="ET344" s="208"/>
      <c r="EU344" s="208"/>
      <c r="EV344" s="208"/>
      <c r="EW344" s="208"/>
      <c r="EX344" s="208"/>
      <c r="EY344" s="208"/>
      <c r="EZ344" s="208"/>
      <c r="FA344" s="208"/>
      <c r="FB344" s="208"/>
      <c r="FC344" s="208"/>
      <c r="FD344" s="208"/>
      <c r="FE344" s="208"/>
      <c r="FF344" s="208"/>
      <c r="FG344" s="208"/>
      <c r="FH344" s="208"/>
      <c r="FI344" s="208"/>
      <c r="FJ344" s="208"/>
      <c r="FK344" s="208"/>
      <c r="FL344" s="208"/>
      <c r="FM344" s="208"/>
      <c r="FN344" s="208"/>
      <c r="FO344" s="208"/>
      <c r="FP344" s="208"/>
      <c r="FQ344" s="208"/>
      <c r="FR344" s="208"/>
      <c r="FS344" s="208"/>
      <c r="FT344" s="208"/>
      <c r="FU344" s="208"/>
      <c r="FV344" s="208"/>
      <c r="FW344" s="208"/>
      <c r="FX344" s="208"/>
      <c r="FY344" s="208"/>
      <c r="FZ344" s="208"/>
      <c r="GA344" s="208"/>
      <c r="GB344" s="208"/>
      <c r="GC344" s="208"/>
      <c r="GD344" s="208"/>
      <c r="GE344" s="208"/>
      <c r="GF344" s="208"/>
    </row>
    <row r="345" spans="1:188" s="209" customFormat="1" ht="15" x14ac:dyDescent="0.25">
      <c r="A345" s="195" t="s">
        <v>5125</v>
      </c>
      <c r="B345" s="195" t="s">
        <v>660</v>
      </c>
      <c r="C345" s="196" t="s">
        <v>2467</v>
      </c>
      <c r="D345" s="154" t="s">
        <v>82</v>
      </c>
      <c r="E345" s="154">
        <v>1380</v>
      </c>
      <c r="F345" s="154">
        <v>0.2</v>
      </c>
      <c r="G345" s="197"/>
      <c r="H345" s="198"/>
      <c r="I345" s="151">
        <v>18.25</v>
      </c>
      <c r="J345" s="152">
        <f t="shared" si="51"/>
        <v>5037</v>
      </c>
      <c r="K345" s="198">
        <f>BDI!$E$17</f>
        <v>0.11260000000000001</v>
      </c>
      <c r="L345" s="198"/>
      <c r="M345" s="198"/>
      <c r="N345" s="153">
        <f t="shared" si="52"/>
        <v>20.3</v>
      </c>
      <c r="O345" s="152">
        <f t="shared" si="53"/>
        <v>5602.8</v>
      </c>
      <c r="P345" s="225"/>
      <c r="Q345" s="208"/>
      <c r="R345" s="208"/>
      <c r="S345"/>
      <c r="T345" s="208"/>
      <c r="U345" s="208"/>
      <c r="V345" s="208"/>
      <c r="W345" s="208"/>
      <c r="X345" s="208"/>
      <c r="Y345" s="208"/>
      <c r="Z345" s="208"/>
      <c r="AA345" s="208"/>
      <c r="AB345" s="208"/>
      <c r="AC345" s="208"/>
      <c r="AD345" s="208"/>
      <c r="AE345" s="208"/>
      <c r="AF345" s="208"/>
      <c r="AG345" s="208"/>
      <c r="AH345" s="208"/>
      <c r="AI345" s="208"/>
      <c r="AJ345" s="208"/>
      <c r="AK345" s="208"/>
      <c r="AL345" s="208"/>
      <c r="AM345" s="208"/>
      <c r="AN345" s="208"/>
      <c r="AO345" s="208"/>
      <c r="AP345" s="208"/>
      <c r="AQ345" s="208"/>
      <c r="AR345" s="208"/>
      <c r="AS345" s="208"/>
      <c r="AT345" s="208"/>
      <c r="AU345" s="208"/>
      <c r="AV345" s="208"/>
      <c r="AW345" s="208"/>
      <c r="AX345" s="208"/>
      <c r="AY345" s="208"/>
      <c r="AZ345" s="208"/>
      <c r="BA345" s="208"/>
      <c r="BB345" s="208"/>
      <c r="BC345" s="208"/>
      <c r="BD345" s="208"/>
      <c r="BE345" s="208"/>
      <c r="BF345" s="208"/>
      <c r="BG345" s="208"/>
      <c r="BH345" s="208"/>
      <c r="BI345" s="208"/>
      <c r="BJ345" s="208"/>
      <c r="BK345" s="208"/>
      <c r="BL345" s="208"/>
      <c r="BM345" s="208"/>
      <c r="BN345" s="208"/>
      <c r="BO345" s="208"/>
      <c r="BP345" s="208"/>
      <c r="BQ345" s="208"/>
      <c r="BR345" s="208"/>
      <c r="BS345" s="208"/>
      <c r="BT345" s="208"/>
      <c r="BU345" s="208"/>
      <c r="BV345" s="208"/>
      <c r="BW345" s="208"/>
      <c r="BX345" s="208"/>
      <c r="BY345" s="208"/>
      <c r="BZ345" s="208"/>
      <c r="CA345" s="208"/>
      <c r="CB345" s="208"/>
      <c r="CC345" s="208"/>
      <c r="CD345" s="208"/>
      <c r="CE345" s="208"/>
      <c r="CF345" s="208"/>
      <c r="CG345" s="208"/>
      <c r="CH345" s="208"/>
      <c r="CI345" s="208"/>
      <c r="CJ345" s="208"/>
      <c r="CK345" s="208"/>
      <c r="CL345" s="208"/>
      <c r="CM345" s="208"/>
      <c r="CN345" s="208"/>
      <c r="CO345" s="208"/>
      <c r="CP345" s="208"/>
      <c r="CQ345" s="208"/>
      <c r="CR345" s="208"/>
      <c r="CS345" s="208"/>
      <c r="CT345" s="208"/>
      <c r="CU345" s="208"/>
      <c r="CV345" s="208"/>
      <c r="CW345" s="208"/>
      <c r="CX345" s="208"/>
      <c r="CY345" s="208"/>
      <c r="CZ345" s="208"/>
      <c r="DA345" s="208"/>
      <c r="DB345" s="208"/>
      <c r="DC345" s="208"/>
      <c r="DD345" s="208"/>
      <c r="DE345" s="208"/>
      <c r="DF345" s="208"/>
      <c r="DG345" s="208"/>
      <c r="DH345" s="208"/>
      <c r="DI345" s="208"/>
      <c r="DJ345" s="208"/>
      <c r="DK345" s="208"/>
      <c r="DL345" s="208"/>
      <c r="DM345" s="208"/>
      <c r="DN345" s="208"/>
      <c r="DO345" s="208"/>
      <c r="DP345" s="208"/>
      <c r="DQ345" s="208"/>
      <c r="DR345" s="208"/>
      <c r="DS345" s="208"/>
      <c r="DT345" s="208"/>
      <c r="DU345" s="208"/>
      <c r="DV345" s="208"/>
      <c r="DW345" s="208"/>
      <c r="DX345" s="208"/>
      <c r="DY345" s="208"/>
      <c r="DZ345" s="208"/>
      <c r="EA345" s="208"/>
      <c r="EB345" s="208"/>
      <c r="EC345" s="208"/>
      <c r="ED345" s="208"/>
      <c r="EE345" s="208"/>
      <c r="EF345" s="208"/>
      <c r="EG345" s="208"/>
      <c r="EH345" s="208"/>
      <c r="EI345" s="208"/>
      <c r="EJ345" s="208"/>
      <c r="EK345" s="208"/>
      <c r="EL345" s="208"/>
      <c r="EM345" s="208"/>
      <c r="EN345" s="208"/>
      <c r="EO345" s="208"/>
      <c r="EP345" s="208"/>
      <c r="EQ345" s="208"/>
      <c r="ER345" s="208"/>
      <c r="ES345" s="208"/>
      <c r="ET345" s="208"/>
      <c r="EU345" s="208"/>
      <c r="EV345" s="208"/>
      <c r="EW345" s="208"/>
      <c r="EX345" s="208"/>
      <c r="EY345" s="208"/>
      <c r="EZ345" s="208"/>
      <c r="FA345" s="208"/>
      <c r="FB345" s="208"/>
      <c r="FC345" s="208"/>
      <c r="FD345" s="208"/>
      <c r="FE345" s="208"/>
      <c r="FF345" s="208"/>
      <c r="FG345" s="208"/>
      <c r="FH345" s="208"/>
      <c r="FI345" s="208"/>
      <c r="FJ345" s="208"/>
      <c r="FK345" s="208"/>
      <c r="FL345" s="208"/>
      <c r="FM345" s="208"/>
      <c r="FN345" s="208"/>
      <c r="FO345" s="208"/>
      <c r="FP345" s="208"/>
      <c r="FQ345" s="208"/>
      <c r="FR345" s="208"/>
      <c r="FS345" s="208"/>
      <c r="FT345" s="208"/>
      <c r="FU345" s="208"/>
      <c r="FV345" s="208"/>
      <c r="FW345" s="208"/>
      <c r="FX345" s="208"/>
      <c r="FY345" s="208"/>
      <c r="FZ345" s="208"/>
      <c r="GA345" s="208"/>
      <c r="GB345" s="208"/>
      <c r="GC345" s="208"/>
      <c r="GD345" s="208"/>
      <c r="GE345" s="208"/>
      <c r="GF345" s="208"/>
    </row>
    <row r="346" spans="1:188" s="209" customFormat="1" ht="15" x14ac:dyDescent="0.25">
      <c r="A346" s="195" t="s">
        <v>5126</v>
      </c>
      <c r="B346" s="195" t="s">
        <v>1136</v>
      </c>
      <c r="C346" s="196" t="s">
        <v>2930</v>
      </c>
      <c r="D346" s="154" t="s">
        <v>121</v>
      </c>
      <c r="E346" s="154">
        <v>3000</v>
      </c>
      <c r="F346" s="154">
        <v>0.2</v>
      </c>
      <c r="G346" s="197"/>
      <c r="H346" s="198"/>
      <c r="I346" s="151">
        <v>67.900000000000006</v>
      </c>
      <c r="J346" s="152">
        <f t="shared" si="51"/>
        <v>40740</v>
      </c>
      <c r="K346" s="198">
        <f>BDI!$E$17</f>
        <v>0.11260000000000001</v>
      </c>
      <c r="L346" s="198"/>
      <c r="M346" s="198"/>
      <c r="N346" s="153">
        <f t="shared" si="52"/>
        <v>75.55</v>
      </c>
      <c r="O346" s="152">
        <f t="shared" si="53"/>
        <v>45330</v>
      </c>
      <c r="P346" s="225"/>
      <c r="Q346" s="208"/>
      <c r="R346" s="208"/>
      <c r="S346"/>
      <c r="T346" s="208"/>
      <c r="U346" s="208"/>
      <c r="V346" s="208"/>
      <c r="W346" s="208"/>
      <c r="X346" s="208"/>
      <c r="Y346" s="208"/>
      <c r="Z346" s="208"/>
      <c r="AA346" s="208"/>
      <c r="AB346" s="208"/>
      <c r="AC346" s="208"/>
      <c r="AD346" s="208"/>
      <c r="AE346" s="208"/>
      <c r="AF346" s="208"/>
      <c r="AG346" s="208"/>
      <c r="AH346" s="208"/>
      <c r="AI346" s="208"/>
      <c r="AJ346" s="208"/>
      <c r="AK346" s="208"/>
      <c r="AL346" s="208"/>
      <c r="AM346" s="208"/>
      <c r="AN346" s="208"/>
      <c r="AO346" s="208"/>
      <c r="AP346" s="208"/>
      <c r="AQ346" s="208"/>
      <c r="AR346" s="208"/>
      <c r="AS346" s="208"/>
      <c r="AT346" s="208"/>
      <c r="AU346" s="208"/>
      <c r="AV346" s="208"/>
      <c r="AW346" s="208"/>
      <c r="AX346" s="208"/>
      <c r="AY346" s="208"/>
      <c r="AZ346" s="208"/>
      <c r="BA346" s="208"/>
      <c r="BB346" s="208"/>
      <c r="BC346" s="208"/>
      <c r="BD346" s="208"/>
      <c r="BE346" s="208"/>
      <c r="BF346" s="208"/>
      <c r="BG346" s="208"/>
      <c r="BH346" s="208"/>
      <c r="BI346" s="208"/>
      <c r="BJ346" s="208"/>
      <c r="BK346" s="208"/>
      <c r="BL346" s="208"/>
      <c r="BM346" s="208"/>
      <c r="BN346" s="208"/>
      <c r="BO346" s="208"/>
      <c r="BP346" s="208"/>
      <c r="BQ346" s="208"/>
      <c r="BR346" s="208"/>
      <c r="BS346" s="208"/>
      <c r="BT346" s="208"/>
      <c r="BU346" s="208"/>
      <c r="BV346" s="208"/>
      <c r="BW346" s="208"/>
      <c r="BX346" s="208"/>
      <c r="BY346" s="208"/>
      <c r="BZ346" s="208"/>
      <c r="CA346" s="208"/>
      <c r="CB346" s="208"/>
      <c r="CC346" s="208"/>
      <c r="CD346" s="208"/>
      <c r="CE346" s="208"/>
      <c r="CF346" s="208"/>
      <c r="CG346" s="208"/>
      <c r="CH346" s="208"/>
      <c r="CI346" s="208"/>
      <c r="CJ346" s="208"/>
      <c r="CK346" s="208"/>
      <c r="CL346" s="208"/>
      <c r="CM346" s="208"/>
      <c r="CN346" s="208"/>
      <c r="CO346" s="208"/>
      <c r="CP346" s="208"/>
      <c r="CQ346" s="208"/>
      <c r="CR346" s="208"/>
      <c r="CS346" s="208"/>
      <c r="CT346" s="208"/>
      <c r="CU346" s="208"/>
      <c r="CV346" s="208"/>
      <c r="CW346" s="208"/>
      <c r="CX346" s="208"/>
      <c r="CY346" s="208"/>
      <c r="CZ346" s="208"/>
      <c r="DA346" s="208"/>
      <c r="DB346" s="208"/>
      <c r="DC346" s="208"/>
      <c r="DD346" s="208"/>
      <c r="DE346" s="208"/>
      <c r="DF346" s="208"/>
      <c r="DG346" s="208"/>
      <c r="DH346" s="208"/>
      <c r="DI346" s="208"/>
      <c r="DJ346" s="208"/>
      <c r="DK346" s="208"/>
      <c r="DL346" s="208"/>
      <c r="DM346" s="208"/>
      <c r="DN346" s="208"/>
      <c r="DO346" s="208"/>
      <c r="DP346" s="208"/>
      <c r="DQ346" s="208"/>
      <c r="DR346" s="208"/>
      <c r="DS346" s="208"/>
      <c r="DT346" s="208"/>
      <c r="DU346" s="208"/>
      <c r="DV346" s="208"/>
      <c r="DW346" s="208"/>
      <c r="DX346" s="208"/>
      <c r="DY346" s="208"/>
      <c r="DZ346" s="208"/>
      <c r="EA346" s="208"/>
      <c r="EB346" s="208"/>
      <c r="EC346" s="208"/>
      <c r="ED346" s="208"/>
      <c r="EE346" s="208"/>
      <c r="EF346" s="208"/>
      <c r="EG346" s="208"/>
      <c r="EH346" s="208"/>
      <c r="EI346" s="208"/>
      <c r="EJ346" s="208"/>
      <c r="EK346" s="208"/>
      <c r="EL346" s="208"/>
      <c r="EM346" s="208"/>
      <c r="EN346" s="208"/>
      <c r="EO346" s="208"/>
      <c r="EP346" s="208"/>
      <c r="EQ346" s="208"/>
      <c r="ER346" s="208"/>
      <c r="ES346" s="208"/>
      <c r="ET346" s="208"/>
      <c r="EU346" s="208"/>
      <c r="EV346" s="208"/>
      <c r="EW346" s="208"/>
      <c r="EX346" s="208"/>
      <c r="EY346" s="208"/>
      <c r="EZ346" s="208"/>
      <c r="FA346" s="208"/>
      <c r="FB346" s="208"/>
      <c r="FC346" s="208"/>
      <c r="FD346" s="208"/>
      <c r="FE346" s="208"/>
      <c r="FF346" s="208"/>
      <c r="FG346" s="208"/>
      <c r="FH346" s="208"/>
      <c r="FI346" s="208"/>
      <c r="FJ346" s="208"/>
      <c r="FK346" s="208"/>
      <c r="FL346" s="208"/>
      <c r="FM346" s="208"/>
      <c r="FN346" s="208"/>
      <c r="FO346" s="208"/>
      <c r="FP346" s="208"/>
      <c r="FQ346" s="208"/>
      <c r="FR346" s="208"/>
      <c r="FS346" s="208"/>
      <c r="FT346" s="208"/>
      <c r="FU346" s="208"/>
      <c r="FV346" s="208"/>
      <c r="FW346" s="208"/>
      <c r="FX346" s="208"/>
      <c r="FY346" s="208"/>
      <c r="FZ346" s="208"/>
      <c r="GA346" s="208"/>
      <c r="GB346" s="208"/>
      <c r="GC346" s="208"/>
      <c r="GD346" s="208"/>
      <c r="GE346" s="208"/>
      <c r="GF346" s="208"/>
    </row>
    <row r="347" spans="1:188" s="209" customFormat="1" ht="15" x14ac:dyDescent="0.25">
      <c r="A347" s="195" t="s">
        <v>5127</v>
      </c>
      <c r="B347" s="195" t="s">
        <v>1137</v>
      </c>
      <c r="C347" s="196" t="s">
        <v>2931</v>
      </c>
      <c r="D347" s="154" t="s">
        <v>121</v>
      </c>
      <c r="E347" s="154">
        <v>1000</v>
      </c>
      <c r="F347" s="154">
        <v>0.2</v>
      </c>
      <c r="G347" s="197"/>
      <c r="H347" s="198"/>
      <c r="I347" s="151">
        <v>112.4</v>
      </c>
      <c r="J347" s="152">
        <f t="shared" si="51"/>
        <v>22480</v>
      </c>
      <c r="K347" s="198">
        <f>BDI!$E$17</f>
        <v>0.11260000000000001</v>
      </c>
      <c r="L347" s="198"/>
      <c r="M347" s="198"/>
      <c r="N347" s="153">
        <f t="shared" si="52"/>
        <v>125.06</v>
      </c>
      <c r="O347" s="152">
        <f t="shared" si="53"/>
        <v>25012</v>
      </c>
      <c r="P347" s="225"/>
      <c r="Q347" s="208"/>
      <c r="R347" s="208"/>
      <c r="S347"/>
      <c r="T347" s="208"/>
      <c r="U347" s="208"/>
      <c r="V347" s="208"/>
      <c r="W347" s="208"/>
      <c r="X347" s="208"/>
      <c r="Y347" s="208"/>
      <c r="Z347" s="208"/>
      <c r="AA347" s="208"/>
      <c r="AB347" s="208"/>
      <c r="AC347" s="208"/>
      <c r="AD347" s="208"/>
      <c r="AE347" s="208"/>
      <c r="AF347" s="208"/>
      <c r="AG347" s="208"/>
      <c r="AH347" s="208"/>
      <c r="AI347" s="208"/>
      <c r="AJ347" s="208"/>
      <c r="AK347" s="208"/>
      <c r="AL347" s="208"/>
      <c r="AM347" s="208"/>
      <c r="AN347" s="208"/>
      <c r="AO347" s="208"/>
      <c r="AP347" s="208"/>
      <c r="AQ347" s="208"/>
      <c r="AR347" s="208"/>
      <c r="AS347" s="208"/>
      <c r="AT347" s="208"/>
      <c r="AU347" s="208"/>
      <c r="AV347" s="208"/>
      <c r="AW347" s="208"/>
      <c r="AX347" s="208"/>
      <c r="AY347" s="208"/>
      <c r="AZ347" s="208"/>
      <c r="BA347" s="208"/>
      <c r="BB347" s="208"/>
      <c r="BC347" s="208"/>
      <c r="BD347" s="208"/>
      <c r="BE347" s="208"/>
      <c r="BF347" s="208"/>
      <c r="BG347" s="208"/>
      <c r="BH347" s="208"/>
      <c r="BI347" s="208"/>
      <c r="BJ347" s="208"/>
      <c r="BK347" s="208"/>
      <c r="BL347" s="208"/>
      <c r="BM347" s="208"/>
      <c r="BN347" s="208"/>
      <c r="BO347" s="208"/>
      <c r="BP347" s="208"/>
      <c r="BQ347" s="208"/>
      <c r="BR347" s="208"/>
      <c r="BS347" s="208"/>
      <c r="BT347" s="208"/>
      <c r="BU347" s="208"/>
      <c r="BV347" s="208"/>
      <c r="BW347" s="208"/>
      <c r="BX347" s="208"/>
      <c r="BY347" s="208"/>
      <c r="BZ347" s="208"/>
      <c r="CA347" s="208"/>
      <c r="CB347" s="208"/>
      <c r="CC347" s="208"/>
      <c r="CD347" s="208"/>
      <c r="CE347" s="208"/>
      <c r="CF347" s="208"/>
      <c r="CG347" s="208"/>
      <c r="CH347" s="208"/>
      <c r="CI347" s="208"/>
      <c r="CJ347" s="208"/>
      <c r="CK347" s="208"/>
      <c r="CL347" s="208"/>
      <c r="CM347" s="208"/>
      <c r="CN347" s="208"/>
      <c r="CO347" s="208"/>
      <c r="CP347" s="208"/>
      <c r="CQ347" s="208"/>
      <c r="CR347" s="208"/>
      <c r="CS347" s="208"/>
      <c r="CT347" s="208"/>
      <c r="CU347" s="208"/>
      <c r="CV347" s="208"/>
      <c r="CW347" s="208"/>
      <c r="CX347" s="208"/>
      <c r="CY347" s="208"/>
      <c r="CZ347" s="208"/>
      <c r="DA347" s="208"/>
      <c r="DB347" s="208"/>
      <c r="DC347" s="208"/>
      <c r="DD347" s="208"/>
      <c r="DE347" s="208"/>
      <c r="DF347" s="208"/>
      <c r="DG347" s="208"/>
      <c r="DH347" s="208"/>
      <c r="DI347" s="208"/>
      <c r="DJ347" s="208"/>
      <c r="DK347" s="208"/>
      <c r="DL347" s="208"/>
      <c r="DM347" s="208"/>
      <c r="DN347" s="208"/>
      <c r="DO347" s="208"/>
      <c r="DP347" s="208"/>
      <c r="DQ347" s="208"/>
      <c r="DR347" s="208"/>
      <c r="DS347" s="208"/>
      <c r="DT347" s="208"/>
      <c r="DU347" s="208"/>
      <c r="DV347" s="208"/>
      <c r="DW347" s="208"/>
      <c r="DX347" s="208"/>
      <c r="DY347" s="208"/>
      <c r="DZ347" s="208"/>
      <c r="EA347" s="208"/>
      <c r="EB347" s="208"/>
      <c r="EC347" s="208"/>
      <c r="ED347" s="208"/>
      <c r="EE347" s="208"/>
      <c r="EF347" s="208"/>
      <c r="EG347" s="208"/>
      <c r="EH347" s="208"/>
      <c r="EI347" s="208"/>
      <c r="EJ347" s="208"/>
      <c r="EK347" s="208"/>
      <c r="EL347" s="208"/>
      <c r="EM347" s="208"/>
      <c r="EN347" s="208"/>
      <c r="EO347" s="208"/>
      <c r="EP347" s="208"/>
      <c r="EQ347" s="208"/>
      <c r="ER347" s="208"/>
      <c r="ES347" s="208"/>
      <c r="ET347" s="208"/>
      <c r="EU347" s="208"/>
      <c r="EV347" s="208"/>
      <c r="EW347" s="208"/>
      <c r="EX347" s="208"/>
      <c r="EY347" s="208"/>
      <c r="EZ347" s="208"/>
      <c r="FA347" s="208"/>
      <c r="FB347" s="208"/>
      <c r="FC347" s="208"/>
      <c r="FD347" s="208"/>
      <c r="FE347" s="208"/>
      <c r="FF347" s="208"/>
      <c r="FG347" s="208"/>
      <c r="FH347" s="208"/>
      <c r="FI347" s="208"/>
      <c r="FJ347" s="208"/>
      <c r="FK347" s="208"/>
      <c r="FL347" s="208"/>
      <c r="FM347" s="208"/>
      <c r="FN347" s="208"/>
      <c r="FO347" s="208"/>
      <c r="FP347" s="208"/>
      <c r="FQ347" s="208"/>
      <c r="FR347" s="208"/>
      <c r="FS347" s="208"/>
      <c r="FT347" s="208"/>
      <c r="FU347" s="208"/>
      <c r="FV347" s="208"/>
      <c r="FW347" s="208"/>
      <c r="FX347" s="208"/>
      <c r="FY347" s="208"/>
      <c r="FZ347" s="208"/>
      <c r="GA347" s="208"/>
      <c r="GB347" s="208"/>
      <c r="GC347" s="208"/>
      <c r="GD347" s="208"/>
      <c r="GE347" s="208"/>
      <c r="GF347" s="208"/>
    </row>
    <row r="348" spans="1:188" s="209" customFormat="1" ht="15" x14ac:dyDescent="0.25">
      <c r="A348" s="195" t="s">
        <v>5128</v>
      </c>
      <c r="B348" s="195" t="s">
        <v>1744</v>
      </c>
      <c r="C348" s="196" t="s">
        <v>3494</v>
      </c>
      <c r="D348" s="154" t="s">
        <v>78</v>
      </c>
      <c r="E348" s="154">
        <v>6430</v>
      </c>
      <c r="F348" s="154">
        <v>0.2</v>
      </c>
      <c r="G348" s="197"/>
      <c r="H348" s="198"/>
      <c r="I348" s="151">
        <v>16.63</v>
      </c>
      <c r="J348" s="152">
        <f t="shared" si="51"/>
        <v>21386.18</v>
      </c>
      <c r="K348" s="198">
        <f>BDI!$E$17</f>
        <v>0.11260000000000001</v>
      </c>
      <c r="L348" s="198"/>
      <c r="M348" s="198"/>
      <c r="N348" s="153">
        <f t="shared" si="52"/>
        <v>18.5</v>
      </c>
      <c r="O348" s="152">
        <f t="shared" si="53"/>
        <v>23791</v>
      </c>
      <c r="P348" s="225"/>
      <c r="Q348" s="208"/>
      <c r="R348" s="208"/>
      <c r="S348"/>
      <c r="T348" s="208"/>
      <c r="U348" s="208"/>
      <c r="V348" s="208"/>
      <c r="W348" s="208"/>
      <c r="X348" s="208"/>
      <c r="Y348" s="208"/>
      <c r="Z348" s="208"/>
      <c r="AA348" s="208"/>
      <c r="AB348" s="208"/>
      <c r="AC348" s="208"/>
      <c r="AD348" s="208"/>
      <c r="AE348" s="208"/>
      <c r="AF348" s="208"/>
      <c r="AG348" s="208"/>
      <c r="AH348" s="208"/>
      <c r="AI348" s="208"/>
      <c r="AJ348" s="208"/>
      <c r="AK348" s="208"/>
      <c r="AL348" s="208"/>
      <c r="AM348" s="208"/>
      <c r="AN348" s="208"/>
      <c r="AO348" s="208"/>
      <c r="AP348" s="208"/>
      <c r="AQ348" s="208"/>
      <c r="AR348" s="208"/>
      <c r="AS348" s="208"/>
      <c r="AT348" s="208"/>
      <c r="AU348" s="208"/>
      <c r="AV348" s="208"/>
      <c r="AW348" s="208"/>
      <c r="AX348" s="208"/>
      <c r="AY348" s="208"/>
      <c r="AZ348" s="208"/>
      <c r="BA348" s="208"/>
      <c r="BB348" s="208"/>
      <c r="BC348" s="208"/>
      <c r="BD348" s="208"/>
      <c r="BE348" s="208"/>
      <c r="BF348" s="208"/>
      <c r="BG348" s="208"/>
      <c r="BH348" s="208"/>
      <c r="BI348" s="208"/>
      <c r="BJ348" s="208"/>
      <c r="BK348" s="208"/>
      <c r="BL348" s="208"/>
      <c r="BM348" s="208"/>
      <c r="BN348" s="208"/>
      <c r="BO348" s="208"/>
      <c r="BP348" s="208"/>
      <c r="BQ348" s="208"/>
      <c r="BR348" s="208"/>
      <c r="BS348" s="208"/>
      <c r="BT348" s="208"/>
      <c r="BU348" s="208"/>
      <c r="BV348" s="208"/>
      <c r="BW348" s="208"/>
      <c r="BX348" s="208"/>
      <c r="BY348" s="208"/>
      <c r="BZ348" s="208"/>
      <c r="CA348" s="208"/>
      <c r="CB348" s="208"/>
      <c r="CC348" s="208"/>
      <c r="CD348" s="208"/>
      <c r="CE348" s="208"/>
      <c r="CF348" s="208"/>
      <c r="CG348" s="208"/>
      <c r="CH348" s="208"/>
      <c r="CI348" s="208"/>
      <c r="CJ348" s="208"/>
      <c r="CK348" s="208"/>
      <c r="CL348" s="208"/>
      <c r="CM348" s="208"/>
      <c r="CN348" s="208"/>
      <c r="CO348" s="208"/>
      <c r="CP348" s="208"/>
      <c r="CQ348" s="208"/>
      <c r="CR348" s="208"/>
      <c r="CS348" s="208"/>
      <c r="CT348" s="208"/>
      <c r="CU348" s="208"/>
      <c r="CV348" s="208"/>
      <c r="CW348" s="208"/>
      <c r="CX348" s="208"/>
      <c r="CY348" s="208"/>
      <c r="CZ348" s="208"/>
      <c r="DA348" s="208"/>
      <c r="DB348" s="208"/>
      <c r="DC348" s="208"/>
      <c r="DD348" s="208"/>
      <c r="DE348" s="208"/>
      <c r="DF348" s="208"/>
      <c r="DG348" s="208"/>
      <c r="DH348" s="208"/>
      <c r="DI348" s="208"/>
      <c r="DJ348" s="208"/>
      <c r="DK348" s="208"/>
      <c r="DL348" s="208"/>
      <c r="DM348" s="208"/>
      <c r="DN348" s="208"/>
      <c r="DO348" s="208"/>
      <c r="DP348" s="208"/>
      <c r="DQ348" s="208"/>
      <c r="DR348" s="208"/>
      <c r="DS348" s="208"/>
      <c r="DT348" s="208"/>
      <c r="DU348" s="208"/>
      <c r="DV348" s="208"/>
      <c r="DW348" s="208"/>
      <c r="DX348" s="208"/>
      <c r="DY348" s="208"/>
      <c r="DZ348" s="208"/>
      <c r="EA348" s="208"/>
      <c r="EB348" s="208"/>
      <c r="EC348" s="208"/>
      <c r="ED348" s="208"/>
      <c r="EE348" s="208"/>
      <c r="EF348" s="208"/>
      <c r="EG348" s="208"/>
      <c r="EH348" s="208"/>
      <c r="EI348" s="208"/>
      <c r="EJ348" s="208"/>
      <c r="EK348" s="208"/>
      <c r="EL348" s="208"/>
      <c r="EM348" s="208"/>
      <c r="EN348" s="208"/>
      <c r="EO348" s="208"/>
      <c r="EP348" s="208"/>
      <c r="EQ348" s="208"/>
      <c r="ER348" s="208"/>
      <c r="ES348" s="208"/>
      <c r="ET348" s="208"/>
      <c r="EU348" s="208"/>
      <c r="EV348" s="208"/>
      <c r="EW348" s="208"/>
      <c r="EX348" s="208"/>
      <c r="EY348" s="208"/>
      <c r="EZ348" s="208"/>
      <c r="FA348" s="208"/>
      <c r="FB348" s="208"/>
      <c r="FC348" s="208"/>
      <c r="FD348" s="208"/>
      <c r="FE348" s="208"/>
      <c r="FF348" s="208"/>
      <c r="FG348" s="208"/>
      <c r="FH348" s="208"/>
      <c r="FI348" s="208"/>
      <c r="FJ348" s="208"/>
      <c r="FK348" s="208"/>
      <c r="FL348" s="208"/>
      <c r="FM348" s="208"/>
      <c r="FN348" s="208"/>
      <c r="FO348" s="208"/>
      <c r="FP348" s="208"/>
      <c r="FQ348" s="208"/>
      <c r="FR348" s="208"/>
      <c r="FS348" s="208"/>
      <c r="FT348" s="208"/>
      <c r="FU348" s="208"/>
      <c r="FV348" s="208"/>
      <c r="FW348" s="208"/>
      <c r="FX348" s="208"/>
      <c r="FY348" s="208"/>
      <c r="FZ348" s="208"/>
      <c r="GA348" s="208"/>
      <c r="GB348" s="208"/>
      <c r="GC348" s="208"/>
      <c r="GD348" s="208"/>
      <c r="GE348" s="208"/>
      <c r="GF348" s="208"/>
    </row>
    <row r="349" spans="1:188" s="209" customFormat="1" ht="15" x14ac:dyDescent="0.25">
      <c r="A349" s="195" t="s">
        <v>5129</v>
      </c>
      <c r="B349" s="195" t="s">
        <v>1143</v>
      </c>
      <c r="C349" s="196" t="s">
        <v>3005</v>
      </c>
      <c r="D349" s="154" t="s">
        <v>78</v>
      </c>
      <c r="E349" s="154">
        <v>7630</v>
      </c>
      <c r="F349" s="154">
        <v>0.2</v>
      </c>
      <c r="G349" s="197"/>
      <c r="H349" s="198"/>
      <c r="I349" s="151">
        <v>50.73</v>
      </c>
      <c r="J349" s="152">
        <f t="shared" si="51"/>
        <v>77413.98</v>
      </c>
      <c r="K349" s="198">
        <f>BDI!$E$17</f>
        <v>0.11260000000000001</v>
      </c>
      <c r="L349" s="198"/>
      <c r="M349" s="198"/>
      <c r="N349" s="153">
        <f t="shared" si="52"/>
        <v>56.44</v>
      </c>
      <c r="O349" s="152">
        <f t="shared" si="53"/>
        <v>86127.44</v>
      </c>
      <c r="P349" s="225"/>
      <c r="Q349" s="208"/>
      <c r="R349" s="208"/>
      <c r="S349"/>
      <c r="T349" s="208"/>
      <c r="U349" s="208"/>
      <c r="V349" s="208"/>
      <c r="W349" s="208"/>
      <c r="X349" s="208"/>
      <c r="Y349" s="208"/>
      <c r="Z349" s="208"/>
      <c r="AA349" s="208"/>
      <c r="AB349" s="208"/>
      <c r="AC349" s="208"/>
      <c r="AD349" s="208"/>
      <c r="AE349" s="208"/>
      <c r="AF349" s="208"/>
      <c r="AG349" s="208"/>
      <c r="AH349" s="208"/>
      <c r="AI349" s="208"/>
      <c r="AJ349" s="208"/>
      <c r="AK349" s="208"/>
      <c r="AL349" s="208"/>
      <c r="AM349" s="208"/>
      <c r="AN349" s="208"/>
      <c r="AO349" s="208"/>
      <c r="AP349" s="208"/>
      <c r="AQ349" s="208"/>
      <c r="AR349" s="208"/>
      <c r="AS349" s="208"/>
      <c r="AT349" s="208"/>
      <c r="AU349" s="208"/>
      <c r="AV349" s="208"/>
      <c r="AW349" s="208"/>
      <c r="AX349" s="208"/>
      <c r="AY349" s="208"/>
      <c r="AZ349" s="208"/>
      <c r="BA349" s="208"/>
      <c r="BB349" s="208"/>
      <c r="BC349" s="208"/>
      <c r="BD349" s="208"/>
      <c r="BE349" s="208"/>
      <c r="BF349" s="208"/>
      <c r="BG349" s="208"/>
      <c r="BH349" s="208"/>
      <c r="BI349" s="208"/>
      <c r="BJ349" s="208"/>
      <c r="BK349" s="208"/>
      <c r="BL349" s="208"/>
      <c r="BM349" s="208"/>
      <c r="BN349" s="208"/>
      <c r="BO349" s="208"/>
      <c r="BP349" s="208"/>
      <c r="BQ349" s="208"/>
      <c r="BR349" s="208"/>
      <c r="BS349" s="208"/>
      <c r="BT349" s="208"/>
      <c r="BU349" s="208"/>
      <c r="BV349" s="208"/>
      <c r="BW349" s="208"/>
      <c r="BX349" s="208"/>
      <c r="BY349" s="208"/>
      <c r="BZ349" s="208"/>
      <c r="CA349" s="208"/>
      <c r="CB349" s="208"/>
      <c r="CC349" s="208"/>
      <c r="CD349" s="208"/>
      <c r="CE349" s="208"/>
      <c r="CF349" s="208"/>
      <c r="CG349" s="208"/>
      <c r="CH349" s="208"/>
      <c r="CI349" s="208"/>
      <c r="CJ349" s="208"/>
      <c r="CK349" s="208"/>
      <c r="CL349" s="208"/>
      <c r="CM349" s="208"/>
      <c r="CN349" s="208"/>
      <c r="CO349" s="208"/>
      <c r="CP349" s="208"/>
      <c r="CQ349" s="208"/>
      <c r="CR349" s="208"/>
      <c r="CS349" s="208"/>
      <c r="CT349" s="208"/>
      <c r="CU349" s="208"/>
      <c r="CV349" s="208"/>
      <c r="CW349" s="208"/>
      <c r="CX349" s="208"/>
      <c r="CY349" s="208"/>
      <c r="CZ349" s="208"/>
      <c r="DA349" s="208"/>
      <c r="DB349" s="208"/>
      <c r="DC349" s="208"/>
      <c r="DD349" s="208"/>
      <c r="DE349" s="208"/>
      <c r="DF349" s="208"/>
      <c r="DG349" s="208"/>
      <c r="DH349" s="208"/>
      <c r="DI349" s="208"/>
      <c r="DJ349" s="208"/>
      <c r="DK349" s="208"/>
      <c r="DL349" s="208"/>
      <c r="DM349" s="208"/>
      <c r="DN349" s="208"/>
      <c r="DO349" s="208"/>
      <c r="DP349" s="208"/>
      <c r="DQ349" s="208"/>
      <c r="DR349" s="208"/>
      <c r="DS349" s="208"/>
      <c r="DT349" s="208"/>
      <c r="DU349" s="208"/>
      <c r="DV349" s="208"/>
      <c r="DW349" s="208"/>
      <c r="DX349" s="208"/>
      <c r="DY349" s="208"/>
      <c r="DZ349" s="208"/>
      <c r="EA349" s="208"/>
      <c r="EB349" s="208"/>
      <c r="EC349" s="208"/>
      <c r="ED349" s="208"/>
      <c r="EE349" s="208"/>
      <c r="EF349" s="208"/>
      <c r="EG349" s="208"/>
      <c r="EH349" s="208"/>
      <c r="EI349" s="208"/>
      <c r="EJ349" s="208"/>
      <c r="EK349" s="208"/>
      <c r="EL349" s="208"/>
      <c r="EM349" s="208"/>
      <c r="EN349" s="208"/>
      <c r="EO349" s="208"/>
      <c r="EP349" s="208"/>
      <c r="EQ349" s="208"/>
      <c r="ER349" s="208"/>
      <c r="ES349" s="208"/>
      <c r="ET349" s="208"/>
      <c r="EU349" s="208"/>
      <c r="EV349" s="208"/>
      <c r="EW349" s="208"/>
      <c r="EX349" s="208"/>
      <c r="EY349" s="208"/>
      <c r="EZ349" s="208"/>
      <c r="FA349" s="208"/>
      <c r="FB349" s="208"/>
      <c r="FC349" s="208"/>
      <c r="FD349" s="208"/>
      <c r="FE349" s="208"/>
      <c r="FF349" s="208"/>
      <c r="FG349" s="208"/>
      <c r="FH349" s="208"/>
      <c r="FI349" s="208"/>
      <c r="FJ349" s="208"/>
      <c r="FK349" s="208"/>
      <c r="FL349" s="208"/>
      <c r="FM349" s="208"/>
      <c r="FN349" s="208"/>
      <c r="FO349" s="208"/>
      <c r="FP349" s="208"/>
      <c r="FQ349" s="208"/>
      <c r="FR349" s="208"/>
      <c r="FS349" s="208"/>
      <c r="FT349" s="208"/>
      <c r="FU349" s="208"/>
      <c r="FV349" s="208"/>
      <c r="FW349" s="208"/>
      <c r="FX349" s="208"/>
      <c r="FY349" s="208"/>
      <c r="FZ349" s="208"/>
      <c r="GA349" s="208"/>
      <c r="GB349" s="208"/>
      <c r="GC349" s="208"/>
      <c r="GD349" s="208"/>
      <c r="GE349" s="208"/>
      <c r="GF349" s="208"/>
    </row>
    <row r="350" spans="1:188" s="209" customFormat="1" ht="15" x14ac:dyDescent="0.25">
      <c r="A350" s="195" t="s">
        <v>5130</v>
      </c>
      <c r="B350" s="195" t="s">
        <v>1144</v>
      </c>
      <c r="C350" s="196" t="s">
        <v>3006</v>
      </c>
      <c r="D350" s="154" t="s">
        <v>80</v>
      </c>
      <c r="E350" s="154">
        <v>3160</v>
      </c>
      <c r="F350" s="154">
        <v>0.2</v>
      </c>
      <c r="G350" s="197"/>
      <c r="H350" s="198"/>
      <c r="I350" s="151">
        <v>19.29</v>
      </c>
      <c r="J350" s="152">
        <f t="shared" si="51"/>
        <v>12191.28</v>
      </c>
      <c r="K350" s="198">
        <f>BDI!$E$17</f>
        <v>0.11260000000000001</v>
      </c>
      <c r="L350" s="198"/>
      <c r="M350" s="198"/>
      <c r="N350" s="153">
        <f t="shared" si="52"/>
        <v>21.46</v>
      </c>
      <c r="O350" s="152">
        <f t="shared" si="53"/>
        <v>13562.72</v>
      </c>
      <c r="P350" s="225"/>
      <c r="Q350" s="208"/>
      <c r="R350" s="208"/>
      <c r="S350"/>
      <c r="T350" s="208"/>
      <c r="U350" s="208"/>
      <c r="V350" s="208"/>
      <c r="W350" s="208"/>
      <c r="X350" s="208"/>
      <c r="Y350" s="208"/>
      <c r="Z350" s="208"/>
      <c r="AA350" s="208"/>
      <c r="AB350" s="208"/>
      <c r="AC350" s="208"/>
      <c r="AD350" s="208"/>
      <c r="AE350" s="208"/>
      <c r="AF350" s="208"/>
      <c r="AG350" s="208"/>
      <c r="AH350" s="208"/>
      <c r="AI350" s="208"/>
      <c r="AJ350" s="208"/>
      <c r="AK350" s="208"/>
      <c r="AL350" s="208"/>
      <c r="AM350" s="208"/>
      <c r="AN350" s="208"/>
      <c r="AO350" s="208"/>
      <c r="AP350" s="208"/>
      <c r="AQ350" s="208"/>
      <c r="AR350" s="208"/>
      <c r="AS350" s="208"/>
      <c r="AT350" s="208"/>
      <c r="AU350" s="208"/>
      <c r="AV350" s="208"/>
      <c r="AW350" s="208"/>
      <c r="AX350" s="208"/>
      <c r="AY350" s="208"/>
      <c r="AZ350" s="208"/>
      <c r="BA350" s="208"/>
      <c r="BB350" s="208"/>
      <c r="BC350" s="208"/>
      <c r="BD350" s="208"/>
      <c r="BE350" s="208"/>
      <c r="BF350" s="208"/>
      <c r="BG350" s="208"/>
      <c r="BH350" s="208"/>
      <c r="BI350" s="208"/>
      <c r="BJ350" s="208"/>
      <c r="BK350" s="208"/>
      <c r="BL350" s="208"/>
      <c r="BM350" s="208"/>
      <c r="BN350" s="208"/>
      <c r="BO350" s="208"/>
      <c r="BP350" s="208"/>
      <c r="BQ350" s="208"/>
      <c r="BR350" s="208"/>
      <c r="BS350" s="208"/>
      <c r="BT350" s="208"/>
      <c r="BU350" s="208"/>
      <c r="BV350" s="208"/>
      <c r="BW350" s="208"/>
      <c r="BX350" s="208"/>
      <c r="BY350" s="208"/>
      <c r="BZ350" s="208"/>
      <c r="CA350" s="208"/>
      <c r="CB350" s="208"/>
      <c r="CC350" s="208"/>
      <c r="CD350" s="208"/>
      <c r="CE350" s="208"/>
      <c r="CF350" s="208"/>
      <c r="CG350" s="208"/>
      <c r="CH350" s="208"/>
      <c r="CI350" s="208"/>
      <c r="CJ350" s="208"/>
      <c r="CK350" s="208"/>
      <c r="CL350" s="208"/>
      <c r="CM350" s="208"/>
      <c r="CN350" s="208"/>
      <c r="CO350" s="208"/>
      <c r="CP350" s="208"/>
      <c r="CQ350" s="208"/>
      <c r="CR350" s="208"/>
      <c r="CS350" s="208"/>
      <c r="CT350" s="208"/>
      <c r="CU350" s="208"/>
      <c r="CV350" s="208"/>
      <c r="CW350" s="208"/>
      <c r="CX350" s="208"/>
      <c r="CY350" s="208"/>
      <c r="CZ350" s="208"/>
      <c r="DA350" s="208"/>
      <c r="DB350" s="208"/>
      <c r="DC350" s="208"/>
      <c r="DD350" s="208"/>
      <c r="DE350" s="208"/>
      <c r="DF350" s="208"/>
      <c r="DG350" s="208"/>
      <c r="DH350" s="208"/>
      <c r="DI350" s="208"/>
      <c r="DJ350" s="208"/>
      <c r="DK350" s="208"/>
      <c r="DL350" s="208"/>
      <c r="DM350" s="208"/>
      <c r="DN350" s="208"/>
      <c r="DO350" s="208"/>
      <c r="DP350" s="208"/>
      <c r="DQ350" s="208"/>
      <c r="DR350" s="208"/>
      <c r="DS350" s="208"/>
      <c r="DT350" s="208"/>
      <c r="DU350" s="208"/>
      <c r="DV350" s="208"/>
      <c r="DW350" s="208"/>
      <c r="DX350" s="208"/>
      <c r="DY350" s="208"/>
      <c r="DZ350" s="208"/>
      <c r="EA350" s="208"/>
      <c r="EB350" s="208"/>
      <c r="EC350" s="208"/>
      <c r="ED350" s="208"/>
      <c r="EE350" s="208"/>
      <c r="EF350" s="208"/>
      <c r="EG350" s="208"/>
      <c r="EH350" s="208"/>
      <c r="EI350" s="208"/>
      <c r="EJ350" s="208"/>
      <c r="EK350" s="208"/>
      <c r="EL350" s="208"/>
      <c r="EM350" s="208"/>
      <c r="EN350" s="208"/>
      <c r="EO350" s="208"/>
      <c r="EP350" s="208"/>
      <c r="EQ350" s="208"/>
      <c r="ER350" s="208"/>
      <c r="ES350" s="208"/>
      <c r="ET350" s="208"/>
      <c r="EU350" s="208"/>
      <c r="EV350" s="208"/>
      <c r="EW350" s="208"/>
      <c r="EX350" s="208"/>
      <c r="EY350" s="208"/>
      <c r="EZ350" s="208"/>
      <c r="FA350" s="208"/>
      <c r="FB350" s="208"/>
      <c r="FC350" s="208"/>
      <c r="FD350" s="208"/>
      <c r="FE350" s="208"/>
      <c r="FF350" s="208"/>
      <c r="FG350" s="208"/>
      <c r="FH350" s="208"/>
      <c r="FI350" s="208"/>
      <c r="FJ350" s="208"/>
      <c r="FK350" s="208"/>
      <c r="FL350" s="208"/>
      <c r="FM350" s="208"/>
      <c r="FN350" s="208"/>
      <c r="FO350" s="208"/>
      <c r="FP350" s="208"/>
      <c r="FQ350" s="208"/>
      <c r="FR350" s="208"/>
      <c r="FS350" s="208"/>
      <c r="FT350" s="208"/>
      <c r="FU350" s="208"/>
      <c r="FV350" s="208"/>
      <c r="FW350" s="208"/>
      <c r="FX350" s="208"/>
      <c r="FY350" s="208"/>
      <c r="FZ350" s="208"/>
      <c r="GA350" s="208"/>
      <c r="GB350" s="208"/>
      <c r="GC350" s="208"/>
      <c r="GD350" s="208"/>
      <c r="GE350" s="208"/>
      <c r="GF350" s="208"/>
    </row>
    <row r="351" spans="1:188" s="209" customFormat="1" ht="15" x14ac:dyDescent="0.25">
      <c r="A351" s="182" t="s">
        <v>5131</v>
      </c>
      <c r="B351" s="183"/>
      <c r="C351" s="184" t="s">
        <v>5132</v>
      </c>
      <c r="D351" s="185"/>
      <c r="E351" s="185"/>
      <c r="F351" s="185"/>
      <c r="G351" s="186"/>
      <c r="H351" s="187"/>
      <c r="I351" s="245"/>
      <c r="J351" s="188"/>
      <c r="K351" s="185"/>
      <c r="L351" s="188"/>
      <c r="M351" s="188">
        <f t="shared" ref="M351" si="54">SUBTOTAL(109,M353)</f>
        <v>2598</v>
      </c>
      <c r="N351" s="185"/>
      <c r="O351" s="188"/>
      <c r="Q351" s="208"/>
      <c r="R351" s="208"/>
      <c r="S351"/>
      <c r="T351" s="208"/>
      <c r="U351" s="208"/>
      <c r="V351" s="208"/>
      <c r="W351" s="208"/>
      <c r="X351" s="208"/>
      <c r="Y351" s="208"/>
      <c r="Z351" s="208"/>
      <c r="AA351" s="208"/>
      <c r="AB351" s="208"/>
      <c r="AC351" s="208"/>
      <c r="AD351" s="208"/>
      <c r="AE351" s="208"/>
      <c r="AF351" s="208"/>
      <c r="AG351" s="208"/>
      <c r="AH351" s="208"/>
      <c r="AI351" s="208"/>
      <c r="AJ351" s="208"/>
      <c r="AK351" s="208"/>
      <c r="AL351" s="208"/>
      <c r="AM351" s="208"/>
      <c r="AN351" s="208"/>
      <c r="AO351" s="208"/>
      <c r="AP351" s="208"/>
      <c r="AQ351" s="208"/>
      <c r="AR351" s="208"/>
      <c r="AS351" s="208"/>
      <c r="AT351" s="208"/>
      <c r="AU351" s="208"/>
      <c r="AV351" s="208"/>
      <c r="AW351" s="208"/>
      <c r="AX351" s="208"/>
      <c r="AY351" s="208"/>
      <c r="AZ351" s="208"/>
      <c r="BA351" s="208"/>
      <c r="BB351" s="208"/>
      <c r="BC351" s="208"/>
      <c r="BD351" s="208"/>
      <c r="BE351" s="208"/>
      <c r="BF351" s="208"/>
      <c r="BG351" s="208"/>
      <c r="BH351" s="208"/>
      <c r="BI351" s="208"/>
      <c r="BJ351" s="208"/>
      <c r="BK351" s="208"/>
      <c r="BL351" s="208"/>
      <c r="BM351" s="208"/>
      <c r="BN351" s="208"/>
      <c r="BO351" s="208"/>
      <c r="BP351" s="208"/>
      <c r="BQ351" s="208"/>
      <c r="BR351" s="208"/>
      <c r="BS351" s="208"/>
      <c r="BT351" s="208"/>
      <c r="BU351" s="208"/>
      <c r="BV351" s="208"/>
      <c r="BW351" s="208"/>
      <c r="BX351" s="208"/>
      <c r="BY351" s="208"/>
      <c r="BZ351" s="208"/>
      <c r="CA351" s="208"/>
      <c r="CB351" s="208"/>
      <c r="CC351" s="208"/>
      <c r="CD351" s="208"/>
      <c r="CE351" s="208"/>
      <c r="CF351" s="208"/>
      <c r="CG351" s="208"/>
      <c r="CH351" s="208"/>
      <c r="CI351" s="208"/>
      <c r="CJ351" s="208"/>
      <c r="CK351" s="208"/>
      <c r="CL351" s="208"/>
      <c r="CM351" s="208"/>
      <c r="CN351" s="208"/>
      <c r="CO351" s="208"/>
      <c r="CP351" s="208"/>
      <c r="CQ351" s="208"/>
      <c r="CR351" s="208"/>
      <c r="CS351" s="208"/>
      <c r="CT351" s="208"/>
      <c r="CU351" s="208"/>
      <c r="CV351" s="208"/>
      <c r="CW351" s="208"/>
      <c r="CX351" s="208"/>
      <c r="CY351" s="208"/>
      <c r="CZ351" s="208"/>
      <c r="DA351" s="208"/>
      <c r="DB351" s="208"/>
      <c r="DC351" s="208"/>
      <c r="DD351" s="208"/>
      <c r="DE351" s="208"/>
      <c r="DF351" s="208"/>
      <c r="DG351" s="208"/>
      <c r="DH351" s="208"/>
      <c r="DI351" s="208"/>
      <c r="DJ351" s="208"/>
      <c r="DK351" s="208"/>
      <c r="DL351" s="208"/>
      <c r="DM351" s="208"/>
      <c r="DN351" s="208"/>
      <c r="DO351" s="208"/>
      <c r="DP351" s="208"/>
      <c r="DQ351" s="208"/>
      <c r="DR351" s="208"/>
      <c r="DS351" s="208"/>
      <c r="DT351" s="208"/>
      <c r="DU351" s="208"/>
      <c r="DV351" s="208"/>
      <c r="DW351" s="208"/>
      <c r="DX351" s="208"/>
      <c r="DY351" s="208"/>
      <c r="DZ351" s="208"/>
      <c r="EA351" s="208"/>
      <c r="EB351" s="208"/>
      <c r="EC351" s="208"/>
      <c r="ED351" s="208"/>
      <c r="EE351" s="208"/>
      <c r="EF351" s="208"/>
      <c r="EG351" s="208"/>
      <c r="EH351" s="208"/>
      <c r="EI351" s="208"/>
      <c r="EJ351" s="208"/>
      <c r="EK351" s="208"/>
      <c r="EL351" s="208"/>
      <c r="EM351" s="208"/>
      <c r="EN351" s="208"/>
      <c r="EO351" s="208"/>
      <c r="EP351" s="208"/>
      <c r="EQ351" s="208"/>
      <c r="ER351" s="208"/>
      <c r="ES351" s="208"/>
      <c r="ET351" s="208"/>
      <c r="EU351" s="208"/>
      <c r="EV351" s="208"/>
      <c r="EW351" s="208"/>
      <c r="EX351" s="208"/>
      <c r="EY351" s="208"/>
      <c r="EZ351" s="208"/>
      <c r="FA351" s="208"/>
      <c r="FB351" s="208"/>
      <c r="FC351" s="208"/>
      <c r="FD351" s="208"/>
      <c r="FE351" s="208"/>
      <c r="FF351" s="208"/>
      <c r="FG351" s="208"/>
      <c r="FH351" s="208"/>
      <c r="FI351" s="208"/>
      <c r="FJ351" s="208"/>
      <c r="FK351" s="208"/>
      <c r="FL351" s="208"/>
      <c r="FM351" s="208"/>
      <c r="FN351" s="208"/>
      <c r="FO351" s="208"/>
      <c r="FP351" s="208"/>
      <c r="FQ351" s="208"/>
      <c r="FR351" s="208"/>
      <c r="FS351" s="208"/>
      <c r="FT351" s="208"/>
      <c r="FU351" s="208"/>
      <c r="FV351" s="208"/>
      <c r="FW351" s="208"/>
      <c r="FX351" s="208"/>
      <c r="FY351" s="208"/>
      <c r="FZ351" s="208"/>
      <c r="GA351" s="208"/>
      <c r="GB351" s="208"/>
      <c r="GC351" s="208"/>
      <c r="GD351" s="208"/>
      <c r="GE351" s="208"/>
      <c r="GF351" s="208"/>
    </row>
    <row r="352" spans="1:188" s="225" customFormat="1" ht="15" x14ac:dyDescent="0.25">
      <c r="A352" s="189" t="s">
        <v>5133</v>
      </c>
      <c r="B352" s="189"/>
      <c r="C352" s="190" t="s">
        <v>5132</v>
      </c>
      <c r="D352" s="191"/>
      <c r="E352" s="191"/>
      <c r="F352" s="191"/>
      <c r="G352" s="192"/>
      <c r="H352" s="193"/>
      <c r="I352" s="246"/>
      <c r="J352" s="194"/>
      <c r="K352" s="191"/>
      <c r="L352" s="191"/>
      <c r="M352" s="194">
        <f>SUBTOTAL(109,M353)</f>
        <v>2598</v>
      </c>
      <c r="N352" s="191"/>
      <c r="O352" s="194"/>
      <c r="Q352" s="208"/>
      <c r="R352" s="208"/>
      <c r="S352"/>
      <c r="T352" s="208"/>
      <c r="U352" s="208"/>
      <c r="V352" s="208"/>
      <c r="W352" s="208"/>
      <c r="X352" s="208"/>
      <c r="Y352" s="208"/>
      <c r="Z352" s="208"/>
      <c r="AA352" s="208"/>
      <c r="AB352" s="208"/>
      <c r="AC352" s="208"/>
      <c r="AD352" s="208"/>
      <c r="AE352" s="208"/>
      <c r="AF352" s="208"/>
      <c r="AG352" s="208"/>
      <c r="AH352" s="208"/>
      <c r="AI352" s="208"/>
      <c r="AJ352" s="208"/>
      <c r="AK352" s="208"/>
      <c r="AL352" s="208"/>
      <c r="AM352" s="208"/>
      <c r="AN352" s="208"/>
      <c r="AO352" s="208"/>
      <c r="AP352" s="208"/>
      <c r="AQ352" s="208"/>
      <c r="AR352" s="208"/>
      <c r="AS352" s="208"/>
      <c r="AT352" s="208"/>
      <c r="AU352" s="208"/>
      <c r="AV352" s="208"/>
      <c r="AW352" s="208"/>
      <c r="AX352" s="208"/>
      <c r="AY352" s="208"/>
      <c r="AZ352" s="208"/>
      <c r="BA352" s="208"/>
      <c r="BB352" s="208"/>
      <c r="BC352" s="208"/>
      <c r="BD352" s="208"/>
      <c r="BE352" s="208"/>
      <c r="BF352" s="208"/>
      <c r="BG352" s="208"/>
      <c r="BH352" s="208"/>
      <c r="BI352" s="208"/>
      <c r="BJ352" s="208"/>
      <c r="BK352" s="208"/>
      <c r="BL352" s="208"/>
      <c r="BM352" s="208"/>
      <c r="BN352" s="208"/>
      <c r="BO352" s="208"/>
      <c r="BP352" s="208"/>
      <c r="BQ352" s="208"/>
      <c r="BR352" s="208"/>
      <c r="BS352" s="208"/>
      <c r="BT352" s="208"/>
      <c r="BU352" s="208"/>
      <c r="BV352" s="208"/>
      <c r="BW352" s="208"/>
      <c r="BX352" s="208"/>
      <c r="BY352" s="208"/>
      <c r="BZ352" s="208"/>
      <c r="CA352" s="208"/>
      <c r="CB352" s="208"/>
      <c r="CC352" s="208"/>
      <c r="CD352" s="208"/>
      <c r="CE352" s="208"/>
      <c r="CF352" s="208"/>
      <c r="CG352" s="208"/>
      <c r="CH352" s="208"/>
      <c r="CI352" s="208"/>
      <c r="CJ352" s="208"/>
      <c r="CK352" s="208"/>
      <c r="CL352" s="208"/>
      <c r="CM352" s="208"/>
      <c r="CN352" s="208"/>
      <c r="CO352" s="208"/>
      <c r="CP352" s="208"/>
      <c r="CQ352" s="208"/>
      <c r="CR352" s="208"/>
      <c r="CS352" s="208"/>
      <c r="CT352" s="208"/>
      <c r="CU352" s="208"/>
      <c r="CV352" s="208"/>
      <c r="CW352" s="208"/>
      <c r="CX352" s="208"/>
      <c r="CY352" s="208"/>
      <c r="CZ352" s="208"/>
      <c r="DA352" s="208"/>
      <c r="DB352" s="208"/>
      <c r="DC352" s="208"/>
      <c r="DD352" s="208"/>
      <c r="DE352" s="208"/>
      <c r="DF352" s="208"/>
      <c r="DG352" s="208"/>
      <c r="DH352" s="208"/>
      <c r="DI352" s="208"/>
      <c r="DJ352" s="208"/>
      <c r="DK352" s="208"/>
      <c r="DL352" s="208"/>
      <c r="DM352" s="208"/>
      <c r="DN352" s="208"/>
      <c r="DO352" s="208"/>
      <c r="DP352" s="208"/>
      <c r="DQ352" s="208"/>
      <c r="DR352" s="208"/>
      <c r="DS352" s="208"/>
      <c r="DT352" s="208"/>
      <c r="DU352" s="208"/>
      <c r="DV352" s="208"/>
      <c r="DW352" s="208"/>
      <c r="DX352" s="208"/>
      <c r="DY352" s="208"/>
      <c r="DZ352" s="208"/>
      <c r="EA352" s="208"/>
      <c r="EB352" s="208"/>
      <c r="EC352" s="208"/>
      <c r="ED352" s="208"/>
      <c r="EE352" s="208"/>
      <c r="EF352" s="208"/>
      <c r="EG352" s="208"/>
      <c r="EH352" s="208"/>
      <c r="EI352" s="208"/>
      <c r="EJ352" s="208"/>
      <c r="EK352" s="208"/>
      <c r="EL352" s="208"/>
      <c r="EM352" s="208"/>
      <c r="EN352" s="208"/>
      <c r="EO352" s="208"/>
      <c r="EP352" s="208"/>
      <c r="EQ352" s="208"/>
      <c r="ER352" s="208"/>
      <c r="ES352" s="208"/>
      <c r="ET352" s="208"/>
      <c r="EU352" s="208"/>
      <c r="EV352" s="208"/>
      <c r="EW352" s="208"/>
      <c r="EX352" s="208"/>
      <c r="EY352" s="208"/>
      <c r="EZ352" s="208"/>
      <c r="FA352" s="208"/>
      <c r="FB352" s="208"/>
      <c r="FC352" s="208"/>
      <c r="FD352" s="208"/>
      <c r="FE352" s="208"/>
      <c r="FF352" s="208"/>
      <c r="FG352" s="208"/>
      <c r="FH352" s="208"/>
      <c r="FI352" s="208"/>
      <c r="FJ352" s="208"/>
      <c r="FK352" s="208"/>
      <c r="FL352" s="208"/>
      <c r="FM352" s="208"/>
      <c r="FN352" s="208"/>
      <c r="FO352" s="208"/>
      <c r="FP352" s="208"/>
      <c r="FQ352" s="208"/>
      <c r="FR352" s="208"/>
      <c r="FS352" s="208"/>
      <c r="FT352" s="208"/>
      <c r="FU352" s="208"/>
      <c r="FV352" s="208"/>
      <c r="FW352" s="208"/>
      <c r="FX352" s="208"/>
      <c r="FY352" s="208"/>
      <c r="FZ352" s="208"/>
      <c r="GA352" s="208"/>
      <c r="GB352" s="208"/>
      <c r="GC352" s="208"/>
      <c r="GD352" s="208"/>
      <c r="GE352" s="208"/>
      <c r="GF352" s="208"/>
    </row>
    <row r="353" spans="1:188" s="209" customFormat="1" ht="15" x14ac:dyDescent="0.25">
      <c r="A353" s="195" t="s">
        <v>5134</v>
      </c>
      <c r="B353" s="195" t="s">
        <v>2621</v>
      </c>
      <c r="C353" s="196" t="s">
        <v>2622</v>
      </c>
      <c r="D353" s="154" t="s">
        <v>28</v>
      </c>
      <c r="E353" s="154">
        <v>2</v>
      </c>
      <c r="F353" s="154"/>
      <c r="G353" s="197">
        <v>5</v>
      </c>
      <c r="H353" s="198">
        <f>1/(12*G353)</f>
        <v>1.6666666666666666E-2</v>
      </c>
      <c r="I353" s="247">
        <v>1299</v>
      </c>
      <c r="J353" s="152"/>
      <c r="K353" s="198"/>
      <c r="L353" s="152">
        <f>IF(ISNUMBER(I353),ROUND(H353*E353*I353,2),"")</f>
        <v>43.3</v>
      </c>
      <c r="M353" s="152">
        <f>IF(ISNUMBER(I353),ROUND(L353*60,2),"")</f>
        <v>2598</v>
      </c>
      <c r="N353" s="153"/>
      <c r="O353" s="152"/>
      <c r="Q353" s="208"/>
      <c r="R353" s="208"/>
      <c r="S353"/>
      <c r="T353" s="208"/>
      <c r="U353" s="208"/>
      <c r="V353" s="208"/>
      <c r="W353" s="208"/>
      <c r="X353" s="208"/>
      <c r="Y353" s="208"/>
      <c r="Z353" s="208"/>
      <c r="AA353" s="208"/>
      <c r="AB353" s="208"/>
      <c r="AC353" s="208"/>
      <c r="AD353" s="208"/>
      <c r="AE353" s="208"/>
      <c r="AF353" s="208"/>
      <c r="AG353" s="208"/>
      <c r="AH353" s="208"/>
      <c r="AI353" s="208"/>
      <c r="AJ353" s="208"/>
      <c r="AK353" s="208"/>
      <c r="AL353" s="208"/>
      <c r="AM353" s="208"/>
      <c r="AN353" s="208"/>
      <c r="AO353" s="208"/>
      <c r="AP353" s="208"/>
      <c r="AQ353" s="208"/>
      <c r="AR353" s="208"/>
      <c r="AS353" s="208"/>
      <c r="AT353" s="208"/>
      <c r="AU353" s="208"/>
      <c r="AV353" s="208"/>
      <c r="AW353" s="208"/>
      <c r="AX353" s="208"/>
      <c r="AY353" s="208"/>
      <c r="AZ353" s="208"/>
      <c r="BA353" s="208"/>
      <c r="BB353" s="208"/>
      <c r="BC353" s="208"/>
      <c r="BD353" s="208"/>
      <c r="BE353" s="208"/>
      <c r="BF353" s="208"/>
      <c r="BG353" s="208"/>
      <c r="BH353" s="208"/>
      <c r="BI353" s="208"/>
      <c r="BJ353" s="208"/>
      <c r="BK353" s="208"/>
      <c r="BL353" s="208"/>
      <c r="BM353" s="208"/>
      <c r="BN353" s="208"/>
      <c r="BO353" s="208"/>
      <c r="BP353" s="208"/>
      <c r="BQ353" s="208"/>
      <c r="BR353" s="208"/>
      <c r="BS353" s="208"/>
      <c r="BT353" s="208"/>
      <c r="BU353" s="208"/>
      <c r="BV353" s="208"/>
      <c r="BW353" s="208"/>
      <c r="BX353" s="208"/>
      <c r="BY353" s="208"/>
      <c r="BZ353" s="208"/>
      <c r="CA353" s="208"/>
      <c r="CB353" s="208"/>
      <c r="CC353" s="208"/>
      <c r="CD353" s="208"/>
      <c r="CE353" s="208"/>
      <c r="CF353" s="208"/>
      <c r="CG353" s="208"/>
      <c r="CH353" s="208"/>
      <c r="CI353" s="208"/>
      <c r="CJ353" s="208"/>
      <c r="CK353" s="208"/>
      <c r="CL353" s="208"/>
      <c r="CM353" s="208"/>
      <c r="CN353" s="208"/>
      <c r="CO353" s="208"/>
      <c r="CP353" s="208"/>
      <c r="CQ353" s="208"/>
      <c r="CR353" s="208"/>
      <c r="CS353" s="208"/>
      <c r="CT353" s="208"/>
      <c r="CU353" s="208"/>
      <c r="CV353" s="208"/>
      <c r="CW353" s="208"/>
      <c r="CX353" s="208"/>
      <c r="CY353" s="208"/>
      <c r="CZ353" s="208"/>
      <c r="DA353" s="208"/>
      <c r="DB353" s="208"/>
      <c r="DC353" s="208"/>
      <c r="DD353" s="208"/>
      <c r="DE353" s="208"/>
      <c r="DF353" s="208"/>
      <c r="DG353" s="208"/>
      <c r="DH353" s="208"/>
      <c r="DI353" s="208"/>
      <c r="DJ353" s="208"/>
      <c r="DK353" s="208"/>
      <c r="DL353" s="208"/>
      <c r="DM353" s="208"/>
      <c r="DN353" s="208"/>
      <c r="DO353" s="208"/>
      <c r="DP353" s="208"/>
      <c r="DQ353" s="208"/>
      <c r="DR353" s="208"/>
      <c r="DS353" s="208"/>
      <c r="DT353" s="208"/>
      <c r="DU353" s="208"/>
      <c r="DV353" s="208"/>
      <c r="DW353" s="208"/>
      <c r="DX353" s="208"/>
      <c r="DY353" s="208"/>
      <c r="DZ353" s="208"/>
      <c r="EA353" s="208"/>
      <c r="EB353" s="208"/>
      <c r="EC353" s="208"/>
      <c r="ED353" s="208"/>
      <c r="EE353" s="208"/>
      <c r="EF353" s="208"/>
      <c r="EG353" s="208"/>
      <c r="EH353" s="208"/>
      <c r="EI353" s="208"/>
      <c r="EJ353" s="208"/>
      <c r="EK353" s="208"/>
      <c r="EL353" s="208"/>
      <c r="EM353" s="208"/>
      <c r="EN353" s="208"/>
      <c r="EO353" s="208"/>
      <c r="EP353" s="208"/>
      <c r="EQ353" s="208"/>
      <c r="ER353" s="208"/>
      <c r="ES353" s="208"/>
      <c r="ET353" s="208"/>
      <c r="EU353" s="208"/>
      <c r="EV353" s="208"/>
      <c r="EW353" s="208"/>
      <c r="EX353" s="208"/>
      <c r="EY353" s="208"/>
      <c r="EZ353" s="208"/>
      <c r="FA353" s="208"/>
      <c r="FB353" s="208"/>
      <c r="FC353" s="208"/>
      <c r="FD353" s="208"/>
      <c r="FE353" s="208"/>
      <c r="FF353" s="208"/>
      <c r="FG353" s="208"/>
      <c r="FH353" s="208"/>
      <c r="FI353" s="208"/>
      <c r="FJ353" s="208"/>
      <c r="FK353" s="208"/>
      <c r="FL353" s="208"/>
      <c r="FM353" s="208"/>
      <c r="FN353" s="208"/>
      <c r="FO353" s="208"/>
      <c r="FP353" s="208"/>
      <c r="FQ353" s="208"/>
      <c r="FR353" s="208"/>
      <c r="FS353" s="208"/>
      <c r="FT353" s="208"/>
      <c r="FU353" s="208"/>
      <c r="FV353" s="208"/>
      <c r="FW353" s="208"/>
      <c r="FX353" s="208"/>
      <c r="FY353" s="208"/>
      <c r="FZ353" s="208"/>
      <c r="GA353" s="208"/>
      <c r="GB353" s="208"/>
      <c r="GC353" s="208"/>
      <c r="GD353" s="208"/>
      <c r="GE353" s="208"/>
      <c r="GF353" s="208"/>
    </row>
    <row r="354" spans="1:188" s="209" customFormat="1" ht="15" x14ac:dyDescent="0.25">
      <c r="A354" s="182" t="s">
        <v>5135</v>
      </c>
      <c r="B354" s="183"/>
      <c r="C354" s="184" t="s">
        <v>5136</v>
      </c>
      <c r="D354" s="185"/>
      <c r="E354" s="185"/>
      <c r="F354" s="185"/>
      <c r="G354" s="186"/>
      <c r="H354" s="187"/>
      <c r="I354" s="245"/>
      <c r="J354" s="188"/>
      <c r="K354" s="185"/>
      <c r="L354" s="188"/>
      <c r="M354" s="188">
        <f>SUBTOTAL(109,M355:M468)</f>
        <v>113137.8</v>
      </c>
      <c r="N354" s="185"/>
      <c r="O354" s="188"/>
      <c r="Q354" s="208"/>
      <c r="R354" s="208"/>
      <c r="S354"/>
      <c r="T354" s="208"/>
      <c r="U354" s="208"/>
      <c r="V354" s="208"/>
      <c r="W354" s="208"/>
      <c r="X354" s="208"/>
      <c r="Y354" s="208"/>
      <c r="Z354" s="208"/>
      <c r="AA354" s="208"/>
      <c r="AB354" s="208"/>
      <c r="AC354" s="208"/>
      <c r="AD354" s="208"/>
      <c r="AE354" s="208"/>
      <c r="AF354" s="208"/>
      <c r="AG354" s="208"/>
      <c r="AH354" s="208"/>
      <c r="AI354" s="208"/>
      <c r="AJ354" s="208"/>
      <c r="AK354" s="208"/>
      <c r="AL354" s="208"/>
      <c r="AM354" s="208"/>
      <c r="AN354" s="208"/>
      <c r="AO354" s="208"/>
      <c r="AP354" s="208"/>
      <c r="AQ354" s="208"/>
      <c r="AR354" s="208"/>
      <c r="AS354" s="208"/>
      <c r="AT354" s="208"/>
      <c r="AU354" s="208"/>
      <c r="AV354" s="208"/>
      <c r="AW354" s="208"/>
      <c r="AX354" s="208"/>
      <c r="AY354" s="208"/>
      <c r="AZ354" s="208"/>
      <c r="BA354" s="208"/>
      <c r="BB354" s="208"/>
      <c r="BC354" s="208"/>
      <c r="BD354" s="208"/>
      <c r="BE354" s="208"/>
      <c r="BF354" s="208"/>
      <c r="BG354" s="208"/>
      <c r="BH354" s="208"/>
      <c r="BI354" s="208"/>
      <c r="BJ354" s="208"/>
      <c r="BK354" s="208"/>
      <c r="BL354" s="208"/>
      <c r="BM354" s="208"/>
      <c r="BN354" s="208"/>
      <c r="BO354" s="208"/>
      <c r="BP354" s="208"/>
      <c r="BQ354" s="208"/>
      <c r="BR354" s="208"/>
      <c r="BS354" s="208"/>
      <c r="BT354" s="208"/>
      <c r="BU354" s="208"/>
      <c r="BV354" s="208"/>
      <c r="BW354" s="208"/>
      <c r="BX354" s="208"/>
      <c r="BY354" s="208"/>
      <c r="BZ354" s="208"/>
      <c r="CA354" s="208"/>
      <c r="CB354" s="208"/>
      <c r="CC354" s="208"/>
      <c r="CD354" s="208"/>
      <c r="CE354" s="208"/>
      <c r="CF354" s="208"/>
      <c r="CG354" s="208"/>
      <c r="CH354" s="208"/>
      <c r="CI354" s="208"/>
      <c r="CJ354" s="208"/>
      <c r="CK354" s="208"/>
      <c r="CL354" s="208"/>
      <c r="CM354" s="208"/>
      <c r="CN354" s="208"/>
      <c r="CO354" s="208"/>
      <c r="CP354" s="208"/>
      <c r="CQ354" s="208"/>
      <c r="CR354" s="208"/>
      <c r="CS354" s="208"/>
      <c r="CT354" s="208"/>
      <c r="CU354" s="208"/>
      <c r="CV354" s="208"/>
      <c r="CW354" s="208"/>
      <c r="CX354" s="208"/>
      <c r="CY354" s="208"/>
      <c r="CZ354" s="208"/>
      <c r="DA354" s="208"/>
      <c r="DB354" s="208"/>
      <c r="DC354" s="208"/>
      <c r="DD354" s="208"/>
      <c r="DE354" s="208"/>
      <c r="DF354" s="208"/>
      <c r="DG354" s="208"/>
      <c r="DH354" s="208"/>
      <c r="DI354" s="208"/>
      <c r="DJ354" s="208"/>
      <c r="DK354" s="208"/>
      <c r="DL354" s="208"/>
      <c r="DM354" s="208"/>
      <c r="DN354" s="208"/>
      <c r="DO354" s="208"/>
      <c r="DP354" s="208"/>
      <c r="DQ354" s="208"/>
      <c r="DR354" s="208"/>
      <c r="DS354" s="208"/>
      <c r="DT354" s="208"/>
      <c r="DU354" s="208"/>
      <c r="DV354" s="208"/>
      <c r="DW354" s="208"/>
      <c r="DX354" s="208"/>
      <c r="DY354" s="208"/>
      <c r="DZ354" s="208"/>
      <c r="EA354" s="208"/>
      <c r="EB354" s="208"/>
      <c r="EC354" s="208"/>
      <c r="ED354" s="208"/>
      <c r="EE354" s="208"/>
      <c r="EF354" s="208"/>
      <c r="EG354" s="208"/>
      <c r="EH354" s="208"/>
      <c r="EI354" s="208"/>
      <c r="EJ354" s="208"/>
      <c r="EK354" s="208"/>
      <c r="EL354" s="208"/>
      <c r="EM354" s="208"/>
      <c r="EN354" s="208"/>
      <c r="EO354" s="208"/>
      <c r="EP354" s="208"/>
      <c r="EQ354" s="208"/>
      <c r="ER354" s="208"/>
      <c r="ES354" s="208"/>
      <c r="ET354" s="208"/>
      <c r="EU354" s="208"/>
      <c r="EV354" s="208"/>
      <c r="EW354" s="208"/>
      <c r="EX354" s="208"/>
      <c r="EY354" s="208"/>
      <c r="EZ354" s="208"/>
      <c r="FA354" s="208"/>
      <c r="FB354" s="208"/>
      <c r="FC354" s="208"/>
      <c r="FD354" s="208"/>
      <c r="FE354" s="208"/>
      <c r="FF354" s="208"/>
      <c r="FG354" s="208"/>
      <c r="FH354" s="208"/>
      <c r="FI354" s="208"/>
      <c r="FJ354" s="208"/>
      <c r="FK354" s="208"/>
      <c r="FL354" s="208"/>
      <c r="FM354" s="208"/>
      <c r="FN354" s="208"/>
      <c r="FO354" s="208"/>
      <c r="FP354" s="208"/>
      <c r="FQ354" s="208"/>
      <c r="FR354" s="208"/>
      <c r="FS354" s="208"/>
      <c r="FT354" s="208"/>
      <c r="FU354" s="208"/>
      <c r="FV354" s="208"/>
      <c r="FW354" s="208"/>
      <c r="FX354" s="208"/>
      <c r="FY354" s="208"/>
      <c r="FZ354" s="208"/>
      <c r="GA354" s="208"/>
      <c r="GB354" s="208"/>
      <c r="GC354" s="208"/>
      <c r="GD354" s="208"/>
      <c r="GE354" s="208"/>
      <c r="GF354" s="208"/>
    </row>
    <row r="355" spans="1:188" s="225" customFormat="1" ht="15" x14ac:dyDescent="0.25">
      <c r="A355" s="189" t="s">
        <v>5137</v>
      </c>
      <c r="B355" s="189"/>
      <c r="C355" s="190" t="s">
        <v>5138</v>
      </c>
      <c r="D355" s="191"/>
      <c r="E355" s="191"/>
      <c r="F355" s="191"/>
      <c r="G355" s="192"/>
      <c r="H355" s="193"/>
      <c r="I355" s="246"/>
      <c r="J355" s="194"/>
      <c r="K355" s="191"/>
      <c r="L355" s="191"/>
      <c r="M355" s="194">
        <f>SUBTOTAL(109,M356:M376)</f>
        <v>51072</v>
      </c>
      <c r="N355" s="191"/>
      <c r="O355" s="194"/>
      <c r="Q355" s="208"/>
      <c r="R355" s="208"/>
      <c r="S355"/>
      <c r="T355" s="208"/>
      <c r="U355" s="208"/>
      <c r="V355" s="208"/>
      <c r="W355" s="208"/>
      <c r="X355" s="208"/>
      <c r="Y355" s="208"/>
      <c r="Z355" s="208"/>
      <c r="AA355" s="208"/>
      <c r="AB355" s="208"/>
      <c r="AC355" s="208"/>
      <c r="AD355" s="208"/>
      <c r="AE355" s="208"/>
      <c r="AF355" s="208"/>
      <c r="AG355" s="208"/>
      <c r="AH355" s="208"/>
      <c r="AI355" s="208"/>
      <c r="AJ355" s="208"/>
      <c r="AK355" s="208"/>
      <c r="AL355" s="208"/>
      <c r="AM355" s="208"/>
      <c r="AN355" s="208"/>
      <c r="AO355" s="208"/>
      <c r="AP355" s="208"/>
      <c r="AQ355" s="208"/>
      <c r="AR355" s="208"/>
      <c r="AS355" s="208"/>
      <c r="AT355" s="208"/>
      <c r="AU355" s="208"/>
      <c r="AV355" s="208"/>
      <c r="AW355" s="208"/>
      <c r="AX355" s="208"/>
      <c r="AY355" s="208"/>
      <c r="AZ355" s="208"/>
      <c r="BA355" s="208"/>
      <c r="BB355" s="208"/>
      <c r="BC355" s="208"/>
      <c r="BD355" s="208"/>
      <c r="BE355" s="208"/>
      <c r="BF355" s="208"/>
      <c r="BG355" s="208"/>
      <c r="BH355" s="208"/>
      <c r="BI355" s="208"/>
      <c r="BJ355" s="208"/>
      <c r="BK355" s="208"/>
      <c r="BL355" s="208"/>
      <c r="BM355" s="208"/>
      <c r="BN355" s="208"/>
      <c r="BO355" s="208"/>
      <c r="BP355" s="208"/>
      <c r="BQ355" s="208"/>
      <c r="BR355" s="208"/>
      <c r="BS355" s="208"/>
      <c r="BT355" s="208"/>
      <c r="BU355" s="208"/>
      <c r="BV355" s="208"/>
      <c r="BW355" s="208"/>
      <c r="BX355" s="208"/>
      <c r="BY355" s="208"/>
      <c r="BZ355" s="208"/>
      <c r="CA355" s="208"/>
      <c r="CB355" s="208"/>
      <c r="CC355" s="208"/>
      <c r="CD355" s="208"/>
      <c r="CE355" s="208"/>
      <c r="CF355" s="208"/>
      <c r="CG355" s="208"/>
      <c r="CH355" s="208"/>
      <c r="CI355" s="208"/>
      <c r="CJ355" s="208"/>
      <c r="CK355" s="208"/>
      <c r="CL355" s="208"/>
      <c r="CM355" s="208"/>
      <c r="CN355" s="208"/>
      <c r="CO355" s="208"/>
      <c r="CP355" s="208"/>
      <c r="CQ355" s="208"/>
      <c r="CR355" s="208"/>
      <c r="CS355" s="208"/>
      <c r="CT355" s="208"/>
      <c r="CU355" s="208"/>
      <c r="CV355" s="208"/>
      <c r="CW355" s="208"/>
      <c r="CX355" s="208"/>
      <c r="CY355" s="208"/>
      <c r="CZ355" s="208"/>
      <c r="DA355" s="208"/>
      <c r="DB355" s="208"/>
      <c r="DC355" s="208"/>
      <c r="DD355" s="208"/>
      <c r="DE355" s="208"/>
      <c r="DF355" s="208"/>
      <c r="DG355" s="208"/>
      <c r="DH355" s="208"/>
      <c r="DI355" s="208"/>
      <c r="DJ355" s="208"/>
      <c r="DK355" s="208"/>
      <c r="DL355" s="208"/>
      <c r="DM355" s="208"/>
      <c r="DN355" s="208"/>
      <c r="DO355" s="208"/>
      <c r="DP355" s="208"/>
      <c r="DQ355" s="208"/>
      <c r="DR355" s="208"/>
      <c r="DS355" s="208"/>
      <c r="DT355" s="208"/>
      <c r="DU355" s="208"/>
      <c r="DV355" s="208"/>
      <c r="DW355" s="208"/>
      <c r="DX355" s="208"/>
      <c r="DY355" s="208"/>
      <c r="DZ355" s="208"/>
      <c r="EA355" s="208"/>
      <c r="EB355" s="208"/>
      <c r="EC355" s="208"/>
      <c r="ED355" s="208"/>
      <c r="EE355" s="208"/>
      <c r="EF355" s="208"/>
      <c r="EG355" s="208"/>
      <c r="EH355" s="208"/>
      <c r="EI355" s="208"/>
      <c r="EJ355" s="208"/>
      <c r="EK355" s="208"/>
      <c r="EL355" s="208"/>
      <c r="EM355" s="208"/>
      <c r="EN355" s="208"/>
      <c r="EO355" s="208"/>
      <c r="EP355" s="208"/>
      <c r="EQ355" s="208"/>
      <c r="ER355" s="208"/>
      <c r="ES355" s="208"/>
      <c r="ET355" s="208"/>
      <c r="EU355" s="208"/>
      <c r="EV355" s="208"/>
      <c r="EW355" s="208"/>
      <c r="EX355" s="208"/>
      <c r="EY355" s="208"/>
      <c r="EZ355" s="208"/>
      <c r="FA355" s="208"/>
      <c r="FB355" s="208"/>
      <c r="FC355" s="208"/>
      <c r="FD355" s="208"/>
      <c r="FE355" s="208"/>
      <c r="FF355" s="208"/>
      <c r="FG355" s="208"/>
      <c r="FH355" s="208"/>
      <c r="FI355" s="208"/>
      <c r="FJ355" s="208"/>
      <c r="FK355" s="208"/>
      <c r="FL355" s="208"/>
      <c r="FM355" s="208"/>
      <c r="FN355" s="208"/>
      <c r="FO355" s="208"/>
      <c r="FP355" s="208"/>
      <c r="FQ355" s="208"/>
      <c r="FR355" s="208"/>
      <c r="FS355" s="208"/>
      <c r="FT355" s="208"/>
      <c r="FU355" s="208"/>
      <c r="FV355" s="208"/>
      <c r="FW355" s="208"/>
      <c r="FX355" s="208"/>
      <c r="FY355" s="208"/>
      <c r="FZ355" s="208"/>
      <c r="GA355" s="208"/>
      <c r="GB355" s="208"/>
      <c r="GC355" s="208"/>
      <c r="GD355" s="208"/>
      <c r="GE355" s="208"/>
      <c r="GF355" s="208"/>
    </row>
    <row r="356" spans="1:188" s="209" customFormat="1" ht="15" x14ac:dyDescent="0.25">
      <c r="A356" s="195" t="s">
        <v>5139</v>
      </c>
      <c r="B356" s="195" t="s">
        <v>2594</v>
      </c>
      <c r="C356" s="196" t="s">
        <v>2595</v>
      </c>
      <c r="D356" s="154" t="s">
        <v>28</v>
      </c>
      <c r="E356" s="154">
        <v>1</v>
      </c>
      <c r="F356" s="154"/>
      <c r="G356" s="197">
        <v>10</v>
      </c>
      <c r="H356" s="198">
        <f t="shared" ref="H356:H421" si="55">1/(12*G356)</f>
        <v>8.3333333333333332E-3</v>
      </c>
      <c r="I356" s="247">
        <v>4699.8999999999996</v>
      </c>
      <c r="J356" s="152"/>
      <c r="K356" s="198"/>
      <c r="L356" s="152">
        <f t="shared" ref="L356:L376" si="56">IF(ISNUMBER(I356),ROUND(H356*E356*I356,2),"")</f>
        <v>39.17</v>
      </c>
      <c r="M356" s="152">
        <f t="shared" ref="M356:M376" si="57">IF(ISNUMBER(I356),ROUND(L356*60,2),"")</f>
        <v>2350.1999999999998</v>
      </c>
      <c r="N356" s="153"/>
      <c r="O356" s="152"/>
      <c r="Q356" s="208"/>
      <c r="R356" s="208"/>
      <c r="S356"/>
      <c r="T356" s="208"/>
      <c r="U356" s="208"/>
      <c r="V356" s="208"/>
      <c r="W356" s="208"/>
      <c r="X356" s="208"/>
      <c r="Y356" s="208"/>
      <c r="Z356" s="208"/>
      <c r="AA356" s="208"/>
      <c r="AB356" s="208"/>
      <c r="AC356" s="208"/>
      <c r="AD356" s="208"/>
      <c r="AE356" s="208"/>
      <c r="AF356" s="208"/>
      <c r="AG356" s="208"/>
      <c r="AH356" s="208"/>
      <c r="AI356" s="208"/>
      <c r="AJ356" s="208"/>
      <c r="AK356" s="208"/>
      <c r="AL356" s="208"/>
      <c r="AM356" s="208"/>
      <c r="AN356" s="208"/>
      <c r="AO356" s="208"/>
      <c r="AP356" s="208"/>
      <c r="AQ356" s="208"/>
      <c r="AR356" s="208"/>
      <c r="AS356" s="208"/>
      <c r="AT356" s="208"/>
      <c r="AU356" s="208"/>
      <c r="AV356" s="208"/>
      <c r="AW356" s="208"/>
      <c r="AX356" s="208"/>
      <c r="AY356" s="208"/>
      <c r="AZ356" s="208"/>
      <c r="BA356" s="208"/>
      <c r="BB356" s="208"/>
      <c r="BC356" s="208"/>
      <c r="BD356" s="208"/>
      <c r="BE356" s="208"/>
      <c r="BF356" s="208"/>
      <c r="BG356" s="208"/>
      <c r="BH356" s="208"/>
      <c r="BI356" s="208"/>
      <c r="BJ356" s="208"/>
      <c r="BK356" s="208"/>
      <c r="BL356" s="208"/>
      <c r="BM356" s="208"/>
      <c r="BN356" s="208"/>
      <c r="BO356" s="208"/>
      <c r="BP356" s="208"/>
      <c r="BQ356" s="208"/>
      <c r="BR356" s="208"/>
      <c r="BS356" s="208"/>
      <c r="BT356" s="208"/>
      <c r="BU356" s="208"/>
      <c r="BV356" s="208"/>
      <c r="BW356" s="208"/>
      <c r="BX356" s="208"/>
      <c r="BY356" s="208"/>
      <c r="BZ356" s="208"/>
      <c r="CA356" s="208"/>
      <c r="CB356" s="208"/>
      <c r="CC356" s="208"/>
      <c r="CD356" s="208"/>
      <c r="CE356" s="208"/>
      <c r="CF356" s="208"/>
      <c r="CG356" s="208"/>
      <c r="CH356" s="208"/>
      <c r="CI356" s="208"/>
      <c r="CJ356" s="208"/>
      <c r="CK356" s="208"/>
      <c r="CL356" s="208"/>
      <c r="CM356" s="208"/>
      <c r="CN356" s="208"/>
      <c r="CO356" s="208"/>
      <c r="CP356" s="208"/>
      <c r="CQ356" s="208"/>
      <c r="CR356" s="208"/>
      <c r="CS356" s="208"/>
      <c r="CT356" s="208"/>
      <c r="CU356" s="208"/>
      <c r="CV356" s="208"/>
      <c r="CW356" s="208"/>
      <c r="CX356" s="208"/>
      <c r="CY356" s="208"/>
      <c r="CZ356" s="208"/>
      <c r="DA356" s="208"/>
      <c r="DB356" s="208"/>
      <c r="DC356" s="208"/>
      <c r="DD356" s="208"/>
      <c r="DE356" s="208"/>
      <c r="DF356" s="208"/>
      <c r="DG356" s="208"/>
      <c r="DH356" s="208"/>
      <c r="DI356" s="208"/>
      <c r="DJ356" s="208"/>
      <c r="DK356" s="208"/>
      <c r="DL356" s="208"/>
      <c r="DM356" s="208"/>
      <c r="DN356" s="208"/>
      <c r="DO356" s="208"/>
      <c r="DP356" s="208"/>
      <c r="DQ356" s="208"/>
      <c r="DR356" s="208"/>
      <c r="DS356" s="208"/>
      <c r="DT356" s="208"/>
      <c r="DU356" s="208"/>
      <c r="DV356" s="208"/>
      <c r="DW356" s="208"/>
      <c r="DX356" s="208"/>
      <c r="DY356" s="208"/>
      <c r="DZ356" s="208"/>
      <c r="EA356" s="208"/>
      <c r="EB356" s="208"/>
      <c r="EC356" s="208"/>
      <c r="ED356" s="208"/>
      <c r="EE356" s="208"/>
      <c r="EF356" s="208"/>
      <c r="EG356" s="208"/>
      <c r="EH356" s="208"/>
      <c r="EI356" s="208"/>
      <c r="EJ356" s="208"/>
      <c r="EK356" s="208"/>
      <c r="EL356" s="208"/>
      <c r="EM356" s="208"/>
      <c r="EN356" s="208"/>
      <c r="EO356" s="208"/>
      <c r="EP356" s="208"/>
      <c r="EQ356" s="208"/>
      <c r="ER356" s="208"/>
      <c r="ES356" s="208"/>
      <c r="ET356" s="208"/>
      <c r="EU356" s="208"/>
      <c r="EV356" s="208"/>
      <c r="EW356" s="208"/>
      <c r="EX356" s="208"/>
      <c r="EY356" s="208"/>
      <c r="EZ356" s="208"/>
      <c r="FA356" s="208"/>
      <c r="FB356" s="208"/>
      <c r="FC356" s="208"/>
      <c r="FD356" s="208"/>
      <c r="FE356" s="208"/>
      <c r="FF356" s="208"/>
      <c r="FG356" s="208"/>
      <c r="FH356" s="208"/>
      <c r="FI356" s="208"/>
      <c r="FJ356" s="208"/>
      <c r="FK356" s="208"/>
      <c r="FL356" s="208"/>
      <c r="FM356" s="208"/>
      <c r="FN356" s="208"/>
      <c r="FO356" s="208"/>
      <c r="FP356" s="208"/>
      <c r="FQ356" s="208"/>
      <c r="FR356" s="208"/>
      <c r="FS356" s="208"/>
      <c r="FT356" s="208"/>
      <c r="FU356" s="208"/>
      <c r="FV356" s="208"/>
      <c r="FW356" s="208"/>
      <c r="FX356" s="208"/>
      <c r="FY356" s="208"/>
      <c r="FZ356" s="208"/>
      <c r="GA356" s="208"/>
      <c r="GB356" s="208"/>
      <c r="GC356" s="208"/>
      <c r="GD356" s="208"/>
      <c r="GE356" s="208"/>
      <c r="GF356" s="208"/>
    </row>
    <row r="357" spans="1:188" s="209" customFormat="1" ht="15" x14ac:dyDescent="0.25">
      <c r="A357" s="195" t="s">
        <v>5140</v>
      </c>
      <c r="B357" s="195" t="s">
        <v>2602</v>
      </c>
      <c r="C357" s="196" t="s">
        <v>2603</v>
      </c>
      <c r="D357" s="154" t="s">
        <v>28</v>
      </c>
      <c r="E357" s="154">
        <v>1</v>
      </c>
      <c r="F357" s="154"/>
      <c r="G357" s="197">
        <v>10</v>
      </c>
      <c r="H357" s="198">
        <f t="shared" si="55"/>
        <v>8.3333333333333332E-3</v>
      </c>
      <c r="I357" s="247">
        <v>14095.77</v>
      </c>
      <c r="J357" s="152"/>
      <c r="K357" s="198"/>
      <c r="L357" s="152">
        <f t="shared" si="56"/>
        <v>117.46</v>
      </c>
      <c r="M357" s="152">
        <f t="shared" si="57"/>
        <v>7047.6</v>
      </c>
      <c r="N357" s="153"/>
      <c r="O357" s="152"/>
      <c r="Q357" s="208"/>
      <c r="R357" s="208"/>
      <c r="S357"/>
      <c r="T357" s="208"/>
      <c r="U357" s="208"/>
      <c r="V357" s="208"/>
      <c r="W357" s="208"/>
      <c r="X357" s="208"/>
      <c r="Y357" s="208"/>
      <c r="Z357" s="208"/>
      <c r="AA357" s="208"/>
      <c r="AB357" s="208"/>
      <c r="AC357" s="208"/>
      <c r="AD357" s="208"/>
      <c r="AE357" s="208"/>
      <c r="AF357" s="208"/>
      <c r="AG357" s="208"/>
      <c r="AH357" s="208"/>
      <c r="AI357" s="208"/>
      <c r="AJ357" s="208"/>
      <c r="AK357" s="208"/>
      <c r="AL357" s="208"/>
      <c r="AM357" s="208"/>
      <c r="AN357" s="208"/>
      <c r="AO357" s="208"/>
      <c r="AP357" s="208"/>
      <c r="AQ357" s="208"/>
      <c r="AR357" s="208"/>
      <c r="AS357" s="208"/>
      <c r="AT357" s="208"/>
      <c r="AU357" s="208"/>
      <c r="AV357" s="208"/>
      <c r="AW357" s="208"/>
      <c r="AX357" s="208"/>
      <c r="AY357" s="208"/>
      <c r="AZ357" s="208"/>
      <c r="BA357" s="208"/>
      <c r="BB357" s="208"/>
      <c r="BC357" s="208"/>
      <c r="BD357" s="208"/>
      <c r="BE357" s="208"/>
      <c r="BF357" s="208"/>
      <c r="BG357" s="208"/>
      <c r="BH357" s="208"/>
      <c r="BI357" s="208"/>
      <c r="BJ357" s="208"/>
      <c r="BK357" s="208"/>
      <c r="BL357" s="208"/>
      <c r="BM357" s="208"/>
      <c r="BN357" s="208"/>
      <c r="BO357" s="208"/>
      <c r="BP357" s="208"/>
      <c r="BQ357" s="208"/>
      <c r="BR357" s="208"/>
      <c r="BS357" s="208"/>
      <c r="BT357" s="208"/>
      <c r="BU357" s="208"/>
      <c r="BV357" s="208"/>
      <c r="BW357" s="208"/>
      <c r="BX357" s="208"/>
      <c r="BY357" s="208"/>
      <c r="BZ357" s="208"/>
      <c r="CA357" s="208"/>
      <c r="CB357" s="208"/>
      <c r="CC357" s="208"/>
      <c r="CD357" s="208"/>
      <c r="CE357" s="208"/>
      <c r="CF357" s="208"/>
      <c r="CG357" s="208"/>
      <c r="CH357" s="208"/>
      <c r="CI357" s="208"/>
      <c r="CJ357" s="208"/>
      <c r="CK357" s="208"/>
      <c r="CL357" s="208"/>
      <c r="CM357" s="208"/>
      <c r="CN357" s="208"/>
      <c r="CO357" s="208"/>
      <c r="CP357" s="208"/>
      <c r="CQ357" s="208"/>
      <c r="CR357" s="208"/>
      <c r="CS357" s="208"/>
      <c r="CT357" s="208"/>
      <c r="CU357" s="208"/>
      <c r="CV357" s="208"/>
      <c r="CW357" s="208"/>
      <c r="CX357" s="208"/>
      <c r="CY357" s="208"/>
      <c r="CZ357" s="208"/>
      <c r="DA357" s="208"/>
      <c r="DB357" s="208"/>
      <c r="DC357" s="208"/>
      <c r="DD357" s="208"/>
      <c r="DE357" s="208"/>
      <c r="DF357" s="208"/>
      <c r="DG357" s="208"/>
      <c r="DH357" s="208"/>
      <c r="DI357" s="208"/>
      <c r="DJ357" s="208"/>
      <c r="DK357" s="208"/>
      <c r="DL357" s="208"/>
      <c r="DM357" s="208"/>
      <c r="DN357" s="208"/>
      <c r="DO357" s="208"/>
      <c r="DP357" s="208"/>
      <c r="DQ357" s="208"/>
      <c r="DR357" s="208"/>
      <c r="DS357" s="208"/>
      <c r="DT357" s="208"/>
      <c r="DU357" s="208"/>
      <c r="DV357" s="208"/>
      <c r="DW357" s="208"/>
      <c r="DX357" s="208"/>
      <c r="DY357" s="208"/>
      <c r="DZ357" s="208"/>
      <c r="EA357" s="208"/>
      <c r="EB357" s="208"/>
      <c r="EC357" s="208"/>
      <c r="ED357" s="208"/>
      <c r="EE357" s="208"/>
      <c r="EF357" s="208"/>
      <c r="EG357" s="208"/>
      <c r="EH357" s="208"/>
      <c r="EI357" s="208"/>
      <c r="EJ357" s="208"/>
      <c r="EK357" s="208"/>
      <c r="EL357" s="208"/>
      <c r="EM357" s="208"/>
      <c r="EN357" s="208"/>
      <c r="EO357" s="208"/>
      <c r="EP357" s="208"/>
      <c r="EQ357" s="208"/>
      <c r="ER357" s="208"/>
      <c r="ES357" s="208"/>
      <c r="ET357" s="208"/>
      <c r="EU357" s="208"/>
      <c r="EV357" s="208"/>
      <c r="EW357" s="208"/>
      <c r="EX357" s="208"/>
      <c r="EY357" s="208"/>
      <c r="EZ357" s="208"/>
      <c r="FA357" s="208"/>
      <c r="FB357" s="208"/>
      <c r="FC357" s="208"/>
      <c r="FD357" s="208"/>
      <c r="FE357" s="208"/>
      <c r="FF357" s="208"/>
      <c r="FG357" s="208"/>
      <c r="FH357" s="208"/>
      <c r="FI357" s="208"/>
      <c r="FJ357" s="208"/>
      <c r="FK357" s="208"/>
      <c r="FL357" s="208"/>
      <c r="FM357" s="208"/>
      <c r="FN357" s="208"/>
      <c r="FO357" s="208"/>
      <c r="FP357" s="208"/>
      <c r="FQ357" s="208"/>
      <c r="FR357" s="208"/>
      <c r="FS357" s="208"/>
      <c r="FT357" s="208"/>
      <c r="FU357" s="208"/>
      <c r="FV357" s="208"/>
      <c r="FW357" s="208"/>
      <c r="FX357" s="208"/>
      <c r="FY357" s="208"/>
      <c r="FZ357" s="208"/>
      <c r="GA357" s="208"/>
      <c r="GB357" s="208"/>
      <c r="GC357" s="208"/>
      <c r="GD357" s="208"/>
      <c r="GE357" s="208"/>
      <c r="GF357" s="208"/>
    </row>
    <row r="358" spans="1:188" s="209" customFormat="1" ht="15" x14ac:dyDescent="0.25">
      <c r="A358" s="195" t="s">
        <v>5141</v>
      </c>
      <c r="B358" s="195" t="s">
        <v>2516</v>
      </c>
      <c r="C358" s="196" t="s">
        <v>2517</v>
      </c>
      <c r="D358" s="154" t="s">
        <v>28</v>
      </c>
      <c r="E358" s="154">
        <v>1</v>
      </c>
      <c r="F358" s="154"/>
      <c r="G358" s="197">
        <v>10</v>
      </c>
      <c r="H358" s="198">
        <f t="shared" si="55"/>
        <v>8.3333333333333332E-3</v>
      </c>
      <c r="I358" s="247">
        <v>1129.22</v>
      </c>
      <c r="J358" s="152"/>
      <c r="K358" s="198"/>
      <c r="L358" s="152">
        <f t="shared" si="56"/>
        <v>9.41</v>
      </c>
      <c r="M358" s="152">
        <f t="shared" si="57"/>
        <v>564.6</v>
      </c>
      <c r="N358" s="153"/>
      <c r="O358" s="152"/>
      <c r="Q358" s="208"/>
      <c r="R358" s="208"/>
      <c r="S358"/>
      <c r="T358" s="208"/>
      <c r="U358" s="208"/>
      <c r="V358" s="208"/>
      <c r="W358" s="208"/>
      <c r="X358" s="208"/>
      <c r="Y358" s="208"/>
      <c r="Z358" s="208"/>
      <c r="AA358" s="208"/>
      <c r="AB358" s="208"/>
      <c r="AC358" s="208"/>
      <c r="AD358" s="208"/>
      <c r="AE358" s="208"/>
      <c r="AF358" s="208"/>
      <c r="AG358" s="208"/>
      <c r="AH358" s="208"/>
      <c r="AI358" s="208"/>
      <c r="AJ358" s="208"/>
      <c r="AK358" s="208"/>
      <c r="AL358" s="208"/>
      <c r="AM358" s="208"/>
      <c r="AN358" s="208"/>
      <c r="AO358" s="208"/>
      <c r="AP358" s="208"/>
      <c r="AQ358" s="208"/>
      <c r="AR358" s="208"/>
      <c r="AS358" s="208"/>
      <c r="AT358" s="208"/>
      <c r="AU358" s="208"/>
      <c r="AV358" s="208"/>
      <c r="AW358" s="208"/>
      <c r="AX358" s="208"/>
      <c r="AY358" s="208"/>
      <c r="AZ358" s="208"/>
      <c r="BA358" s="208"/>
      <c r="BB358" s="208"/>
      <c r="BC358" s="208"/>
      <c r="BD358" s="208"/>
      <c r="BE358" s="208"/>
      <c r="BF358" s="208"/>
      <c r="BG358" s="208"/>
      <c r="BH358" s="208"/>
      <c r="BI358" s="208"/>
      <c r="BJ358" s="208"/>
      <c r="BK358" s="208"/>
      <c r="BL358" s="208"/>
      <c r="BM358" s="208"/>
      <c r="BN358" s="208"/>
      <c r="BO358" s="208"/>
      <c r="BP358" s="208"/>
      <c r="BQ358" s="208"/>
      <c r="BR358" s="208"/>
      <c r="BS358" s="208"/>
      <c r="BT358" s="208"/>
      <c r="BU358" s="208"/>
      <c r="BV358" s="208"/>
      <c r="BW358" s="208"/>
      <c r="BX358" s="208"/>
      <c r="BY358" s="208"/>
      <c r="BZ358" s="208"/>
      <c r="CA358" s="208"/>
      <c r="CB358" s="208"/>
      <c r="CC358" s="208"/>
      <c r="CD358" s="208"/>
      <c r="CE358" s="208"/>
      <c r="CF358" s="208"/>
      <c r="CG358" s="208"/>
      <c r="CH358" s="208"/>
      <c r="CI358" s="208"/>
      <c r="CJ358" s="208"/>
      <c r="CK358" s="208"/>
      <c r="CL358" s="208"/>
      <c r="CM358" s="208"/>
      <c r="CN358" s="208"/>
      <c r="CO358" s="208"/>
      <c r="CP358" s="208"/>
      <c r="CQ358" s="208"/>
      <c r="CR358" s="208"/>
      <c r="CS358" s="208"/>
      <c r="CT358" s="208"/>
      <c r="CU358" s="208"/>
      <c r="CV358" s="208"/>
      <c r="CW358" s="208"/>
      <c r="CX358" s="208"/>
      <c r="CY358" s="208"/>
      <c r="CZ358" s="208"/>
      <c r="DA358" s="208"/>
      <c r="DB358" s="208"/>
      <c r="DC358" s="208"/>
      <c r="DD358" s="208"/>
      <c r="DE358" s="208"/>
      <c r="DF358" s="208"/>
      <c r="DG358" s="208"/>
      <c r="DH358" s="208"/>
      <c r="DI358" s="208"/>
      <c r="DJ358" s="208"/>
      <c r="DK358" s="208"/>
      <c r="DL358" s="208"/>
      <c r="DM358" s="208"/>
      <c r="DN358" s="208"/>
      <c r="DO358" s="208"/>
      <c r="DP358" s="208"/>
      <c r="DQ358" s="208"/>
      <c r="DR358" s="208"/>
      <c r="DS358" s="208"/>
      <c r="DT358" s="208"/>
      <c r="DU358" s="208"/>
      <c r="DV358" s="208"/>
      <c r="DW358" s="208"/>
      <c r="DX358" s="208"/>
      <c r="DY358" s="208"/>
      <c r="DZ358" s="208"/>
      <c r="EA358" s="208"/>
      <c r="EB358" s="208"/>
      <c r="EC358" s="208"/>
      <c r="ED358" s="208"/>
      <c r="EE358" s="208"/>
      <c r="EF358" s="208"/>
      <c r="EG358" s="208"/>
      <c r="EH358" s="208"/>
      <c r="EI358" s="208"/>
      <c r="EJ358" s="208"/>
      <c r="EK358" s="208"/>
      <c r="EL358" s="208"/>
      <c r="EM358" s="208"/>
      <c r="EN358" s="208"/>
      <c r="EO358" s="208"/>
      <c r="EP358" s="208"/>
      <c r="EQ358" s="208"/>
      <c r="ER358" s="208"/>
      <c r="ES358" s="208"/>
      <c r="ET358" s="208"/>
      <c r="EU358" s="208"/>
      <c r="EV358" s="208"/>
      <c r="EW358" s="208"/>
      <c r="EX358" s="208"/>
      <c r="EY358" s="208"/>
      <c r="EZ358" s="208"/>
      <c r="FA358" s="208"/>
      <c r="FB358" s="208"/>
      <c r="FC358" s="208"/>
      <c r="FD358" s="208"/>
      <c r="FE358" s="208"/>
      <c r="FF358" s="208"/>
      <c r="FG358" s="208"/>
      <c r="FH358" s="208"/>
      <c r="FI358" s="208"/>
      <c r="FJ358" s="208"/>
      <c r="FK358" s="208"/>
      <c r="FL358" s="208"/>
      <c r="FM358" s="208"/>
      <c r="FN358" s="208"/>
      <c r="FO358" s="208"/>
      <c r="FP358" s="208"/>
      <c r="FQ358" s="208"/>
      <c r="FR358" s="208"/>
      <c r="FS358" s="208"/>
      <c r="FT358" s="208"/>
      <c r="FU358" s="208"/>
      <c r="FV358" s="208"/>
      <c r="FW358" s="208"/>
      <c r="FX358" s="208"/>
      <c r="FY358" s="208"/>
      <c r="FZ358" s="208"/>
      <c r="GA358" s="208"/>
      <c r="GB358" s="208"/>
      <c r="GC358" s="208"/>
      <c r="GD358" s="208"/>
      <c r="GE358" s="208"/>
      <c r="GF358" s="208"/>
    </row>
    <row r="359" spans="1:188" s="209" customFormat="1" ht="15" x14ac:dyDescent="0.25">
      <c r="A359" s="195" t="s">
        <v>5142</v>
      </c>
      <c r="B359" s="195" t="s">
        <v>2963</v>
      </c>
      <c r="C359" s="196" t="s">
        <v>2964</v>
      </c>
      <c r="D359" s="154" t="s">
        <v>28</v>
      </c>
      <c r="E359" s="154">
        <v>3</v>
      </c>
      <c r="F359" s="154"/>
      <c r="G359" s="197">
        <v>5</v>
      </c>
      <c r="H359" s="198">
        <f t="shared" si="55"/>
        <v>1.6666666666666666E-2</v>
      </c>
      <c r="I359" s="247">
        <v>144.03</v>
      </c>
      <c r="J359" s="152"/>
      <c r="K359" s="198"/>
      <c r="L359" s="152">
        <f t="shared" si="56"/>
        <v>7.2</v>
      </c>
      <c r="M359" s="152">
        <f t="shared" si="57"/>
        <v>432</v>
      </c>
      <c r="N359" s="153"/>
      <c r="O359" s="152"/>
      <c r="Q359" s="208"/>
      <c r="R359" s="208"/>
      <c r="S359"/>
      <c r="T359" s="208"/>
      <c r="U359" s="208"/>
      <c r="V359" s="208"/>
      <c r="W359" s="208"/>
      <c r="X359" s="208"/>
      <c r="Y359" s="208"/>
      <c r="Z359" s="208"/>
      <c r="AA359" s="208"/>
      <c r="AB359" s="208"/>
      <c r="AC359" s="208"/>
      <c r="AD359" s="208"/>
      <c r="AE359" s="208"/>
      <c r="AF359" s="208"/>
      <c r="AG359" s="208"/>
      <c r="AH359" s="208"/>
      <c r="AI359" s="208"/>
      <c r="AJ359" s="208"/>
      <c r="AK359" s="208"/>
      <c r="AL359" s="208"/>
      <c r="AM359" s="208"/>
      <c r="AN359" s="208"/>
      <c r="AO359" s="208"/>
      <c r="AP359" s="208"/>
      <c r="AQ359" s="208"/>
      <c r="AR359" s="208"/>
      <c r="AS359" s="208"/>
      <c r="AT359" s="208"/>
      <c r="AU359" s="208"/>
      <c r="AV359" s="208"/>
      <c r="AW359" s="208"/>
      <c r="AX359" s="208"/>
      <c r="AY359" s="208"/>
      <c r="AZ359" s="208"/>
      <c r="BA359" s="208"/>
      <c r="BB359" s="208"/>
      <c r="BC359" s="208"/>
      <c r="BD359" s="208"/>
      <c r="BE359" s="208"/>
      <c r="BF359" s="208"/>
      <c r="BG359" s="208"/>
      <c r="BH359" s="208"/>
      <c r="BI359" s="208"/>
      <c r="BJ359" s="208"/>
      <c r="BK359" s="208"/>
      <c r="BL359" s="208"/>
      <c r="BM359" s="208"/>
      <c r="BN359" s="208"/>
      <c r="BO359" s="208"/>
      <c r="BP359" s="208"/>
      <c r="BQ359" s="208"/>
      <c r="BR359" s="208"/>
      <c r="BS359" s="208"/>
      <c r="BT359" s="208"/>
      <c r="BU359" s="208"/>
      <c r="BV359" s="208"/>
      <c r="BW359" s="208"/>
      <c r="BX359" s="208"/>
      <c r="BY359" s="208"/>
      <c r="BZ359" s="208"/>
      <c r="CA359" s="208"/>
      <c r="CB359" s="208"/>
      <c r="CC359" s="208"/>
      <c r="CD359" s="208"/>
      <c r="CE359" s="208"/>
      <c r="CF359" s="208"/>
      <c r="CG359" s="208"/>
      <c r="CH359" s="208"/>
      <c r="CI359" s="208"/>
      <c r="CJ359" s="208"/>
      <c r="CK359" s="208"/>
      <c r="CL359" s="208"/>
      <c r="CM359" s="208"/>
      <c r="CN359" s="208"/>
      <c r="CO359" s="208"/>
      <c r="CP359" s="208"/>
      <c r="CQ359" s="208"/>
      <c r="CR359" s="208"/>
      <c r="CS359" s="208"/>
      <c r="CT359" s="208"/>
      <c r="CU359" s="208"/>
      <c r="CV359" s="208"/>
      <c r="CW359" s="208"/>
      <c r="CX359" s="208"/>
      <c r="CY359" s="208"/>
      <c r="CZ359" s="208"/>
      <c r="DA359" s="208"/>
      <c r="DB359" s="208"/>
      <c r="DC359" s="208"/>
      <c r="DD359" s="208"/>
      <c r="DE359" s="208"/>
      <c r="DF359" s="208"/>
      <c r="DG359" s="208"/>
      <c r="DH359" s="208"/>
      <c r="DI359" s="208"/>
      <c r="DJ359" s="208"/>
      <c r="DK359" s="208"/>
      <c r="DL359" s="208"/>
      <c r="DM359" s="208"/>
      <c r="DN359" s="208"/>
      <c r="DO359" s="208"/>
      <c r="DP359" s="208"/>
      <c r="DQ359" s="208"/>
      <c r="DR359" s="208"/>
      <c r="DS359" s="208"/>
      <c r="DT359" s="208"/>
      <c r="DU359" s="208"/>
      <c r="DV359" s="208"/>
      <c r="DW359" s="208"/>
      <c r="DX359" s="208"/>
      <c r="DY359" s="208"/>
      <c r="DZ359" s="208"/>
      <c r="EA359" s="208"/>
      <c r="EB359" s="208"/>
      <c r="EC359" s="208"/>
      <c r="ED359" s="208"/>
      <c r="EE359" s="208"/>
      <c r="EF359" s="208"/>
      <c r="EG359" s="208"/>
      <c r="EH359" s="208"/>
      <c r="EI359" s="208"/>
      <c r="EJ359" s="208"/>
      <c r="EK359" s="208"/>
      <c r="EL359" s="208"/>
      <c r="EM359" s="208"/>
      <c r="EN359" s="208"/>
      <c r="EO359" s="208"/>
      <c r="EP359" s="208"/>
      <c r="EQ359" s="208"/>
      <c r="ER359" s="208"/>
      <c r="ES359" s="208"/>
      <c r="ET359" s="208"/>
      <c r="EU359" s="208"/>
      <c r="EV359" s="208"/>
      <c r="EW359" s="208"/>
      <c r="EX359" s="208"/>
      <c r="EY359" s="208"/>
      <c r="EZ359" s="208"/>
      <c r="FA359" s="208"/>
      <c r="FB359" s="208"/>
      <c r="FC359" s="208"/>
      <c r="FD359" s="208"/>
      <c r="FE359" s="208"/>
      <c r="FF359" s="208"/>
      <c r="FG359" s="208"/>
      <c r="FH359" s="208"/>
      <c r="FI359" s="208"/>
      <c r="FJ359" s="208"/>
      <c r="FK359" s="208"/>
      <c r="FL359" s="208"/>
      <c r="FM359" s="208"/>
      <c r="FN359" s="208"/>
      <c r="FO359" s="208"/>
      <c r="FP359" s="208"/>
      <c r="FQ359" s="208"/>
      <c r="FR359" s="208"/>
      <c r="FS359" s="208"/>
      <c r="FT359" s="208"/>
      <c r="FU359" s="208"/>
      <c r="FV359" s="208"/>
      <c r="FW359" s="208"/>
      <c r="FX359" s="208"/>
      <c r="FY359" s="208"/>
      <c r="FZ359" s="208"/>
      <c r="GA359" s="208"/>
      <c r="GB359" s="208"/>
      <c r="GC359" s="208"/>
      <c r="GD359" s="208"/>
      <c r="GE359" s="208"/>
      <c r="GF359" s="208"/>
    </row>
    <row r="360" spans="1:188" s="209" customFormat="1" ht="15" x14ac:dyDescent="0.25">
      <c r="A360" s="195" t="s">
        <v>5143</v>
      </c>
      <c r="B360" s="195" t="s">
        <v>2965</v>
      </c>
      <c r="C360" s="196" t="s">
        <v>2966</v>
      </c>
      <c r="D360" s="154" t="s">
        <v>28</v>
      </c>
      <c r="E360" s="154">
        <v>1</v>
      </c>
      <c r="F360" s="154"/>
      <c r="G360" s="197">
        <v>10</v>
      </c>
      <c r="H360" s="198">
        <f t="shared" si="55"/>
        <v>8.3333333333333332E-3</v>
      </c>
      <c r="I360" s="247">
        <v>5538.73</v>
      </c>
      <c r="J360" s="152"/>
      <c r="K360" s="198"/>
      <c r="L360" s="152">
        <f t="shared" si="56"/>
        <v>46.16</v>
      </c>
      <c r="M360" s="152">
        <f t="shared" si="57"/>
        <v>2769.6</v>
      </c>
      <c r="N360" s="153"/>
      <c r="O360" s="152"/>
      <c r="Q360" s="208"/>
      <c r="R360" s="208"/>
      <c r="S360"/>
      <c r="T360" s="208"/>
      <c r="U360" s="208"/>
      <c r="V360" s="208"/>
      <c r="W360" s="208"/>
      <c r="X360" s="208"/>
      <c r="Y360" s="208"/>
      <c r="Z360" s="208"/>
      <c r="AA360" s="208"/>
      <c r="AB360" s="208"/>
      <c r="AC360" s="208"/>
      <c r="AD360" s="208"/>
      <c r="AE360" s="208"/>
      <c r="AF360" s="208"/>
      <c r="AG360" s="208"/>
      <c r="AH360" s="208"/>
      <c r="AI360" s="208"/>
      <c r="AJ360" s="208"/>
      <c r="AK360" s="208"/>
      <c r="AL360" s="208"/>
      <c r="AM360" s="208"/>
      <c r="AN360" s="208"/>
      <c r="AO360" s="208"/>
      <c r="AP360" s="208"/>
      <c r="AQ360" s="208"/>
      <c r="AR360" s="208"/>
      <c r="AS360" s="208"/>
      <c r="AT360" s="208"/>
      <c r="AU360" s="208"/>
      <c r="AV360" s="208"/>
      <c r="AW360" s="208"/>
      <c r="AX360" s="208"/>
      <c r="AY360" s="208"/>
      <c r="AZ360" s="208"/>
      <c r="BA360" s="208"/>
      <c r="BB360" s="208"/>
      <c r="BC360" s="208"/>
      <c r="BD360" s="208"/>
      <c r="BE360" s="208"/>
      <c r="BF360" s="208"/>
      <c r="BG360" s="208"/>
      <c r="BH360" s="208"/>
      <c r="BI360" s="208"/>
      <c r="BJ360" s="208"/>
      <c r="BK360" s="208"/>
      <c r="BL360" s="208"/>
      <c r="BM360" s="208"/>
      <c r="BN360" s="208"/>
      <c r="BO360" s="208"/>
      <c r="BP360" s="208"/>
      <c r="BQ360" s="208"/>
      <c r="BR360" s="208"/>
      <c r="BS360" s="208"/>
      <c r="BT360" s="208"/>
      <c r="BU360" s="208"/>
      <c r="BV360" s="208"/>
      <c r="BW360" s="208"/>
      <c r="BX360" s="208"/>
      <c r="BY360" s="208"/>
      <c r="BZ360" s="208"/>
      <c r="CA360" s="208"/>
      <c r="CB360" s="208"/>
      <c r="CC360" s="208"/>
      <c r="CD360" s="208"/>
      <c r="CE360" s="208"/>
      <c r="CF360" s="208"/>
      <c r="CG360" s="208"/>
      <c r="CH360" s="208"/>
      <c r="CI360" s="208"/>
      <c r="CJ360" s="208"/>
      <c r="CK360" s="208"/>
      <c r="CL360" s="208"/>
      <c r="CM360" s="208"/>
      <c r="CN360" s="208"/>
      <c r="CO360" s="208"/>
      <c r="CP360" s="208"/>
      <c r="CQ360" s="208"/>
      <c r="CR360" s="208"/>
      <c r="CS360" s="208"/>
      <c r="CT360" s="208"/>
      <c r="CU360" s="208"/>
      <c r="CV360" s="208"/>
      <c r="CW360" s="208"/>
      <c r="CX360" s="208"/>
      <c r="CY360" s="208"/>
      <c r="CZ360" s="208"/>
      <c r="DA360" s="208"/>
      <c r="DB360" s="208"/>
      <c r="DC360" s="208"/>
      <c r="DD360" s="208"/>
      <c r="DE360" s="208"/>
      <c r="DF360" s="208"/>
      <c r="DG360" s="208"/>
      <c r="DH360" s="208"/>
      <c r="DI360" s="208"/>
      <c r="DJ360" s="208"/>
      <c r="DK360" s="208"/>
      <c r="DL360" s="208"/>
      <c r="DM360" s="208"/>
      <c r="DN360" s="208"/>
      <c r="DO360" s="208"/>
      <c r="DP360" s="208"/>
      <c r="DQ360" s="208"/>
      <c r="DR360" s="208"/>
      <c r="DS360" s="208"/>
      <c r="DT360" s="208"/>
      <c r="DU360" s="208"/>
      <c r="DV360" s="208"/>
      <c r="DW360" s="208"/>
      <c r="DX360" s="208"/>
      <c r="DY360" s="208"/>
      <c r="DZ360" s="208"/>
      <c r="EA360" s="208"/>
      <c r="EB360" s="208"/>
      <c r="EC360" s="208"/>
      <c r="ED360" s="208"/>
      <c r="EE360" s="208"/>
      <c r="EF360" s="208"/>
      <c r="EG360" s="208"/>
      <c r="EH360" s="208"/>
      <c r="EI360" s="208"/>
      <c r="EJ360" s="208"/>
      <c r="EK360" s="208"/>
      <c r="EL360" s="208"/>
      <c r="EM360" s="208"/>
      <c r="EN360" s="208"/>
      <c r="EO360" s="208"/>
      <c r="EP360" s="208"/>
      <c r="EQ360" s="208"/>
      <c r="ER360" s="208"/>
      <c r="ES360" s="208"/>
      <c r="ET360" s="208"/>
      <c r="EU360" s="208"/>
      <c r="EV360" s="208"/>
      <c r="EW360" s="208"/>
      <c r="EX360" s="208"/>
      <c r="EY360" s="208"/>
      <c r="EZ360" s="208"/>
      <c r="FA360" s="208"/>
      <c r="FB360" s="208"/>
      <c r="FC360" s="208"/>
      <c r="FD360" s="208"/>
      <c r="FE360" s="208"/>
      <c r="FF360" s="208"/>
      <c r="FG360" s="208"/>
      <c r="FH360" s="208"/>
      <c r="FI360" s="208"/>
      <c r="FJ360" s="208"/>
      <c r="FK360" s="208"/>
      <c r="FL360" s="208"/>
      <c r="FM360" s="208"/>
      <c r="FN360" s="208"/>
      <c r="FO360" s="208"/>
      <c r="FP360" s="208"/>
      <c r="FQ360" s="208"/>
      <c r="FR360" s="208"/>
      <c r="FS360" s="208"/>
      <c r="FT360" s="208"/>
      <c r="FU360" s="208"/>
      <c r="FV360" s="208"/>
      <c r="FW360" s="208"/>
      <c r="FX360" s="208"/>
      <c r="FY360" s="208"/>
      <c r="FZ360" s="208"/>
      <c r="GA360" s="208"/>
      <c r="GB360" s="208"/>
      <c r="GC360" s="208"/>
      <c r="GD360" s="208"/>
      <c r="GE360" s="208"/>
      <c r="GF360" s="208"/>
    </row>
    <row r="361" spans="1:188" s="209" customFormat="1" ht="15" x14ac:dyDescent="0.25">
      <c r="A361" s="195" t="s">
        <v>5144</v>
      </c>
      <c r="B361" s="195" t="s">
        <v>2967</v>
      </c>
      <c r="C361" s="196" t="s">
        <v>2968</v>
      </c>
      <c r="D361" s="154" t="s">
        <v>28</v>
      </c>
      <c r="E361" s="154">
        <v>1</v>
      </c>
      <c r="F361" s="154"/>
      <c r="G361" s="197">
        <v>10</v>
      </c>
      <c r="H361" s="198">
        <f t="shared" si="55"/>
        <v>8.3333333333333332E-3</v>
      </c>
      <c r="I361" s="247">
        <v>4710.0600000000004</v>
      </c>
      <c r="J361" s="152"/>
      <c r="K361" s="198"/>
      <c r="L361" s="152">
        <f t="shared" si="56"/>
        <v>39.25</v>
      </c>
      <c r="M361" s="152">
        <f t="shared" si="57"/>
        <v>2355</v>
      </c>
      <c r="N361" s="153"/>
      <c r="O361" s="152"/>
      <c r="Q361" s="208"/>
      <c r="R361" s="208"/>
      <c r="S361"/>
      <c r="T361" s="208"/>
      <c r="U361" s="208"/>
      <c r="V361" s="208"/>
      <c r="W361" s="208"/>
      <c r="X361" s="208"/>
      <c r="Y361" s="208"/>
      <c r="Z361" s="208"/>
      <c r="AA361" s="208"/>
      <c r="AB361" s="208"/>
      <c r="AC361" s="208"/>
      <c r="AD361" s="208"/>
      <c r="AE361" s="208"/>
      <c r="AF361" s="208"/>
      <c r="AG361" s="208"/>
      <c r="AH361" s="208"/>
      <c r="AI361" s="208"/>
      <c r="AJ361" s="208"/>
      <c r="AK361" s="208"/>
      <c r="AL361" s="208"/>
      <c r="AM361" s="208"/>
      <c r="AN361" s="208"/>
      <c r="AO361" s="208"/>
      <c r="AP361" s="208"/>
      <c r="AQ361" s="208"/>
      <c r="AR361" s="208"/>
      <c r="AS361" s="208"/>
      <c r="AT361" s="208"/>
      <c r="AU361" s="208"/>
      <c r="AV361" s="208"/>
      <c r="AW361" s="208"/>
      <c r="AX361" s="208"/>
      <c r="AY361" s="208"/>
      <c r="AZ361" s="208"/>
      <c r="BA361" s="208"/>
      <c r="BB361" s="208"/>
      <c r="BC361" s="208"/>
      <c r="BD361" s="208"/>
      <c r="BE361" s="208"/>
      <c r="BF361" s="208"/>
      <c r="BG361" s="208"/>
      <c r="BH361" s="208"/>
      <c r="BI361" s="208"/>
      <c r="BJ361" s="208"/>
      <c r="BK361" s="208"/>
      <c r="BL361" s="208"/>
      <c r="BM361" s="208"/>
      <c r="BN361" s="208"/>
      <c r="BO361" s="208"/>
      <c r="BP361" s="208"/>
      <c r="BQ361" s="208"/>
      <c r="BR361" s="208"/>
      <c r="BS361" s="208"/>
      <c r="BT361" s="208"/>
      <c r="BU361" s="208"/>
      <c r="BV361" s="208"/>
      <c r="BW361" s="208"/>
      <c r="BX361" s="208"/>
      <c r="BY361" s="208"/>
      <c r="BZ361" s="208"/>
      <c r="CA361" s="208"/>
      <c r="CB361" s="208"/>
      <c r="CC361" s="208"/>
      <c r="CD361" s="208"/>
      <c r="CE361" s="208"/>
      <c r="CF361" s="208"/>
      <c r="CG361" s="208"/>
      <c r="CH361" s="208"/>
      <c r="CI361" s="208"/>
      <c r="CJ361" s="208"/>
      <c r="CK361" s="208"/>
      <c r="CL361" s="208"/>
      <c r="CM361" s="208"/>
      <c r="CN361" s="208"/>
      <c r="CO361" s="208"/>
      <c r="CP361" s="208"/>
      <c r="CQ361" s="208"/>
      <c r="CR361" s="208"/>
      <c r="CS361" s="208"/>
      <c r="CT361" s="208"/>
      <c r="CU361" s="208"/>
      <c r="CV361" s="208"/>
      <c r="CW361" s="208"/>
      <c r="CX361" s="208"/>
      <c r="CY361" s="208"/>
      <c r="CZ361" s="208"/>
      <c r="DA361" s="208"/>
      <c r="DB361" s="208"/>
      <c r="DC361" s="208"/>
      <c r="DD361" s="208"/>
      <c r="DE361" s="208"/>
      <c r="DF361" s="208"/>
      <c r="DG361" s="208"/>
      <c r="DH361" s="208"/>
      <c r="DI361" s="208"/>
      <c r="DJ361" s="208"/>
      <c r="DK361" s="208"/>
      <c r="DL361" s="208"/>
      <c r="DM361" s="208"/>
      <c r="DN361" s="208"/>
      <c r="DO361" s="208"/>
      <c r="DP361" s="208"/>
      <c r="DQ361" s="208"/>
      <c r="DR361" s="208"/>
      <c r="DS361" s="208"/>
      <c r="DT361" s="208"/>
      <c r="DU361" s="208"/>
      <c r="DV361" s="208"/>
      <c r="DW361" s="208"/>
      <c r="DX361" s="208"/>
      <c r="DY361" s="208"/>
      <c r="DZ361" s="208"/>
      <c r="EA361" s="208"/>
      <c r="EB361" s="208"/>
      <c r="EC361" s="208"/>
      <c r="ED361" s="208"/>
      <c r="EE361" s="208"/>
      <c r="EF361" s="208"/>
      <c r="EG361" s="208"/>
      <c r="EH361" s="208"/>
      <c r="EI361" s="208"/>
      <c r="EJ361" s="208"/>
      <c r="EK361" s="208"/>
      <c r="EL361" s="208"/>
      <c r="EM361" s="208"/>
      <c r="EN361" s="208"/>
      <c r="EO361" s="208"/>
      <c r="EP361" s="208"/>
      <c r="EQ361" s="208"/>
      <c r="ER361" s="208"/>
      <c r="ES361" s="208"/>
      <c r="ET361" s="208"/>
      <c r="EU361" s="208"/>
      <c r="EV361" s="208"/>
      <c r="EW361" s="208"/>
      <c r="EX361" s="208"/>
      <c r="EY361" s="208"/>
      <c r="EZ361" s="208"/>
      <c r="FA361" s="208"/>
      <c r="FB361" s="208"/>
      <c r="FC361" s="208"/>
      <c r="FD361" s="208"/>
      <c r="FE361" s="208"/>
      <c r="FF361" s="208"/>
      <c r="FG361" s="208"/>
      <c r="FH361" s="208"/>
      <c r="FI361" s="208"/>
      <c r="FJ361" s="208"/>
      <c r="FK361" s="208"/>
      <c r="FL361" s="208"/>
      <c r="FM361" s="208"/>
      <c r="FN361" s="208"/>
      <c r="FO361" s="208"/>
      <c r="FP361" s="208"/>
      <c r="FQ361" s="208"/>
      <c r="FR361" s="208"/>
      <c r="FS361" s="208"/>
      <c r="FT361" s="208"/>
      <c r="FU361" s="208"/>
      <c r="FV361" s="208"/>
      <c r="FW361" s="208"/>
      <c r="FX361" s="208"/>
      <c r="FY361" s="208"/>
      <c r="FZ361" s="208"/>
      <c r="GA361" s="208"/>
      <c r="GB361" s="208"/>
      <c r="GC361" s="208"/>
      <c r="GD361" s="208"/>
      <c r="GE361" s="208"/>
      <c r="GF361" s="208"/>
    </row>
    <row r="362" spans="1:188" s="209" customFormat="1" ht="15" x14ac:dyDescent="0.25">
      <c r="A362" s="195" t="s">
        <v>5145</v>
      </c>
      <c r="B362" s="195" t="s">
        <v>3695</v>
      </c>
      <c r="C362" s="196" t="s">
        <v>3696</v>
      </c>
      <c r="D362" s="154" t="s">
        <v>28</v>
      </c>
      <c r="E362" s="154">
        <v>1</v>
      </c>
      <c r="F362" s="154"/>
      <c r="G362" s="197">
        <v>10</v>
      </c>
      <c r="H362" s="198">
        <f t="shared" si="55"/>
        <v>8.3333333333333332E-3</v>
      </c>
      <c r="I362" s="247">
        <v>10779.67</v>
      </c>
      <c r="J362" s="152"/>
      <c r="K362" s="198"/>
      <c r="L362" s="152">
        <f t="shared" si="56"/>
        <v>89.83</v>
      </c>
      <c r="M362" s="152">
        <f t="shared" si="57"/>
        <v>5389.8</v>
      </c>
      <c r="N362" s="153"/>
      <c r="O362" s="152"/>
      <c r="Q362" s="208"/>
      <c r="R362" s="208"/>
      <c r="S362"/>
      <c r="T362" s="208"/>
      <c r="U362" s="208"/>
      <c r="V362" s="208"/>
      <c r="W362" s="208"/>
      <c r="X362" s="208"/>
      <c r="Y362" s="208"/>
      <c r="Z362" s="208"/>
      <c r="AA362" s="208"/>
      <c r="AB362" s="208"/>
      <c r="AC362" s="208"/>
      <c r="AD362" s="208"/>
      <c r="AE362" s="208"/>
      <c r="AF362" s="208"/>
      <c r="AG362" s="208"/>
      <c r="AH362" s="208"/>
      <c r="AI362" s="208"/>
      <c r="AJ362" s="208"/>
      <c r="AK362" s="208"/>
      <c r="AL362" s="208"/>
      <c r="AM362" s="208"/>
      <c r="AN362" s="208"/>
      <c r="AO362" s="208"/>
      <c r="AP362" s="208"/>
      <c r="AQ362" s="208"/>
      <c r="AR362" s="208"/>
      <c r="AS362" s="208"/>
      <c r="AT362" s="208"/>
      <c r="AU362" s="208"/>
      <c r="AV362" s="208"/>
      <c r="AW362" s="208"/>
      <c r="AX362" s="208"/>
      <c r="AY362" s="208"/>
      <c r="AZ362" s="208"/>
      <c r="BA362" s="208"/>
      <c r="BB362" s="208"/>
      <c r="BC362" s="208"/>
      <c r="BD362" s="208"/>
      <c r="BE362" s="208"/>
      <c r="BF362" s="208"/>
      <c r="BG362" s="208"/>
      <c r="BH362" s="208"/>
      <c r="BI362" s="208"/>
      <c r="BJ362" s="208"/>
      <c r="BK362" s="208"/>
      <c r="BL362" s="208"/>
      <c r="BM362" s="208"/>
      <c r="BN362" s="208"/>
      <c r="BO362" s="208"/>
      <c r="BP362" s="208"/>
      <c r="BQ362" s="208"/>
      <c r="BR362" s="208"/>
      <c r="BS362" s="208"/>
      <c r="BT362" s="208"/>
      <c r="BU362" s="208"/>
      <c r="BV362" s="208"/>
      <c r="BW362" s="208"/>
      <c r="BX362" s="208"/>
      <c r="BY362" s="208"/>
      <c r="BZ362" s="208"/>
      <c r="CA362" s="208"/>
      <c r="CB362" s="208"/>
      <c r="CC362" s="208"/>
      <c r="CD362" s="208"/>
      <c r="CE362" s="208"/>
      <c r="CF362" s="208"/>
      <c r="CG362" s="208"/>
      <c r="CH362" s="208"/>
      <c r="CI362" s="208"/>
      <c r="CJ362" s="208"/>
      <c r="CK362" s="208"/>
      <c r="CL362" s="208"/>
      <c r="CM362" s="208"/>
      <c r="CN362" s="208"/>
      <c r="CO362" s="208"/>
      <c r="CP362" s="208"/>
      <c r="CQ362" s="208"/>
      <c r="CR362" s="208"/>
      <c r="CS362" s="208"/>
      <c r="CT362" s="208"/>
      <c r="CU362" s="208"/>
      <c r="CV362" s="208"/>
      <c r="CW362" s="208"/>
      <c r="CX362" s="208"/>
      <c r="CY362" s="208"/>
      <c r="CZ362" s="208"/>
      <c r="DA362" s="208"/>
      <c r="DB362" s="208"/>
      <c r="DC362" s="208"/>
      <c r="DD362" s="208"/>
      <c r="DE362" s="208"/>
      <c r="DF362" s="208"/>
      <c r="DG362" s="208"/>
      <c r="DH362" s="208"/>
      <c r="DI362" s="208"/>
      <c r="DJ362" s="208"/>
      <c r="DK362" s="208"/>
      <c r="DL362" s="208"/>
      <c r="DM362" s="208"/>
      <c r="DN362" s="208"/>
      <c r="DO362" s="208"/>
      <c r="DP362" s="208"/>
      <c r="DQ362" s="208"/>
      <c r="DR362" s="208"/>
      <c r="DS362" s="208"/>
      <c r="DT362" s="208"/>
      <c r="DU362" s="208"/>
      <c r="DV362" s="208"/>
      <c r="DW362" s="208"/>
      <c r="DX362" s="208"/>
      <c r="DY362" s="208"/>
      <c r="DZ362" s="208"/>
      <c r="EA362" s="208"/>
      <c r="EB362" s="208"/>
      <c r="EC362" s="208"/>
      <c r="ED362" s="208"/>
      <c r="EE362" s="208"/>
      <c r="EF362" s="208"/>
      <c r="EG362" s="208"/>
      <c r="EH362" s="208"/>
      <c r="EI362" s="208"/>
      <c r="EJ362" s="208"/>
      <c r="EK362" s="208"/>
      <c r="EL362" s="208"/>
      <c r="EM362" s="208"/>
      <c r="EN362" s="208"/>
      <c r="EO362" s="208"/>
      <c r="EP362" s="208"/>
      <c r="EQ362" s="208"/>
      <c r="ER362" s="208"/>
      <c r="ES362" s="208"/>
      <c r="ET362" s="208"/>
      <c r="EU362" s="208"/>
      <c r="EV362" s="208"/>
      <c r="EW362" s="208"/>
      <c r="EX362" s="208"/>
      <c r="EY362" s="208"/>
      <c r="EZ362" s="208"/>
      <c r="FA362" s="208"/>
      <c r="FB362" s="208"/>
      <c r="FC362" s="208"/>
      <c r="FD362" s="208"/>
      <c r="FE362" s="208"/>
      <c r="FF362" s="208"/>
      <c r="FG362" s="208"/>
      <c r="FH362" s="208"/>
      <c r="FI362" s="208"/>
      <c r="FJ362" s="208"/>
      <c r="FK362" s="208"/>
      <c r="FL362" s="208"/>
      <c r="FM362" s="208"/>
      <c r="FN362" s="208"/>
      <c r="FO362" s="208"/>
      <c r="FP362" s="208"/>
      <c r="FQ362" s="208"/>
      <c r="FR362" s="208"/>
      <c r="FS362" s="208"/>
      <c r="FT362" s="208"/>
      <c r="FU362" s="208"/>
      <c r="FV362" s="208"/>
      <c r="FW362" s="208"/>
      <c r="FX362" s="208"/>
      <c r="FY362" s="208"/>
      <c r="FZ362" s="208"/>
      <c r="GA362" s="208"/>
      <c r="GB362" s="208"/>
      <c r="GC362" s="208"/>
      <c r="GD362" s="208"/>
      <c r="GE362" s="208"/>
      <c r="GF362" s="208"/>
    </row>
    <row r="363" spans="1:188" s="209" customFormat="1" ht="15" x14ac:dyDescent="0.25">
      <c r="A363" s="195" t="s">
        <v>5146</v>
      </c>
      <c r="B363" s="195" t="s">
        <v>2527</v>
      </c>
      <c r="C363" s="196" t="s">
        <v>2528</v>
      </c>
      <c r="D363" s="154" t="s">
        <v>28</v>
      </c>
      <c r="E363" s="154">
        <v>3</v>
      </c>
      <c r="F363" s="154"/>
      <c r="G363" s="197">
        <v>10</v>
      </c>
      <c r="H363" s="198">
        <f t="shared" si="55"/>
        <v>8.3333333333333332E-3</v>
      </c>
      <c r="I363" s="247">
        <v>407.95</v>
      </c>
      <c r="J363" s="152"/>
      <c r="K363" s="198"/>
      <c r="L363" s="152">
        <f t="shared" si="56"/>
        <v>10.199999999999999</v>
      </c>
      <c r="M363" s="152">
        <f t="shared" si="57"/>
        <v>612</v>
      </c>
      <c r="N363" s="153"/>
      <c r="O363" s="152"/>
      <c r="Q363" s="208"/>
      <c r="R363" s="208"/>
      <c r="S363"/>
      <c r="T363" s="208"/>
      <c r="U363" s="208"/>
      <c r="V363" s="208"/>
      <c r="W363" s="208"/>
      <c r="X363" s="208"/>
      <c r="Y363" s="208"/>
      <c r="Z363" s="208"/>
      <c r="AA363" s="208"/>
      <c r="AB363" s="208"/>
      <c r="AC363" s="208"/>
      <c r="AD363" s="208"/>
      <c r="AE363" s="208"/>
      <c r="AF363" s="208"/>
      <c r="AG363" s="208"/>
      <c r="AH363" s="208"/>
      <c r="AI363" s="208"/>
      <c r="AJ363" s="208"/>
      <c r="AK363" s="208"/>
      <c r="AL363" s="208"/>
      <c r="AM363" s="208"/>
      <c r="AN363" s="208"/>
      <c r="AO363" s="208"/>
      <c r="AP363" s="208"/>
      <c r="AQ363" s="208"/>
      <c r="AR363" s="208"/>
      <c r="AS363" s="208"/>
      <c r="AT363" s="208"/>
      <c r="AU363" s="208"/>
      <c r="AV363" s="208"/>
      <c r="AW363" s="208"/>
      <c r="AX363" s="208"/>
      <c r="AY363" s="208"/>
      <c r="AZ363" s="208"/>
      <c r="BA363" s="208"/>
      <c r="BB363" s="208"/>
      <c r="BC363" s="208"/>
      <c r="BD363" s="208"/>
      <c r="BE363" s="208"/>
      <c r="BF363" s="208"/>
      <c r="BG363" s="208"/>
      <c r="BH363" s="208"/>
      <c r="BI363" s="208"/>
      <c r="BJ363" s="208"/>
      <c r="BK363" s="208"/>
      <c r="BL363" s="208"/>
      <c r="BM363" s="208"/>
      <c r="BN363" s="208"/>
      <c r="BO363" s="208"/>
      <c r="BP363" s="208"/>
      <c r="BQ363" s="208"/>
      <c r="BR363" s="208"/>
      <c r="BS363" s="208"/>
      <c r="BT363" s="208"/>
      <c r="BU363" s="208"/>
      <c r="BV363" s="208"/>
      <c r="BW363" s="208"/>
      <c r="BX363" s="208"/>
      <c r="BY363" s="208"/>
      <c r="BZ363" s="208"/>
      <c r="CA363" s="208"/>
      <c r="CB363" s="208"/>
      <c r="CC363" s="208"/>
      <c r="CD363" s="208"/>
      <c r="CE363" s="208"/>
      <c r="CF363" s="208"/>
      <c r="CG363" s="208"/>
      <c r="CH363" s="208"/>
      <c r="CI363" s="208"/>
      <c r="CJ363" s="208"/>
      <c r="CK363" s="208"/>
      <c r="CL363" s="208"/>
      <c r="CM363" s="208"/>
      <c r="CN363" s="208"/>
      <c r="CO363" s="208"/>
      <c r="CP363" s="208"/>
      <c r="CQ363" s="208"/>
      <c r="CR363" s="208"/>
      <c r="CS363" s="208"/>
      <c r="CT363" s="208"/>
      <c r="CU363" s="208"/>
      <c r="CV363" s="208"/>
      <c r="CW363" s="208"/>
      <c r="CX363" s="208"/>
      <c r="CY363" s="208"/>
      <c r="CZ363" s="208"/>
      <c r="DA363" s="208"/>
      <c r="DB363" s="208"/>
      <c r="DC363" s="208"/>
      <c r="DD363" s="208"/>
      <c r="DE363" s="208"/>
      <c r="DF363" s="208"/>
      <c r="DG363" s="208"/>
      <c r="DH363" s="208"/>
      <c r="DI363" s="208"/>
      <c r="DJ363" s="208"/>
      <c r="DK363" s="208"/>
      <c r="DL363" s="208"/>
      <c r="DM363" s="208"/>
      <c r="DN363" s="208"/>
      <c r="DO363" s="208"/>
      <c r="DP363" s="208"/>
      <c r="DQ363" s="208"/>
      <c r="DR363" s="208"/>
      <c r="DS363" s="208"/>
      <c r="DT363" s="208"/>
      <c r="DU363" s="208"/>
      <c r="DV363" s="208"/>
      <c r="DW363" s="208"/>
      <c r="DX363" s="208"/>
      <c r="DY363" s="208"/>
      <c r="DZ363" s="208"/>
      <c r="EA363" s="208"/>
      <c r="EB363" s="208"/>
      <c r="EC363" s="208"/>
      <c r="ED363" s="208"/>
      <c r="EE363" s="208"/>
      <c r="EF363" s="208"/>
      <c r="EG363" s="208"/>
      <c r="EH363" s="208"/>
      <c r="EI363" s="208"/>
      <c r="EJ363" s="208"/>
      <c r="EK363" s="208"/>
      <c r="EL363" s="208"/>
      <c r="EM363" s="208"/>
      <c r="EN363" s="208"/>
      <c r="EO363" s="208"/>
      <c r="EP363" s="208"/>
      <c r="EQ363" s="208"/>
      <c r="ER363" s="208"/>
      <c r="ES363" s="208"/>
      <c r="ET363" s="208"/>
      <c r="EU363" s="208"/>
      <c r="EV363" s="208"/>
      <c r="EW363" s="208"/>
      <c r="EX363" s="208"/>
      <c r="EY363" s="208"/>
      <c r="EZ363" s="208"/>
      <c r="FA363" s="208"/>
      <c r="FB363" s="208"/>
      <c r="FC363" s="208"/>
      <c r="FD363" s="208"/>
      <c r="FE363" s="208"/>
      <c r="FF363" s="208"/>
      <c r="FG363" s="208"/>
      <c r="FH363" s="208"/>
      <c r="FI363" s="208"/>
      <c r="FJ363" s="208"/>
      <c r="FK363" s="208"/>
      <c r="FL363" s="208"/>
      <c r="FM363" s="208"/>
      <c r="FN363" s="208"/>
      <c r="FO363" s="208"/>
      <c r="FP363" s="208"/>
      <c r="FQ363" s="208"/>
      <c r="FR363" s="208"/>
      <c r="FS363" s="208"/>
      <c r="FT363" s="208"/>
      <c r="FU363" s="208"/>
      <c r="FV363" s="208"/>
      <c r="FW363" s="208"/>
      <c r="FX363" s="208"/>
      <c r="FY363" s="208"/>
      <c r="FZ363" s="208"/>
      <c r="GA363" s="208"/>
      <c r="GB363" s="208"/>
      <c r="GC363" s="208"/>
      <c r="GD363" s="208"/>
      <c r="GE363" s="208"/>
      <c r="GF363" s="208"/>
    </row>
    <row r="364" spans="1:188" s="209" customFormat="1" ht="15" x14ac:dyDescent="0.25">
      <c r="A364" s="195" t="s">
        <v>5147</v>
      </c>
      <c r="B364" s="195" t="s">
        <v>2529</v>
      </c>
      <c r="C364" s="196" t="s">
        <v>2530</v>
      </c>
      <c r="D364" s="154" t="s">
        <v>28</v>
      </c>
      <c r="E364" s="154">
        <v>3</v>
      </c>
      <c r="F364" s="154"/>
      <c r="G364" s="197">
        <v>10</v>
      </c>
      <c r="H364" s="198">
        <f t="shared" si="55"/>
        <v>8.3333333333333332E-3</v>
      </c>
      <c r="I364" s="247">
        <v>672.3</v>
      </c>
      <c r="J364" s="152"/>
      <c r="K364" s="198"/>
      <c r="L364" s="152">
        <f t="shared" si="56"/>
        <v>16.809999999999999</v>
      </c>
      <c r="M364" s="152">
        <f t="shared" si="57"/>
        <v>1008.6</v>
      </c>
      <c r="N364" s="153"/>
      <c r="O364" s="152"/>
      <c r="Q364" s="208"/>
      <c r="R364" s="208"/>
      <c r="S364"/>
      <c r="T364" s="208"/>
      <c r="U364" s="208"/>
      <c r="V364" s="208"/>
      <c r="W364" s="208"/>
      <c r="X364" s="208"/>
      <c r="Y364" s="208"/>
      <c r="Z364" s="208"/>
      <c r="AA364" s="208"/>
      <c r="AB364" s="208"/>
      <c r="AC364" s="208"/>
      <c r="AD364" s="208"/>
      <c r="AE364" s="208"/>
      <c r="AF364" s="208"/>
      <c r="AG364" s="208"/>
      <c r="AH364" s="208"/>
      <c r="AI364" s="208"/>
      <c r="AJ364" s="208"/>
      <c r="AK364" s="208"/>
      <c r="AL364" s="208"/>
      <c r="AM364" s="208"/>
      <c r="AN364" s="208"/>
      <c r="AO364" s="208"/>
      <c r="AP364" s="208"/>
      <c r="AQ364" s="208"/>
      <c r="AR364" s="208"/>
      <c r="AS364" s="208"/>
      <c r="AT364" s="208"/>
      <c r="AU364" s="208"/>
      <c r="AV364" s="208"/>
      <c r="AW364" s="208"/>
      <c r="AX364" s="208"/>
      <c r="AY364" s="208"/>
      <c r="AZ364" s="208"/>
      <c r="BA364" s="208"/>
      <c r="BB364" s="208"/>
      <c r="BC364" s="208"/>
      <c r="BD364" s="208"/>
      <c r="BE364" s="208"/>
      <c r="BF364" s="208"/>
      <c r="BG364" s="208"/>
      <c r="BH364" s="208"/>
      <c r="BI364" s="208"/>
      <c r="BJ364" s="208"/>
      <c r="BK364" s="208"/>
      <c r="BL364" s="208"/>
      <c r="BM364" s="208"/>
      <c r="BN364" s="208"/>
      <c r="BO364" s="208"/>
      <c r="BP364" s="208"/>
      <c r="BQ364" s="208"/>
      <c r="BR364" s="208"/>
      <c r="BS364" s="208"/>
      <c r="BT364" s="208"/>
      <c r="BU364" s="208"/>
      <c r="BV364" s="208"/>
      <c r="BW364" s="208"/>
      <c r="BX364" s="208"/>
      <c r="BY364" s="208"/>
      <c r="BZ364" s="208"/>
      <c r="CA364" s="208"/>
      <c r="CB364" s="208"/>
      <c r="CC364" s="208"/>
      <c r="CD364" s="208"/>
      <c r="CE364" s="208"/>
      <c r="CF364" s="208"/>
      <c r="CG364" s="208"/>
      <c r="CH364" s="208"/>
      <c r="CI364" s="208"/>
      <c r="CJ364" s="208"/>
      <c r="CK364" s="208"/>
      <c r="CL364" s="208"/>
      <c r="CM364" s="208"/>
      <c r="CN364" s="208"/>
      <c r="CO364" s="208"/>
      <c r="CP364" s="208"/>
      <c r="CQ364" s="208"/>
      <c r="CR364" s="208"/>
      <c r="CS364" s="208"/>
      <c r="CT364" s="208"/>
      <c r="CU364" s="208"/>
      <c r="CV364" s="208"/>
      <c r="CW364" s="208"/>
      <c r="CX364" s="208"/>
      <c r="CY364" s="208"/>
      <c r="CZ364" s="208"/>
      <c r="DA364" s="208"/>
      <c r="DB364" s="208"/>
      <c r="DC364" s="208"/>
      <c r="DD364" s="208"/>
      <c r="DE364" s="208"/>
      <c r="DF364" s="208"/>
      <c r="DG364" s="208"/>
      <c r="DH364" s="208"/>
      <c r="DI364" s="208"/>
      <c r="DJ364" s="208"/>
      <c r="DK364" s="208"/>
      <c r="DL364" s="208"/>
      <c r="DM364" s="208"/>
      <c r="DN364" s="208"/>
      <c r="DO364" s="208"/>
      <c r="DP364" s="208"/>
      <c r="DQ364" s="208"/>
      <c r="DR364" s="208"/>
      <c r="DS364" s="208"/>
      <c r="DT364" s="208"/>
      <c r="DU364" s="208"/>
      <c r="DV364" s="208"/>
      <c r="DW364" s="208"/>
      <c r="DX364" s="208"/>
      <c r="DY364" s="208"/>
      <c r="DZ364" s="208"/>
      <c r="EA364" s="208"/>
      <c r="EB364" s="208"/>
      <c r="EC364" s="208"/>
      <c r="ED364" s="208"/>
      <c r="EE364" s="208"/>
      <c r="EF364" s="208"/>
      <c r="EG364" s="208"/>
      <c r="EH364" s="208"/>
      <c r="EI364" s="208"/>
      <c r="EJ364" s="208"/>
      <c r="EK364" s="208"/>
      <c r="EL364" s="208"/>
      <c r="EM364" s="208"/>
      <c r="EN364" s="208"/>
      <c r="EO364" s="208"/>
      <c r="EP364" s="208"/>
      <c r="EQ364" s="208"/>
      <c r="ER364" s="208"/>
      <c r="ES364" s="208"/>
      <c r="ET364" s="208"/>
      <c r="EU364" s="208"/>
      <c r="EV364" s="208"/>
      <c r="EW364" s="208"/>
      <c r="EX364" s="208"/>
      <c r="EY364" s="208"/>
      <c r="EZ364" s="208"/>
      <c r="FA364" s="208"/>
      <c r="FB364" s="208"/>
      <c r="FC364" s="208"/>
      <c r="FD364" s="208"/>
      <c r="FE364" s="208"/>
      <c r="FF364" s="208"/>
      <c r="FG364" s="208"/>
      <c r="FH364" s="208"/>
      <c r="FI364" s="208"/>
      <c r="FJ364" s="208"/>
      <c r="FK364" s="208"/>
      <c r="FL364" s="208"/>
      <c r="FM364" s="208"/>
      <c r="FN364" s="208"/>
      <c r="FO364" s="208"/>
      <c r="FP364" s="208"/>
      <c r="FQ364" s="208"/>
      <c r="FR364" s="208"/>
      <c r="FS364" s="208"/>
      <c r="FT364" s="208"/>
      <c r="FU364" s="208"/>
      <c r="FV364" s="208"/>
      <c r="FW364" s="208"/>
      <c r="FX364" s="208"/>
      <c r="FY364" s="208"/>
      <c r="FZ364" s="208"/>
      <c r="GA364" s="208"/>
      <c r="GB364" s="208"/>
      <c r="GC364" s="208"/>
      <c r="GD364" s="208"/>
      <c r="GE364" s="208"/>
      <c r="GF364" s="208"/>
    </row>
    <row r="365" spans="1:188" s="209" customFormat="1" ht="15" x14ac:dyDescent="0.25">
      <c r="A365" s="195" t="s">
        <v>5148</v>
      </c>
      <c r="B365" s="195" t="s">
        <v>2975</v>
      </c>
      <c r="C365" s="196" t="s">
        <v>2976</v>
      </c>
      <c r="D365" s="154" t="s">
        <v>28</v>
      </c>
      <c r="E365" s="154">
        <v>1</v>
      </c>
      <c r="F365" s="154"/>
      <c r="G365" s="197">
        <v>10</v>
      </c>
      <c r="H365" s="198">
        <f t="shared" si="55"/>
        <v>8.3333333333333332E-3</v>
      </c>
      <c r="I365" s="247">
        <v>3785.16</v>
      </c>
      <c r="J365" s="152"/>
      <c r="K365" s="198"/>
      <c r="L365" s="152">
        <f t="shared" si="56"/>
        <v>31.54</v>
      </c>
      <c r="M365" s="152">
        <f t="shared" si="57"/>
        <v>1892.4</v>
      </c>
      <c r="N365" s="153"/>
      <c r="O365" s="152"/>
      <c r="Q365" s="208"/>
      <c r="R365" s="208"/>
      <c r="S365"/>
      <c r="T365" s="208"/>
      <c r="U365" s="208"/>
      <c r="V365" s="208"/>
      <c r="W365" s="208"/>
      <c r="X365" s="208"/>
      <c r="Y365" s="208"/>
      <c r="Z365" s="208"/>
      <c r="AA365" s="208"/>
      <c r="AB365" s="208"/>
      <c r="AC365" s="208"/>
      <c r="AD365" s="208"/>
      <c r="AE365" s="208"/>
      <c r="AF365" s="208"/>
      <c r="AG365" s="208"/>
      <c r="AH365" s="208"/>
      <c r="AI365" s="208"/>
      <c r="AJ365" s="208"/>
      <c r="AK365" s="208"/>
      <c r="AL365" s="208"/>
      <c r="AM365" s="208"/>
      <c r="AN365" s="208"/>
      <c r="AO365" s="208"/>
      <c r="AP365" s="208"/>
      <c r="AQ365" s="208"/>
      <c r="AR365" s="208"/>
      <c r="AS365" s="208"/>
      <c r="AT365" s="208"/>
      <c r="AU365" s="208"/>
      <c r="AV365" s="208"/>
      <c r="AW365" s="208"/>
      <c r="AX365" s="208"/>
      <c r="AY365" s="208"/>
      <c r="AZ365" s="208"/>
      <c r="BA365" s="208"/>
      <c r="BB365" s="208"/>
      <c r="BC365" s="208"/>
      <c r="BD365" s="208"/>
      <c r="BE365" s="208"/>
      <c r="BF365" s="208"/>
      <c r="BG365" s="208"/>
      <c r="BH365" s="208"/>
      <c r="BI365" s="208"/>
      <c r="BJ365" s="208"/>
      <c r="BK365" s="208"/>
      <c r="BL365" s="208"/>
      <c r="BM365" s="208"/>
      <c r="BN365" s="208"/>
      <c r="BO365" s="208"/>
      <c r="BP365" s="208"/>
      <c r="BQ365" s="208"/>
      <c r="BR365" s="208"/>
      <c r="BS365" s="208"/>
      <c r="BT365" s="208"/>
      <c r="BU365" s="208"/>
      <c r="BV365" s="208"/>
      <c r="BW365" s="208"/>
      <c r="BX365" s="208"/>
      <c r="BY365" s="208"/>
      <c r="BZ365" s="208"/>
      <c r="CA365" s="208"/>
      <c r="CB365" s="208"/>
      <c r="CC365" s="208"/>
      <c r="CD365" s="208"/>
      <c r="CE365" s="208"/>
      <c r="CF365" s="208"/>
      <c r="CG365" s="208"/>
      <c r="CH365" s="208"/>
      <c r="CI365" s="208"/>
      <c r="CJ365" s="208"/>
      <c r="CK365" s="208"/>
      <c r="CL365" s="208"/>
      <c r="CM365" s="208"/>
      <c r="CN365" s="208"/>
      <c r="CO365" s="208"/>
      <c r="CP365" s="208"/>
      <c r="CQ365" s="208"/>
      <c r="CR365" s="208"/>
      <c r="CS365" s="208"/>
      <c r="CT365" s="208"/>
      <c r="CU365" s="208"/>
      <c r="CV365" s="208"/>
      <c r="CW365" s="208"/>
      <c r="CX365" s="208"/>
      <c r="CY365" s="208"/>
      <c r="CZ365" s="208"/>
      <c r="DA365" s="208"/>
      <c r="DB365" s="208"/>
      <c r="DC365" s="208"/>
      <c r="DD365" s="208"/>
      <c r="DE365" s="208"/>
      <c r="DF365" s="208"/>
      <c r="DG365" s="208"/>
      <c r="DH365" s="208"/>
      <c r="DI365" s="208"/>
      <c r="DJ365" s="208"/>
      <c r="DK365" s="208"/>
      <c r="DL365" s="208"/>
      <c r="DM365" s="208"/>
      <c r="DN365" s="208"/>
      <c r="DO365" s="208"/>
      <c r="DP365" s="208"/>
      <c r="DQ365" s="208"/>
      <c r="DR365" s="208"/>
      <c r="DS365" s="208"/>
      <c r="DT365" s="208"/>
      <c r="DU365" s="208"/>
      <c r="DV365" s="208"/>
      <c r="DW365" s="208"/>
      <c r="DX365" s="208"/>
      <c r="DY365" s="208"/>
      <c r="DZ365" s="208"/>
      <c r="EA365" s="208"/>
      <c r="EB365" s="208"/>
      <c r="EC365" s="208"/>
      <c r="ED365" s="208"/>
      <c r="EE365" s="208"/>
      <c r="EF365" s="208"/>
      <c r="EG365" s="208"/>
      <c r="EH365" s="208"/>
      <c r="EI365" s="208"/>
      <c r="EJ365" s="208"/>
      <c r="EK365" s="208"/>
      <c r="EL365" s="208"/>
      <c r="EM365" s="208"/>
      <c r="EN365" s="208"/>
      <c r="EO365" s="208"/>
      <c r="EP365" s="208"/>
      <c r="EQ365" s="208"/>
      <c r="ER365" s="208"/>
      <c r="ES365" s="208"/>
      <c r="ET365" s="208"/>
      <c r="EU365" s="208"/>
      <c r="EV365" s="208"/>
      <c r="EW365" s="208"/>
      <c r="EX365" s="208"/>
      <c r="EY365" s="208"/>
      <c r="EZ365" s="208"/>
      <c r="FA365" s="208"/>
      <c r="FB365" s="208"/>
      <c r="FC365" s="208"/>
      <c r="FD365" s="208"/>
      <c r="FE365" s="208"/>
      <c r="FF365" s="208"/>
      <c r="FG365" s="208"/>
      <c r="FH365" s="208"/>
      <c r="FI365" s="208"/>
      <c r="FJ365" s="208"/>
      <c r="FK365" s="208"/>
      <c r="FL365" s="208"/>
      <c r="FM365" s="208"/>
      <c r="FN365" s="208"/>
      <c r="FO365" s="208"/>
      <c r="FP365" s="208"/>
      <c r="FQ365" s="208"/>
      <c r="FR365" s="208"/>
      <c r="FS365" s="208"/>
      <c r="FT365" s="208"/>
      <c r="FU365" s="208"/>
      <c r="FV365" s="208"/>
      <c r="FW365" s="208"/>
      <c r="FX365" s="208"/>
      <c r="FY365" s="208"/>
      <c r="FZ365" s="208"/>
      <c r="GA365" s="208"/>
      <c r="GB365" s="208"/>
      <c r="GC365" s="208"/>
      <c r="GD365" s="208"/>
      <c r="GE365" s="208"/>
      <c r="GF365" s="208"/>
    </row>
    <row r="366" spans="1:188" s="209" customFormat="1" ht="15" x14ac:dyDescent="0.25">
      <c r="A366" s="195" t="s">
        <v>5149</v>
      </c>
      <c r="B366" s="195" t="s">
        <v>2543</v>
      </c>
      <c r="C366" s="196" t="s">
        <v>2544</v>
      </c>
      <c r="D366" s="154" t="s">
        <v>28</v>
      </c>
      <c r="E366" s="154">
        <v>2</v>
      </c>
      <c r="F366" s="154"/>
      <c r="G366" s="197">
        <v>10</v>
      </c>
      <c r="H366" s="198">
        <f t="shared" si="55"/>
        <v>8.3333333333333332E-3</v>
      </c>
      <c r="I366" s="247">
        <v>2757.11</v>
      </c>
      <c r="J366" s="152"/>
      <c r="K366" s="198"/>
      <c r="L366" s="152">
        <f t="shared" si="56"/>
        <v>45.95</v>
      </c>
      <c r="M366" s="152">
        <f t="shared" si="57"/>
        <v>2757</v>
      </c>
      <c r="N366" s="153"/>
      <c r="O366" s="152"/>
      <c r="Q366" s="208"/>
      <c r="R366" s="208"/>
      <c r="S366"/>
      <c r="T366" s="208"/>
      <c r="U366" s="208"/>
      <c r="V366" s="208"/>
      <c r="W366" s="208"/>
      <c r="X366" s="208"/>
      <c r="Y366" s="208"/>
      <c r="Z366" s="208"/>
      <c r="AA366" s="208"/>
      <c r="AB366" s="208"/>
      <c r="AC366" s="208"/>
      <c r="AD366" s="208"/>
      <c r="AE366" s="208"/>
      <c r="AF366" s="208"/>
      <c r="AG366" s="208"/>
      <c r="AH366" s="208"/>
      <c r="AI366" s="208"/>
      <c r="AJ366" s="208"/>
      <c r="AK366" s="208"/>
      <c r="AL366" s="208"/>
      <c r="AM366" s="208"/>
      <c r="AN366" s="208"/>
      <c r="AO366" s="208"/>
      <c r="AP366" s="208"/>
      <c r="AQ366" s="208"/>
      <c r="AR366" s="208"/>
      <c r="AS366" s="208"/>
      <c r="AT366" s="208"/>
      <c r="AU366" s="208"/>
      <c r="AV366" s="208"/>
      <c r="AW366" s="208"/>
      <c r="AX366" s="208"/>
      <c r="AY366" s="208"/>
      <c r="AZ366" s="208"/>
      <c r="BA366" s="208"/>
      <c r="BB366" s="208"/>
      <c r="BC366" s="208"/>
      <c r="BD366" s="208"/>
      <c r="BE366" s="208"/>
      <c r="BF366" s="208"/>
      <c r="BG366" s="208"/>
      <c r="BH366" s="208"/>
      <c r="BI366" s="208"/>
      <c r="BJ366" s="208"/>
      <c r="BK366" s="208"/>
      <c r="BL366" s="208"/>
      <c r="BM366" s="208"/>
      <c r="BN366" s="208"/>
      <c r="BO366" s="208"/>
      <c r="BP366" s="208"/>
      <c r="BQ366" s="208"/>
      <c r="BR366" s="208"/>
      <c r="BS366" s="208"/>
      <c r="BT366" s="208"/>
      <c r="BU366" s="208"/>
      <c r="BV366" s="208"/>
      <c r="BW366" s="208"/>
      <c r="BX366" s="208"/>
      <c r="BY366" s="208"/>
      <c r="BZ366" s="208"/>
      <c r="CA366" s="208"/>
      <c r="CB366" s="208"/>
      <c r="CC366" s="208"/>
      <c r="CD366" s="208"/>
      <c r="CE366" s="208"/>
      <c r="CF366" s="208"/>
      <c r="CG366" s="208"/>
      <c r="CH366" s="208"/>
      <c r="CI366" s="208"/>
      <c r="CJ366" s="208"/>
      <c r="CK366" s="208"/>
      <c r="CL366" s="208"/>
      <c r="CM366" s="208"/>
      <c r="CN366" s="208"/>
      <c r="CO366" s="208"/>
      <c r="CP366" s="208"/>
      <c r="CQ366" s="208"/>
      <c r="CR366" s="208"/>
      <c r="CS366" s="208"/>
      <c r="CT366" s="208"/>
      <c r="CU366" s="208"/>
      <c r="CV366" s="208"/>
      <c r="CW366" s="208"/>
      <c r="CX366" s="208"/>
      <c r="CY366" s="208"/>
      <c r="CZ366" s="208"/>
      <c r="DA366" s="208"/>
      <c r="DB366" s="208"/>
      <c r="DC366" s="208"/>
      <c r="DD366" s="208"/>
      <c r="DE366" s="208"/>
      <c r="DF366" s="208"/>
      <c r="DG366" s="208"/>
      <c r="DH366" s="208"/>
      <c r="DI366" s="208"/>
      <c r="DJ366" s="208"/>
      <c r="DK366" s="208"/>
      <c r="DL366" s="208"/>
      <c r="DM366" s="208"/>
      <c r="DN366" s="208"/>
      <c r="DO366" s="208"/>
      <c r="DP366" s="208"/>
      <c r="DQ366" s="208"/>
      <c r="DR366" s="208"/>
      <c r="DS366" s="208"/>
      <c r="DT366" s="208"/>
      <c r="DU366" s="208"/>
      <c r="DV366" s="208"/>
      <c r="DW366" s="208"/>
      <c r="DX366" s="208"/>
      <c r="DY366" s="208"/>
      <c r="DZ366" s="208"/>
      <c r="EA366" s="208"/>
      <c r="EB366" s="208"/>
      <c r="EC366" s="208"/>
      <c r="ED366" s="208"/>
      <c r="EE366" s="208"/>
      <c r="EF366" s="208"/>
      <c r="EG366" s="208"/>
      <c r="EH366" s="208"/>
      <c r="EI366" s="208"/>
      <c r="EJ366" s="208"/>
      <c r="EK366" s="208"/>
      <c r="EL366" s="208"/>
      <c r="EM366" s="208"/>
      <c r="EN366" s="208"/>
      <c r="EO366" s="208"/>
      <c r="EP366" s="208"/>
      <c r="EQ366" s="208"/>
      <c r="ER366" s="208"/>
      <c r="ES366" s="208"/>
      <c r="ET366" s="208"/>
      <c r="EU366" s="208"/>
      <c r="EV366" s="208"/>
      <c r="EW366" s="208"/>
      <c r="EX366" s="208"/>
      <c r="EY366" s="208"/>
      <c r="EZ366" s="208"/>
      <c r="FA366" s="208"/>
      <c r="FB366" s="208"/>
      <c r="FC366" s="208"/>
      <c r="FD366" s="208"/>
      <c r="FE366" s="208"/>
      <c r="FF366" s="208"/>
      <c r="FG366" s="208"/>
      <c r="FH366" s="208"/>
      <c r="FI366" s="208"/>
      <c r="FJ366" s="208"/>
      <c r="FK366" s="208"/>
      <c r="FL366" s="208"/>
      <c r="FM366" s="208"/>
      <c r="FN366" s="208"/>
      <c r="FO366" s="208"/>
      <c r="FP366" s="208"/>
      <c r="FQ366" s="208"/>
      <c r="FR366" s="208"/>
      <c r="FS366" s="208"/>
      <c r="FT366" s="208"/>
      <c r="FU366" s="208"/>
      <c r="FV366" s="208"/>
      <c r="FW366" s="208"/>
      <c r="FX366" s="208"/>
      <c r="FY366" s="208"/>
      <c r="FZ366" s="208"/>
      <c r="GA366" s="208"/>
      <c r="GB366" s="208"/>
      <c r="GC366" s="208"/>
      <c r="GD366" s="208"/>
      <c r="GE366" s="208"/>
      <c r="GF366" s="208"/>
    </row>
    <row r="367" spans="1:188" s="209" customFormat="1" ht="15" x14ac:dyDescent="0.25">
      <c r="A367" s="195" t="s">
        <v>5150</v>
      </c>
      <c r="B367" s="195" t="s">
        <v>2977</v>
      </c>
      <c r="C367" s="196" t="s">
        <v>2978</v>
      </c>
      <c r="D367" s="154" t="s">
        <v>28</v>
      </c>
      <c r="E367" s="154">
        <v>5</v>
      </c>
      <c r="F367" s="154"/>
      <c r="G367" s="197">
        <v>10</v>
      </c>
      <c r="H367" s="198">
        <f t="shared" si="55"/>
        <v>8.3333333333333332E-3</v>
      </c>
      <c r="I367" s="247">
        <v>292.39999999999998</v>
      </c>
      <c r="J367" s="152"/>
      <c r="K367" s="198"/>
      <c r="L367" s="152">
        <f t="shared" si="56"/>
        <v>12.18</v>
      </c>
      <c r="M367" s="152">
        <f t="shared" si="57"/>
        <v>730.8</v>
      </c>
      <c r="N367" s="153"/>
      <c r="O367" s="152"/>
      <c r="Q367" s="208"/>
      <c r="R367" s="208"/>
      <c r="S367"/>
      <c r="T367" s="208"/>
      <c r="U367" s="208"/>
      <c r="V367" s="208"/>
      <c r="W367" s="208"/>
      <c r="X367" s="208"/>
      <c r="Y367" s="208"/>
      <c r="Z367" s="208"/>
      <c r="AA367" s="208"/>
      <c r="AB367" s="208"/>
      <c r="AC367" s="208"/>
      <c r="AD367" s="208"/>
      <c r="AE367" s="208"/>
      <c r="AF367" s="208"/>
      <c r="AG367" s="208"/>
      <c r="AH367" s="208"/>
      <c r="AI367" s="208"/>
      <c r="AJ367" s="208"/>
      <c r="AK367" s="208"/>
      <c r="AL367" s="208"/>
      <c r="AM367" s="208"/>
      <c r="AN367" s="208"/>
      <c r="AO367" s="208"/>
      <c r="AP367" s="208"/>
      <c r="AQ367" s="208"/>
      <c r="AR367" s="208"/>
      <c r="AS367" s="208"/>
      <c r="AT367" s="208"/>
      <c r="AU367" s="208"/>
      <c r="AV367" s="208"/>
      <c r="AW367" s="208"/>
      <c r="AX367" s="208"/>
      <c r="AY367" s="208"/>
      <c r="AZ367" s="208"/>
      <c r="BA367" s="208"/>
      <c r="BB367" s="208"/>
      <c r="BC367" s="208"/>
      <c r="BD367" s="208"/>
      <c r="BE367" s="208"/>
      <c r="BF367" s="208"/>
      <c r="BG367" s="208"/>
      <c r="BH367" s="208"/>
      <c r="BI367" s="208"/>
      <c r="BJ367" s="208"/>
      <c r="BK367" s="208"/>
      <c r="BL367" s="208"/>
      <c r="BM367" s="208"/>
      <c r="BN367" s="208"/>
      <c r="BO367" s="208"/>
      <c r="BP367" s="208"/>
      <c r="BQ367" s="208"/>
      <c r="BR367" s="208"/>
      <c r="BS367" s="208"/>
      <c r="BT367" s="208"/>
      <c r="BU367" s="208"/>
      <c r="BV367" s="208"/>
      <c r="BW367" s="208"/>
      <c r="BX367" s="208"/>
      <c r="BY367" s="208"/>
      <c r="BZ367" s="208"/>
      <c r="CA367" s="208"/>
      <c r="CB367" s="208"/>
      <c r="CC367" s="208"/>
      <c r="CD367" s="208"/>
      <c r="CE367" s="208"/>
      <c r="CF367" s="208"/>
      <c r="CG367" s="208"/>
      <c r="CH367" s="208"/>
      <c r="CI367" s="208"/>
      <c r="CJ367" s="208"/>
      <c r="CK367" s="208"/>
      <c r="CL367" s="208"/>
      <c r="CM367" s="208"/>
      <c r="CN367" s="208"/>
      <c r="CO367" s="208"/>
      <c r="CP367" s="208"/>
      <c r="CQ367" s="208"/>
      <c r="CR367" s="208"/>
      <c r="CS367" s="208"/>
      <c r="CT367" s="208"/>
      <c r="CU367" s="208"/>
      <c r="CV367" s="208"/>
      <c r="CW367" s="208"/>
      <c r="CX367" s="208"/>
      <c r="CY367" s="208"/>
      <c r="CZ367" s="208"/>
      <c r="DA367" s="208"/>
      <c r="DB367" s="208"/>
      <c r="DC367" s="208"/>
      <c r="DD367" s="208"/>
      <c r="DE367" s="208"/>
      <c r="DF367" s="208"/>
      <c r="DG367" s="208"/>
      <c r="DH367" s="208"/>
      <c r="DI367" s="208"/>
      <c r="DJ367" s="208"/>
      <c r="DK367" s="208"/>
      <c r="DL367" s="208"/>
      <c r="DM367" s="208"/>
      <c r="DN367" s="208"/>
      <c r="DO367" s="208"/>
      <c r="DP367" s="208"/>
      <c r="DQ367" s="208"/>
      <c r="DR367" s="208"/>
      <c r="DS367" s="208"/>
      <c r="DT367" s="208"/>
      <c r="DU367" s="208"/>
      <c r="DV367" s="208"/>
      <c r="DW367" s="208"/>
      <c r="DX367" s="208"/>
      <c r="DY367" s="208"/>
      <c r="DZ367" s="208"/>
      <c r="EA367" s="208"/>
      <c r="EB367" s="208"/>
      <c r="EC367" s="208"/>
      <c r="ED367" s="208"/>
      <c r="EE367" s="208"/>
      <c r="EF367" s="208"/>
      <c r="EG367" s="208"/>
      <c r="EH367" s="208"/>
      <c r="EI367" s="208"/>
      <c r="EJ367" s="208"/>
      <c r="EK367" s="208"/>
      <c r="EL367" s="208"/>
      <c r="EM367" s="208"/>
      <c r="EN367" s="208"/>
      <c r="EO367" s="208"/>
      <c r="EP367" s="208"/>
      <c r="EQ367" s="208"/>
      <c r="ER367" s="208"/>
      <c r="ES367" s="208"/>
      <c r="ET367" s="208"/>
      <c r="EU367" s="208"/>
      <c r="EV367" s="208"/>
      <c r="EW367" s="208"/>
      <c r="EX367" s="208"/>
      <c r="EY367" s="208"/>
      <c r="EZ367" s="208"/>
      <c r="FA367" s="208"/>
      <c r="FB367" s="208"/>
      <c r="FC367" s="208"/>
      <c r="FD367" s="208"/>
      <c r="FE367" s="208"/>
      <c r="FF367" s="208"/>
      <c r="FG367" s="208"/>
      <c r="FH367" s="208"/>
      <c r="FI367" s="208"/>
      <c r="FJ367" s="208"/>
      <c r="FK367" s="208"/>
      <c r="FL367" s="208"/>
      <c r="FM367" s="208"/>
      <c r="FN367" s="208"/>
      <c r="FO367" s="208"/>
      <c r="FP367" s="208"/>
      <c r="FQ367" s="208"/>
      <c r="FR367" s="208"/>
      <c r="FS367" s="208"/>
      <c r="FT367" s="208"/>
      <c r="FU367" s="208"/>
      <c r="FV367" s="208"/>
      <c r="FW367" s="208"/>
      <c r="FX367" s="208"/>
      <c r="FY367" s="208"/>
      <c r="FZ367" s="208"/>
      <c r="GA367" s="208"/>
      <c r="GB367" s="208"/>
      <c r="GC367" s="208"/>
      <c r="GD367" s="208"/>
      <c r="GE367" s="208"/>
      <c r="GF367" s="208"/>
    </row>
    <row r="368" spans="1:188" s="209" customFormat="1" ht="15" x14ac:dyDescent="0.25">
      <c r="A368" s="195" t="s">
        <v>5151</v>
      </c>
      <c r="B368" s="195" t="s">
        <v>2979</v>
      </c>
      <c r="C368" s="196" t="s">
        <v>2980</v>
      </c>
      <c r="D368" s="154" t="s">
        <v>28</v>
      </c>
      <c r="E368" s="154">
        <v>2</v>
      </c>
      <c r="F368" s="154"/>
      <c r="G368" s="197">
        <v>10</v>
      </c>
      <c r="H368" s="198">
        <f t="shared" si="55"/>
        <v>8.3333333333333332E-3</v>
      </c>
      <c r="I368" s="247">
        <v>1073.5899999999999</v>
      </c>
      <c r="J368" s="152"/>
      <c r="K368" s="198"/>
      <c r="L368" s="152">
        <f t="shared" si="56"/>
        <v>17.89</v>
      </c>
      <c r="M368" s="152">
        <f t="shared" si="57"/>
        <v>1073.4000000000001</v>
      </c>
      <c r="N368" s="153"/>
      <c r="O368" s="152"/>
      <c r="Q368" s="208"/>
      <c r="R368" s="208"/>
      <c r="S368"/>
      <c r="T368" s="208"/>
      <c r="U368" s="208"/>
      <c r="V368" s="208"/>
      <c r="W368" s="208"/>
      <c r="X368" s="208"/>
      <c r="Y368" s="208"/>
      <c r="Z368" s="208"/>
      <c r="AA368" s="208"/>
      <c r="AB368" s="208"/>
      <c r="AC368" s="208"/>
      <c r="AD368" s="208"/>
      <c r="AE368" s="208"/>
      <c r="AF368" s="208"/>
      <c r="AG368" s="208"/>
      <c r="AH368" s="208"/>
      <c r="AI368" s="208"/>
      <c r="AJ368" s="208"/>
      <c r="AK368" s="208"/>
      <c r="AL368" s="208"/>
      <c r="AM368" s="208"/>
      <c r="AN368" s="208"/>
      <c r="AO368" s="208"/>
      <c r="AP368" s="208"/>
      <c r="AQ368" s="208"/>
      <c r="AR368" s="208"/>
      <c r="AS368" s="208"/>
      <c r="AT368" s="208"/>
      <c r="AU368" s="208"/>
      <c r="AV368" s="208"/>
      <c r="AW368" s="208"/>
      <c r="AX368" s="208"/>
      <c r="AY368" s="208"/>
      <c r="AZ368" s="208"/>
      <c r="BA368" s="208"/>
      <c r="BB368" s="208"/>
      <c r="BC368" s="208"/>
      <c r="BD368" s="208"/>
      <c r="BE368" s="208"/>
      <c r="BF368" s="208"/>
      <c r="BG368" s="208"/>
      <c r="BH368" s="208"/>
      <c r="BI368" s="208"/>
      <c r="BJ368" s="208"/>
      <c r="BK368" s="208"/>
      <c r="BL368" s="208"/>
      <c r="BM368" s="208"/>
      <c r="BN368" s="208"/>
      <c r="BO368" s="208"/>
      <c r="BP368" s="208"/>
      <c r="BQ368" s="208"/>
      <c r="BR368" s="208"/>
      <c r="BS368" s="208"/>
      <c r="BT368" s="208"/>
      <c r="BU368" s="208"/>
      <c r="BV368" s="208"/>
      <c r="BW368" s="208"/>
      <c r="BX368" s="208"/>
      <c r="BY368" s="208"/>
      <c r="BZ368" s="208"/>
      <c r="CA368" s="208"/>
      <c r="CB368" s="208"/>
      <c r="CC368" s="208"/>
      <c r="CD368" s="208"/>
      <c r="CE368" s="208"/>
      <c r="CF368" s="208"/>
      <c r="CG368" s="208"/>
      <c r="CH368" s="208"/>
      <c r="CI368" s="208"/>
      <c r="CJ368" s="208"/>
      <c r="CK368" s="208"/>
      <c r="CL368" s="208"/>
      <c r="CM368" s="208"/>
      <c r="CN368" s="208"/>
      <c r="CO368" s="208"/>
      <c r="CP368" s="208"/>
      <c r="CQ368" s="208"/>
      <c r="CR368" s="208"/>
      <c r="CS368" s="208"/>
      <c r="CT368" s="208"/>
      <c r="CU368" s="208"/>
      <c r="CV368" s="208"/>
      <c r="CW368" s="208"/>
      <c r="CX368" s="208"/>
      <c r="CY368" s="208"/>
      <c r="CZ368" s="208"/>
      <c r="DA368" s="208"/>
      <c r="DB368" s="208"/>
      <c r="DC368" s="208"/>
      <c r="DD368" s="208"/>
      <c r="DE368" s="208"/>
      <c r="DF368" s="208"/>
      <c r="DG368" s="208"/>
      <c r="DH368" s="208"/>
      <c r="DI368" s="208"/>
      <c r="DJ368" s="208"/>
      <c r="DK368" s="208"/>
      <c r="DL368" s="208"/>
      <c r="DM368" s="208"/>
      <c r="DN368" s="208"/>
      <c r="DO368" s="208"/>
      <c r="DP368" s="208"/>
      <c r="DQ368" s="208"/>
      <c r="DR368" s="208"/>
      <c r="DS368" s="208"/>
      <c r="DT368" s="208"/>
      <c r="DU368" s="208"/>
      <c r="DV368" s="208"/>
      <c r="DW368" s="208"/>
      <c r="DX368" s="208"/>
      <c r="DY368" s="208"/>
      <c r="DZ368" s="208"/>
      <c r="EA368" s="208"/>
      <c r="EB368" s="208"/>
      <c r="EC368" s="208"/>
      <c r="ED368" s="208"/>
      <c r="EE368" s="208"/>
      <c r="EF368" s="208"/>
      <c r="EG368" s="208"/>
      <c r="EH368" s="208"/>
      <c r="EI368" s="208"/>
      <c r="EJ368" s="208"/>
      <c r="EK368" s="208"/>
      <c r="EL368" s="208"/>
      <c r="EM368" s="208"/>
      <c r="EN368" s="208"/>
      <c r="EO368" s="208"/>
      <c r="EP368" s="208"/>
      <c r="EQ368" s="208"/>
      <c r="ER368" s="208"/>
      <c r="ES368" s="208"/>
      <c r="ET368" s="208"/>
      <c r="EU368" s="208"/>
      <c r="EV368" s="208"/>
      <c r="EW368" s="208"/>
      <c r="EX368" s="208"/>
      <c r="EY368" s="208"/>
      <c r="EZ368" s="208"/>
      <c r="FA368" s="208"/>
      <c r="FB368" s="208"/>
      <c r="FC368" s="208"/>
      <c r="FD368" s="208"/>
      <c r="FE368" s="208"/>
      <c r="FF368" s="208"/>
      <c r="FG368" s="208"/>
      <c r="FH368" s="208"/>
      <c r="FI368" s="208"/>
      <c r="FJ368" s="208"/>
      <c r="FK368" s="208"/>
      <c r="FL368" s="208"/>
      <c r="FM368" s="208"/>
      <c r="FN368" s="208"/>
      <c r="FO368" s="208"/>
      <c r="FP368" s="208"/>
      <c r="FQ368" s="208"/>
      <c r="FR368" s="208"/>
      <c r="FS368" s="208"/>
      <c r="FT368" s="208"/>
      <c r="FU368" s="208"/>
      <c r="FV368" s="208"/>
      <c r="FW368" s="208"/>
      <c r="FX368" s="208"/>
      <c r="FY368" s="208"/>
      <c r="FZ368" s="208"/>
      <c r="GA368" s="208"/>
      <c r="GB368" s="208"/>
      <c r="GC368" s="208"/>
      <c r="GD368" s="208"/>
      <c r="GE368" s="208"/>
      <c r="GF368" s="208"/>
    </row>
    <row r="369" spans="1:188" s="209" customFormat="1" ht="15" x14ac:dyDescent="0.25">
      <c r="A369" s="195" t="s">
        <v>5152</v>
      </c>
      <c r="B369" s="195" t="s">
        <v>2981</v>
      </c>
      <c r="C369" s="196" t="s">
        <v>2982</v>
      </c>
      <c r="D369" s="154" t="s">
        <v>461</v>
      </c>
      <c r="E369" s="154">
        <v>5</v>
      </c>
      <c r="F369" s="154"/>
      <c r="G369" s="197">
        <v>5</v>
      </c>
      <c r="H369" s="198">
        <f t="shared" si="55"/>
        <v>1.6666666666666666E-2</v>
      </c>
      <c r="I369" s="247">
        <v>126.4</v>
      </c>
      <c r="J369" s="152"/>
      <c r="K369" s="198"/>
      <c r="L369" s="152">
        <f t="shared" si="56"/>
        <v>10.53</v>
      </c>
      <c r="M369" s="152">
        <f t="shared" si="57"/>
        <v>631.79999999999995</v>
      </c>
      <c r="N369" s="153"/>
      <c r="O369" s="152"/>
      <c r="Q369" s="208"/>
      <c r="R369" s="208"/>
      <c r="S369"/>
      <c r="T369" s="208"/>
      <c r="U369" s="208"/>
      <c r="V369" s="208"/>
      <c r="W369" s="208"/>
      <c r="X369" s="208"/>
      <c r="Y369" s="208"/>
      <c r="Z369" s="208"/>
      <c r="AA369" s="208"/>
      <c r="AB369" s="208"/>
      <c r="AC369" s="208"/>
      <c r="AD369" s="208"/>
      <c r="AE369" s="208"/>
      <c r="AF369" s="208"/>
      <c r="AG369" s="208"/>
      <c r="AH369" s="208"/>
      <c r="AI369" s="208"/>
      <c r="AJ369" s="208"/>
      <c r="AK369" s="208"/>
      <c r="AL369" s="208"/>
      <c r="AM369" s="208"/>
      <c r="AN369" s="208"/>
      <c r="AO369" s="208"/>
      <c r="AP369" s="208"/>
      <c r="AQ369" s="208"/>
      <c r="AR369" s="208"/>
      <c r="AS369" s="208"/>
      <c r="AT369" s="208"/>
      <c r="AU369" s="208"/>
      <c r="AV369" s="208"/>
      <c r="AW369" s="208"/>
      <c r="AX369" s="208"/>
      <c r="AY369" s="208"/>
      <c r="AZ369" s="208"/>
      <c r="BA369" s="208"/>
      <c r="BB369" s="208"/>
      <c r="BC369" s="208"/>
      <c r="BD369" s="208"/>
      <c r="BE369" s="208"/>
      <c r="BF369" s="208"/>
      <c r="BG369" s="208"/>
      <c r="BH369" s="208"/>
      <c r="BI369" s="208"/>
      <c r="BJ369" s="208"/>
      <c r="BK369" s="208"/>
      <c r="BL369" s="208"/>
      <c r="BM369" s="208"/>
      <c r="BN369" s="208"/>
      <c r="BO369" s="208"/>
      <c r="BP369" s="208"/>
      <c r="BQ369" s="208"/>
      <c r="BR369" s="208"/>
      <c r="BS369" s="208"/>
      <c r="BT369" s="208"/>
      <c r="BU369" s="208"/>
      <c r="BV369" s="208"/>
      <c r="BW369" s="208"/>
      <c r="BX369" s="208"/>
      <c r="BY369" s="208"/>
      <c r="BZ369" s="208"/>
      <c r="CA369" s="208"/>
      <c r="CB369" s="208"/>
      <c r="CC369" s="208"/>
      <c r="CD369" s="208"/>
      <c r="CE369" s="208"/>
      <c r="CF369" s="208"/>
      <c r="CG369" s="208"/>
      <c r="CH369" s="208"/>
      <c r="CI369" s="208"/>
      <c r="CJ369" s="208"/>
      <c r="CK369" s="208"/>
      <c r="CL369" s="208"/>
      <c r="CM369" s="208"/>
      <c r="CN369" s="208"/>
      <c r="CO369" s="208"/>
      <c r="CP369" s="208"/>
      <c r="CQ369" s="208"/>
      <c r="CR369" s="208"/>
      <c r="CS369" s="208"/>
      <c r="CT369" s="208"/>
      <c r="CU369" s="208"/>
      <c r="CV369" s="208"/>
      <c r="CW369" s="208"/>
      <c r="CX369" s="208"/>
      <c r="CY369" s="208"/>
      <c r="CZ369" s="208"/>
      <c r="DA369" s="208"/>
      <c r="DB369" s="208"/>
      <c r="DC369" s="208"/>
      <c r="DD369" s="208"/>
      <c r="DE369" s="208"/>
      <c r="DF369" s="208"/>
      <c r="DG369" s="208"/>
      <c r="DH369" s="208"/>
      <c r="DI369" s="208"/>
      <c r="DJ369" s="208"/>
      <c r="DK369" s="208"/>
      <c r="DL369" s="208"/>
      <c r="DM369" s="208"/>
      <c r="DN369" s="208"/>
      <c r="DO369" s="208"/>
      <c r="DP369" s="208"/>
      <c r="DQ369" s="208"/>
      <c r="DR369" s="208"/>
      <c r="DS369" s="208"/>
      <c r="DT369" s="208"/>
      <c r="DU369" s="208"/>
      <c r="DV369" s="208"/>
      <c r="DW369" s="208"/>
      <c r="DX369" s="208"/>
      <c r="DY369" s="208"/>
      <c r="DZ369" s="208"/>
      <c r="EA369" s="208"/>
      <c r="EB369" s="208"/>
      <c r="EC369" s="208"/>
      <c r="ED369" s="208"/>
      <c r="EE369" s="208"/>
      <c r="EF369" s="208"/>
      <c r="EG369" s="208"/>
      <c r="EH369" s="208"/>
      <c r="EI369" s="208"/>
      <c r="EJ369" s="208"/>
      <c r="EK369" s="208"/>
      <c r="EL369" s="208"/>
      <c r="EM369" s="208"/>
      <c r="EN369" s="208"/>
      <c r="EO369" s="208"/>
      <c r="EP369" s="208"/>
      <c r="EQ369" s="208"/>
      <c r="ER369" s="208"/>
      <c r="ES369" s="208"/>
      <c r="ET369" s="208"/>
      <c r="EU369" s="208"/>
      <c r="EV369" s="208"/>
      <c r="EW369" s="208"/>
      <c r="EX369" s="208"/>
      <c r="EY369" s="208"/>
      <c r="EZ369" s="208"/>
      <c r="FA369" s="208"/>
      <c r="FB369" s="208"/>
      <c r="FC369" s="208"/>
      <c r="FD369" s="208"/>
      <c r="FE369" s="208"/>
      <c r="FF369" s="208"/>
      <c r="FG369" s="208"/>
      <c r="FH369" s="208"/>
      <c r="FI369" s="208"/>
      <c r="FJ369" s="208"/>
      <c r="FK369" s="208"/>
      <c r="FL369" s="208"/>
      <c r="FM369" s="208"/>
      <c r="FN369" s="208"/>
      <c r="FO369" s="208"/>
      <c r="FP369" s="208"/>
      <c r="FQ369" s="208"/>
      <c r="FR369" s="208"/>
      <c r="FS369" s="208"/>
      <c r="FT369" s="208"/>
      <c r="FU369" s="208"/>
      <c r="FV369" s="208"/>
      <c r="FW369" s="208"/>
      <c r="FX369" s="208"/>
      <c r="FY369" s="208"/>
      <c r="FZ369" s="208"/>
      <c r="GA369" s="208"/>
      <c r="GB369" s="208"/>
      <c r="GC369" s="208"/>
      <c r="GD369" s="208"/>
      <c r="GE369" s="208"/>
      <c r="GF369" s="208"/>
    </row>
    <row r="370" spans="1:188" s="209" customFormat="1" ht="15" x14ac:dyDescent="0.25">
      <c r="A370" s="195" t="s">
        <v>5153</v>
      </c>
      <c r="B370" s="195" t="s">
        <v>2610</v>
      </c>
      <c r="C370" s="196" t="s">
        <v>2611</v>
      </c>
      <c r="D370" s="154" t="s">
        <v>28</v>
      </c>
      <c r="E370" s="154">
        <v>2</v>
      </c>
      <c r="F370" s="154"/>
      <c r="G370" s="197">
        <v>10</v>
      </c>
      <c r="H370" s="198">
        <f t="shared" si="55"/>
        <v>8.3333333333333332E-3</v>
      </c>
      <c r="I370" s="247">
        <v>7965.66</v>
      </c>
      <c r="J370" s="152"/>
      <c r="K370" s="198"/>
      <c r="L370" s="152">
        <f t="shared" si="56"/>
        <v>132.76</v>
      </c>
      <c r="M370" s="152">
        <f t="shared" si="57"/>
        <v>7965.6</v>
      </c>
      <c r="N370" s="153"/>
      <c r="O370" s="152"/>
      <c r="Q370" s="208"/>
      <c r="R370" s="208"/>
      <c r="S370"/>
      <c r="T370" s="208"/>
      <c r="U370" s="208"/>
      <c r="V370" s="208"/>
      <c r="W370" s="208"/>
      <c r="X370" s="208"/>
      <c r="Y370" s="208"/>
      <c r="Z370" s="208"/>
      <c r="AA370" s="208"/>
      <c r="AB370" s="208"/>
      <c r="AC370" s="208"/>
      <c r="AD370" s="208"/>
      <c r="AE370" s="208"/>
      <c r="AF370" s="208"/>
      <c r="AG370" s="208"/>
      <c r="AH370" s="208"/>
      <c r="AI370" s="208"/>
      <c r="AJ370" s="208"/>
      <c r="AK370" s="208"/>
      <c r="AL370" s="208"/>
      <c r="AM370" s="208"/>
      <c r="AN370" s="208"/>
      <c r="AO370" s="208"/>
      <c r="AP370" s="208"/>
      <c r="AQ370" s="208"/>
      <c r="AR370" s="208"/>
      <c r="AS370" s="208"/>
      <c r="AT370" s="208"/>
      <c r="AU370" s="208"/>
      <c r="AV370" s="208"/>
      <c r="AW370" s="208"/>
      <c r="AX370" s="208"/>
      <c r="AY370" s="208"/>
      <c r="AZ370" s="208"/>
      <c r="BA370" s="208"/>
      <c r="BB370" s="208"/>
      <c r="BC370" s="208"/>
      <c r="BD370" s="208"/>
      <c r="BE370" s="208"/>
      <c r="BF370" s="208"/>
      <c r="BG370" s="208"/>
      <c r="BH370" s="208"/>
      <c r="BI370" s="208"/>
      <c r="BJ370" s="208"/>
      <c r="BK370" s="208"/>
      <c r="BL370" s="208"/>
      <c r="BM370" s="208"/>
      <c r="BN370" s="208"/>
      <c r="BO370" s="208"/>
      <c r="BP370" s="208"/>
      <c r="BQ370" s="208"/>
      <c r="BR370" s="208"/>
      <c r="BS370" s="208"/>
      <c r="BT370" s="208"/>
      <c r="BU370" s="208"/>
      <c r="BV370" s="208"/>
      <c r="BW370" s="208"/>
      <c r="BX370" s="208"/>
      <c r="BY370" s="208"/>
      <c r="BZ370" s="208"/>
      <c r="CA370" s="208"/>
      <c r="CB370" s="208"/>
      <c r="CC370" s="208"/>
      <c r="CD370" s="208"/>
      <c r="CE370" s="208"/>
      <c r="CF370" s="208"/>
      <c r="CG370" s="208"/>
      <c r="CH370" s="208"/>
      <c r="CI370" s="208"/>
      <c r="CJ370" s="208"/>
      <c r="CK370" s="208"/>
      <c r="CL370" s="208"/>
      <c r="CM370" s="208"/>
      <c r="CN370" s="208"/>
      <c r="CO370" s="208"/>
      <c r="CP370" s="208"/>
      <c r="CQ370" s="208"/>
      <c r="CR370" s="208"/>
      <c r="CS370" s="208"/>
      <c r="CT370" s="208"/>
      <c r="CU370" s="208"/>
      <c r="CV370" s="208"/>
      <c r="CW370" s="208"/>
      <c r="CX370" s="208"/>
      <c r="CY370" s="208"/>
      <c r="CZ370" s="208"/>
      <c r="DA370" s="208"/>
      <c r="DB370" s="208"/>
      <c r="DC370" s="208"/>
      <c r="DD370" s="208"/>
      <c r="DE370" s="208"/>
      <c r="DF370" s="208"/>
      <c r="DG370" s="208"/>
      <c r="DH370" s="208"/>
      <c r="DI370" s="208"/>
      <c r="DJ370" s="208"/>
      <c r="DK370" s="208"/>
      <c r="DL370" s="208"/>
      <c r="DM370" s="208"/>
      <c r="DN370" s="208"/>
      <c r="DO370" s="208"/>
      <c r="DP370" s="208"/>
      <c r="DQ370" s="208"/>
      <c r="DR370" s="208"/>
      <c r="DS370" s="208"/>
      <c r="DT370" s="208"/>
      <c r="DU370" s="208"/>
      <c r="DV370" s="208"/>
      <c r="DW370" s="208"/>
      <c r="DX370" s="208"/>
      <c r="DY370" s="208"/>
      <c r="DZ370" s="208"/>
      <c r="EA370" s="208"/>
      <c r="EB370" s="208"/>
      <c r="EC370" s="208"/>
      <c r="ED370" s="208"/>
      <c r="EE370" s="208"/>
      <c r="EF370" s="208"/>
      <c r="EG370" s="208"/>
      <c r="EH370" s="208"/>
      <c r="EI370" s="208"/>
      <c r="EJ370" s="208"/>
      <c r="EK370" s="208"/>
      <c r="EL370" s="208"/>
      <c r="EM370" s="208"/>
      <c r="EN370" s="208"/>
      <c r="EO370" s="208"/>
      <c r="EP370" s="208"/>
      <c r="EQ370" s="208"/>
      <c r="ER370" s="208"/>
      <c r="ES370" s="208"/>
      <c r="ET370" s="208"/>
      <c r="EU370" s="208"/>
      <c r="EV370" s="208"/>
      <c r="EW370" s="208"/>
      <c r="EX370" s="208"/>
      <c r="EY370" s="208"/>
      <c r="EZ370" s="208"/>
      <c r="FA370" s="208"/>
      <c r="FB370" s="208"/>
      <c r="FC370" s="208"/>
      <c r="FD370" s="208"/>
      <c r="FE370" s="208"/>
      <c r="FF370" s="208"/>
      <c r="FG370" s="208"/>
      <c r="FH370" s="208"/>
      <c r="FI370" s="208"/>
      <c r="FJ370" s="208"/>
      <c r="FK370" s="208"/>
      <c r="FL370" s="208"/>
      <c r="FM370" s="208"/>
      <c r="FN370" s="208"/>
      <c r="FO370" s="208"/>
      <c r="FP370" s="208"/>
      <c r="FQ370" s="208"/>
      <c r="FR370" s="208"/>
      <c r="FS370" s="208"/>
      <c r="FT370" s="208"/>
      <c r="FU370" s="208"/>
      <c r="FV370" s="208"/>
      <c r="FW370" s="208"/>
      <c r="FX370" s="208"/>
      <c r="FY370" s="208"/>
      <c r="FZ370" s="208"/>
      <c r="GA370" s="208"/>
      <c r="GB370" s="208"/>
      <c r="GC370" s="208"/>
      <c r="GD370" s="208"/>
      <c r="GE370" s="208"/>
      <c r="GF370" s="208"/>
    </row>
    <row r="371" spans="1:188" s="209" customFormat="1" ht="15" x14ac:dyDescent="0.25">
      <c r="A371" s="195" t="s">
        <v>5154</v>
      </c>
      <c r="B371" s="195" t="s">
        <v>2612</v>
      </c>
      <c r="C371" s="196" t="s">
        <v>2613</v>
      </c>
      <c r="D371" s="154" t="s">
        <v>28</v>
      </c>
      <c r="E371" s="154">
        <v>1</v>
      </c>
      <c r="F371" s="154"/>
      <c r="G371" s="197">
        <v>10</v>
      </c>
      <c r="H371" s="198">
        <f t="shared" si="55"/>
        <v>8.3333333333333332E-3</v>
      </c>
      <c r="I371" s="247">
        <v>10762.45</v>
      </c>
      <c r="J371" s="152"/>
      <c r="K371" s="198"/>
      <c r="L371" s="152">
        <f t="shared" si="56"/>
        <v>89.69</v>
      </c>
      <c r="M371" s="152">
        <f t="shared" si="57"/>
        <v>5381.4</v>
      </c>
      <c r="N371" s="153"/>
      <c r="O371" s="152"/>
      <c r="Q371" s="208"/>
      <c r="R371" s="208"/>
      <c r="S371"/>
      <c r="T371" s="208"/>
      <c r="U371" s="208"/>
      <c r="V371" s="208"/>
      <c r="W371" s="208"/>
      <c r="X371" s="208"/>
      <c r="Y371" s="208"/>
      <c r="Z371" s="208"/>
      <c r="AA371" s="208"/>
      <c r="AB371" s="208"/>
      <c r="AC371" s="208"/>
      <c r="AD371" s="208"/>
      <c r="AE371" s="208"/>
      <c r="AF371" s="208"/>
      <c r="AG371" s="208"/>
      <c r="AH371" s="208"/>
      <c r="AI371" s="208"/>
      <c r="AJ371" s="208"/>
      <c r="AK371" s="208"/>
      <c r="AL371" s="208"/>
      <c r="AM371" s="208"/>
      <c r="AN371" s="208"/>
      <c r="AO371" s="208"/>
      <c r="AP371" s="208"/>
      <c r="AQ371" s="208"/>
      <c r="AR371" s="208"/>
      <c r="AS371" s="208"/>
      <c r="AT371" s="208"/>
      <c r="AU371" s="208"/>
      <c r="AV371" s="208"/>
      <c r="AW371" s="208"/>
      <c r="AX371" s="208"/>
      <c r="AY371" s="208"/>
      <c r="AZ371" s="208"/>
      <c r="BA371" s="208"/>
      <c r="BB371" s="208"/>
      <c r="BC371" s="208"/>
      <c r="BD371" s="208"/>
      <c r="BE371" s="208"/>
      <c r="BF371" s="208"/>
      <c r="BG371" s="208"/>
      <c r="BH371" s="208"/>
      <c r="BI371" s="208"/>
      <c r="BJ371" s="208"/>
      <c r="BK371" s="208"/>
      <c r="BL371" s="208"/>
      <c r="BM371" s="208"/>
      <c r="BN371" s="208"/>
      <c r="BO371" s="208"/>
      <c r="BP371" s="208"/>
      <c r="BQ371" s="208"/>
      <c r="BR371" s="208"/>
      <c r="BS371" s="208"/>
      <c r="BT371" s="208"/>
      <c r="BU371" s="208"/>
      <c r="BV371" s="208"/>
      <c r="BW371" s="208"/>
      <c r="BX371" s="208"/>
      <c r="BY371" s="208"/>
      <c r="BZ371" s="208"/>
      <c r="CA371" s="208"/>
      <c r="CB371" s="208"/>
      <c r="CC371" s="208"/>
      <c r="CD371" s="208"/>
      <c r="CE371" s="208"/>
      <c r="CF371" s="208"/>
      <c r="CG371" s="208"/>
      <c r="CH371" s="208"/>
      <c r="CI371" s="208"/>
      <c r="CJ371" s="208"/>
      <c r="CK371" s="208"/>
      <c r="CL371" s="208"/>
      <c r="CM371" s="208"/>
      <c r="CN371" s="208"/>
      <c r="CO371" s="208"/>
      <c r="CP371" s="208"/>
      <c r="CQ371" s="208"/>
      <c r="CR371" s="208"/>
      <c r="CS371" s="208"/>
      <c r="CT371" s="208"/>
      <c r="CU371" s="208"/>
      <c r="CV371" s="208"/>
      <c r="CW371" s="208"/>
      <c r="CX371" s="208"/>
      <c r="CY371" s="208"/>
      <c r="CZ371" s="208"/>
      <c r="DA371" s="208"/>
      <c r="DB371" s="208"/>
      <c r="DC371" s="208"/>
      <c r="DD371" s="208"/>
      <c r="DE371" s="208"/>
      <c r="DF371" s="208"/>
      <c r="DG371" s="208"/>
      <c r="DH371" s="208"/>
      <c r="DI371" s="208"/>
      <c r="DJ371" s="208"/>
      <c r="DK371" s="208"/>
      <c r="DL371" s="208"/>
      <c r="DM371" s="208"/>
      <c r="DN371" s="208"/>
      <c r="DO371" s="208"/>
      <c r="DP371" s="208"/>
      <c r="DQ371" s="208"/>
      <c r="DR371" s="208"/>
      <c r="DS371" s="208"/>
      <c r="DT371" s="208"/>
      <c r="DU371" s="208"/>
      <c r="DV371" s="208"/>
      <c r="DW371" s="208"/>
      <c r="DX371" s="208"/>
      <c r="DY371" s="208"/>
      <c r="DZ371" s="208"/>
      <c r="EA371" s="208"/>
      <c r="EB371" s="208"/>
      <c r="EC371" s="208"/>
      <c r="ED371" s="208"/>
      <c r="EE371" s="208"/>
      <c r="EF371" s="208"/>
      <c r="EG371" s="208"/>
      <c r="EH371" s="208"/>
      <c r="EI371" s="208"/>
      <c r="EJ371" s="208"/>
      <c r="EK371" s="208"/>
      <c r="EL371" s="208"/>
      <c r="EM371" s="208"/>
      <c r="EN371" s="208"/>
      <c r="EO371" s="208"/>
      <c r="EP371" s="208"/>
      <c r="EQ371" s="208"/>
      <c r="ER371" s="208"/>
      <c r="ES371" s="208"/>
      <c r="ET371" s="208"/>
      <c r="EU371" s="208"/>
      <c r="EV371" s="208"/>
      <c r="EW371" s="208"/>
      <c r="EX371" s="208"/>
      <c r="EY371" s="208"/>
      <c r="EZ371" s="208"/>
      <c r="FA371" s="208"/>
      <c r="FB371" s="208"/>
      <c r="FC371" s="208"/>
      <c r="FD371" s="208"/>
      <c r="FE371" s="208"/>
      <c r="FF371" s="208"/>
      <c r="FG371" s="208"/>
      <c r="FH371" s="208"/>
      <c r="FI371" s="208"/>
      <c r="FJ371" s="208"/>
      <c r="FK371" s="208"/>
      <c r="FL371" s="208"/>
      <c r="FM371" s="208"/>
      <c r="FN371" s="208"/>
      <c r="FO371" s="208"/>
      <c r="FP371" s="208"/>
      <c r="FQ371" s="208"/>
      <c r="FR371" s="208"/>
      <c r="FS371" s="208"/>
      <c r="FT371" s="208"/>
      <c r="FU371" s="208"/>
      <c r="FV371" s="208"/>
      <c r="FW371" s="208"/>
      <c r="FX371" s="208"/>
      <c r="FY371" s="208"/>
      <c r="FZ371" s="208"/>
      <c r="GA371" s="208"/>
      <c r="GB371" s="208"/>
      <c r="GC371" s="208"/>
      <c r="GD371" s="208"/>
      <c r="GE371" s="208"/>
      <c r="GF371" s="208"/>
    </row>
    <row r="372" spans="1:188" s="209" customFormat="1" ht="15" x14ac:dyDescent="0.25">
      <c r="A372" s="195" t="s">
        <v>5155</v>
      </c>
      <c r="B372" s="195" t="s">
        <v>2986</v>
      </c>
      <c r="C372" s="196" t="s">
        <v>2987</v>
      </c>
      <c r="D372" s="154" t="s">
        <v>28</v>
      </c>
      <c r="E372" s="154">
        <v>3</v>
      </c>
      <c r="F372" s="154"/>
      <c r="G372" s="197">
        <v>10</v>
      </c>
      <c r="H372" s="198">
        <f t="shared" si="55"/>
        <v>8.3333333333333332E-3</v>
      </c>
      <c r="I372" s="247">
        <v>1616.43</v>
      </c>
      <c r="J372" s="152"/>
      <c r="K372" s="198"/>
      <c r="L372" s="152">
        <f t="shared" si="56"/>
        <v>40.409999999999997</v>
      </c>
      <c r="M372" s="152">
        <f t="shared" si="57"/>
        <v>2424.6</v>
      </c>
      <c r="N372" s="153"/>
      <c r="O372" s="152"/>
      <c r="Q372" s="208"/>
      <c r="R372" s="208"/>
      <c r="S372"/>
      <c r="T372" s="208"/>
      <c r="U372" s="208"/>
      <c r="V372" s="208"/>
      <c r="W372" s="208"/>
      <c r="X372" s="208"/>
      <c r="Y372" s="208"/>
      <c r="Z372" s="208"/>
      <c r="AA372" s="208"/>
      <c r="AB372" s="208"/>
      <c r="AC372" s="208"/>
      <c r="AD372" s="208"/>
      <c r="AE372" s="208"/>
      <c r="AF372" s="208"/>
      <c r="AG372" s="208"/>
      <c r="AH372" s="208"/>
      <c r="AI372" s="208"/>
      <c r="AJ372" s="208"/>
      <c r="AK372" s="208"/>
      <c r="AL372" s="208"/>
      <c r="AM372" s="208"/>
      <c r="AN372" s="208"/>
      <c r="AO372" s="208"/>
      <c r="AP372" s="208"/>
      <c r="AQ372" s="208"/>
      <c r="AR372" s="208"/>
      <c r="AS372" s="208"/>
      <c r="AT372" s="208"/>
      <c r="AU372" s="208"/>
      <c r="AV372" s="208"/>
      <c r="AW372" s="208"/>
      <c r="AX372" s="208"/>
      <c r="AY372" s="208"/>
      <c r="AZ372" s="208"/>
      <c r="BA372" s="208"/>
      <c r="BB372" s="208"/>
      <c r="BC372" s="208"/>
      <c r="BD372" s="208"/>
      <c r="BE372" s="208"/>
      <c r="BF372" s="208"/>
      <c r="BG372" s="208"/>
      <c r="BH372" s="208"/>
      <c r="BI372" s="208"/>
      <c r="BJ372" s="208"/>
      <c r="BK372" s="208"/>
      <c r="BL372" s="208"/>
      <c r="BM372" s="208"/>
      <c r="BN372" s="208"/>
      <c r="BO372" s="208"/>
      <c r="BP372" s="208"/>
      <c r="BQ372" s="208"/>
      <c r="BR372" s="208"/>
      <c r="BS372" s="208"/>
      <c r="BT372" s="208"/>
      <c r="BU372" s="208"/>
      <c r="BV372" s="208"/>
      <c r="BW372" s="208"/>
      <c r="BX372" s="208"/>
      <c r="BY372" s="208"/>
      <c r="BZ372" s="208"/>
      <c r="CA372" s="208"/>
      <c r="CB372" s="208"/>
      <c r="CC372" s="208"/>
      <c r="CD372" s="208"/>
      <c r="CE372" s="208"/>
      <c r="CF372" s="208"/>
      <c r="CG372" s="208"/>
      <c r="CH372" s="208"/>
      <c r="CI372" s="208"/>
      <c r="CJ372" s="208"/>
      <c r="CK372" s="208"/>
      <c r="CL372" s="208"/>
      <c r="CM372" s="208"/>
      <c r="CN372" s="208"/>
      <c r="CO372" s="208"/>
      <c r="CP372" s="208"/>
      <c r="CQ372" s="208"/>
      <c r="CR372" s="208"/>
      <c r="CS372" s="208"/>
      <c r="CT372" s="208"/>
      <c r="CU372" s="208"/>
      <c r="CV372" s="208"/>
      <c r="CW372" s="208"/>
      <c r="CX372" s="208"/>
      <c r="CY372" s="208"/>
      <c r="CZ372" s="208"/>
      <c r="DA372" s="208"/>
      <c r="DB372" s="208"/>
      <c r="DC372" s="208"/>
      <c r="DD372" s="208"/>
      <c r="DE372" s="208"/>
      <c r="DF372" s="208"/>
      <c r="DG372" s="208"/>
      <c r="DH372" s="208"/>
      <c r="DI372" s="208"/>
      <c r="DJ372" s="208"/>
      <c r="DK372" s="208"/>
      <c r="DL372" s="208"/>
      <c r="DM372" s="208"/>
      <c r="DN372" s="208"/>
      <c r="DO372" s="208"/>
      <c r="DP372" s="208"/>
      <c r="DQ372" s="208"/>
      <c r="DR372" s="208"/>
      <c r="DS372" s="208"/>
      <c r="DT372" s="208"/>
      <c r="DU372" s="208"/>
      <c r="DV372" s="208"/>
      <c r="DW372" s="208"/>
      <c r="DX372" s="208"/>
      <c r="DY372" s="208"/>
      <c r="DZ372" s="208"/>
      <c r="EA372" s="208"/>
      <c r="EB372" s="208"/>
      <c r="EC372" s="208"/>
      <c r="ED372" s="208"/>
      <c r="EE372" s="208"/>
      <c r="EF372" s="208"/>
      <c r="EG372" s="208"/>
      <c r="EH372" s="208"/>
      <c r="EI372" s="208"/>
      <c r="EJ372" s="208"/>
      <c r="EK372" s="208"/>
      <c r="EL372" s="208"/>
      <c r="EM372" s="208"/>
      <c r="EN372" s="208"/>
      <c r="EO372" s="208"/>
      <c r="EP372" s="208"/>
      <c r="EQ372" s="208"/>
      <c r="ER372" s="208"/>
      <c r="ES372" s="208"/>
      <c r="ET372" s="208"/>
      <c r="EU372" s="208"/>
      <c r="EV372" s="208"/>
      <c r="EW372" s="208"/>
      <c r="EX372" s="208"/>
      <c r="EY372" s="208"/>
      <c r="EZ372" s="208"/>
      <c r="FA372" s="208"/>
      <c r="FB372" s="208"/>
      <c r="FC372" s="208"/>
      <c r="FD372" s="208"/>
      <c r="FE372" s="208"/>
      <c r="FF372" s="208"/>
      <c r="FG372" s="208"/>
      <c r="FH372" s="208"/>
      <c r="FI372" s="208"/>
      <c r="FJ372" s="208"/>
      <c r="FK372" s="208"/>
      <c r="FL372" s="208"/>
      <c r="FM372" s="208"/>
      <c r="FN372" s="208"/>
      <c r="FO372" s="208"/>
      <c r="FP372" s="208"/>
      <c r="FQ372" s="208"/>
      <c r="FR372" s="208"/>
      <c r="FS372" s="208"/>
      <c r="FT372" s="208"/>
      <c r="FU372" s="208"/>
      <c r="FV372" s="208"/>
      <c r="FW372" s="208"/>
      <c r="FX372" s="208"/>
      <c r="FY372" s="208"/>
      <c r="FZ372" s="208"/>
      <c r="GA372" s="208"/>
      <c r="GB372" s="208"/>
      <c r="GC372" s="208"/>
      <c r="GD372" s="208"/>
      <c r="GE372" s="208"/>
      <c r="GF372" s="208"/>
    </row>
    <row r="373" spans="1:188" s="209" customFormat="1" ht="15" x14ac:dyDescent="0.25">
      <c r="A373" s="195" t="s">
        <v>5156</v>
      </c>
      <c r="B373" s="195" t="s">
        <v>2990</v>
      </c>
      <c r="C373" s="196" t="s">
        <v>2991</v>
      </c>
      <c r="D373" s="154" t="s">
        <v>28</v>
      </c>
      <c r="E373" s="154">
        <v>5</v>
      </c>
      <c r="F373" s="154"/>
      <c r="G373" s="197">
        <v>10</v>
      </c>
      <c r="H373" s="198">
        <f t="shared" si="55"/>
        <v>8.3333333333333332E-3</v>
      </c>
      <c r="I373" s="247">
        <v>435.11</v>
      </c>
      <c r="J373" s="152"/>
      <c r="K373" s="198"/>
      <c r="L373" s="152">
        <f t="shared" si="56"/>
        <v>18.13</v>
      </c>
      <c r="M373" s="152">
        <f t="shared" si="57"/>
        <v>1087.8</v>
      </c>
      <c r="N373" s="153"/>
      <c r="O373" s="152"/>
      <c r="Q373" s="208"/>
      <c r="R373" s="208"/>
      <c r="S373"/>
      <c r="T373" s="208"/>
      <c r="U373" s="208"/>
      <c r="V373" s="208"/>
      <c r="W373" s="208"/>
      <c r="X373" s="208"/>
      <c r="Y373" s="208"/>
      <c r="Z373" s="208"/>
      <c r="AA373" s="208"/>
      <c r="AB373" s="208"/>
      <c r="AC373" s="208"/>
      <c r="AD373" s="208"/>
      <c r="AE373" s="208"/>
      <c r="AF373" s="208"/>
      <c r="AG373" s="208"/>
      <c r="AH373" s="208"/>
      <c r="AI373" s="208"/>
      <c r="AJ373" s="208"/>
      <c r="AK373" s="208"/>
      <c r="AL373" s="208"/>
      <c r="AM373" s="208"/>
      <c r="AN373" s="208"/>
      <c r="AO373" s="208"/>
      <c r="AP373" s="208"/>
      <c r="AQ373" s="208"/>
      <c r="AR373" s="208"/>
      <c r="AS373" s="208"/>
      <c r="AT373" s="208"/>
      <c r="AU373" s="208"/>
      <c r="AV373" s="208"/>
      <c r="AW373" s="208"/>
      <c r="AX373" s="208"/>
      <c r="AY373" s="208"/>
      <c r="AZ373" s="208"/>
      <c r="BA373" s="208"/>
      <c r="BB373" s="208"/>
      <c r="BC373" s="208"/>
      <c r="BD373" s="208"/>
      <c r="BE373" s="208"/>
      <c r="BF373" s="208"/>
      <c r="BG373" s="208"/>
      <c r="BH373" s="208"/>
      <c r="BI373" s="208"/>
      <c r="BJ373" s="208"/>
      <c r="BK373" s="208"/>
      <c r="BL373" s="208"/>
      <c r="BM373" s="208"/>
      <c r="BN373" s="208"/>
      <c r="BO373" s="208"/>
      <c r="BP373" s="208"/>
      <c r="BQ373" s="208"/>
      <c r="BR373" s="208"/>
      <c r="BS373" s="208"/>
      <c r="BT373" s="208"/>
      <c r="BU373" s="208"/>
      <c r="BV373" s="208"/>
      <c r="BW373" s="208"/>
      <c r="BX373" s="208"/>
      <c r="BY373" s="208"/>
      <c r="BZ373" s="208"/>
      <c r="CA373" s="208"/>
      <c r="CB373" s="208"/>
      <c r="CC373" s="208"/>
      <c r="CD373" s="208"/>
      <c r="CE373" s="208"/>
      <c r="CF373" s="208"/>
      <c r="CG373" s="208"/>
      <c r="CH373" s="208"/>
      <c r="CI373" s="208"/>
      <c r="CJ373" s="208"/>
      <c r="CK373" s="208"/>
      <c r="CL373" s="208"/>
      <c r="CM373" s="208"/>
      <c r="CN373" s="208"/>
      <c r="CO373" s="208"/>
      <c r="CP373" s="208"/>
      <c r="CQ373" s="208"/>
      <c r="CR373" s="208"/>
      <c r="CS373" s="208"/>
      <c r="CT373" s="208"/>
      <c r="CU373" s="208"/>
      <c r="CV373" s="208"/>
      <c r="CW373" s="208"/>
      <c r="CX373" s="208"/>
      <c r="CY373" s="208"/>
      <c r="CZ373" s="208"/>
      <c r="DA373" s="208"/>
      <c r="DB373" s="208"/>
      <c r="DC373" s="208"/>
      <c r="DD373" s="208"/>
      <c r="DE373" s="208"/>
      <c r="DF373" s="208"/>
      <c r="DG373" s="208"/>
      <c r="DH373" s="208"/>
      <c r="DI373" s="208"/>
      <c r="DJ373" s="208"/>
      <c r="DK373" s="208"/>
      <c r="DL373" s="208"/>
      <c r="DM373" s="208"/>
      <c r="DN373" s="208"/>
      <c r="DO373" s="208"/>
      <c r="DP373" s="208"/>
      <c r="DQ373" s="208"/>
      <c r="DR373" s="208"/>
      <c r="DS373" s="208"/>
      <c r="DT373" s="208"/>
      <c r="DU373" s="208"/>
      <c r="DV373" s="208"/>
      <c r="DW373" s="208"/>
      <c r="DX373" s="208"/>
      <c r="DY373" s="208"/>
      <c r="DZ373" s="208"/>
      <c r="EA373" s="208"/>
      <c r="EB373" s="208"/>
      <c r="EC373" s="208"/>
      <c r="ED373" s="208"/>
      <c r="EE373" s="208"/>
      <c r="EF373" s="208"/>
      <c r="EG373" s="208"/>
      <c r="EH373" s="208"/>
      <c r="EI373" s="208"/>
      <c r="EJ373" s="208"/>
      <c r="EK373" s="208"/>
      <c r="EL373" s="208"/>
      <c r="EM373" s="208"/>
      <c r="EN373" s="208"/>
      <c r="EO373" s="208"/>
      <c r="EP373" s="208"/>
      <c r="EQ373" s="208"/>
      <c r="ER373" s="208"/>
      <c r="ES373" s="208"/>
      <c r="ET373" s="208"/>
      <c r="EU373" s="208"/>
      <c r="EV373" s="208"/>
      <c r="EW373" s="208"/>
      <c r="EX373" s="208"/>
      <c r="EY373" s="208"/>
      <c r="EZ373" s="208"/>
      <c r="FA373" s="208"/>
      <c r="FB373" s="208"/>
      <c r="FC373" s="208"/>
      <c r="FD373" s="208"/>
      <c r="FE373" s="208"/>
      <c r="FF373" s="208"/>
      <c r="FG373" s="208"/>
      <c r="FH373" s="208"/>
      <c r="FI373" s="208"/>
      <c r="FJ373" s="208"/>
      <c r="FK373" s="208"/>
      <c r="FL373" s="208"/>
      <c r="FM373" s="208"/>
      <c r="FN373" s="208"/>
      <c r="FO373" s="208"/>
      <c r="FP373" s="208"/>
      <c r="FQ373" s="208"/>
      <c r="FR373" s="208"/>
      <c r="FS373" s="208"/>
      <c r="FT373" s="208"/>
      <c r="FU373" s="208"/>
      <c r="FV373" s="208"/>
      <c r="FW373" s="208"/>
      <c r="FX373" s="208"/>
      <c r="FY373" s="208"/>
      <c r="FZ373" s="208"/>
      <c r="GA373" s="208"/>
      <c r="GB373" s="208"/>
      <c r="GC373" s="208"/>
      <c r="GD373" s="208"/>
      <c r="GE373" s="208"/>
      <c r="GF373" s="208"/>
    </row>
    <row r="374" spans="1:188" s="209" customFormat="1" ht="15" x14ac:dyDescent="0.25">
      <c r="A374" s="195" t="s">
        <v>5157</v>
      </c>
      <c r="B374" s="195" t="s">
        <v>3003</v>
      </c>
      <c r="C374" s="196" t="s">
        <v>3004</v>
      </c>
      <c r="D374" s="154" t="s">
        <v>28</v>
      </c>
      <c r="E374" s="154">
        <v>1</v>
      </c>
      <c r="F374" s="154"/>
      <c r="G374" s="197">
        <v>10</v>
      </c>
      <c r="H374" s="198">
        <f t="shared" si="55"/>
        <v>8.3333333333333332E-3</v>
      </c>
      <c r="I374" s="247">
        <v>4394.09</v>
      </c>
      <c r="J374" s="152"/>
      <c r="K374" s="198"/>
      <c r="L374" s="152">
        <f t="shared" si="56"/>
        <v>36.619999999999997</v>
      </c>
      <c r="M374" s="152">
        <f t="shared" si="57"/>
        <v>2197.1999999999998</v>
      </c>
      <c r="N374" s="153"/>
      <c r="O374" s="152"/>
      <c r="Q374" s="208"/>
      <c r="R374" s="208"/>
      <c r="S374"/>
      <c r="T374" s="208"/>
      <c r="U374" s="208"/>
      <c r="V374" s="208"/>
      <c r="W374" s="208"/>
      <c r="X374" s="208"/>
      <c r="Y374" s="208"/>
      <c r="Z374" s="208"/>
      <c r="AA374" s="208"/>
      <c r="AB374" s="208"/>
      <c r="AC374" s="208"/>
      <c r="AD374" s="208"/>
      <c r="AE374" s="208"/>
      <c r="AF374" s="208"/>
      <c r="AG374" s="208"/>
      <c r="AH374" s="208"/>
      <c r="AI374" s="208"/>
      <c r="AJ374" s="208"/>
      <c r="AK374" s="208"/>
      <c r="AL374" s="208"/>
      <c r="AM374" s="208"/>
      <c r="AN374" s="208"/>
      <c r="AO374" s="208"/>
      <c r="AP374" s="208"/>
      <c r="AQ374" s="208"/>
      <c r="AR374" s="208"/>
      <c r="AS374" s="208"/>
      <c r="AT374" s="208"/>
      <c r="AU374" s="208"/>
      <c r="AV374" s="208"/>
      <c r="AW374" s="208"/>
      <c r="AX374" s="208"/>
      <c r="AY374" s="208"/>
      <c r="AZ374" s="208"/>
      <c r="BA374" s="208"/>
      <c r="BB374" s="208"/>
      <c r="BC374" s="208"/>
      <c r="BD374" s="208"/>
      <c r="BE374" s="208"/>
      <c r="BF374" s="208"/>
      <c r="BG374" s="208"/>
      <c r="BH374" s="208"/>
      <c r="BI374" s="208"/>
      <c r="BJ374" s="208"/>
      <c r="BK374" s="208"/>
      <c r="BL374" s="208"/>
      <c r="BM374" s="208"/>
      <c r="BN374" s="208"/>
      <c r="BO374" s="208"/>
      <c r="BP374" s="208"/>
      <c r="BQ374" s="208"/>
      <c r="BR374" s="208"/>
      <c r="BS374" s="208"/>
      <c r="BT374" s="208"/>
      <c r="BU374" s="208"/>
      <c r="BV374" s="208"/>
      <c r="BW374" s="208"/>
      <c r="BX374" s="208"/>
      <c r="BY374" s="208"/>
      <c r="BZ374" s="208"/>
      <c r="CA374" s="208"/>
      <c r="CB374" s="208"/>
      <c r="CC374" s="208"/>
      <c r="CD374" s="208"/>
      <c r="CE374" s="208"/>
      <c r="CF374" s="208"/>
      <c r="CG374" s="208"/>
      <c r="CH374" s="208"/>
      <c r="CI374" s="208"/>
      <c r="CJ374" s="208"/>
      <c r="CK374" s="208"/>
      <c r="CL374" s="208"/>
      <c r="CM374" s="208"/>
      <c r="CN374" s="208"/>
      <c r="CO374" s="208"/>
      <c r="CP374" s="208"/>
      <c r="CQ374" s="208"/>
      <c r="CR374" s="208"/>
      <c r="CS374" s="208"/>
      <c r="CT374" s="208"/>
      <c r="CU374" s="208"/>
      <c r="CV374" s="208"/>
      <c r="CW374" s="208"/>
      <c r="CX374" s="208"/>
      <c r="CY374" s="208"/>
      <c r="CZ374" s="208"/>
      <c r="DA374" s="208"/>
      <c r="DB374" s="208"/>
      <c r="DC374" s="208"/>
      <c r="DD374" s="208"/>
      <c r="DE374" s="208"/>
      <c r="DF374" s="208"/>
      <c r="DG374" s="208"/>
      <c r="DH374" s="208"/>
      <c r="DI374" s="208"/>
      <c r="DJ374" s="208"/>
      <c r="DK374" s="208"/>
      <c r="DL374" s="208"/>
      <c r="DM374" s="208"/>
      <c r="DN374" s="208"/>
      <c r="DO374" s="208"/>
      <c r="DP374" s="208"/>
      <c r="DQ374" s="208"/>
      <c r="DR374" s="208"/>
      <c r="DS374" s="208"/>
      <c r="DT374" s="208"/>
      <c r="DU374" s="208"/>
      <c r="DV374" s="208"/>
      <c r="DW374" s="208"/>
      <c r="DX374" s="208"/>
      <c r="DY374" s="208"/>
      <c r="DZ374" s="208"/>
      <c r="EA374" s="208"/>
      <c r="EB374" s="208"/>
      <c r="EC374" s="208"/>
      <c r="ED374" s="208"/>
      <c r="EE374" s="208"/>
      <c r="EF374" s="208"/>
      <c r="EG374" s="208"/>
      <c r="EH374" s="208"/>
      <c r="EI374" s="208"/>
      <c r="EJ374" s="208"/>
      <c r="EK374" s="208"/>
      <c r="EL374" s="208"/>
      <c r="EM374" s="208"/>
      <c r="EN374" s="208"/>
      <c r="EO374" s="208"/>
      <c r="EP374" s="208"/>
      <c r="EQ374" s="208"/>
      <c r="ER374" s="208"/>
      <c r="ES374" s="208"/>
      <c r="ET374" s="208"/>
      <c r="EU374" s="208"/>
      <c r="EV374" s="208"/>
      <c r="EW374" s="208"/>
      <c r="EX374" s="208"/>
      <c r="EY374" s="208"/>
      <c r="EZ374" s="208"/>
      <c r="FA374" s="208"/>
      <c r="FB374" s="208"/>
      <c r="FC374" s="208"/>
      <c r="FD374" s="208"/>
      <c r="FE374" s="208"/>
      <c r="FF374" s="208"/>
      <c r="FG374" s="208"/>
      <c r="FH374" s="208"/>
      <c r="FI374" s="208"/>
      <c r="FJ374" s="208"/>
      <c r="FK374" s="208"/>
      <c r="FL374" s="208"/>
      <c r="FM374" s="208"/>
      <c r="FN374" s="208"/>
      <c r="FO374" s="208"/>
      <c r="FP374" s="208"/>
      <c r="FQ374" s="208"/>
      <c r="FR374" s="208"/>
      <c r="FS374" s="208"/>
      <c r="FT374" s="208"/>
      <c r="FU374" s="208"/>
      <c r="FV374" s="208"/>
      <c r="FW374" s="208"/>
      <c r="FX374" s="208"/>
      <c r="FY374" s="208"/>
      <c r="FZ374" s="208"/>
      <c r="GA374" s="208"/>
      <c r="GB374" s="208"/>
      <c r="GC374" s="208"/>
      <c r="GD374" s="208"/>
      <c r="GE374" s="208"/>
      <c r="GF374" s="208"/>
    </row>
    <row r="375" spans="1:188" s="209" customFormat="1" ht="15" x14ac:dyDescent="0.25">
      <c r="A375" s="195" t="s">
        <v>5158</v>
      </c>
      <c r="B375" s="195" t="s">
        <v>2590</v>
      </c>
      <c r="C375" s="196" t="s">
        <v>2591</v>
      </c>
      <c r="D375" s="154" t="s">
        <v>28</v>
      </c>
      <c r="E375" s="154">
        <v>1</v>
      </c>
      <c r="F375" s="154"/>
      <c r="G375" s="197">
        <v>10</v>
      </c>
      <c r="H375" s="198">
        <f t="shared" si="55"/>
        <v>8.3333333333333332E-3</v>
      </c>
      <c r="I375" s="247">
        <v>1132.43</v>
      </c>
      <c r="J375" s="152"/>
      <c r="K375" s="198"/>
      <c r="L375" s="152">
        <f t="shared" si="56"/>
        <v>9.44</v>
      </c>
      <c r="M375" s="152">
        <f t="shared" si="57"/>
        <v>566.4</v>
      </c>
      <c r="N375" s="153"/>
      <c r="O375" s="152"/>
      <c r="Q375" s="208"/>
      <c r="R375" s="208"/>
      <c r="S375"/>
      <c r="T375" s="208"/>
      <c r="U375" s="208"/>
      <c r="V375" s="208"/>
      <c r="W375" s="208"/>
      <c r="X375" s="208"/>
      <c r="Y375" s="208"/>
      <c r="Z375" s="208"/>
      <c r="AA375" s="208"/>
      <c r="AB375" s="208"/>
      <c r="AC375" s="208"/>
      <c r="AD375" s="208"/>
      <c r="AE375" s="208"/>
      <c r="AF375" s="208"/>
      <c r="AG375" s="208"/>
      <c r="AH375" s="208"/>
      <c r="AI375" s="208"/>
      <c r="AJ375" s="208"/>
      <c r="AK375" s="208"/>
      <c r="AL375" s="208"/>
      <c r="AM375" s="208"/>
      <c r="AN375" s="208"/>
      <c r="AO375" s="208"/>
      <c r="AP375" s="208"/>
      <c r="AQ375" s="208"/>
      <c r="AR375" s="208"/>
      <c r="AS375" s="208"/>
      <c r="AT375" s="208"/>
      <c r="AU375" s="208"/>
      <c r="AV375" s="208"/>
      <c r="AW375" s="208"/>
      <c r="AX375" s="208"/>
      <c r="AY375" s="208"/>
      <c r="AZ375" s="208"/>
      <c r="BA375" s="208"/>
      <c r="BB375" s="208"/>
      <c r="BC375" s="208"/>
      <c r="BD375" s="208"/>
      <c r="BE375" s="208"/>
      <c r="BF375" s="208"/>
      <c r="BG375" s="208"/>
      <c r="BH375" s="208"/>
      <c r="BI375" s="208"/>
      <c r="BJ375" s="208"/>
      <c r="BK375" s="208"/>
      <c r="BL375" s="208"/>
      <c r="BM375" s="208"/>
      <c r="BN375" s="208"/>
      <c r="BO375" s="208"/>
      <c r="BP375" s="208"/>
      <c r="BQ375" s="208"/>
      <c r="BR375" s="208"/>
      <c r="BS375" s="208"/>
      <c r="BT375" s="208"/>
      <c r="BU375" s="208"/>
      <c r="BV375" s="208"/>
      <c r="BW375" s="208"/>
      <c r="BX375" s="208"/>
      <c r="BY375" s="208"/>
      <c r="BZ375" s="208"/>
      <c r="CA375" s="208"/>
      <c r="CB375" s="208"/>
      <c r="CC375" s="208"/>
      <c r="CD375" s="208"/>
      <c r="CE375" s="208"/>
      <c r="CF375" s="208"/>
      <c r="CG375" s="208"/>
      <c r="CH375" s="208"/>
      <c r="CI375" s="208"/>
      <c r="CJ375" s="208"/>
      <c r="CK375" s="208"/>
      <c r="CL375" s="208"/>
      <c r="CM375" s="208"/>
      <c r="CN375" s="208"/>
      <c r="CO375" s="208"/>
      <c r="CP375" s="208"/>
      <c r="CQ375" s="208"/>
      <c r="CR375" s="208"/>
      <c r="CS375" s="208"/>
      <c r="CT375" s="208"/>
      <c r="CU375" s="208"/>
      <c r="CV375" s="208"/>
      <c r="CW375" s="208"/>
      <c r="CX375" s="208"/>
      <c r="CY375" s="208"/>
      <c r="CZ375" s="208"/>
      <c r="DA375" s="208"/>
      <c r="DB375" s="208"/>
      <c r="DC375" s="208"/>
      <c r="DD375" s="208"/>
      <c r="DE375" s="208"/>
      <c r="DF375" s="208"/>
      <c r="DG375" s="208"/>
      <c r="DH375" s="208"/>
      <c r="DI375" s="208"/>
      <c r="DJ375" s="208"/>
      <c r="DK375" s="208"/>
      <c r="DL375" s="208"/>
      <c r="DM375" s="208"/>
      <c r="DN375" s="208"/>
      <c r="DO375" s="208"/>
      <c r="DP375" s="208"/>
      <c r="DQ375" s="208"/>
      <c r="DR375" s="208"/>
      <c r="DS375" s="208"/>
      <c r="DT375" s="208"/>
      <c r="DU375" s="208"/>
      <c r="DV375" s="208"/>
      <c r="DW375" s="208"/>
      <c r="DX375" s="208"/>
      <c r="DY375" s="208"/>
      <c r="DZ375" s="208"/>
      <c r="EA375" s="208"/>
      <c r="EB375" s="208"/>
      <c r="EC375" s="208"/>
      <c r="ED375" s="208"/>
      <c r="EE375" s="208"/>
      <c r="EF375" s="208"/>
      <c r="EG375" s="208"/>
      <c r="EH375" s="208"/>
      <c r="EI375" s="208"/>
      <c r="EJ375" s="208"/>
      <c r="EK375" s="208"/>
      <c r="EL375" s="208"/>
      <c r="EM375" s="208"/>
      <c r="EN375" s="208"/>
      <c r="EO375" s="208"/>
      <c r="EP375" s="208"/>
      <c r="EQ375" s="208"/>
      <c r="ER375" s="208"/>
      <c r="ES375" s="208"/>
      <c r="ET375" s="208"/>
      <c r="EU375" s="208"/>
      <c r="EV375" s="208"/>
      <c r="EW375" s="208"/>
      <c r="EX375" s="208"/>
      <c r="EY375" s="208"/>
      <c r="EZ375" s="208"/>
      <c r="FA375" s="208"/>
      <c r="FB375" s="208"/>
      <c r="FC375" s="208"/>
      <c r="FD375" s="208"/>
      <c r="FE375" s="208"/>
      <c r="FF375" s="208"/>
      <c r="FG375" s="208"/>
      <c r="FH375" s="208"/>
      <c r="FI375" s="208"/>
      <c r="FJ375" s="208"/>
      <c r="FK375" s="208"/>
      <c r="FL375" s="208"/>
      <c r="FM375" s="208"/>
      <c r="FN375" s="208"/>
      <c r="FO375" s="208"/>
      <c r="FP375" s="208"/>
      <c r="FQ375" s="208"/>
      <c r="FR375" s="208"/>
      <c r="FS375" s="208"/>
      <c r="FT375" s="208"/>
      <c r="FU375" s="208"/>
      <c r="FV375" s="208"/>
      <c r="FW375" s="208"/>
      <c r="FX375" s="208"/>
      <c r="FY375" s="208"/>
      <c r="FZ375" s="208"/>
      <c r="GA375" s="208"/>
      <c r="GB375" s="208"/>
      <c r="GC375" s="208"/>
      <c r="GD375" s="208"/>
      <c r="GE375" s="208"/>
      <c r="GF375" s="208"/>
    </row>
    <row r="376" spans="1:188" s="209" customFormat="1" ht="15" x14ac:dyDescent="0.25">
      <c r="A376" s="195" t="s">
        <v>5159</v>
      </c>
      <c r="B376" s="195" t="s">
        <v>3459</v>
      </c>
      <c r="C376" s="196" t="s">
        <v>3460</v>
      </c>
      <c r="D376" s="154" t="s">
        <v>28</v>
      </c>
      <c r="E376" s="154">
        <v>1</v>
      </c>
      <c r="F376" s="154"/>
      <c r="G376" s="197">
        <v>10</v>
      </c>
      <c r="H376" s="198">
        <f t="shared" si="55"/>
        <v>8.3333333333333332E-3</v>
      </c>
      <c r="I376" s="247">
        <v>3668.88</v>
      </c>
      <c r="J376" s="152"/>
      <c r="K376" s="198"/>
      <c r="L376" s="152">
        <f t="shared" si="56"/>
        <v>30.57</v>
      </c>
      <c r="M376" s="152">
        <f t="shared" si="57"/>
        <v>1834.2</v>
      </c>
      <c r="N376" s="153"/>
      <c r="O376" s="152"/>
      <c r="Q376" s="208"/>
      <c r="R376" s="208"/>
      <c r="S376"/>
      <c r="T376" s="208"/>
      <c r="U376" s="208"/>
      <c r="V376" s="208"/>
      <c r="W376" s="208"/>
      <c r="X376" s="208"/>
      <c r="Y376" s="208"/>
      <c r="Z376" s="208"/>
      <c r="AA376" s="208"/>
      <c r="AB376" s="208"/>
      <c r="AC376" s="208"/>
      <c r="AD376" s="208"/>
      <c r="AE376" s="208"/>
      <c r="AF376" s="208"/>
      <c r="AG376" s="208"/>
      <c r="AH376" s="208"/>
      <c r="AI376" s="208"/>
      <c r="AJ376" s="208"/>
      <c r="AK376" s="208"/>
      <c r="AL376" s="208"/>
      <c r="AM376" s="208"/>
      <c r="AN376" s="208"/>
      <c r="AO376" s="208"/>
      <c r="AP376" s="208"/>
      <c r="AQ376" s="208"/>
      <c r="AR376" s="208"/>
      <c r="AS376" s="208"/>
      <c r="AT376" s="208"/>
      <c r="AU376" s="208"/>
      <c r="AV376" s="208"/>
      <c r="AW376" s="208"/>
      <c r="AX376" s="208"/>
      <c r="AY376" s="208"/>
      <c r="AZ376" s="208"/>
      <c r="BA376" s="208"/>
      <c r="BB376" s="208"/>
      <c r="BC376" s="208"/>
      <c r="BD376" s="208"/>
      <c r="BE376" s="208"/>
      <c r="BF376" s="208"/>
      <c r="BG376" s="208"/>
      <c r="BH376" s="208"/>
      <c r="BI376" s="208"/>
      <c r="BJ376" s="208"/>
      <c r="BK376" s="208"/>
      <c r="BL376" s="208"/>
      <c r="BM376" s="208"/>
      <c r="BN376" s="208"/>
      <c r="BO376" s="208"/>
      <c r="BP376" s="208"/>
      <c r="BQ376" s="208"/>
      <c r="BR376" s="208"/>
      <c r="BS376" s="208"/>
      <c r="BT376" s="208"/>
      <c r="BU376" s="208"/>
      <c r="BV376" s="208"/>
      <c r="BW376" s="208"/>
      <c r="BX376" s="208"/>
      <c r="BY376" s="208"/>
      <c r="BZ376" s="208"/>
      <c r="CA376" s="208"/>
      <c r="CB376" s="208"/>
      <c r="CC376" s="208"/>
      <c r="CD376" s="208"/>
      <c r="CE376" s="208"/>
      <c r="CF376" s="208"/>
      <c r="CG376" s="208"/>
      <c r="CH376" s="208"/>
      <c r="CI376" s="208"/>
      <c r="CJ376" s="208"/>
      <c r="CK376" s="208"/>
      <c r="CL376" s="208"/>
      <c r="CM376" s="208"/>
      <c r="CN376" s="208"/>
      <c r="CO376" s="208"/>
      <c r="CP376" s="208"/>
      <c r="CQ376" s="208"/>
      <c r="CR376" s="208"/>
      <c r="CS376" s="208"/>
      <c r="CT376" s="208"/>
      <c r="CU376" s="208"/>
      <c r="CV376" s="208"/>
      <c r="CW376" s="208"/>
      <c r="CX376" s="208"/>
      <c r="CY376" s="208"/>
      <c r="CZ376" s="208"/>
      <c r="DA376" s="208"/>
      <c r="DB376" s="208"/>
      <c r="DC376" s="208"/>
      <c r="DD376" s="208"/>
      <c r="DE376" s="208"/>
      <c r="DF376" s="208"/>
      <c r="DG376" s="208"/>
      <c r="DH376" s="208"/>
      <c r="DI376" s="208"/>
      <c r="DJ376" s="208"/>
      <c r="DK376" s="208"/>
      <c r="DL376" s="208"/>
      <c r="DM376" s="208"/>
      <c r="DN376" s="208"/>
      <c r="DO376" s="208"/>
      <c r="DP376" s="208"/>
      <c r="DQ376" s="208"/>
      <c r="DR376" s="208"/>
      <c r="DS376" s="208"/>
      <c r="DT376" s="208"/>
      <c r="DU376" s="208"/>
      <c r="DV376" s="208"/>
      <c r="DW376" s="208"/>
      <c r="DX376" s="208"/>
      <c r="DY376" s="208"/>
      <c r="DZ376" s="208"/>
      <c r="EA376" s="208"/>
      <c r="EB376" s="208"/>
      <c r="EC376" s="208"/>
      <c r="ED376" s="208"/>
      <c r="EE376" s="208"/>
      <c r="EF376" s="208"/>
      <c r="EG376" s="208"/>
      <c r="EH376" s="208"/>
      <c r="EI376" s="208"/>
      <c r="EJ376" s="208"/>
      <c r="EK376" s="208"/>
      <c r="EL376" s="208"/>
      <c r="EM376" s="208"/>
      <c r="EN376" s="208"/>
      <c r="EO376" s="208"/>
      <c r="EP376" s="208"/>
      <c r="EQ376" s="208"/>
      <c r="ER376" s="208"/>
      <c r="ES376" s="208"/>
      <c r="ET376" s="208"/>
      <c r="EU376" s="208"/>
      <c r="EV376" s="208"/>
      <c r="EW376" s="208"/>
      <c r="EX376" s="208"/>
      <c r="EY376" s="208"/>
      <c r="EZ376" s="208"/>
      <c r="FA376" s="208"/>
      <c r="FB376" s="208"/>
      <c r="FC376" s="208"/>
      <c r="FD376" s="208"/>
      <c r="FE376" s="208"/>
      <c r="FF376" s="208"/>
      <c r="FG376" s="208"/>
      <c r="FH376" s="208"/>
      <c r="FI376" s="208"/>
      <c r="FJ376" s="208"/>
      <c r="FK376" s="208"/>
      <c r="FL376" s="208"/>
      <c r="FM376" s="208"/>
      <c r="FN376" s="208"/>
      <c r="FO376" s="208"/>
      <c r="FP376" s="208"/>
      <c r="FQ376" s="208"/>
      <c r="FR376" s="208"/>
      <c r="FS376" s="208"/>
      <c r="FT376" s="208"/>
      <c r="FU376" s="208"/>
      <c r="FV376" s="208"/>
      <c r="FW376" s="208"/>
      <c r="FX376" s="208"/>
      <c r="FY376" s="208"/>
      <c r="FZ376" s="208"/>
      <c r="GA376" s="208"/>
      <c r="GB376" s="208"/>
      <c r="GC376" s="208"/>
      <c r="GD376" s="208"/>
      <c r="GE376" s="208"/>
      <c r="GF376" s="208"/>
    </row>
    <row r="377" spans="1:188" s="225" customFormat="1" ht="15" x14ac:dyDescent="0.25">
      <c r="A377" s="189" t="s">
        <v>5160</v>
      </c>
      <c r="B377" s="189"/>
      <c r="C377" s="190" t="s">
        <v>5161</v>
      </c>
      <c r="D377" s="191"/>
      <c r="E377" s="191"/>
      <c r="F377" s="191"/>
      <c r="G377" s="192"/>
      <c r="H377" s="193"/>
      <c r="I377" s="246"/>
      <c r="J377" s="194"/>
      <c r="K377" s="191"/>
      <c r="L377" s="191"/>
      <c r="M377" s="194">
        <f>SUBTOTAL(109,M378:M468)</f>
        <v>62065.80000000001</v>
      </c>
      <c r="N377" s="191"/>
      <c r="O377" s="194"/>
      <c r="Q377" s="208"/>
      <c r="R377" s="208"/>
      <c r="S377"/>
      <c r="T377" s="208"/>
      <c r="U377" s="208"/>
      <c r="V377" s="208"/>
      <c r="W377" s="208"/>
      <c r="X377" s="208"/>
      <c r="Y377" s="208"/>
      <c r="Z377" s="208"/>
      <c r="AA377" s="208"/>
      <c r="AB377" s="208"/>
      <c r="AC377" s="208"/>
      <c r="AD377" s="208"/>
      <c r="AE377" s="208"/>
      <c r="AF377" s="208"/>
      <c r="AG377" s="208"/>
      <c r="AH377" s="208"/>
      <c r="AI377" s="208"/>
      <c r="AJ377" s="208"/>
      <c r="AK377" s="208"/>
      <c r="AL377" s="208"/>
      <c r="AM377" s="208"/>
      <c r="AN377" s="208"/>
      <c r="AO377" s="208"/>
      <c r="AP377" s="208"/>
      <c r="AQ377" s="208"/>
      <c r="AR377" s="208"/>
      <c r="AS377" s="208"/>
      <c r="AT377" s="208"/>
      <c r="AU377" s="208"/>
      <c r="AV377" s="208"/>
      <c r="AW377" s="208"/>
      <c r="AX377" s="208"/>
      <c r="AY377" s="208"/>
      <c r="AZ377" s="208"/>
      <c r="BA377" s="208"/>
      <c r="BB377" s="208"/>
      <c r="BC377" s="208"/>
      <c r="BD377" s="208"/>
      <c r="BE377" s="208"/>
      <c r="BF377" s="208"/>
      <c r="BG377" s="208"/>
      <c r="BH377" s="208"/>
      <c r="BI377" s="208"/>
      <c r="BJ377" s="208"/>
      <c r="BK377" s="208"/>
      <c r="BL377" s="208"/>
      <c r="BM377" s="208"/>
      <c r="BN377" s="208"/>
      <c r="BO377" s="208"/>
      <c r="BP377" s="208"/>
      <c r="BQ377" s="208"/>
      <c r="BR377" s="208"/>
      <c r="BS377" s="208"/>
      <c r="BT377" s="208"/>
      <c r="BU377" s="208"/>
      <c r="BV377" s="208"/>
      <c r="BW377" s="208"/>
      <c r="BX377" s="208"/>
      <c r="BY377" s="208"/>
      <c r="BZ377" s="208"/>
      <c r="CA377" s="208"/>
      <c r="CB377" s="208"/>
      <c r="CC377" s="208"/>
      <c r="CD377" s="208"/>
      <c r="CE377" s="208"/>
      <c r="CF377" s="208"/>
      <c r="CG377" s="208"/>
      <c r="CH377" s="208"/>
      <c r="CI377" s="208"/>
      <c r="CJ377" s="208"/>
      <c r="CK377" s="208"/>
      <c r="CL377" s="208"/>
      <c r="CM377" s="208"/>
      <c r="CN377" s="208"/>
      <c r="CO377" s="208"/>
      <c r="CP377" s="208"/>
      <c r="CQ377" s="208"/>
      <c r="CR377" s="208"/>
      <c r="CS377" s="208"/>
      <c r="CT377" s="208"/>
      <c r="CU377" s="208"/>
      <c r="CV377" s="208"/>
      <c r="CW377" s="208"/>
      <c r="CX377" s="208"/>
      <c r="CY377" s="208"/>
      <c r="CZ377" s="208"/>
      <c r="DA377" s="208"/>
      <c r="DB377" s="208"/>
      <c r="DC377" s="208"/>
      <c r="DD377" s="208"/>
      <c r="DE377" s="208"/>
      <c r="DF377" s="208"/>
      <c r="DG377" s="208"/>
      <c r="DH377" s="208"/>
      <c r="DI377" s="208"/>
      <c r="DJ377" s="208"/>
      <c r="DK377" s="208"/>
      <c r="DL377" s="208"/>
      <c r="DM377" s="208"/>
      <c r="DN377" s="208"/>
      <c r="DO377" s="208"/>
      <c r="DP377" s="208"/>
      <c r="DQ377" s="208"/>
      <c r="DR377" s="208"/>
      <c r="DS377" s="208"/>
      <c r="DT377" s="208"/>
      <c r="DU377" s="208"/>
      <c r="DV377" s="208"/>
      <c r="DW377" s="208"/>
      <c r="DX377" s="208"/>
      <c r="DY377" s="208"/>
      <c r="DZ377" s="208"/>
      <c r="EA377" s="208"/>
      <c r="EB377" s="208"/>
      <c r="EC377" s="208"/>
      <c r="ED377" s="208"/>
      <c r="EE377" s="208"/>
      <c r="EF377" s="208"/>
      <c r="EG377" s="208"/>
      <c r="EH377" s="208"/>
      <c r="EI377" s="208"/>
      <c r="EJ377" s="208"/>
      <c r="EK377" s="208"/>
      <c r="EL377" s="208"/>
      <c r="EM377" s="208"/>
      <c r="EN377" s="208"/>
      <c r="EO377" s="208"/>
      <c r="EP377" s="208"/>
      <c r="EQ377" s="208"/>
      <c r="ER377" s="208"/>
      <c r="ES377" s="208"/>
      <c r="ET377" s="208"/>
      <c r="EU377" s="208"/>
      <c r="EV377" s="208"/>
      <c r="EW377" s="208"/>
      <c r="EX377" s="208"/>
      <c r="EY377" s="208"/>
      <c r="EZ377" s="208"/>
      <c r="FA377" s="208"/>
      <c r="FB377" s="208"/>
      <c r="FC377" s="208"/>
      <c r="FD377" s="208"/>
      <c r="FE377" s="208"/>
      <c r="FF377" s="208"/>
      <c r="FG377" s="208"/>
      <c r="FH377" s="208"/>
      <c r="FI377" s="208"/>
      <c r="FJ377" s="208"/>
      <c r="FK377" s="208"/>
      <c r="FL377" s="208"/>
      <c r="FM377" s="208"/>
      <c r="FN377" s="208"/>
      <c r="FO377" s="208"/>
      <c r="FP377" s="208"/>
      <c r="FQ377" s="208"/>
      <c r="FR377" s="208"/>
      <c r="FS377" s="208"/>
      <c r="FT377" s="208"/>
      <c r="FU377" s="208"/>
      <c r="FV377" s="208"/>
      <c r="FW377" s="208"/>
      <c r="FX377" s="208"/>
      <c r="FY377" s="208"/>
      <c r="FZ377" s="208"/>
      <c r="GA377" s="208"/>
      <c r="GB377" s="208"/>
      <c r="GC377" s="208"/>
      <c r="GD377" s="208"/>
      <c r="GE377" s="208"/>
      <c r="GF377" s="208"/>
    </row>
    <row r="378" spans="1:188" s="209" customFormat="1" ht="15" x14ac:dyDescent="0.25">
      <c r="A378" s="195" t="s">
        <v>5162</v>
      </c>
      <c r="B378" s="195" t="s">
        <v>2491</v>
      </c>
      <c r="C378" s="196" t="s">
        <v>2492</v>
      </c>
      <c r="D378" s="154" t="s">
        <v>28</v>
      </c>
      <c r="E378" s="154">
        <v>18</v>
      </c>
      <c r="F378" s="154"/>
      <c r="G378" s="197">
        <v>5</v>
      </c>
      <c r="H378" s="198">
        <f t="shared" si="55"/>
        <v>1.6666666666666666E-2</v>
      </c>
      <c r="I378" s="247">
        <v>59.03</v>
      </c>
      <c r="J378" s="152"/>
      <c r="K378" s="198"/>
      <c r="L378" s="152">
        <f t="shared" ref="L378:L409" si="58">IF(ISNUMBER(I378),ROUND(H378*E378*I378,2),"")</f>
        <v>17.71</v>
      </c>
      <c r="M378" s="152">
        <f t="shared" ref="M378:M409" si="59">IF(ISNUMBER(I378),ROUND(L378*60,2),"")</f>
        <v>1062.5999999999999</v>
      </c>
      <c r="N378" s="153"/>
      <c r="O378" s="152"/>
      <c r="Q378" s="208"/>
      <c r="R378" s="208"/>
      <c r="S378"/>
      <c r="T378" s="208"/>
      <c r="U378" s="208"/>
      <c r="V378" s="208"/>
      <c r="W378" s="208"/>
      <c r="X378" s="208"/>
      <c r="Y378" s="208"/>
      <c r="Z378" s="208"/>
      <c r="AA378" s="208"/>
      <c r="AB378" s="208"/>
      <c r="AC378" s="208"/>
      <c r="AD378" s="208"/>
      <c r="AE378" s="208"/>
      <c r="AF378" s="208"/>
      <c r="AG378" s="208"/>
      <c r="AH378" s="208"/>
      <c r="AI378" s="208"/>
      <c r="AJ378" s="208"/>
      <c r="AK378" s="208"/>
      <c r="AL378" s="208"/>
      <c r="AM378" s="208"/>
      <c r="AN378" s="208"/>
      <c r="AO378" s="208"/>
      <c r="AP378" s="208"/>
      <c r="AQ378" s="208"/>
      <c r="AR378" s="208"/>
      <c r="AS378" s="208"/>
      <c r="AT378" s="208"/>
      <c r="AU378" s="208"/>
      <c r="AV378" s="208"/>
      <c r="AW378" s="208"/>
      <c r="AX378" s="208"/>
      <c r="AY378" s="208"/>
      <c r="AZ378" s="208"/>
      <c r="BA378" s="208"/>
      <c r="BB378" s="208"/>
      <c r="BC378" s="208"/>
      <c r="BD378" s="208"/>
      <c r="BE378" s="208"/>
      <c r="BF378" s="208"/>
      <c r="BG378" s="208"/>
      <c r="BH378" s="208"/>
      <c r="BI378" s="208"/>
      <c r="BJ378" s="208"/>
      <c r="BK378" s="208"/>
      <c r="BL378" s="208"/>
      <c r="BM378" s="208"/>
      <c r="BN378" s="208"/>
      <c r="BO378" s="208"/>
      <c r="BP378" s="208"/>
      <c r="BQ378" s="208"/>
      <c r="BR378" s="208"/>
      <c r="BS378" s="208"/>
      <c r="BT378" s="208"/>
      <c r="BU378" s="208"/>
      <c r="BV378" s="208"/>
      <c r="BW378" s="208"/>
      <c r="BX378" s="208"/>
      <c r="BY378" s="208"/>
      <c r="BZ378" s="208"/>
      <c r="CA378" s="208"/>
      <c r="CB378" s="208"/>
      <c r="CC378" s="208"/>
      <c r="CD378" s="208"/>
      <c r="CE378" s="208"/>
      <c r="CF378" s="208"/>
      <c r="CG378" s="208"/>
      <c r="CH378" s="208"/>
      <c r="CI378" s="208"/>
      <c r="CJ378" s="208"/>
      <c r="CK378" s="208"/>
      <c r="CL378" s="208"/>
      <c r="CM378" s="208"/>
      <c r="CN378" s="208"/>
      <c r="CO378" s="208"/>
      <c r="CP378" s="208"/>
      <c r="CQ378" s="208"/>
      <c r="CR378" s="208"/>
      <c r="CS378" s="208"/>
      <c r="CT378" s="208"/>
      <c r="CU378" s="208"/>
      <c r="CV378" s="208"/>
      <c r="CW378" s="208"/>
      <c r="CX378" s="208"/>
      <c r="CY378" s="208"/>
      <c r="CZ378" s="208"/>
      <c r="DA378" s="208"/>
      <c r="DB378" s="208"/>
      <c r="DC378" s="208"/>
      <c r="DD378" s="208"/>
      <c r="DE378" s="208"/>
      <c r="DF378" s="208"/>
      <c r="DG378" s="208"/>
      <c r="DH378" s="208"/>
      <c r="DI378" s="208"/>
      <c r="DJ378" s="208"/>
      <c r="DK378" s="208"/>
      <c r="DL378" s="208"/>
      <c r="DM378" s="208"/>
      <c r="DN378" s="208"/>
      <c r="DO378" s="208"/>
      <c r="DP378" s="208"/>
      <c r="DQ378" s="208"/>
      <c r="DR378" s="208"/>
      <c r="DS378" s="208"/>
      <c r="DT378" s="208"/>
      <c r="DU378" s="208"/>
      <c r="DV378" s="208"/>
      <c r="DW378" s="208"/>
      <c r="DX378" s="208"/>
      <c r="DY378" s="208"/>
      <c r="DZ378" s="208"/>
      <c r="EA378" s="208"/>
      <c r="EB378" s="208"/>
      <c r="EC378" s="208"/>
      <c r="ED378" s="208"/>
      <c r="EE378" s="208"/>
      <c r="EF378" s="208"/>
      <c r="EG378" s="208"/>
      <c r="EH378" s="208"/>
      <c r="EI378" s="208"/>
      <c r="EJ378" s="208"/>
      <c r="EK378" s="208"/>
      <c r="EL378" s="208"/>
      <c r="EM378" s="208"/>
      <c r="EN378" s="208"/>
      <c r="EO378" s="208"/>
      <c r="EP378" s="208"/>
      <c r="EQ378" s="208"/>
      <c r="ER378" s="208"/>
      <c r="ES378" s="208"/>
      <c r="ET378" s="208"/>
      <c r="EU378" s="208"/>
      <c r="EV378" s="208"/>
      <c r="EW378" s="208"/>
      <c r="EX378" s="208"/>
      <c r="EY378" s="208"/>
      <c r="EZ378" s="208"/>
      <c r="FA378" s="208"/>
      <c r="FB378" s="208"/>
      <c r="FC378" s="208"/>
      <c r="FD378" s="208"/>
      <c r="FE378" s="208"/>
      <c r="FF378" s="208"/>
      <c r="FG378" s="208"/>
      <c r="FH378" s="208"/>
      <c r="FI378" s="208"/>
      <c r="FJ378" s="208"/>
      <c r="FK378" s="208"/>
      <c r="FL378" s="208"/>
      <c r="FM378" s="208"/>
      <c r="FN378" s="208"/>
      <c r="FO378" s="208"/>
      <c r="FP378" s="208"/>
      <c r="FQ378" s="208"/>
      <c r="FR378" s="208"/>
      <c r="FS378" s="208"/>
      <c r="FT378" s="208"/>
      <c r="FU378" s="208"/>
      <c r="FV378" s="208"/>
      <c r="FW378" s="208"/>
      <c r="FX378" s="208"/>
      <c r="FY378" s="208"/>
      <c r="FZ378" s="208"/>
      <c r="GA378" s="208"/>
      <c r="GB378" s="208"/>
      <c r="GC378" s="208"/>
      <c r="GD378" s="208"/>
      <c r="GE378" s="208"/>
      <c r="GF378" s="208"/>
    </row>
    <row r="379" spans="1:188" s="209" customFormat="1" ht="15" x14ac:dyDescent="0.25">
      <c r="A379" s="195" t="s">
        <v>5163</v>
      </c>
      <c r="B379" s="195" t="s">
        <v>674</v>
      </c>
      <c r="C379" s="196" t="s">
        <v>2484</v>
      </c>
      <c r="D379" s="154" t="s">
        <v>28</v>
      </c>
      <c r="E379" s="154">
        <v>5</v>
      </c>
      <c r="F379" s="154"/>
      <c r="G379" s="197">
        <v>5</v>
      </c>
      <c r="H379" s="198">
        <f t="shared" si="55"/>
        <v>1.6666666666666666E-2</v>
      </c>
      <c r="I379" s="151">
        <v>46.4</v>
      </c>
      <c r="J379" s="152"/>
      <c r="K379" s="198"/>
      <c r="L379" s="152">
        <f t="shared" si="58"/>
        <v>3.87</v>
      </c>
      <c r="M379" s="152">
        <f t="shared" si="59"/>
        <v>232.2</v>
      </c>
      <c r="N379" s="153"/>
      <c r="O379" s="152"/>
      <c r="Q379" s="208"/>
      <c r="R379" s="208"/>
      <c r="S379"/>
      <c r="T379" s="208"/>
      <c r="U379" s="208"/>
      <c r="V379" s="208"/>
      <c r="W379" s="208"/>
      <c r="X379" s="208"/>
      <c r="Y379" s="208"/>
      <c r="Z379" s="208"/>
      <c r="AA379" s="208"/>
      <c r="AB379" s="208"/>
      <c r="AC379" s="208"/>
      <c r="AD379" s="208"/>
      <c r="AE379" s="208"/>
      <c r="AF379" s="208"/>
      <c r="AG379" s="208"/>
      <c r="AH379" s="208"/>
      <c r="AI379" s="208"/>
      <c r="AJ379" s="208"/>
      <c r="AK379" s="208"/>
      <c r="AL379" s="208"/>
      <c r="AM379" s="208"/>
      <c r="AN379" s="208"/>
      <c r="AO379" s="208"/>
      <c r="AP379" s="208"/>
      <c r="AQ379" s="208"/>
      <c r="AR379" s="208"/>
      <c r="AS379" s="208"/>
      <c r="AT379" s="208"/>
      <c r="AU379" s="208"/>
      <c r="AV379" s="208"/>
      <c r="AW379" s="208"/>
      <c r="AX379" s="208"/>
      <c r="AY379" s="208"/>
      <c r="AZ379" s="208"/>
      <c r="BA379" s="208"/>
      <c r="BB379" s="208"/>
      <c r="BC379" s="208"/>
      <c r="BD379" s="208"/>
      <c r="BE379" s="208"/>
      <c r="BF379" s="208"/>
      <c r="BG379" s="208"/>
      <c r="BH379" s="208"/>
      <c r="BI379" s="208"/>
      <c r="BJ379" s="208"/>
      <c r="BK379" s="208"/>
      <c r="BL379" s="208"/>
      <c r="BM379" s="208"/>
      <c r="BN379" s="208"/>
      <c r="BO379" s="208"/>
      <c r="BP379" s="208"/>
      <c r="BQ379" s="208"/>
      <c r="BR379" s="208"/>
      <c r="BS379" s="208"/>
      <c r="BT379" s="208"/>
      <c r="BU379" s="208"/>
      <c r="BV379" s="208"/>
      <c r="BW379" s="208"/>
      <c r="BX379" s="208"/>
      <c r="BY379" s="208"/>
      <c r="BZ379" s="208"/>
      <c r="CA379" s="208"/>
      <c r="CB379" s="208"/>
      <c r="CC379" s="208"/>
      <c r="CD379" s="208"/>
      <c r="CE379" s="208"/>
      <c r="CF379" s="208"/>
      <c r="CG379" s="208"/>
      <c r="CH379" s="208"/>
      <c r="CI379" s="208"/>
      <c r="CJ379" s="208"/>
      <c r="CK379" s="208"/>
      <c r="CL379" s="208"/>
      <c r="CM379" s="208"/>
      <c r="CN379" s="208"/>
      <c r="CO379" s="208"/>
      <c r="CP379" s="208"/>
      <c r="CQ379" s="208"/>
      <c r="CR379" s="208"/>
      <c r="CS379" s="208"/>
      <c r="CT379" s="208"/>
      <c r="CU379" s="208"/>
      <c r="CV379" s="208"/>
      <c r="CW379" s="208"/>
      <c r="CX379" s="208"/>
      <c r="CY379" s="208"/>
      <c r="CZ379" s="208"/>
      <c r="DA379" s="208"/>
      <c r="DB379" s="208"/>
      <c r="DC379" s="208"/>
      <c r="DD379" s="208"/>
      <c r="DE379" s="208"/>
      <c r="DF379" s="208"/>
      <c r="DG379" s="208"/>
      <c r="DH379" s="208"/>
      <c r="DI379" s="208"/>
      <c r="DJ379" s="208"/>
      <c r="DK379" s="208"/>
      <c r="DL379" s="208"/>
      <c r="DM379" s="208"/>
      <c r="DN379" s="208"/>
      <c r="DO379" s="208"/>
      <c r="DP379" s="208"/>
      <c r="DQ379" s="208"/>
      <c r="DR379" s="208"/>
      <c r="DS379" s="208"/>
      <c r="DT379" s="208"/>
      <c r="DU379" s="208"/>
      <c r="DV379" s="208"/>
      <c r="DW379" s="208"/>
      <c r="DX379" s="208"/>
      <c r="DY379" s="208"/>
      <c r="DZ379" s="208"/>
      <c r="EA379" s="208"/>
      <c r="EB379" s="208"/>
      <c r="EC379" s="208"/>
      <c r="ED379" s="208"/>
      <c r="EE379" s="208"/>
      <c r="EF379" s="208"/>
      <c r="EG379" s="208"/>
      <c r="EH379" s="208"/>
      <c r="EI379" s="208"/>
      <c r="EJ379" s="208"/>
      <c r="EK379" s="208"/>
      <c r="EL379" s="208"/>
      <c r="EM379" s="208"/>
      <c r="EN379" s="208"/>
      <c r="EO379" s="208"/>
      <c r="EP379" s="208"/>
      <c r="EQ379" s="208"/>
      <c r="ER379" s="208"/>
      <c r="ES379" s="208"/>
      <c r="ET379" s="208"/>
      <c r="EU379" s="208"/>
      <c r="EV379" s="208"/>
      <c r="EW379" s="208"/>
      <c r="EX379" s="208"/>
      <c r="EY379" s="208"/>
      <c r="EZ379" s="208"/>
      <c r="FA379" s="208"/>
      <c r="FB379" s="208"/>
      <c r="FC379" s="208"/>
      <c r="FD379" s="208"/>
      <c r="FE379" s="208"/>
      <c r="FF379" s="208"/>
      <c r="FG379" s="208"/>
      <c r="FH379" s="208"/>
      <c r="FI379" s="208"/>
      <c r="FJ379" s="208"/>
      <c r="FK379" s="208"/>
      <c r="FL379" s="208"/>
      <c r="FM379" s="208"/>
      <c r="FN379" s="208"/>
      <c r="FO379" s="208"/>
      <c r="FP379" s="208"/>
      <c r="FQ379" s="208"/>
      <c r="FR379" s="208"/>
      <c r="FS379" s="208"/>
      <c r="FT379" s="208"/>
      <c r="FU379" s="208"/>
      <c r="FV379" s="208"/>
      <c r="FW379" s="208"/>
      <c r="FX379" s="208"/>
      <c r="FY379" s="208"/>
      <c r="FZ379" s="208"/>
      <c r="GA379" s="208"/>
      <c r="GB379" s="208"/>
      <c r="GC379" s="208"/>
      <c r="GD379" s="208"/>
      <c r="GE379" s="208"/>
      <c r="GF379" s="208"/>
    </row>
    <row r="380" spans="1:188" s="209" customFormat="1" ht="15" x14ac:dyDescent="0.25">
      <c r="A380" s="195" t="s">
        <v>5164</v>
      </c>
      <c r="B380" s="195" t="s">
        <v>2487</v>
      </c>
      <c r="C380" s="196" t="s">
        <v>2488</v>
      </c>
      <c r="D380" s="154" t="s">
        <v>28</v>
      </c>
      <c r="E380" s="154">
        <v>5</v>
      </c>
      <c r="F380" s="154"/>
      <c r="G380" s="197">
        <v>5</v>
      </c>
      <c r="H380" s="198">
        <f t="shared" si="55"/>
        <v>1.6666666666666666E-2</v>
      </c>
      <c r="I380" s="247">
        <v>100.44</v>
      </c>
      <c r="J380" s="152"/>
      <c r="K380" s="198"/>
      <c r="L380" s="152">
        <f t="shared" si="58"/>
        <v>8.3699999999999992</v>
      </c>
      <c r="M380" s="152">
        <f t="shared" si="59"/>
        <v>502.2</v>
      </c>
      <c r="N380" s="153"/>
      <c r="O380" s="152"/>
      <c r="Q380" s="208"/>
      <c r="R380" s="208"/>
      <c r="S380"/>
      <c r="T380" s="208"/>
      <c r="U380" s="208"/>
      <c r="V380" s="208"/>
      <c r="W380" s="208"/>
      <c r="X380" s="208"/>
      <c r="Y380" s="208"/>
      <c r="Z380" s="208"/>
      <c r="AA380" s="208"/>
      <c r="AB380" s="208"/>
      <c r="AC380" s="208"/>
      <c r="AD380" s="208"/>
      <c r="AE380" s="208"/>
      <c r="AF380" s="208"/>
      <c r="AG380" s="208"/>
      <c r="AH380" s="208"/>
      <c r="AI380" s="208"/>
      <c r="AJ380" s="208"/>
      <c r="AK380" s="208"/>
      <c r="AL380" s="208"/>
      <c r="AM380" s="208"/>
      <c r="AN380" s="208"/>
      <c r="AO380" s="208"/>
      <c r="AP380" s="208"/>
      <c r="AQ380" s="208"/>
      <c r="AR380" s="208"/>
      <c r="AS380" s="208"/>
      <c r="AT380" s="208"/>
      <c r="AU380" s="208"/>
      <c r="AV380" s="208"/>
      <c r="AW380" s="208"/>
      <c r="AX380" s="208"/>
      <c r="AY380" s="208"/>
      <c r="AZ380" s="208"/>
      <c r="BA380" s="208"/>
      <c r="BB380" s="208"/>
      <c r="BC380" s="208"/>
      <c r="BD380" s="208"/>
      <c r="BE380" s="208"/>
      <c r="BF380" s="208"/>
      <c r="BG380" s="208"/>
      <c r="BH380" s="208"/>
      <c r="BI380" s="208"/>
      <c r="BJ380" s="208"/>
      <c r="BK380" s="208"/>
      <c r="BL380" s="208"/>
      <c r="BM380" s="208"/>
      <c r="BN380" s="208"/>
      <c r="BO380" s="208"/>
      <c r="BP380" s="208"/>
      <c r="BQ380" s="208"/>
      <c r="BR380" s="208"/>
      <c r="BS380" s="208"/>
      <c r="BT380" s="208"/>
      <c r="BU380" s="208"/>
      <c r="BV380" s="208"/>
      <c r="BW380" s="208"/>
      <c r="BX380" s="208"/>
      <c r="BY380" s="208"/>
      <c r="BZ380" s="208"/>
      <c r="CA380" s="208"/>
      <c r="CB380" s="208"/>
      <c r="CC380" s="208"/>
      <c r="CD380" s="208"/>
      <c r="CE380" s="208"/>
      <c r="CF380" s="208"/>
      <c r="CG380" s="208"/>
      <c r="CH380" s="208"/>
      <c r="CI380" s="208"/>
      <c r="CJ380" s="208"/>
      <c r="CK380" s="208"/>
      <c r="CL380" s="208"/>
      <c r="CM380" s="208"/>
      <c r="CN380" s="208"/>
      <c r="CO380" s="208"/>
      <c r="CP380" s="208"/>
      <c r="CQ380" s="208"/>
      <c r="CR380" s="208"/>
      <c r="CS380" s="208"/>
      <c r="CT380" s="208"/>
      <c r="CU380" s="208"/>
      <c r="CV380" s="208"/>
      <c r="CW380" s="208"/>
      <c r="CX380" s="208"/>
      <c r="CY380" s="208"/>
      <c r="CZ380" s="208"/>
      <c r="DA380" s="208"/>
      <c r="DB380" s="208"/>
      <c r="DC380" s="208"/>
      <c r="DD380" s="208"/>
      <c r="DE380" s="208"/>
      <c r="DF380" s="208"/>
      <c r="DG380" s="208"/>
      <c r="DH380" s="208"/>
      <c r="DI380" s="208"/>
      <c r="DJ380" s="208"/>
      <c r="DK380" s="208"/>
      <c r="DL380" s="208"/>
      <c r="DM380" s="208"/>
      <c r="DN380" s="208"/>
      <c r="DO380" s="208"/>
      <c r="DP380" s="208"/>
      <c r="DQ380" s="208"/>
      <c r="DR380" s="208"/>
      <c r="DS380" s="208"/>
      <c r="DT380" s="208"/>
      <c r="DU380" s="208"/>
      <c r="DV380" s="208"/>
      <c r="DW380" s="208"/>
      <c r="DX380" s="208"/>
      <c r="DY380" s="208"/>
      <c r="DZ380" s="208"/>
      <c r="EA380" s="208"/>
      <c r="EB380" s="208"/>
      <c r="EC380" s="208"/>
      <c r="ED380" s="208"/>
      <c r="EE380" s="208"/>
      <c r="EF380" s="208"/>
      <c r="EG380" s="208"/>
      <c r="EH380" s="208"/>
      <c r="EI380" s="208"/>
      <c r="EJ380" s="208"/>
      <c r="EK380" s="208"/>
      <c r="EL380" s="208"/>
      <c r="EM380" s="208"/>
      <c r="EN380" s="208"/>
      <c r="EO380" s="208"/>
      <c r="EP380" s="208"/>
      <c r="EQ380" s="208"/>
      <c r="ER380" s="208"/>
      <c r="ES380" s="208"/>
      <c r="ET380" s="208"/>
      <c r="EU380" s="208"/>
      <c r="EV380" s="208"/>
      <c r="EW380" s="208"/>
      <c r="EX380" s="208"/>
      <c r="EY380" s="208"/>
      <c r="EZ380" s="208"/>
      <c r="FA380" s="208"/>
      <c r="FB380" s="208"/>
      <c r="FC380" s="208"/>
      <c r="FD380" s="208"/>
      <c r="FE380" s="208"/>
      <c r="FF380" s="208"/>
      <c r="FG380" s="208"/>
      <c r="FH380" s="208"/>
      <c r="FI380" s="208"/>
      <c r="FJ380" s="208"/>
      <c r="FK380" s="208"/>
      <c r="FL380" s="208"/>
      <c r="FM380" s="208"/>
      <c r="FN380" s="208"/>
      <c r="FO380" s="208"/>
      <c r="FP380" s="208"/>
      <c r="FQ380" s="208"/>
      <c r="FR380" s="208"/>
      <c r="FS380" s="208"/>
      <c r="FT380" s="208"/>
      <c r="FU380" s="208"/>
      <c r="FV380" s="208"/>
      <c r="FW380" s="208"/>
      <c r="FX380" s="208"/>
      <c r="FY380" s="208"/>
      <c r="FZ380" s="208"/>
      <c r="GA380" s="208"/>
      <c r="GB380" s="208"/>
      <c r="GC380" s="208"/>
      <c r="GD380" s="208"/>
      <c r="GE380" s="208"/>
      <c r="GF380" s="208"/>
    </row>
    <row r="381" spans="1:188" s="209" customFormat="1" ht="15" x14ac:dyDescent="0.25">
      <c r="A381" s="195" t="s">
        <v>5165</v>
      </c>
      <c r="B381" s="195" t="s">
        <v>2485</v>
      </c>
      <c r="C381" s="196" t="s">
        <v>2486</v>
      </c>
      <c r="D381" s="154" t="s">
        <v>28</v>
      </c>
      <c r="E381" s="154">
        <v>5</v>
      </c>
      <c r="F381" s="154"/>
      <c r="G381" s="197">
        <v>5</v>
      </c>
      <c r="H381" s="198">
        <f t="shared" si="55"/>
        <v>1.6666666666666666E-2</v>
      </c>
      <c r="I381" s="247">
        <v>64.569999999999993</v>
      </c>
      <c r="J381" s="152"/>
      <c r="K381" s="198"/>
      <c r="L381" s="152">
        <f t="shared" si="58"/>
        <v>5.38</v>
      </c>
      <c r="M381" s="152">
        <f t="shared" si="59"/>
        <v>322.8</v>
      </c>
      <c r="N381" s="153"/>
      <c r="O381" s="152"/>
      <c r="Q381" s="208"/>
      <c r="R381" s="208"/>
      <c r="S381"/>
      <c r="T381" s="208"/>
      <c r="U381" s="208"/>
      <c r="V381" s="208"/>
      <c r="W381" s="208"/>
      <c r="X381" s="208"/>
      <c r="Y381" s="208"/>
      <c r="Z381" s="208"/>
      <c r="AA381" s="208"/>
      <c r="AB381" s="208"/>
      <c r="AC381" s="208"/>
      <c r="AD381" s="208"/>
      <c r="AE381" s="208"/>
      <c r="AF381" s="208"/>
      <c r="AG381" s="208"/>
      <c r="AH381" s="208"/>
      <c r="AI381" s="208"/>
      <c r="AJ381" s="208"/>
      <c r="AK381" s="208"/>
      <c r="AL381" s="208"/>
      <c r="AM381" s="208"/>
      <c r="AN381" s="208"/>
      <c r="AO381" s="208"/>
      <c r="AP381" s="208"/>
      <c r="AQ381" s="208"/>
      <c r="AR381" s="208"/>
      <c r="AS381" s="208"/>
      <c r="AT381" s="208"/>
      <c r="AU381" s="208"/>
      <c r="AV381" s="208"/>
      <c r="AW381" s="208"/>
      <c r="AX381" s="208"/>
      <c r="AY381" s="208"/>
      <c r="AZ381" s="208"/>
      <c r="BA381" s="208"/>
      <c r="BB381" s="208"/>
      <c r="BC381" s="208"/>
      <c r="BD381" s="208"/>
      <c r="BE381" s="208"/>
      <c r="BF381" s="208"/>
      <c r="BG381" s="208"/>
      <c r="BH381" s="208"/>
      <c r="BI381" s="208"/>
      <c r="BJ381" s="208"/>
      <c r="BK381" s="208"/>
      <c r="BL381" s="208"/>
      <c r="BM381" s="208"/>
      <c r="BN381" s="208"/>
      <c r="BO381" s="208"/>
      <c r="BP381" s="208"/>
      <c r="BQ381" s="208"/>
      <c r="BR381" s="208"/>
      <c r="BS381" s="208"/>
      <c r="BT381" s="208"/>
      <c r="BU381" s="208"/>
      <c r="BV381" s="208"/>
      <c r="BW381" s="208"/>
      <c r="BX381" s="208"/>
      <c r="BY381" s="208"/>
      <c r="BZ381" s="208"/>
      <c r="CA381" s="208"/>
      <c r="CB381" s="208"/>
      <c r="CC381" s="208"/>
      <c r="CD381" s="208"/>
      <c r="CE381" s="208"/>
      <c r="CF381" s="208"/>
      <c r="CG381" s="208"/>
      <c r="CH381" s="208"/>
      <c r="CI381" s="208"/>
      <c r="CJ381" s="208"/>
      <c r="CK381" s="208"/>
      <c r="CL381" s="208"/>
      <c r="CM381" s="208"/>
      <c r="CN381" s="208"/>
      <c r="CO381" s="208"/>
      <c r="CP381" s="208"/>
      <c r="CQ381" s="208"/>
      <c r="CR381" s="208"/>
      <c r="CS381" s="208"/>
      <c r="CT381" s="208"/>
      <c r="CU381" s="208"/>
      <c r="CV381" s="208"/>
      <c r="CW381" s="208"/>
      <c r="CX381" s="208"/>
      <c r="CY381" s="208"/>
      <c r="CZ381" s="208"/>
      <c r="DA381" s="208"/>
      <c r="DB381" s="208"/>
      <c r="DC381" s="208"/>
      <c r="DD381" s="208"/>
      <c r="DE381" s="208"/>
      <c r="DF381" s="208"/>
      <c r="DG381" s="208"/>
      <c r="DH381" s="208"/>
      <c r="DI381" s="208"/>
      <c r="DJ381" s="208"/>
      <c r="DK381" s="208"/>
      <c r="DL381" s="208"/>
      <c r="DM381" s="208"/>
      <c r="DN381" s="208"/>
      <c r="DO381" s="208"/>
      <c r="DP381" s="208"/>
      <c r="DQ381" s="208"/>
      <c r="DR381" s="208"/>
      <c r="DS381" s="208"/>
      <c r="DT381" s="208"/>
      <c r="DU381" s="208"/>
      <c r="DV381" s="208"/>
      <c r="DW381" s="208"/>
      <c r="DX381" s="208"/>
      <c r="DY381" s="208"/>
      <c r="DZ381" s="208"/>
      <c r="EA381" s="208"/>
      <c r="EB381" s="208"/>
      <c r="EC381" s="208"/>
      <c r="ED381" s="208"/>
      <c r="EE381" s="208"/>
      <c r="EF381" s="208"/>
      <c r="EG381" s="208"/>
      <c r="EH381" s="208"/>
      <c r="EI381" s="208"/>
      <c r="EJ381" s="208"/>
      <c r="EK381" s="208"/>
      <c r="EL381" s="208"/>
      <c r="EM381" s="208"/>
      <c r="EN381" s="208"/>
      <c r="EO381" s="208"/>
      <c r="EP381" s="208"/>
      <c r="EQ381" s="208"/>
      <c r="ER381" s="208"/>
      <c r="ES381" s="208"/>
      <c r="ET381" s="208"/>
      <c r="EU381" s="208"/>
      <c r="EV381" s="208"/>
      <c r="EW381" s="208"/>
      <c r="EX381" s="208"/>
      <c r="EY381" s="208"/>
      <c r="EZ381" s="208"/>
      <c r="FA381" s="208"/>
      <c r="FB381" s="208"/>
      <c r="FC381" s="208"/>
      <c r="FD381" s="208"/>
      <c r="FE381" s="208"/>
      <c r="FF381" s="208"/>
      <c r="FG381" s="208"/>
      <c r="FH381" s="208"/>
      <c r="FI381" s="208"/>
      <c r="FJ381" s="208"/>
      <c r="FK381" s="208"/>
      <c r="FL381" s="208"/>
      <c r="FM381" s="208"/>
      <c r="FN381" s="208"/>
      <c r="FO381" s="208"/>
      <c r="FP381" s="208"/>
      <c r="FQ381" s="208"/>
      <c r="FR381" s="208"/>
      <c r="FS381" s="208"/>
      <c r="FT381" s="208"/>
      <c r="FU381" s="208"/>
      <c r="FV381" s="208"/>
      <c r="FW381" s="208"/>
      <c r="FX381" s="208"/>
      <c r="FY381" s="208"/>
      <c r="FZ381" s="208"/>
      <c r="GA381" s="208"/>
      <c r="GB381" s="208"/>
      <c r="GC381" s="208"/>
      <c r="GD381" s="208"/>
      <c r="GE381" s="208"/>
      <c r="GF381" s="208"/>
    </row>
    <row r="382" spans="1:188" s="209" customFormat="1" ht="15" x14ac:dyDescent="0.25">
      <c r="A382" s="195" t="s">
        <v>5166</v>
      </c>
      <c r="B382" s="195" t="s">
        <v>2577</v>
      </c>
      <c r="C382" s="196" t="s">
        <v>2578</v>
      </c>
      <c r="D382" s="154" t="s">
        <v>28</v>
      </c>
      <c r="E382" s="154">
        <v>5</v>
      </c>
      <c r="F382" s="154"/>
      <c r="G382" s="197">
        <v>5</v>
      </c>
      <c r="H382" s="198">
        <f t="shared" si="55"/>
        <v>1.6666666666666666E-2</v>
      </c>
      <c r="I382" s="247">
        <v>158.38999999999999</v>
      </c>
      <c r="J382" s="152"/>
      <c r="K382" s="198"/>
      <c r="L382" s="152">
        <f t="shared" si="58"/>
        <v>13.2</v>
      </c>
      <c r="M382" s="152">
        <f t="shared" si="59"/>
        <v>792</v>
      </c>
      <c r="N382" s="153"/>
      <c r="O382" s="152"/>
      <c r="Q382" s="208"/>
      <c r="R382" s="208"/>
      <c r="S382"/>
      <c r="T382" s="208"/>
      <c r="U382" s="208"/>
      <c r="V382" s="208"/>
      <c r="W382" s="208"/>
      <c r="X382" s="208"/>
      <c r="Y382" s="208"/>
      <c r="Z382" s="208"/>
      <c r="AA382" s="208"/>
      <c r="AB382" s="208"/>
      <c r="AC382" s="208"/>
      <c r="AD382" s="208"/>
      <c r="AE382" s="208"/>
      <c r="AF382" s="208"/>
      <c r="AG382" s="208"/>
      <c r="AH382" s="208"/>
      <c r="AI382" s="208"/>
      <c r="AJ382" s="208"/>
      <c r="AK382" s="208"/>
      <c r="AL382" s="208"/>
      <c r="AM382" s="208"/>
      <c r="AN382" s="208"/>
      <c r="AO382" s="208"/>
      <c r="AP382" s="208"/>
      <c r="AQ382" s="208"/>
      <c r="AR382" s="208"/>
      <c r="AS382" s="208"/>
      <c r="AT382" s="208"/>
      <c r="AU382" s="208"/>
      <c r="AV382" s="208"/>
      <c r="AW382" s="208"/>
      <c r="AX382" s="208"/>
      <c r="AY382" s="208"/>
      <c r="AZ382" s="208"/>
      <c r="BA382" s="208"/>
      <c r="BB382" s="208"/>
      <c r="BC382" s="208"/>
      <c r="BD382" s="208"/>
      <c r="BE382" s="208"/>
      <c r="BF382" s="208"/>
      <c r="BG382" s="208"/>
      <c r="BH382" s="208"/>
      <c r="BI382" s="208"/>
      <c r="BJ382" s="208"/>
      <c r="BK382" s="208"/>
      <c r="BL382" s="208"/>
      <c r="BM382" s="208"/>
      <c r="BN382" s="208"/>
      <c r="BO382" s="208"/>
      <c r="BP382" s="208"/>
      <c r="BQ382" s="208"/>
      <c r="BR382" s="208"/>
      <c r="BS382" s="208"/>
      <c r="BT382" s="208"/>
      <c r="BU382" s="208"/>
      <c r="BV382" s="208"/>
      <c r="BW382" s="208"/>
      <c r="BX382" s="208"/>
      <c r="BY382" s="208"/>
      <c r="BZ382" s="208"/>
      <c r="CA382" s="208"/>
      <c r="CB382" s="208"/>
      <c r="CC382" s="208"/>
      <c r="CD382" s="208"/>
      <c r="CE382" s="208"/>
      <c r="CF382" s="208"/>
      <c r="CG382" s="208"/>
      <c r="CH382" s="208"/>
      <c r="CI382" s="208"/>
      <c r="CJ382" s="208"/>
      <c r="CK382" s="208"/>
      <c r="CL382" s="208"/>
      <c r="CM382" s="208"/>
      <c r="CN382" s="208"/>
      <c r="CO382" s="208"/>
      <c r="CP382" s="208"/>
      <c r="CQ382" s="208"/>
      <c r="CR382" s="208"/>
      <c r="CS382" s="208"/>
      <c r="CT382" s="208"/>
      <c r="CU382" s="208"/>
      <c r="CV382" s="208"/>
      <c r="CW382" s="208"/>
      <c r="CX382" s="208"/>
      <c r="CY382" s="208"/>
      <c r="CZ382" s="208"/>
      <c r="DA382" s="208"/>
      <c r="DB382" s="208"/>
      <c r="DC382" s="208"/>
      <c r="DD382" s="208"/>
      <c r="DE382" s="208"/>
      <c r="DF382" s="208"/>
      <c r="DG382" s="208"/>
      <c r="DH382" s="208"/>
      <c r="DI382" s="208"/>
      <c r="DJ382" s="208"/>
      <c r="DK382" s="208"/>
      <c r="DL382" s="208"/>
      <c r="DM382" s="208"/>
      <c r="DN382" s="208"/>
      <c r="DO382" s="208"/>
      <c r="DP382" s="208"/>
      <c r="DQ382" s="208"/>
      <c r="DR382" s="208"/>
      <c r="DS382" s="208"/>
      <c r="DT382" s="208"/>
      <c r="DU382" s="208"/>
      <c r="DV382" s="208"/>
      <c r="DW382" s="208"/>
      <c r="DX382" s="208"/>
      <c r="DY382" s="208"/>
      <c r="DZ382" s="208"/>
      <c r="EA382" s="208"/>
      <c r="EB382" s="208"/>
      <c r="EC382" s="208"/>
      <c r="ED382" s="208"/>
      <c r="EE382" s="208"/>
      <c r="EF382" s="208"/>
      <c r="EG382" s="208"/>
      <c r="EH382" s="208"/>
      <c r="EI382" s="208"/>
      <c r="EJ382" s="208"/>
      <c r="EK382" s="208"/>
      <c r="EL382" s="208"/>
      <c r="EM382" s="208"/>
      <c r="EN382" s="208"/>
      <c r="EO382" s="208"/>
      <c r="EP382" s="208"/>
      <c r="EQ382" s="208"/>
      <c r="ER382" s="208"/>
      <c r="ES382" s="208"/>
      <c r="ET382" s="208"/>
      <c r="EU382" s="208"/>
      <c r="EV382" s="208"/>
      <c r="EW382" s="208"/>
      <c r="EX382" s="208"/>
      <c r="EY382" s="208"/>
      <c r="EZ382" s="208"/>
      <c r="FA382" s="208"/>
      <c r="FB382" s="208"/>
      <c r="FC382" s="208"/>
      <c r="FD382" s="208"/>
      <c r="FE382" s="208"/>
      <c r="FF382" s="208"/>
      <c r="FG382" s="208"/>
      <c r="FH382" s="208"/>
      <c r="FI382" s="208"/>
      <c r="FJ382" s="208"/>
      <c r="FK382" s="208"/>
      <c r="FL382" s="208"/>
      <c r="FM382" s="208"/>
      <c r="FN382" s="208"/>
      <c r="FO382" s="208"/>
      <c r="FP382" s="208"/>
      <c r="FQ382" s="208"/>
      <c r="FR382" s="208"/>
      <c r="FS382" s="208"/>
      <c r="FT382" s="208"/>
      <c r="FU382" s="208"/>
      <c r="FV382" s="208"/>
      <c r="FW382" s="208"/>
      <c r="FX382" s="208"/>
      <c r="FY382" s="208"/>
      <c r="FZ382" s="208"/>
      <c r="GA382" s="208"/>
      <c r="GB382" s="208"/>
      <c r="GC382" s="208"/>
      <c r="GD382" s="208"/>
      <c r="GE382" s="208"/>
      <c r="GF382" s="208"/>
    </row>
    <row r="383" spans="1:188" s="209" customFormat="1" ht="15" x14ac:dyDescent="0.25">
      <c r="A383" s="195" t="s">
        <v>5167</v>
      </c>
      <c r="B383" s="195" t="s">
        <v>2489</v>
      </c>
      <c r="C383" s="196" t="s">
        <v>2490</v>
      </c>
      <c r="D383" s="154" t="s">
        <v>28</v>
      </c>
      <c r="E383" s="154">
        <v>5</v>
      </c>
      <c r="F383" s="154"/>
      <c r="G383" s="197">
        <v>5</v>
      </c>
      <c r="H383" s="198">
        <f t="shared" si="55"/>
        <v>1.6666666666666666E-2</v>
      </c>
      <c r="I383" s="247">
        <v>33.93</v>
      </c>
      <c r="J383" s="152"/>
      <c r="K383" s="198"/>
      <c r="L383" s="152">
        <f t="shared" si="58"/>
        <v>2.83</v>
      </c>
      <c r="M383" s="152">
        <f t="shared" si="59"/>
        <v>169.8</v>
      </c>
      <c r="N383" s="153"/>
      <c r="O383" s="152"/>
      <c r="Q383" s="208"/>
      <c r="R383" s="208"/>
      <c r="S383"/>
      <c r="T383" s="208"/>
      <c r="U383" s="208"/>
      <c r="V383" s="208"/>
      <c r="W383" s="208"/>
      <c r="X383" s="208"/>
      <c r="Y383" s="208"/>
      <c r="Z383" s="208"/>
      <c r="AA383" s="208"/>
      <c r="AB383" s="208"/>
      <c r="AC383" s="208"/>
      <c r="AD383" s="208"/>
      <c r="AE383" s="208"/>
      <c r="AF383" s="208"/>
      <c r="AG383" s="208"/>
      <c r="AH383" s="208"/>
      <c r="AI383" s="208"/>
      <c r="AJ383" s="208"/>
      <c r="AK383" s="208"/>
      <c r="AL383" s="208"/>
      <c r="AM383" s="208"/>
      <c r="AN383" s="208"/>
      <c r="AO383" s="208"/>
      <c r="AP383" s="208"/>
      <c r="AQ383" s="208"/>
      <c r="AR383" s="208"/>
      <c r="AS383" s="208"/>
      <c r="AT383" s="208"/>
      <c r="AU383" s="208"/>
      <c r="AV383" s="208"/>
      <c r="AW383" s="208"/>
      <c r="AX383" s="208"/>
      <c r="AY383" s="208"/>
      <c r="AZ383" s="208"/>
      <c r="BA383" s="208"/>
      <c r="BB383" s="208"/>
      <c r="BC383" s="208"/>
      <c r="BD383" s="208"/>
      <c r="BE383" s="208"/>
      <c r="BF383" s="208"/>
      <c r="BG383" s="208"/>
      <c r="BH383" s="208"/>
      <c r="BI383" s="208"/>
      <c r="BJ383" s="208"/>
      <c r="BK383" s="208"/>
      <c r="BL383" s="208"/>
      <c r="BM383" s="208"/>
      <c r="BN383" s="208"/>
      <c r="BO383" s="208"/>
      <c r="BP383" s="208"/>
      <c r="BQ383" s="208"/>
      <c r="BR383" s="208"/>
      <c r="BS383" s="208"/>
      <c r="BT383" s="208"/>
      <c r="BU383" s="208"/>
      <c r="BV383" s="208"/>
      <c r="BW383" s="208"/>
      <c r="BX383" s="208"/>
      <c r="BY383" s="208"/>
      <c r="BZ383" s="208"/>
      <c r="CA383" s="208"/>
      <c r="CB383" s="208"/>
      <c r="CC383" s="208"/>
      <c r="CD383" s="208"/>
      <c r="CE383" s="208"/>
      <c r="CF383" s="208"/>
      <c r="CG383" s="208"/>
      <c r="CH383" s="208"/>
      <c r="CI383" s="208"/>
      <c r="CJ383" s="208"/>
      <c r="CK383" s="208"/>
      <c r="CL383" s="208"/>
      <c r="CM383" s="208"/>
      <c r="CN383" s="208"/>
      <c r="CO383" s="208"/>
      <c r="CP383" s="208"/>
      <c r="CQ383" s="208"/>
      <c r="CR383" s="208"/>
      <c r="CS383" s="208"/>
      <c r="CT383" s="208"/>
      <c r="CU383" s="208"/>
      <c r="CV383" s="208"/>
      <c r="CW383" s="208"/>
      <c r="CX383" s="208"/>
      <c r="CY383" s="208"/>
      <c r="CZ383" s="208"/>
      <c r="DA383" s="208"/>
      <c r="DB383" s="208"/>
      <c r="DC383" s="208"/>
      <c r="DD383" s="208"/>
      <c r="DE383" s="208"/>
      <c r="DF383" s="208"/>
      <c r="DG383" s="208"/>
      <c r="DH383" s="208"/>
      <c r="DI383" s="208"/>
      <c r="DJ383" s="208"/>
      <c r="DK383" s="208"/>
      <c r="DL383" s="208"/>
      <c r="DM383" s="208"/>
      <c r="DN383" s="208"/>
      <c r="DO383" s="208"/>
      <c r="DP383" s="208"/>
      <c r="DQ383" s="208"/>
      <c r="DR383" s="208"/>
      <c r="DS383" s="208"/>
      <c r="DT383" s="208"/>
      <c r="DU383" s="208"/>
      <c r="DV383" s="208"/>
      <c r="DW383" s="208"/>
      <c r="DX383" s="208"/>
      <c r="DY383" s="208"/>
      <c r="DZ383" s="208"/>
      <c r="EA383" s="208"/>
      <c r="EB383" s="208"/>
      <c r="EC383" s="208"/>
      <c r="ED383" s="208"/>
      <c r="EE383" s="208"/>
      <c r="EF383" s="208"/>
      <c r="EG383" s="208"/>
      <c r="EH383" s="208"/>
      <c r="EI383" s="208"/>
      <c r="EJ383" s="208"/>
      <c r="EK383" s="208"/>
      <c r="EL383" s="208"/>
      <c r="EM383" s="208"/>
      <c r="EN383" s="208"/>
      <c r="EO383" s="208"/>
      <c r="EP383" s="208"/>
      <c r="EQ383" s="208"/>
      <c r="ER383" s="208"/>
      <c r="ES383" s="208"/>
      <c r="ET383" s="208"/>
      <c r="EU383" s="208"/>
      <c r="EV383" s="208"/>
      <c r="EW383" s="208"/>
      <c r="EX383" s="208"/>
      <c r="EY383" s="208"/>
      <c r="EZ383" s="208"/>
      <c r="FA383" s="208"/>
      <c r="FB383" s="208"/>
      <c r="FC383" s="208"/>
      <c r="FD383" s="208"/>
      <c r="FE383" s="208"/>
      <c r="FF383" s="208"/>
      <c r="FG383" s="208"/>
      <c r="FH383" s="208"/>
      <c r="FI383" s="208"/>
      <c r="FJ383" s="208"/>
      <c r="FK383" s="208"/>
      <c r="FL383" s="208"/>
      <c r="FM383" s="208"/>
      <c r="FN383" s="208"/>
      <c r="FO383" s="208"/>
      <c r="FP383" s="208"/>
      <c r="FQ383" s="208"/>
      <c r="FR383" s="208"/>
      <c r="FS383" s="208"/>
      <c r="FT383" s="208"/>
      <c r="FU383" s="208"/>
      <c r="FV383" s="208"/>
      <c r="FW383" s="208"/>
      <c r="FX383" s="208"/>
      <c r="FY383" s="208"/>
      <c r="FZ383" s="208"/>
      <c r="GA383" s="208"/>
      <c r="GB383" s="208"/>
      <c r="GC383" s="208"/>
      <c r="GD383" s="208"/>
      <c r="GE383" s="208"/>
      <c r="GF383" s="208"/>
    </row>
    <row r="384" spans="1:188" s="209" customFormat="1" ht="15" x14ac:dyDescent="0.25">
      <c r="A384" s="195" t="s">
        <v>5168</v>
      </c>
      <c r="B384" s="195" t="s">
        <v>2493</v>
      </c>
      <c r="C384" s="196" t="s">
        <v>2494</v>
      </c>
      <c r="D384" s="154" t="s">
        <v>28</v>
      </c>
      <c r="E384" s="154">
        <v>18</v>
      </c>
      <c r="F384" s="154"/>
      <c r="G384" s="197">
        <v>5</v>
      </c>
      <c r="H384" s="198">
        <f t="shared" si="55"/>
        <v>1.6666666666666666E-2</v>
      </c>
      <c r="I384" s="247">
        <v>41.71</v>
      </c>
      <c r="J384" s="152"/>
      <c r="K384" s="198"/>
      <c r="L384" s="152">
        <f t="shared" si="58"/>
        <v>12.51</v>
      </c>
      <c r="M384" s="152">
        <f t="shared" si="59"/>
        <v>750.6</v>
      </c>
      <c r="N384" s="153"/>
      <c r="O384" s="152"/>
      <c r="Q384" s="208"/>
      <c r="R384" s="208"/>
      <c r="S384"/>
      <c r="T384" s="208"/>
      <c r="U384" s="208"/>
      <c r="V384" s="208"/>
      <c r="W384" s="208"/>
      <c r="X384" s="208"/>
      <c r="Y384" s="208"/>
      <c r="Z384" s="208"/>
      <c r="AA384" s="208"/>
      <c r="AB384" s="208"/>
      <c r="AC384" s="208"/>
      <c r="AD384" s="208"/>
      <c r="AE384" s="208"/>
      <c r="AF384" s="208"/>
      <c r="AG384" s="208"/>
      <c r="AH384" s="208"/>
      <c r="AI384" s="208"/>
      <c r="AJ384" s="208"/>
      <c r="AK384" s="208"/>
      <c r="AL384" s="208"/>
      <c r="AM384" s="208"/>
      <c r="AN384" s="208"/>
      <c r="AO384" s="208"/>
      <c r="AP384" s="208"/>
      <c r="AQ384" s="208"/>
      <c r="AR384" s="208"/>
      <c r="AS384" s="208"/>
      <c r="AT384" s="208"/>
      <c r="AU384" s="208"/>
      <c r="AV384" s="208"/>
      <c r="AW384" s="208"/>
      <c r="AX384" s="208"/>
      <c r="AY384" s="208"/>
      <c r="AZ384" s="208"/>
      <c r="BA384" s="208"/>
      <c r="BB384" s="208"/>
      <c r="BC384" s="208"/>
      <c r="BD384" s="208"/>
      <c r="BE384" s="208"/>
      <c r="BF384" s="208"/>
      <c r="BG384" s="208"/>
      <c r="BH384" s="208"/>
      <c r="BI384" s="208"/>
      <c r="BJ384" s="208"/>
      <c r="BK384" s="208"/>
      <c r="BL384" s="208"/>
      <c r="BM384" s="208"/>
      <c r="BN384" s="208"/>
      <c r="BO384" s="208"/>
      <c r="BP384" s="208"/>
      <c r="BQ384" s="208"/>
      <c r="BR384" s="208"/>
      <c r="BS384" s="208"/>
      <c r="BT384" s="208"/>
      <c r="BU384" s="208"/>
      <c r="BV384" s="208"/>
      <c r="BW384" s="208"/>
      <c r="BX384" s="208"/>
      <c r="BY384" s="208"/>
      <c r="BZ384" s="208"/>
      <c r="CA384" s="208"/>
      <c r="CB384" s="208"/>
      <c r="CC384" s="208"/>
      <c r="CD384" s="208"/>
      <c r="CE384" s="208"/>
      <c r="CF384" s="208"/>
      <c r="CG384" s="208"/>
      <c r="CH384" s="208"/>
      <c r="CI384" s="208"/>
      <c r="CJ384" s="208"/>
      <c r="CK384" s="208"/>
      <c r="CL384" s="208"/>
      <c r="CM384" s="208"/>
      <c r="CN384" s="208"/>
      <c r="CO384" s="208"/>
      <c r="CP384" s="208"/>
      <c r="CQ384" s="208"/>
      <c r="CR384" s="208"/>
      <c r="CS384" s="208"/>
      <c r="CT384" s="208"/>
      <c r="CU384" s="208"/>
      <c r="CV384" s="208"/>
      <c r="CW384" s="208"/>
      <c r="CX384" s="208"/>
      <c r="CY384" s="208"/>
      <c r="CZ384" s="208"/>
      <c r="DA384" s="208"/>
      <c r="DB384" s="208"/>
      <c r="DC384" s="208"/>
      <c r="DD384" s="208"/>
      <c r="DE384" s="208"/>
      <c r="DF384" s="208"/>
      <c r="DG384" s="208"/>
      <c r="DH384" s="208"/>
      <c r="DI384" s="208"/>
      <c r="DJ384" s="208"/>
      <c r="DK384" s="208"/>
      <c r="DL384" s="208"/>
      <c r="DM384" s="208"/>
      <c r="DN384" s="208"/>
      <c r="DO384" s="208"/>
      <c r="DP384" s="208"/>
      <c r="DQ384" s="208"/>
      <c r="DR384" s="208"/>
      <c r="DS384" s="208"/>
      <c r="DT384" s="208"/>
      <c r="DU384" s="208"/>
      <c r="DV384" s="208"/>
      <c r="DW384" s="208"/>
      <c r="DX384" s="208"/>
      <c r="DY384" s="208"/>
      <c r="DZ384" s="208"/>
      <c r="EA384" s="208"/>
      <c r="EB384" s="208"/>
      <c r="EC384" s="208"/>
      <c r="ED384" s="208"/>
      <c r="EE384" s="208"/>
      <c r="EF384" s="208"/>
      <c r="EG384" s="208"/>
      <c r="EH384" s="208"/>
      <c r="EI384" s="208"/>
      <c r="EJ384" s="208"/>
      <c r="EK384" s="208"/>
      <c r="EL384" s="208"/>
      <c r="EM384" s="208"/>
      <c r="EN384" s="208"/>
      <c r="EO384" s="208"/>
      <c r="EP384" s="208"/>
      <c r="EQ384" s="208"/>
      <c r="ER384" s="208"/>
      <c r="ES384" s="208"/>
      <c r="ET384" s="208"/>
      <c r="EU384" s="208"/>
      <c r="EV384" s="208"/>
      <c r="EW384" s="208"/>
      <c r="EX384" s="208"/>
      <c r="EY384" s="208"/>
      <c r="EZ384" s="208"/>
      <c r="FA384" s="208"/>
      <c r="FB384" s="208"/>
      <c r="FC384" s="208"/>
      <c r="FD384" s="208"/>
      <c r="FE384" s="208"/>
      <c r="FF384" s="208"/>
      <c r="FG384" s="208"/>
      <c r="FH384" s="208"/>
      <c r="FI384" s="208"/>
      <c r="FJ384" s="208"/>
      <c r="FK384" s="208"/>
      <c r="FL384" s="208"/>
      <c r="FM384" s="208"/>
      <c r="FN384" s="208"/>
      <c r="FO384" s="208"/>
      <c r="FP384" s="208"/>
      <c r="FQ384" s="208"/>
      <c r="FR384" s="208"/>
      <c r="FS384" s="208"/>
      <c r="FT384" s="208"/>
      <c r="FU384" s="208"/>
      <c r="FV384" s="208"/>
      <c r="FW384" s="208"/>
      <c r="FX384" s="208"/>
      <c r="FY384" s="208"/>
      <c r="FZ384" s="208"/>
      <c r="GA384" s="208"/>
      <c r="GB384" s="208"/>
      <c r="GC384" s="208"/>
      <c r="GD384" s="208"/>
      <c r="GE384" s="208"/>
      <c r="GF384" s="208"/>
    </row>
    <row r="385" spans="1:188" s="209" customFormat="1" ht="15" x14ac:dyDescent="0.25">
      <c r="A385" s="195" t="s">
        <v>5169</v>
      </c>
      <c r="B385" s="195" t="s">
        <v>2495</v>
      </c>
      <c r="C385" s="196" t="s">
        <v>2496</v>
      </c>
      <c r="D385" s="154" t="s">
        <v>28</v>
      </c>
      <c r="E385" s="154">
        <v>2</v>
      </c>
      <c r="F385" s="154"/>
      <c r="G385" s="197">
        <v>10</v>
      </c>
      <c r="H385" s="198">
        <f t="shared" si="55"/>
        <v>8.3333333333333332E-3</v>
      </c>
      <c r="I385" s="247">
        <v>2790.81</v>
      </c>
      <c r="J385" s="152"/>
      <c r="K385" s="198"/>
      <c r="L385" s="152">
        <f t="shared" si="58"/>
        <v>46.51</v>
      </c>
      <c r="M385" s="152">
        <f t="shared" si="59"/>
        <v>2790.6</v>
      </c>
      <c r="N385" s="153"/>
      <c r="O385" s="152"/>
      <c r="Q385" s="208"/>
      <c r="R385" s="208"/>
      <c r="S385"/>
      <c r="T385" s="208"/>
      <c r="U385" s="208"/>
      <c r="V385" s="208"/>
      <c r="W385" s="208"/>
      <c r="X385" s="208"/>
      <c r="Y385" s="208"/>
      <c r="Z385" s="208"/>
      <c r="AA385" s="208"/>
      <c r="AB385" s="208"/>
      <c r="AC385" s="208"/>
      <c r="AD385" s="208"/>
      <c r="AE385" s="208"/>
      <c r="AF385" s="208"/>
      <c r="AG385" s="208"/>
      <c r="AH385" s="208"/>
      <c r="AI385" s="208"/>
      <c r="AJ385" s="208"/>
      <c r="AK385" s="208"/>
      <c r="AL385" s="208"/>
      <c r="AM385" s="208"/>
      <c r="AN385" s="208"/>
      <c r="AO385" s="208"/>
      <c r="AP385" s="208"/>
      <c r="AQ385" s="208"/>
      <c r="AR385" s="208"/>
      <c r="AS385" s="208"/>
      <c r="AT385" s="208"/>
      <c r="AU385" s="208"/>
      <c r="AV385" s="208"/>
      <c r="AW385" s="208"/>
      <c r="AX385" s="208"/>
      <c r="AY385" s="208"/>
      <c r="AZ385" s="208"/>
      <c r="BA385" s="208"/>
      <c r="BB385" s="208"/>
      <c r="BC385" s="208"/>
      <c r="BD385" s="208"/>
      <c r="BE385" s="208"/>
      <c r="BF385" s="208"/>
      <c r="BG385" s="208"/>
      <c r="BH385" s="208"/>
      <c r="BI385" s="208"/>
      <c r="BJ385" s="208"/>
      <c r="BK385" s="208"/>
      <c r="BL385" s="208"/>
      <c r="BM385" s="208"/>
      <c r="BN385" s="208"/>
      <c r="BO385" s="208"/>
      <c r="BP385" s="208"/>
      <c r="BQ385" s="208"/>
      <c r="BR385" s="208"/>
      <c r="BS385" s="208"/>
      <c r="BT385" s="208"/>
      <c r="BU385" s="208"/>
      <c r="BV385" s="208"/>
      <c r="BW385" s="208"/>
      <c r="BX385" s="208"/>
      <c r="BY385" s="208"/>
      <c r="BZ385" s="208"/>
      <c r="CA385" s="208"/>
      <c r="CB385" s="208"/>
      <c r="CC385" s="208"/>
      <c r="CD385" s="208"/>
      <c r="CE385" s="208"/>
      <c r="CF385" s="208"/>
      <c r="CG385" s="208"/>
      <c r="CH385" s="208"/>
      <c r="CI385" s="208"/>
      <c r="CJ385" s="208"/>
      <c r="CK385" s="208"/>
      <c r="CL385" s="208"/>
      <c r="CM385" s="208"/>
      <c r="CN385" s="208"/>
      <c r="CO385" s="208"/>
      <c r="CP385" s="208"/>
      <c r="CQ385" s="208"/>
      <c r="CR385" s="208"/>
      <c r="CS385" s="208"/>
      <c r="CT385" s="208"/>
      <c r="CU385" s="208"/>
      <c r="CV385" s="208"/>
      <c r="CW385" s="208"/>
      <c r="CX385" s="208"/>
      <c r="CY385" s="208"/>
      <c r="CZ385" s="208"/>
      <c r="DA385" s="208"/>
      <c r="DB385" s="208"/>
      <c r="DC385" s="208"/>
      <c r="DD385" s="208"/>
      <c r="DE385" s="208"/>
      <c r="DF385" s="208"/>
      <c r="DG385" s="208"/>
      <c r="DH385" s="208"/>
      <c r="DI385" s="208"/>
      <c r="DJ385" s="208"/>
      <c r="DK385" s="208"/>
      <c r="DL385" s="208"/>
      <c r="DM385" s="208"/>
      <c r="DN385" s="208"/>
      <c r="DO385" s="208"/>
      <c r="DP385" s="208"/>
      <c r="DQ385" s="208"/>
      <c r="DR385" s="208"/>
      <c r="DS385" s="208"/>
      <c r="DT385" s="208"/>
      <c r="DU385" s="208"/>
      <c r="DV385" s="208"/>
      <c r="DW385" s="208"/>
      <c r="DX385" s="208"/>
      <c r="DY385" s="208"/>
      <c r="DZ385" s="208"/>
      <c r="EA385" s="208"/>
      <c r="EB385" s="208"/>
      <c r="EC385" s="208"/>
      <c r="ED385" s="208"/>
      <c r="EE385" s="208"/>
      <c r="EF385" s="208"/>
      <c r="EG385" s="208"/>
      <c r="EH385" s="208"/>
      <c r="EI385" s="208"/>
      <c r="EJ385" s="208"/>
      <c r="EK385" s="208"/>
      <c r="EL385" s="208"/>
      <c r="EM385" s="208"/>
      <c r="EN385" s="208"/>
      <c r="EO385" s="208"/>
      <c r="EP385" s="208"/>
      <c r="EQ385" s="208"/>
      <c r="ER385" s="208"/>
      <c r="ES385" s="208"/>
      <c r="ET385" s="208"/>
      <c r="EU385" s="208"/>
      <c r="EV385" s="208"/>
      <c r="EW385" s="208"/>
      <c r="EX385" s="208"/>
      <c r="EY385" s="208"/>
      <c r="EZ385" s="208"/>
      <c r="FA385" s="208"/>
      <c r="FB385" s="208"/>
      <c r="FC385" s="208"/>
      <c r="FD385" s="208"/>
      <c r="FE385" s="208"/>
      <c r="FF385" s="208"/>
      <c r="FG385" s="208"/>
      <c r="FH385" s="208"/>
      <c r="FI385" s="208"/>
      <c r="FJ385" s="208"/>
      <c r="FK385" s="208"/>
      <c r="FL385" s="208"/>
      <c r="FM385" s="208"/>
      <c r="FN385" s="208"/>
      <c r="FO385" s="208"/>
      <c r="FP385" s="208"/>
      <c r="FQ385" s="208"/>
      <c r="FR385" s="208"/>
      <c r="FS385" s="208"/>
      <c r="FT385" s="208"/>
      <c r="FU385" s="208"/>
      <c r="FV385" s="208"/>
      <c r="FW385" s="208"/>
      <c r="FX385" s="208"/>
      <c r="FY385" s="208"/>
      <c r="FZ385" s="208"/>
      <c r="GA385" s="208"/>
      <c r="GB385" s="208"/>
      <c r="GC385" s="208"/>
      <c r="GD385" s="208"/>
      <c r="GE385" s="208"/>
      <c r="GF385" s="208"/>
    </row>
    <row r="386" spans="1:188" s="209" customFormat="1" ht="15" x14ac:dyDescent="0.25">
      <c r="A386" s="195" t="s">
        <v>5170</v>
      </c>
      <c r="B386" s="195" t="s">
        <v>2497</v>
      </c>
      <c r="C386" s="196" t="s">
        <v>2498</v>
      </c>
      <c r="D386" s="154" t="s">
        <v>28</v>
      </c>
      <c r="E386" s="154">
        <v>5</v>
      </c>
      <c r="F386" s="154"/>
      <c r="G386" s="197">
        <v>5</v>
      </c>
      <c r="H386" s="198">
        <f t="shared" si="55"/>
        <v>1.6666666666666666E-2</v>
      </c>
      <c r="I386" s="247">
        <v>22.8</v>
      </c>
      <c r="J386" s="152"/>
      <c r="K386" s="198"/>
      <c r="L386" s="152">
        <f t="shared" si="58"/>
        <v>1.9</v>
      </c>
      <c r="M386" s="152">
        <f t="shared" si="59"/>
        <v>114</v>
      </c>
      <c r="N386" s="153"/>
      <c r="O386" s="152"/>
      <c r="Q386" s="208"/>
      <c r="R386" s="208"/>
      <c r="S386"/>
      <c r="T386" s="208"/>
      <c r="U386" s="208"/>
      <c r="V386" s="208"/>
      <c r="W386" s="208"/>
      <c r="X386" s="208"/>
      <c r="Y386" s="208"/>
      <c r="Z386" s="208"/>
      <c r="AA386" s="208"/>
      <c r="AB386" s="208"/>
      <c r="AC386" s="208"/>
      <c r="AD386" s="208"/>
      <c r="AE386" s="208"/>
      <c r="AF386" s="208"/>
      <c r="AG386" s="208"/>
      <c r="AH386" s="208"/>
      <c r="AI386" s="208"/>
      <c r="AJ386" s="208"/>
      <c r="AK386" s="208"/>
      <c r="AL386" s="208"/>
      <c r="AM386" s="208"/>
      <c r="AN386" s="208"/>
      <c r="AO386" s="208"/>
      <c r="AP386" s="208"/>
      <c r="AQ386" s="208"/>
      <c r="AR386" s="208"/>
      <c r="AS386" s="208"/>
      <c r="AT386" s="208"/>
      <c r="AU386" s="208"/>
      <c r="AV386" s="208"/>
      <c r="AW386" s="208"/>
      <c r="AX386" s="208"/>
      <c r="AY386" s="208"/>
      <c r="AZ386" s="208"/>
      <c r="BA386" s="208"/>
      <c r="BB386" s="208"/>
      <c r="BC386" s="208"/>
      <c r="BD386" s="208"/>
      <c r="BE386" s="208"/>
      <c r="BF386" s="208"/>
      <c r="BG386" s="208"/>
      <c r="BH386" s="208"/>
      <c r="BI386" s="208"/>
      <c r="BJ386" s="208"/>
      <c r="BK386" s="208"/>
      <c r="BL386" s="208"/>
      <c r="BM386" s="208"/>
      <c r="BN386" s="208"/>
      <c r="BO386" s="208"/>
      <c r="BP386" s="208"/>
      <c r="BQ386" s="208"/>
      <c r="BR386" s="208"/>
      <c r="BS386" s="208"/>
      <c r="BT386" s="208"/>
      <c r="BU386" s="208"/>
      <c r="BV386" s="208"/>
      <c r="BW386" s="208"/>
      <c r="BX386" s="208"/>
      <c r="BY386" s="208"/>
      <c r="BZ386" s="208"/>
      <c r="CA386" s="208"/>
      <c r="CB386" s="208"/>
      <c r="CC386" s="208"/>
      <c r="CD386" s="208"/>
      <c r="CE386" s="208"/>
      <c r="CF386" s="208"/>
      <c r="CG386" s="208"/>
      <c r="CH386" s="208"/>
      <c r="CI386" s="208"/>
      <c r="CJ386" s="208"/>
      <c r="CK386" s="208"/>
      <c r="CL386" s="208"/>
      <c r="CM386" s="208"/>
      <c r="CN386" s="208"/>
      <c r="CO386" s="208"/>
      <c r="CP386" s="208"/>
      <c r="CQ386" s="208"/>
      <c r="CR386" s="208"/>
      <c r="CS386" s="208"/>
      <c r="CT386" s="208"/>
      <c r="CU386" s="208"/>
      <c r="CV386" s="208"/>
      <c r="CW386" s="208"/>
      <c r="CX386" s="208"/>
      <c r="CY386" s="208"/>
      <c r="CZ386" s="208"/>
      <c r="DA386" s="208"/>
      <c r="DB386" s="208"/>
      <c r="DC386" s="208"/>
      <c r="DD386" s="208"/>
      <c r="DE386" s="208"/>
      <c r="DF386" s="208"/>
      <c r="DG386" s="208"/>
      <c r="DH386" s="208"/>
      <c r="DI386" s="208"/>
      <c r="DJ386" s="208"/>
      <c r="DK386" s="208"/>
      <c r="DL386" s="208"/>
      <c r="DM386" s="208"/>
      <c r="DN386" s="208"/>
      <c r="DO386" s="208"/>
      <c r="DP386" s="208"/>
      <c r="DQ386" s="208"/>
      <c r="DR386" s="208"/>
      <c r="DS386" s="208"/>
      <c r="DT386" s="208"/>
      <c r="DU386" s="208"/>
      <c r="DV386" s="208"/>
      <c r="DW386" s="208"/>
      <c r="DX386" s="208"/>
      <c r="DY386" s="208"/>
      <c r="DZ386" s="208"/>
      <c r="EA386" s="208"/>
      <c r="EB386" s="208"/>
      <c r="EC386" s="208"/>
      <c r="ED386" s="208"/>
      <c r="EE386" s="208"/>
      <c r="EF386" s="208"/>
      <c r="EG386" s="208"/>
      <c r="EH386" s="208"/>
      <c r="EI386" s="208"/>
      <c r="EJ386" s="208"/>
      <c r="EK386" s="208"/>
      <c r="EL386" s="208"/>
      <c r="EM386" s="208"/>
      <c r="EN386" s="208"/>
      <c r="EO386" s="208"/>
      <c r="EP386" s="208"/>
      <c r="EQ386" s="208"/>
      <c r="ER386" s="208"/>
      <c r="ES386" s="208"/>
      <c r="ET386" s="208"/>
      <c r="EU386" s="208"/>
      <c r="EV386" s="208"/>
      <c r="EW386" s="208"/>
      <c r="EX386" s="208"/>
      <c r="EY386" s="208"/>
      <c r="EZ386" s="208"/>
      <c r="FA386" s="208"/>
      <c r="FB386" s="208"/>
      <c r="FC386" s="208"/>
      <c r="FD386" s="208"/>
      <c r="FE386" s="208"/>
      <c r="FF386" s="208"/>
      <c r="FG386" s="208"/>
      <c r="FH386" s="208"/>
      <c r="FI386" s="208"/>
      <c r="FJ386" s="208"/>
      <c r="FK386" s="208"/>
      <c r="FL386" s="208"/>
      <c r="FM386" s="208"/>
      <c r="FN386" s="208"/>
      <c r="FO386" s="208"/>
      <c r="FP386" s="208"/>
      <c r="FQ386" s="208"/>
      <c r="FR386" s="208"/>
      <c r="FS386" s="208"/>
      <c r="FT386" s="208"/>
      <c r="FU386" s="208"/>
      <c r="FV386" s="208"/>
      <c r="FW386" s="208"/>
      <c r="FX386" s="208"/>
      <c r="FY386" s="208"/>
      <c r="FZ386" s="208"/>
      <c r="GA386" s="208"/>
      <c r="GB386" s="208"/>
      <c r="GC386" s="208"/>
      <c r="GD386" s="208"/>
      <c r="GE386" s="208"/>
      <c r="GF386" s="208"/>
    </row>
    <row r="387" spans="1:188" s="209" customFormat="1" ht="15" x14ac:dyDescent="0.25">
      <c r="A387" s="195" t="s">
        <v>5171</v>
      </c>
      <c r="B387" s="195" t="s">
        <v>2596</v>
      </c>
      <c r="C387" s="196" t="s">
        <v>2597</v>
      </c>
      <c r="D387" s="154" t="s">
        <v>28</v>
      </c>
      <c r="E387" s="154">
        <v>18</v>
      </c>
      <c r="F387" s="154"/>
      <c r="G387" s="197">
        <v>5</v>
      </c>
      <c r="H387" s="198">
        <f t="shared" si="55"/>
        <v>1.6666666666666666E-2</v>
      </c>
      <c r="I387" s="247">
        <v>24.88</v>
      </c>
      <c r="J387" s="152"/>
      <c r="K387" s="198"/>
      <c r="L387" s="152">
        <f t="shared" si="58"/>
        <v>7.46</v>
      </c>
      <c r="M387" s="152">
        <f t="shared" si="59"/>
        <v>447.6</v>
      </c>
      <c r="N387" s="153"/>
      <c r="O387" s="152"/>
      <c r="Q387" s="208"/>
      <c r="R387" s="208"/>
      <c r="S387"/>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Q387" s="208"/>
      <c r="BR387" s="208"/>
      <c r="BS387" s="208"/>
      <c r="BT387" s="208"/>
      <c r="BU387" s="208"/>
      <c r="BV387" s="208"/>
      <c r="BW387" s="208"/>
      <c r="BX387" s="208"/>
      <c r="BY387" s="208"/>
      <c r="BZ387" s="208"/>
      <c r="CA387" s="208"/>
      <c r="CB387" s="208"/>
      <c r="CC387" s="208"/>
      <c r="CD387" s="208"/>
      <c r="CE387" s="208"/>
      <c r="CF387" s="208"/>
      <c r="CG387" s="208"/>
      <c r="CH387" s="208"/>
      <c r="CI387" s="208"/>
      <c r="CJ387" s="208"/>
      <c r="CK387" s="208"/>
      <c r="CL387" s="208"/>
      <c r="CM387" s="208"/>
      <c r="CN387" s="208"/>
      <c r="CO387" s="208"/>
      <c r="CP387" s="208"/>
      <c r="CQ387" s="208"/>
      <c r="CR387" s="208"/>
      <c r="CS387" s="208"/>
      <c r="CT387" s="208"/>
      <c r="CU387" s="208"/>
      <c r="CV387" s="208"/>
      <c r="CW387" s="208"/>
      <c r="CX387" s="208"/>
      <c r="CY387" s="208"/>
      <c r="CZ387" s="208"/>
      <c r="DA387" s="208"/>
      <c r="DB387" s="208"/>
      <c r="DC387" s="208"/>
      <c r="DD387" s="208"/>
      <c r="DE387" s="208"/>
      <c r="DF387" s="208"/>
      <c r="DG387" s="208"/>
      <c r="DH387" s="208"/>
      <c r="DI387" s="208"/>
      <c r="DJ387" s="208"/>
      <c r="DK387" s="208"/>
      <c r="DL387" s="208"/>
      <c r="DM387" s="208"/>
      <c r="DN387" s="208"/>
      <c r="DO387" s="208"/>
      <c r="DP387" s="208"/>
      <c r="DQ387" s="208"/>
      <c r="DR387" s="208"/>
      <c r="DS387" s="208"/>
      <c r="DT387" s="208"/>
      <c r="DU387" s="208"/>
      <c r="DV387" s="208"/>
      <c r="DW387" s="208"/>
      <c r="DX387" s="208"/>
      <c r="DY387" s="208"/>
      <c r="DZ387" s="208"/>
      <c r="EA387" s="208"/>
      <c r="EB387" s="208"/>
      <c r="EC387" s="208"/>
      <c r="ED387" s="208"/>
      <c r="EE387" s="208"/>
      <c r="EF387" s="208"/>
      <c r="EG387" s="208"/>
      <c r="EH387" s="208"/>
      <c r="EI387" s="208"/>
      <c r="EJ387" s="208"/>
      <c r="EK387" s="208"/>
      <c r="EL387" s="208"/>
      <c r="EM387" s="208"/>
      <c r="EN387" s="208"/>
      <c r="EO387" s="208"/>
      <c r="EP387" s="208"/>
      <c r="EQ387" s="208"/>
      <c r="ER387" s="208"/>
      <c r="ES387" s="208"/>
      <c r="ET387" s="208"/>
      <c r="EU387" s="208"/>
      <c r="EV387" s="208"/>
      <c r="EW387" s="208"/>
      <c r="EX387" s="208"/>
      <c r="EY387" s="208"/>
      <c r="EZ387" s="208"/>
      <c r="FA387" s="208"/>
      <c r="FB387" s="208"/>
      <c r="FC387" s="208"/>
      <c r="FD387" s="208"/>
      <c r="FE387" s="208"/>
      <c r="FF387" s="208"/>
      <c r="FG387" s="208"/>
      <c r="FH387" s="208"/>
      <c r="FI387" s="208"/>
      <c r="FJ387" s="208"/>
      <c r="FK387" s="208"/>
      <c r="FL387" s="208"/>
      <c r="FM387" s="208"/>
      <c r="FN387" s="208"/>
      <c r="FO387" s="208"/>
      <c r="FP387" s="208"/>
      <c r="FQ387" s="208"/>
      <c r="FR387" s="208"/>
      <c r="FS387" s="208"/>
      <c r="FT387" s="208"/>
      <c r="FU387" s="208"/>
      <c r="FV387" s="208"/>
      <c r="FW387" s="208"/>
      <c r="FX387" s="208"/>
      <c r="FY387" s="208"/>
      <c r="FZ387" s="208"/>
      <c r="GA387" s="208"/>
      <c r="GB387" s="208"/>
      <c r="GC387" s="208"/>
      <c r="GD387" s="208"/>
      <c r="GE387" s="208"/>
      <c r="GF387" s="208"/>
    </row>
    <row r="388" spans="1:188" s="209" customFormat="1" ht="15" x14ac:dyDescent="0.25">
      <c r="A388" s="195" t="s">
        <v>5172</v>
      </c>
      <c r="B388" s="195" t="s">
        <v>2501</v>
      </c>
      <c r="C388" s="196" t="s">
        <v>2502</v>
      </c>
      <c r="D388" s="154" t="s">
        <v>28</v>
      </c>
      <c r="E388" s="154">
        <v>18</v>
      </c>
      <c r="F388" s="154"/>
      <c r="G388" s="197">
        <v>5</v>
      </c>
      <c r="H388" s="198">
        <f t="shared" si="55"/>
        <v>1.6666666666666666E-2</v>
      </c>
      <c r="I388" s="247">
        <v>41.61</v>
      </c>
      <c r="J388" s="152"/>
      <c r="K388" s="198"/>
      <c r="L388" s="152">
        <f t="shared" si="58"/>
        <v>12.48</v>
      </c>
      <c r="M388" s="152">
        <f t="shared" si="59"/>
        <v>748.8</v>
      </c>
      <c r="N388" s="153"/>
      <c r="O388" s="152"/>
      <c r="Q388" s="208"/>
      <c r="R388" s="208"/>
      <c r="S388"/>
      <c r="T388" s="208"/>
      <c r="U388" s="208"/>
      <c r="V388" s="208"/>
      <c r="W388" s="208"/>
      <c r="X388" s="208"/>
      <c r="Y388" s="208"/>
      <c r="Z388" s="208"/>
      <c r="AA388" s="208"/>
      <c r="AB388" s="208"/>
      <c r="AC388" s="208"/>
      <c r="AD388" s="208"/>
      <c r="AE388" s="208"/>
      <c r="AF388" s="208"/>
      <c r="AG388" s="208"/>
      <c r="AH388" s="208"/>
      <c r="AI388" s="208"/>
      <c r="AJ388" s="208"/>
      <c r="AK388" s="208"/>
      <c r="AL388" s="208"/>
      <c r="AM388" s="208"/>
      <c r="AN388" s="208"/>
      <c r="AO388" s="208"/>
      <c r="AP388" s="208"/>
      <c r="AQ388" s="208"/>
      <c r="AR388" s="208"/>
      <c r="AS388" s="208"/>
      <c r="AT388" s="208"/>
      <c r="AU388" s="208"/>
      <c r="AV388" s="208"/>
      <c r="AW388" s="208"/>
      <c r="AX388" s="208"/>
      <c r="AY388" s="208"/>
      <c r="AZ388" s="208"/>
      <c r="BA388" s="208"/>
      <c r="BB388" s="208"/>
      <c r="BC388" s="208"/>
      <c r="BD388" s="208"/>
      <c r="BE388" s="208"/>
      <c r="BF388" s="208"/>
      <c r="BG388" s="208"/>
      <c r="BH388" s="208"/>
      <c r="BI388" s="208"/>
      <c r="BJ388" s="208"/>
      <c r="BK388" s="208"/>
      <c r="BL388" s="208"/>
      <c r="BM388" s="208"/>
      <c r="BN388" s="208"/>
      <c r="BO388" s="208"/>
      <c r="BP388" s="208"/>
      <c r="BQ388" s="208"/>
      <c r="BR388" s="208"/>
      <c r="BS388" s="208"/>
      <c r="BT388" s="208"/>
      <c r="BU388" s="208"/>
      <c r="BV388" s="208"/>
      <c r="BW388" s="208"/>
      <c r="BX388" s="208"/>
      <c r="BY388" s="208"/>
      <c r="BZ388" s="208"/>
      <c r="CA388" s="208"/>
      <c r="CB388" s="208"/>
      <c r="CC388" s="208"/>
      <c r="CD388" s="208"/>
      <c r="CE388" s="208"/>
      <c r="CF388" s="208"/>
      <c r="CG388" s="208"/>
      <c r="CH388" s="208"/>
      <c r="CI388" s="208"/>
      <c r="CJ388" s="208"/>
      <c r="CK388" s="208"/>
      <c r="CL388" s="208"/>
      <c r="CM388" s="208"/>
      <c r="CN388" s="208"/>
      <c r="CO388" s="208"/>
      <c r="CP388" s="208"/>
      <c r="CQ388" s="208"/>
      <c r="CR388" s="208"/>
      <c r="CS388" s="208"/>
      <c r="CT388" s="208"/>
      <c r="CU388" s="208"/>
      <c r="CV388" s="208"/>
      <c r="CW388" s="208"/>
      <c r="CX388" s="208"/>
      <c r="CY388" s="208"/>
      <c r="CZ388" s="208"/>
      <c r="DA388" s="208"/>
      <c r="DB388" s="208"/>
      <c r="DC388" s="208"/>
      <c r="DD388" s="208"/>
      <c r="DE388" s="208"/>
      <c r="DF388" s="208"/>
      <c r="DG388" s="208"/>
      <c r="DH388" s="208"/>
      <c r="DI388" s="208"/>
      <c r="DJ388" s="208"/>
      <c r="DK388" s="208"/>
      <c r="DL388" s="208"/>
      <c r="DM388" s="208"/>
      <c r="DN388" s="208"/>
      <c r="DO388" s="208"/>
      <c r="DP388" s="208"/>
      <c r="DQ388" s="208"/>
      <c r="DR388" s="208"/>
      <c r="DS388" s="208"/>
      <c r="DT388" s="208"/>
      <c r="DU388" s="208"/>
      <c r="DV388" s="208"/>
      <c r="DW388" s="208"/>
      <c r="DX388" s="208"/>
      <c r="DY388" s="208"/>
      <c r="DZ388" s="208"/>
      <c r="EA388" s="208"/>
      <c r="EB388" s="208"/>
      <c r="EC388" s="208"/>
      <c r="ED388" s="208"/>
      <c r="EE388" s="208"/>
      <c r="EF388" s="208"/>
      <c r="EG388" s="208"/>
      <c r="EH388" s="208"/>
      <c r="EI388" s="208"/>
      <c r="EJ388" s="208"/>
      <c r="EK388" s="208"/>
      <c r="EL388" s="208"/>
      <c r="EM388" s="208"/>
      <c r="EN388" s="208"/>
      <c r="EO388" s="208"/>
      <c r="EP388" s="208"/>
      <c r="EQ388" s="208"/>
      <c r="ER388" s="208"/>
      <c r="ES388" s="208"/>
      <c r="ET388" s="208"/>
      <c r="EU388" s="208"/>
      <c r="EV388" s="208"/>
      <c r="EW388" s="208"/>
      <c r="EX388" s="208"/>
      <c r="EY388" s="208"/>
      <c r="EZ388" s="208"/>
      <c r="FA388" s="208"/>
      <c r="FB388" s="208"/>
      <c r="FC388" s="208"/>
      <c r="FD388" s="208"/>
      <c r="FE388" s="208"/>
      <c r="FF388" s="208"/>
      <c r="FG388" s="208"/>
      <c r="FH388" s="208"/>
      <c r="FI388" s="208"/>
      <c r="FJ388" s="208"/>
      <c r="FK388" s="208"/>
      <c r="FL388" s="208"/>
      <c r="FM388" s="208"/>
      <c r="FN388" s="208"/>
      <c r="FO388" s="208"/>
      <c r="FP388" s="208"/>
      <c r="FQ388" s="208"/>
      <c r="FR388" s="208"/>
      <c r="FS388" s="208"/>
      <c r="FT388" s="208"/>
      <c r="FU388" s="208"/>
      <c r="FV388" s="208"/>
      <c r="FW388" s="208"/>
      <c r="FX388" s="208"/>
      <c r="FY388" s="208"/>
      <c r="FZ388" s="208"/>
      <c r="GA388" s="208"/>
      <c r="GB388" s="208"/>
      <c r="GC388" s="208"/>
      <c r="GD388" s="208"/>
      <c r="GE388" s="208"/>
      <c r="GF388" s="208"/>
    </row>
    <row r="389" spans="1:188" s="209" customFormat="1" ht="15" x14ac:dyDescent="0.25">
      <c r="A389" s="195" t="s">
        <v>5173</v>
      </c>
      <c r="B389" s="195" t="s">
        <v>675</v>
      </c>
      <c r="C389" s="196" t="s">
        <v>2503</v>
      </c>
      <c r="D389" s="154" t="s">
        <v>28</v>
      </c>
      <c r="E389" s="154">
        <v>8</v>
      </c>
      <c r="F389" s="154"/>
      <c r="G389" s="197">
        <v>5</v>
      </c>
      <c r="H389" s="198">
        <f t="shared" si="55"/>
        <v>1.6666666666666666E-2</v>
      </c>
      <c r="I389" s="151">
        <v>224.68</v>
      </c>
      <c r="J389" s="152"/>
      <c r="K389" s="198"/>
      <c r="L389" s="152">
        <f t="shared" si="58"/>
        <v>29.96</v>
      </c>
      <c r="M389" s="152">
        <f t="shared" si="59"/>
        <v>1797.6</v>
      </c>
      <c r="N389" s="153"/>
      <c r="O389" s="152"/>
      <c r="Q389" s="208"/>
      <c r="R389" s="208"/>
      <c r="S389"/>
      <c r="T389" s="208"/>
      <c r="U389" s="208"/>
      <c r="V389" s="208"/>
      <c r="W389" s="208"/>
      <c r="X389" s="208"/>
      <c r="Y389" s="208"/>
      <c r="Z389" s="208"/>
      <c r="AA389" s="208"/>
      <c r="AB389" s="208"/>
      <c r="AC389" s="208"/>
      <c r="AD389" s="208"/>
      <c r="AE389" s="208"/>
      <c r="AF389" s="208"/>
      <c r="AG389" s="208"/>
      <c r="AH389" s="208"/>
      <c r="AI389" s="208"/>
      <c r="AJ389" s="208"/>
      <c r="AK389" s="208"/>
      <c r="AL389" s="208"/>
      <c r="AM389" s="208"/>
      <c r="AN389" s="208"/>
      <c r="AO389" s="208"/>
      <c r="AP389" s="208"/>
      <c r="AQ389" s="208"/>
      <c r="AR389" s="208"/>
      <c r="AS389" s="208"/>
      <c r="AT389" s="208"/>
      <c r="AU389" s="208"/>
      <c r="AV389" s="208"/>
      <c r="AW389" s="208"/>
      <c r="AX389" s="208"/>
      <c r="AY389" s="208"/>
      <c r="AZ389" s="208"/>
      <c r="BA389" s="208"/>
      <c r="BB389" s="208"/>
      <c r="BC389" s="208"/>
      <c r="BD389" s="208"/>
      <c r="BE389" s="208"/>
      <c r="BF389" s="208"/>
      <c r="BG389" s="208"/>
      <c r="BH389" s="208"/>
      <c r="BI389" s="208"/>
      <c r="BJ389" s="208"/>
      <c r="BK389" s="208"/>
      <c r="BL389" s="208"/>
      <c r="BM389" s="208"/>
      <c r="BN389" s="208"/>
      <c r="BO389" s="208"/>
      <c r="BP389" s="208"/>
      <c r="BQ389" s="208"/>
      <c r="BR389" s="208"/>
      <c r="BS389" s="208"/>
      <c r="BT389" s="208"/>
      <c r="BU389" s="208"/>
      <c r="BV389" s="208"/>
      <c r="BW389" s="208"/>
      <c r="BX389" s="208"/>
      <c r="BY389" s="208"/>
      <c r="BZ389" s="208"/>
      <c r="CA389" s="208"/>
      <c r="CB389" s="208"/>
      <c r="CC389" s="208"/>
      <c r="CD389" s="208"/>
      <c r="CE389" s="208"/>
      <c r="CF389" s="208"/>
      <c r="CG389" s="208"/>
      <c r="CH389" s="208"/>
      <c r="CI389" s="208"/>
      <c r="CJ389" s="208"/>
      <c r="CK389" s="208"/>
      <c r="CL389" s="208"/>
      <c r="CM389" s="208"/>
      <c r="CN389" s="208"/>
      <c r="CO389" s="208"/>
      <c r="CP389" s="208"/>
      <c r="CQ389" s="208"/>
      <c r="CR389" s="208"/>
      <c r="CS389" s="208"/>
      <c r="CT389" s="208"/>
      <c r="CU389" s="208"/>
      <c r="CV389" s="208"/>
      <c r="CW389" s="208"/>
      <c r="CX389" s="208"/>
      <c r="CY389" s="208"/>
      <c r="CZ389" s="208"/>
      <c r="DA389" s="208"/>
      <c r="DB389" s="208"/>
      <c r="DC389" s="208"/>
      <c r="DD389" s="208"/>
      <c r="DE389" s="208"/>
      <c r="DF389" s="208"/>
      <c r="DG389" s="208"/>
      <c r="DH389" s="208"/>
      <c r="DI389" s="208"/>
      <c r="DJ389" s="208"/>
      <c r="DK389" s="208"/>
      <c r="DL389" s="208"/>
      <c r="DM389" s="208"/>
      <c r="DN389" s="208"/>
      <c r="DO389" s="208"/>
      <c r="DP389" s="208"/>
      <c r="DQ389" s="208"/>
      <c r="DR389" s="208"/>
      <c r="DS389" s="208"/>
      <c r="DT389" s="208"/>
      <c r="DU389" s="208"/>
      <c r="DV389" s="208"/>
      <c r="DW389" s="208"/>
      <c r="DX389" s="208"/>
      <c r="DY389" s="208"/>
      <c r="DZ389" s="208"/>
      <c r="EA389" s="208"/>
      <c r="EB389" s="208"/>
      <c r="EC389" s="208"/>
      <c r="ED389" s="208"/>
      <c r="EE389" s="208"/>
      <c r="EF389" s="208"/>
      <c r="EG389" s="208"/>
      <c r="EH389" s="208"/>
      <c r="EI389" s="208"/>
      <c r="EJ389" s="208"/>
      <c r="EK389" s="208"/>
      <c r="EL389" s="208"/>
      <c r="EM389" s="208"/>
      <c r="EN389" s="208"/>
      <c r="EO389" s="208"/>
      <c r="EP389" s="208"/>
      <c r="EQ389" s="208"/>
      <c r="ER389" s="208"/>
      <c r="ES389" s="208"/>
      <c r="ET389" s="208"/>
      <c r="EU389" s="208"/>
      <c r="EV389" s="208"/>
      <c r="EW389" s="208"/>
      <c r="EX389" s="208"/>
      <c r="EY389" s="208"/>
      <c r="EZ389" s="208"/>
      <c r="FA389" s="208"/>
      <c r="FB389" s="208"/>
      <c r="FC389" s="208"/>
      <c r="FD389" s="208"/>
      <c r="FE389" s="208"/>
      <c r="FF389" s="208"/>
      <c r="FG389" s="208"/>
      <c r="FH389" s="208"/>
      <c r="FI389" s="208"/>
      <c r="FJ389" s="208"/>
      <c r="FK389" s="208"/>
      <c r="FL389" s="208"/>
      <c r="FM389" s="208"/>
      <c r="FN389" s="208"/>
      <c r="FO389" s="208"/>
      <c r="FP389" s="208"/>
      <c r="FQ389" s="208"/>
      <c r="FR389" s="208"/>
      <c r="FS389" s="208"/>
      <c r="FT389" s="208"/>
      <c r="FU389" s="208"/>
      <c r="FV389" s="208"/>
      <c r="FW389" s="208"/>
      <c r="FX389" s="208"/>
      <c r="FY389" s="208"/>
      <c r="FZ389" s="208"/>
      <c r="GA389" s="208"/>
      <c r="GB389" s="208"/>
      <c r="GC389" s="208"/>
      <c r="GD389" s="208"/>
      <c r="GE389" s="208"/>
      <c r="GF389" s="208"/>
    </row>
    <row r="390" spans="1:188" s="209" customFormat="1" ht="15" x14ac:dyDescent="0.25">
      <c r="A390" s="195" t="s">
        <v>5174</v>
      </c>
      <c r="B390" s="195" t="s">
        <v>2504</v>
      </c>
      <c r="C390" s="196" t="s">
        <v>2505</v>
      </c>
      <c r="D390" s="154" t="s">
        <v>28</v>
      </c>
      <c r="E390" s="154">
        <v>3</v>
      </c>
      <c r="F390" s="154"/>
      <c r="G390" s="197">
        <v>5</v>
      </c>
      <c r="H390" s="198">
        <f t="shared" si="55"/>
        <v>1.6666666666666666E-2</v>
      </c>
      <c r="I390" s="247">
        <v>155.30000000000001</v>
      </c>
      <c r="J390" s="152"/>
      <c r="K390" s="198"/>
      <c r="L390" s="152">
        <f t="shared" si="58"/>
        <v>7.77</v>
      </c>
      <c r="M390" s="152">
        <f t="shared" si="59"/>
        <v>466.2</v>
      </c>
      <c r="N390" s="153"/>
      <c r="O390" s="152"/>
      <c r="Q390" s="208"/>
      <c r="R390" s="208"/>
      <c r="S390"/>
      <c r="T390" s="208"/>
      <c r="U390" s="208"/>
      <c r="V390" s="208"/>
      <c r="W390" s="208"/>
      <c r="X390" s="208"/>
      <c r="Y390" s="208"/>
      <c r="Z390" s="208"/>
      <c r="AA390" s="208"/>
      <c r="AB390" s="208"/>
      <c r="AC390" s="208"/>
      <c r="AD390" s="208"/>
      <c r="AE390" s="208"/>
      <c r="AF390" s="208"/>
      <c r="AG390" s="208"/>
      <c r="AH390" s="208"/>
      <c r="AI390" s="208"/>
      <c r="AJ390" s="208"/>
      <c r="AK390" s="208"/>
      <c r="AL390" s="208"/>
      <c r="AM390" s="208"/>
      <c r="AN390" s="208"/>
      <c r="AO390" s="208"/>
      <c r="AP390" s="208"/>
      <c r="AQ390" s="208"/>
      <c r="AR390" s="208"/>
      <c r="AS390" s="208"/>
      <c r="AT390" s="208"/>
      <c r="AU390" s="208"/>
      <c r="AV390" s="208"/>
      <c r="AW390" s="208"/>
      <c r="AX390" s="208"/>
      <c r="AY390" s="208"/>
      <c r="AZ390" s="208"/>
      <c r="BA390" s="208"/>
      <c r="BB390" s="208"/>
      <c r="BC390" s="208"/>
      <c r="BD390" s="208"/>
      <c r="BE390" s="208"/>
      <c r="BF390" s="208"/>
      <c r="BG390" s="208"/>
      <c r="BH390" s="208"/>
      <c r="BI390" s="208"/>
      <c r="BJ390" s="208"/>
      <c r="BK390" s="208"/>
      <c r="BL390" s="208"/>
      <c r="BM390" s="208"/>
      <c r="BN390" s="208"/>
      <c r="BO390" s="208"/>
      <c r="BP390" s="208"/>
      <c r="BQ390" s="208"/>
      <c r="BR390" s="208"/>
      <c r="BS390" s="208"/>
      <c r="BT390" s="208"/>
      <c r="BU390" s="208"/>
      <c r="BV390" s="208"/>
      <c r="BW390" s="208"/>
      <c r="BX390" s="208"/>
      <c r="BY390" s="208"/>
      <c r="BZ390" s="208"/>
      <c r="CA390" s="208"/>
      <c r="CB390" s="208"/>
      <c r="CC390" s="208"/>
      <c r="CD390" s="208"/>
      <c r="CE390" s="208"/>
      <c r="CF390" s="208"/>
      <c r="CG390" s="208"/>
      <c r="CH390" s="208"/>
      <c r="CI390" s="208"/>
      <c r="CJ390" s="208"/>
      <c r="CK390" s="208"/>
      <c r="CL390" s="208"/>
      <c r="CM390" s="208"/>
      <c r="CN390" s="208"/>
      <c r="CO390" s="208"/>
      <c r="CP390" s="208"/>
      <c r="CQ390" s="208"/>
      <c r="CR390" s="208"/>
      <c r="CS390" s="208"/>
      <c r="CT390" s="208"/>
      <c r="CU390" s="208"/>
      <c r="CV390" s="208"/>
      <c r="CW390" s="208"/>
      <c r="CX390" s="208"/>
      <c r="CY390" s="208"/>
      <c r="CZ390" s="208"/>
      <c r="DA390" s="208"/>
      <c r="DB390" s="208"/>
      <c r="DC390" s="208"/>
      <c r="DD390" s="208"/>
      <c r="DE390" s="208"/>
      <c r="DF390" s="208"/>
      <c r="DG390" s="208"/>
      <c r="DH390" s="208"/>
      <c r="DI390" s="208"/>
      <c r="DJ390" s="208"/>
      <c r="DK390" s="208"/>
      <c r="DL390" s="208"/>
      <c r="DM390" s="208"/>
      <c r="DN390" s="208"/>
      <c r="DO390" s="208"/>
      <c r="DP390" s="208"/>
      <c r="DQ390" s="208"/>
      <c r="DR390" s="208"/>
      <c r="DS390" s="208"/>
      <c r="DT390" s="208"/>
      <c r="DU390" s="208"/>
      <c r="DV390" s="208"/>
      <c r="DW390" s="208"/>
      <c r="DX390" s="208"/>
      <c r="DY390" s="208"/>
      <c r="DZ390" s="208"/>
      <c r="EA390" s="208"/>
      <c r="EB390" s="208"/>
      <c r="EC390" s="208"/>
      <c r="ED390" s="208"/>
      <c r="EE390" s="208"/>
      <c r="EF390" s="208"/>
      <c r="EG390" s="208"/>
      <c r="EH390" s="208"/>
      <c r="EI390" s="208"/>
      <c r="EJ390" s="208"/>
      <c r="EK390" s="208"/>
      <c r="EL390" s="208"/>
      <c r="EM390" s="208"/>
      <c r="EN390" s="208"/>
      <c r="EO390" s="208"/>
      <c r="EP390" s="208"/>
      <c r="EQ390" s="208"/>
      <c r="ER390" s="208"/>
      <c r="ES390" s="208"/>
      <c r="ET390" s="208"/>
      <c r="EU390" s="208"/>
      <c r="EV390" s="208"/>
      <c r="EW390" s="208"/>
      <c r="EX390" s="208"/>
      <c r="EY390" s="208"/>
      <c r="EZ390" s="208"/>
      <c r="FA390" s="208"/>
      <c r="FB390" s="208"/>
      <c r="FC390" s="208"/>
      <c r="FD390" s="208"/>
      <c r="FE390" s="208"/>
      <c r="FF390" s="208"/>
      <c r="FG390" s="208"/>
      <c r="FH390" s="208"/>
      <c r="FI390" s="208"/>
      <c r="FJ390" s="208"/>
      <c r="FK390" s="208"/>
      <c r="FL390" s="208"/>
      <c r="FM390" s="208"/>
      <c r="FN390" s="208"/>
      <c r="FO390" s="208"/>
      <c r="FP390" s="208"/>
      <c r="FQ390" s="208"/>
      <c r="FR390" s="208"/>
      <c r="FS390" s="208"/>
      <c r="FT390" s="208"/>
      <c r="FU390" s="208"/>
      <c r="FV390" s="208"/>
      <c r="FW390" s="208"/>
      <c r="FX390" s="208"/>
      <c r="FY390" s="208"/>
      <c r="FZ390" s="208"/>
      <c r="GA390" s="208"/>
      <c r="GB390" s="208"/>
      <c r="GC390" s="208"/>
      <c r="GD390" s="208"/>
      <c r="GE390" s="208"/>
      <c r="GF390" s="208"/>
    </row>
    <row r="391" spans="1:188" s="209" customFormat="1" ht="15" x14ac:dyDescent="0.25">
      <c r="A391" s="195" t="s">
        <v>5175</v>
      </c>
      <c r="B391" s="195" t="s">
        <v>2506</v>
      </c>
      <c r="C391" s="196" t="s">
        <v>2507</v>
      </c>
      <c r="D391" s="154" t="s">
        <v>28</v>
      </c>
      <c r="E391" s="154">
        <v>18</v>
      </c>
      <c r="F391" s="154"/>
      <c r="G391" s="197">
        <v>5</v>
      </c>
      <c r="H391" s="198">
        <f t="shared" si="55"/>
        <v>1.6666666666666666E-2</v>
      </c>
      <c r="I391" s="247">
        <v>32.799999999999997</v>
      </c>
      <c r="J391" s="152"/>
      <c r="K391" s="198"/>
      <c r="L391" s="152">
        <f t="shared" si="58"/>
        <v>9.84</v>
      </c>
      <c r="M391" s="152">
        <f t="shared" si="59"/>
        <v>590.4</v>
      </c>
      <c r="N391" s="153"/>
      <c r="O391" s="152"/>
      <c r="Q391" s="208"/>
      <c r="R391" s="208"/>
      <c r="S391"/>
      <c r="T391" s="208"/>
      <c r="U391" s="208"/>
      <c r="V391" s="208"/>
      <c r="W391" s="208"/>
      <c r="X391" s="208"/>
      <c r="Y391" s="208"/>
      <c r="Z391" s="208"/>
      <c r="AA391" s="208"/>
      <c r="AB391" s="208"/>
      <c r="AC391" s="208"/>
      <c r="AD391" s="208"/>
      <c r="AE391" s="208"/>
      <c r="AF391" s="208"/>
      <c r="AG391" s="208"/>
      <c r="AH391" s="208"/>
      <c r="AI391" s="208"/>
      <c r="AJ391" s="208"/>
      <c r="AK391" s="208"/>
      <c r="AL391" s="208"/>
      <c r="AM391" s="208"/>
      <c r="AN391" s="208"/>
      <c r="AO391" s="208"/>
      <c r="AP391" s="208"/>
      <c r="AQ391" s="208"/>
      <c r="AR391" s="208"/>
      <c r="AS391" s="208"/>
      <c r="AT391" s="208"/>
      <c r="AU391" s="208"/>
      <c r="AV391" s="208"/>
      <c r="AW391" s="208"/>
      <c r="AX391" s="208"/>
      <c r="AY391" s="208"/>
      <c r="AZ391" s="208"/>
      <c r="BA391" s="208"/>
      <c r="BB391" s="208"/>
      <c r="BC391" s="208"/>
      <c r="BD391" s="208"/>
      <c r="BE391" s="208"/>
      <c r="BF391" s="208"/>
      <c r="BG391" s="208"/>
      <c r="BH391" s="208"/>
      <c r="BI391" s="208"/>
      <c r="BJ391" s="208"/>
      <c r="BK391" s="208"/>
      <c r="BL391" s="208"/>
      <c r="BM391" s="208"/>
      <c r="BN391" s="208"/>
      <c r="BO391" s="208"/>
      <c r="BP391" s="208"/>
      <c r="BQ391" s="208"/>
      <c r="BR391" s="208"/>
      <c r="BS391" s="208"/>
      <c r="BT391" s="208"/>
      <c r="BU391" s="208"/>
      <c r="BV391" s="208"/>
      <c r="BW391" s="208"/>
      <c r="BX391" s="208"/>
      <c r="BY391" s="208"/>
      <c r="BZ391" s="208"/>
      <c r="CA391" s="208"/>
      <c r="CB391" s="208"/>
      <c r="CC391" s="208"/>
      <c r="CD391" s="208"/>
      <c r="CE391" s="208"/>
      <c r="CF391" s="208"/>
      <c r="CG391" s="208"/>
      <c r="CH391" s="208"/>
      <c r="CI391" s="208"/>
      <c r="CJ391" s="208"/>
      <c r="CK391" s="208"/>
      <c r="CL391" s="208"/>
      <c r="CM391" s="208"/>
      <c r="CN391" s="208"/>
      <c r="CO391" s="208"/>
      <c r="CP391" s="208"/>
      <c r="CQ391" s="208"/>
      <c r="CR391" s="208"/>
      <c r="CS391" s="208"/>
      <c r="CT391" s="208"/>
      <c r="CU391" s="208"/>
      <c r="CV391" s="208"/>
      <c r="CW391" s="208"/>
      <c r="CX391" s="208"/>
      <c r="CY391" s="208"/>
      <c r="CZ391" s="208"/>
      <c r="DA391" s="208"/>
      <c r="DB391" s="208"/>
      <c r="DC391" s="208"/>
      <c r="DD391" s="208"/>
      <c r="DE391" s="208"/>
      <c r="DF391" s="208"/>
      <c r="DG391" s="208"/>
      <c r="DH391" s="208"/>
      <c r="DI391" s="208"/>
      <c r="DJ391" s="208"/>
      <c r="DK391" s="208"/>
      <c r="DL391" s="208"/>
      <c r="DM391" s="208"/>
      <c r="DN391" s="208"/>
      <c r="DO391" s="208"/>
      <c r="DP391" s="208"/>
      <c r="DQ391" s="208"/>
      <c r="DR391" s="208"/>
      <c r="DS391" s="208"/>
      <c r="DT391" s="208"/>
      <c r="DU391" s="208"/>
      <c r="DV391" s="208"/>
      <c r="DW391" s="208"/>
      <c r="DX391" s="208"/>
      <c r="DY391" s="208"/>
      <c r="DZ391" s="208"/>
      <c r="EA391" s="208"/>
      <c r="EB391" s="208"/>
      <c r="EC391" s="208"/>
      <c r="ED391" s="208"/>
      <c r="EE391" s="208"/>
      <c r="EF391" s="208"/>
      <c r="EG391" s="208"/>
      <c r="EH391" s="208"/>
      <c r="EI391" s="208"/>
      <c r="EJ391" s="208"/>
      <c r="EK391" s="208"/>
      <c r="EL391" s="208"/>
      <c r="EM391" s="208"/>
      <c r="EN391" s="208"/>
      <c r="EO391" s="208"/>
      <c r="EP391" s="208"/>
      <c r="EQ391" s="208"/>
      <c r="ER391" s="208"/>
      <c r="ES391" s="208"/>
      <c r="ET391" s="208"/>
      <c r="EU391" s="208"/>
      <c r="EV391" s="208"/>
      <c r="EW391" s="208"/>
      <c r="EX391" s="208"/>
      <c r="EY391" s="208"/>
      <c r="EZ391" s="208"/>
      <c r="FA391" s="208"/>
      <c r="FB391" s="208"/>
      <c r="FC391" s="208"/>
      <c r="FD391" s="208"/>
      <c r="FE391" s="208"/>
      <c r="FF391" s="208"/>
      <c r="FG391" s="208"/>
      <c r="FH391" s="208"/>
      <c r="FI391" s="208"/>
      <c r="FJ391" s="208"/>
      <c r="FK391" s="208"/>
      <c r="FL391" s="208"/>
      <c r="FM391" s="208"/>
      <c r="FN391" s="208"/>
      <c r="FO391" s="208"/>
      <c r="FP391" s="208"/>
      <c r="FQ391" s="208"/>
      <c r="FR391" s="208"/>
      <c r="FS391" s="208"/>
      <c r="FT391" s="208"/>
      <c r="FU391" s="208"/>
      <c r="FV391" s="208"/>
      <c r="FW391" s="208"/>
      <c r="FX391" s="208"/>
      <c r="FY391" s="208"/>
      <c r="FZ391" s="208"/>
      <c r="GA391" s="208"/>
      <c r="GB391" s="208"/>
      <c r="GC391" s="208"/>
      <c r="GD391" s="208"/>
      <c r="GE391" s="208"/>
      <c r="GF391" s="208"/>
    </row>
    <row r="392" spans="1:188" s="209" customFormat="1" ht="15" x14ac:dyDescent="0.25">
      <c r="A392" s="195" t="s">
        <v>5176</v>
      </c>
      <c r="B392" s="195" t="s">
        <v>2508</v>
      </c>
      <c r="C392" s="196" t="s">
        <v>2509</v>
      </c>
      <c r="D392" s="154" t="s">
        <v>28</v>
      </c>
      <c r="E392" s="154">
        <v>18</v>
      </c>
      <c r="F392" s="154"/>
      <c r="G392" s="197">
        <v>5</v>
      </c>
      <c r="H392" s="198">
        <f t="shared" si="55"/>
        <v>1.6666666666666666E-2</v>
      </c>
      <c r="I392" s="247">
        <v>11.44</v>
      </c>
      <c r="J392" s="152"/>
      <c r="K392" s="198"/>
      <c r="L392" s="152">
        <f t="shared" si="58"/>
        <v>3.43</v>
      </c>
      <c r="M392" s="152">
        <f t="shared" si="59"/>
        <v>205.8</v>
      </c>
      <c r="N392" s="153"/>
      <c r="O392" s="152"/>
      <c r="Q392" s="208"/>
      <c r="R392" s="208"/>
      <c r="S392"/>
      <c r="T392" s="208"/>
      <c r="U392" s="208"/>
      <c r="V392" s="208"/>
      <c r="W392" s="208"/>
      <c r="X392" s="208"/>
      <c r="Y392" s="208"/>
      <c r="Z392" s="208"/>
      <c r="AA392" s="208"/>
      <c r="AB392" s="208"/>
      <c r="AC392" s="208"/>
      <c r="AD392" s="208"/>
      <c r="AE392" s="208"/>
      <c r="AF392" s="208"/>
      <c r="AG392" s="208"/>
      <c r="AH392" s="208"/>
      <c r="AI392" s="208"/>
      <c r="AJ392" s="208"/>
      <c r="AK392" s="208"/>
      <c r="AL392" s="208"/>
      <c r="AM392" s="208"/>
      <c r="AN392" s="208"/>
      <c r="AO392" s="208"/>
      <c r="AP392" s="208"/>
      <c r="AQ392" s="208"/>
      <c r="AR392" s="208"/>
      <c r="AS392" s="208"/>
      <c r="AT392" s="208"/>
      <c r="AU392" s="208"/>
      <c r="AV392" s="208"/>
      <c r="AW392" s="208"/>
      <c r="AX392" s="208"/>
      <c r="AY392" s="208"/>
      <c r="AZ392" s="208"/>
      <c r="BA392" s="208"/>
      <c r="BB392" s="208"/>
      <c r="BC392" s="208"/>
      <c r="BD392" s="208"/>
      <c r="BE392" s="208"/>
      <c r="BF392" s="208"/>
      <c r="BG392" s="208"/>
      <c r="BH392" s="208"/>
      <c r="BI392" s="208"/>
      <c r="BJ392" s="208"/>
      <c r="BK392" s="208"/>
      <c r="BL392" s="208"/>
      <c r="BM392" s="208"/>
      <c r="BN392" s="208"/>
      <c r="BO392" s="208"/>
      <c r="BP392" s="208"/>
      <c r="BQ392" s="208"/>
      <c r="BR392" s="208"/>
      <c r="BS392" s="208"/>
      <c r="BT392" s="208"/>
      <c r="BU392" s="208"/>
      <c r="BV392" s="208"/>
      <c r="BW392" s="208"/>
      <c r="BX392" s="208"/>
      <c r="BY392" s="208"/>
      <c r="BZ392" s="208"/>
      <c r="CA392" s="208"/>
      <c r="CB392" s="208"/>
      <c r="CC392" s="208"/>
      <c r="CD392" s="208"/>
      <c r="CE392" s="208"/>
      <c r="CF392" s="208"/>
      <c r="CG392" s="208"/>
      <c r="CH392" s="208"/>
      <c r="CI392" s="208"/>
      <c r="CJ392" s="208"/>
      <c r="CK392" s="208"/>
      <c r="CL392" s="208"/>
      <c r="CM392" s="208"/>
      <c r="CN392" s="208"/>
      <c r="CO392" s="208"/>
      <c r="CP392" s="208"/>
      <c r="CQ392" s="208"/>
      <c r="CR392" s="208"/>
      <c r="CS392" s="208"/>
      <c r="CT392" s="208"/>
      <c r="CU392" s="208"/>
      <c r="CV392" s="208"/>
      <c r="CW392" s="208"/>
      <c r="CX392" s="208"/>
      <c r="CY392" s="208"/>
      <c r="CZ392" s="208"/>
      <c r="DA392" s="208"/>
      <c r="DB392" s="208"/>
      <c r="DC392" s="208"/>
      <c r="DD392" s="208"/>
      <c r="DE392" s="208"/>
      <c r="DF392" s="208"/>
      <c r="DG392" s="208"/>
      <c r="DH392" s="208"/>
      <c r="DI392" s="208"/>
      <c r="DJ392" s="208"/>
      <c r="DK392" s="208"/>
      <c r="DL392" s="208"/>
      <c r="DM392" s="208"/>
      <c r="DN392" s="208"/>
      <c r="DO392" s="208"/>
      <c r="DP392" s="208"/>
      <c r="DQ392" s="208"/>
      <c r="DR392" s="208"/>
      <c r="DS392" s="208"/>
      <c r="DT392" s="208"/>
      <c r="DU392" s="208"/>
      <c r="DV392" s="208"/>
      <c r="DW392" s="208"/>
      <c r="DX392" s="208"/>
      <c r="DY392" s="208"/>
      <c r="DZ392" s="208"/>
      <c r="EA392" s="208"/>
      <c r="EB392" s="208"/>
      <c r="EC392" s="208"/>
      <c r="ED392" s="208"/>
      <c r="EE392" s="208"/>
      <c r="EF392" s="208"/>
      <c r="EG392" s="208"/>
      <c r="EH392" s="208"/>
      <c r="EI392" s="208"/>
      <c r="EJ392" s="208"/>
      <c r="EK392" s="208"/>
      <c r="EL392" s="208"/>
      <c r="EM392" s="208"/>
      <c r="EN392" s="208"/>
      <c r="EO392" s="208"/>
      <c r="EP392" s="208"/>
      <c r="EQ392" s="208"/>
      <c r="ER392" s="208"/>
      <c r="ES392" s="208"/>
      <c r="ET392" s="208"/>
      <c r="EU392" s="208"/>
      <c r="EV392" s="208"/>
      <c r="EW392" s="208"/>
      <c r="EX392" s="208"/>
      <c r="EY392" s="208"/>
      <c r="EZ392" s="208"/>
      <c r="FA392" s="208"/>
      <c r="FB392" s="208"/>
      <c r="FC392" s="208"/>
      <c r="FD392" s="208"/>
      <c r="FE392" s="208"/>
      <c r="FF392" s="208"/>
      <c r="FG392" s="208"/>
      <c r="FH392" s="208"/>
      <c r="FI392" s="208"/>
      <c r="FJ392" s="208"/>
      <c r="FK392" s="208"/>
      <c r="FL392" s="208"/>
      <c r="FM392" s="208"/>
      <c r="FN392" s="208"/>
      <c r="FO392" s="208"/>
      <c r="FP392" s="208"/>
      <c r="FQ392" s="208"/>
      <c r="FR392" s="208"/>
      <c r="FS392" s="208"/>
      <c r="FT392" s="208"/>
      <c r="FU392" s="208"/>
      <c r="FV392" s="208"/>
      <c r="FW392" s="208"/>
      <c r="FX392" s="208"/>
      <c r="FY392" s="208"/>
      <c r="FZ392" s="208"/>
      <c r="GA392" s="208"/>
      <c r="GB392" s="208"/>
      <c r="GC392" s="208"/>
      <c r="GD392" s="208"/>
      <c r="GE392" s="208"/>
      <c r="GF392" s="208"/>
    </row>
    <row r="393" spans="1:188" s="209" customFormat="1" ht="15" x14ac:dyDescent="0.25">
      <c r="A393" s="195" t="s">
        <v>5177</v>
      </c>
      <c r="B393" s="195" t="s">
        <v>2510</v>
      </c>
      <c r="C393" s="196" t="s">
        <v>2511</v>
      </c>
      <c r="D393" s="154" t="s">
        <v>28</v>
      </c>
      <c r="E393" s="154">
        <v>18</v>
      </c>
      <c r="F393" s="154"/>
      <c r="G393" s="197">
        <v>5</v>
      </c>
      <c r="H393" s="198">
        <f t="shared" si="55"/>
        <v>1.6666666666666666E-2</v>
      </c>
      <c r="I393" s="247">
        <v>10.58</v>
      </c>
      <c r="J393" s="152"/>
      <c r="K393" s="198"/>
      <c r="L393" s="152">
        <f t="shared" si="58"/>
        <v>3.17</v>
      </c>
      <c r="M393" s="152">
        <f t="shared" si="59"/>
        <v>190.2</v>
      </c>
      <c r="N393" s="153"/>
      <c r="O393" s="152"/>
      <c r="Q393" s="208"/>
      <c r="R393" s="208"/>
      <c r="S393"/>
      <c r="T393" s="208"/>
      <c r="U393" s="208"/>
      <c r="V393" s="208"/>
      <c r="W393" s="208"/>
      <c r="X393" s="208"/>
      <c r="Y393" s="208"/>
      <c r="Z393" s="208"/>
      <c r="AA393" s="208"/>
      <c r="AB393" s="208"/>
      <c r="AC393" s="208"/>
      <c r="AD393" s="208"/>
      <c r="AE393" s="208"/>
      <c r="AF393" s="208"/>
      <c r="AG393" s="208"/>
      <c r="AH393" s="208"/>
      <c r="AI393" s="208"/>
      <c r="AJ393" s="208"/>
      <c r="AK393" s="208"/>
      <c r="AL393" s="208"/>
      <c r="AM393" s="208"/>
      <c r="AN393" s="208"/>
      <c r="AO393" s="208"/>
      <c r="AP393" s="208"/>
      <c r="AQ393" s="208"/>
      <c r="AR393" s="208"/>
      <c r="AS393" s="208"/>
      <c r="AT393" s="208"/>
      <c r="AU393" s="208"/>
      <c r="AV393" s="208"/>
      <c r="AW393" s="208"/>
      <c r="AX393" s="208"/>
      <c r="AY393" s="208"/>
      <c r="AZ393" s="208"/>
      <c r="BA393" s="208"/>
      <c r="BB393" s="208"/>
      <c r="BC393" s="208"/>
      <c r="BD393" s="208"/>
      <c r="BE393" s="208"/>
      <c r="BF393" s="208"/>
      <c r="BG393" s="208"/>
      <c r="BH393" s="208"/>
      <c r="BI393" s="208"/>
      <c r="BJ393" s="208"/>
      <c r="BK393" s="208"/>
      <c r="BL393" s="208"/>
      <c r="BM393" s="208"/>
      <c r="BN393" s="208"/>
      <c r="BO393" s="208"/>
      <c r="BP393" s="208"/>
      <c r="BQ393" s="208"/>
      <c r="BR393" s="208"/>
      <c r="BS393" s="208"/>
      <c r="BT393" s="208"/>
      <c r="BU393" s="208"/>
      <c r="BV393" s="208"/>
      <c r="BW393" s="208"/>
      <c r="BX393" s="208"/>
      <c r="BY393" s="208"/>
      <c r="BZ393" s="208"/>
      <c r="CA393" s="208"/>
      <c r="CB393" s="208"/>
      <c r="CC393" s="208"/>
      <c r="CD393" s="208"/>
      <c r="CE393" s="208"/>
      <c r="CF393" s="208"/>
      <c r="CG393" s="208"/>
      <c r="CH393" s="208"/>
      <c r="CI393" s="208"/>
      <c r="CJ393" s="208"/>
      <c r="CK393" s="208"/>
      <c r="CL393" s="208"/>
      <c r="CM393" s="208"/>
      <c r="CN393" s="208"/>
      <c r="CO393" s="208"/>
      <c r="CP393" s="208"/>
      <c r="CQ393" s="208"/>
      <c r="CR393" s="208"/>
      <c r="CS393" s="208"/>
      <c r="CT393" s="208"/>
      <c r="CU393" s="208"/>
      <c r="CV393" s="208"/>
      <c r="CW393" s="208"/>
      <c r="CX393" s="208"/>
      <c r="CY393" s="208"/>
      <c r="CZ393" s="208"/>
      <c r="DA393" s="208"/>
      <c r="DB393" s="208"/>
      <c r="DC393" s="208"/>
      <c r="DD393" s="208"/>
      <c r="DE393" s="208"/>
      <c r="DF393" s="208"/>
      <c r="DG393" s="208"/>
      <c r="DH393" s="208"/>
      <c r="DI393" s="208"/>
      <c r="DJ393" s="208"/>
      <c r="DK393" s="208"/>
      <c r="DL393" s="208"/>
      <c r="DM393" s="208"/>
      <c r="DN393" s="208"/>
      <c r="DO393" s="208"/>
      <c r="DP393" s="208"/>
      <c r="DQ393" s="208"/>
      <c r="DR393" s="208"/>
      <c r="DS393" s="208"/>
      <c r="DT393" s="208"/>
      <c r="DU393" s="208"/>
      <c r="DV393" s="208"/>
      <c r="DW393" s="208"/>
      <c r="DX393" s="208"/>
      <c r="DY393" s="208"/>
      <c r="DZ393" s="208"/>
      <c r="EA393" s="208"/>
      <c r="EB393" s="208"/>
      <c r="EC393" s="208"/>
      <c r="ED393" s="208"/>
      <c r="EE393" s="208"/>
      <c r="EF393" s="208"/>
      <c r="EG393" s="208"/>
      <c r="EH393" s="208"/>
      <c r="EI393" s="208"/>
      <c r="EJ393" s="208"/>
      <c r="EK393" s="208"/>
      <c r="EL393" s="208"/>
      <c r="EM393" s="208"/>
      <c r="EN393" s="208"/>
      <c r="EO393" s="208"/>
      <c r="EP393" s="208"/>
      <c r="EQ393" s="208"/>
      <c r="ER393" s="208"/>
      <c r="ES393" s="208"/>
      <c r="ET393" s="208"/>
      <c r="EU393" s="208"/>
      <c r="EV393" s="208"/>
      <c r="EW393" s="208"/>
      <c r="EX393" s="208"/>
      <c r="EY393" s="208"/>
      <c r="EZ393" s="208"/>
      <c r="FA393" s="208"/>
      <c r="FB393" s="208"/>
      <c r="FC393" s="208"/>
      <c r="FD393" s="208"/>
      <c r="FE393" s="208"/>
      <c r="FF393" s="208"/>
      <c r="FG393" s="208"/>
      <c r="FH393" s="208"/>
      <c r="FI393" s="208"/>
      <c r="FJ393" s="208"/>
      <c r="FK393" s="208"/>
      <c r="FL393" s="208"/>
      <c r="FM393" s="208"/>
      <c r="FN393" s="208"/>
      <c r="FO393" s="208"/>
      <c r="FP393" s="208"/>
      <c r="FQ393" s="208"/>
      <c r="FR393" s="208"/>
      <c r="FS393" s="208"/>
      <c r="FT393" s="208"/>
      <c r="FU393" s="208"/>
      <c r="FV393" s="208"/>
      <c r="FW393" s="208"/>
      <c r="FX393" s="208"/>
      <c r="FY393" s="208"/>
      <c r="FZ393" s="208"/>
      <c r="GA393" s="208"/>
      <c r="GB393" s="208"/>
      <c r="GC393" s="208"/>
      <c r="GD393" s="208"/>
      <c r="GE393" s="208"/>
      <c r="GF393" s="208"/>
    </row>
    <row r="394" spans="1:188" s="209" customFormat="1" ht="15" x14ac:dyDescent="0.25">
      <c r="A394" s="195" t="s">
        <v>5178</v>
      </c>
      <c r="B394" s="195" t="s">
        <v>2932</v>
      </c>
      <c r="C394" s="196" t="s">
        <v>2933</v>
      </c>
      <c r="D394" s="154" t="s">
        <v>28</v>
      </c>
      <c r="E394" s="154">
        <v>18</v>
      </c>
      <c r="F394" s="154"/>
      <c r="G394" s="197">
        <v>5</v>
      </c>
      <c r="H394" s="198">
        <f t="shared" si="55"/>
        <v>1.6666666666666666E-2</v>
      </c>
      <c r="I394" s="247">
        <v>25.2</v>
      </c>
      <c r="J394" s="152"/>
      <c r="K394" s="198"/>
      <c r="L394" s="152">
        <f t="shared" si="58"/>
        <v>7.56</v>
      </c>
      <c r="M394" s="152">
        <f t="shared" si="59"/>
        <v>453.6</v>
      </c>
      <c r="N394" s="153"/>
      <c r="O394" s="152"/>
      <c r="Q394" s="208"/>
      <c r="R394" s="208"/>
      <c r="S394"/>
      <c r="T394" s="208"/>
      <c r="U394" s="208"/>
      <c r="V394" s="208"/>
      <c r="W394" s="208"/>
      <c r="X394" s="208"/>
      <c r="Y394" s="208"/>
      <c r="Z394" s="208"/>
      <c r="AA394" s="208"/>
      <c r="AB394" s="208"/>
      <c r="AC394" s="208"/>
      <c r="AD394" s="208"/>
      <c r="AE394" s="208"/>
      <c r="AF394" s="208"/>
      <c r="AG394" s="208"/>
      <c r="AH394" s="208"/>
      <c r="AI394" s="208"/>
      <c r="AJ394" s="208"/>
      <c r="AK394" s="208"/>
      <c r="AL394" s="208"/>
      <c r="AM394" s="208"/>
      <c r="AN394" s="208"/>
      <c r="AO394" s="208"/>
      <c r="AP394" s="208"/>
      <c r="AQ394" s="208"/>
      <c r="AR394" s="208"/>
      <c r="AS394" s="208"/>
      <c r="AT394" s="208"/>
      <c r="AU394" s="208"/>
      <c r="AV394" s="208"/>
      <c r="AW394" s="208"/>
      <c r="AX394" s="208"/>
      <c r="AY394" s="208"/>
      <c r="AZ394" s="208"/>
      <c r="BA394" s="208"/>
      <c r="BB394" s="208"/>
      <c r="BC394" s="208"/>
      <c r="BD394" s="208"/>
      <c r="BE394" s="208"/>
      <c r="BF394" s="208"/>
      <c r="BG394" s="208"/>
      <c r="BH394" s="208"/>
      <c r="BI394" s="208"/>
      <c r="BJ394" s="208"/>
      <c r="BK394" s="208"/>
      <c r="BL394" s="208"/>
      <c r="BM394" s="208"/>
      <c r="BN394" s="208"/>
      <c r="BO394" s="208"/>
      <c r="BP394" s="208"/>
      <c r="BQ394" s="208"/>
      <c r="BR394" s="208"/>
      <c r="BS394" s="208"/>
      <c r="BT394" s="208"/>
      <c r="BU394" s="208"/>
      <c r="BV394" s="208"/>
      <c r="BW394" s="208"/>
      <c r="BX394" s="208"/>
      <c r="BY394" s="208"/>
      <c r="BZ394" s="208"/>
      <c r="CA394" s="208"/>
      <c r="CB394" s="208"/>
      <c r="CC394" s="208"/>
      <c r="CD394" s="208"/>
      <c r="CE394" s="208"/>
      <c r="CF394" s="208"/>
      <c r="CG394" s="208"/>
      <c r="CH394" s="208"/>
      <c r="CI394" s="208"/>
      <c r="CJ394" s="208"/>
      <c r="CK394" s="208"/>
      <c r="CL394" s="208"/>
      <c r="CM394" s="208"/>
      <c r="CN394" s="208"/>
      <c r="CO394" s="208"/>
      <c r="CP394" s="208"/>
      <c r="CQ394" s="208"/>
      <c r="CR394" s="208"/>
      <c r="CS394" s="208"/>
      <c r="CT394" s="208"/>
      <c r="CU394" s="208"/>
      <c r="CV394" s="208"/>
      <c r="CW394" s="208"/>
      <c r="CX394" s="208"/>
      <c r="CY394" s="208"/>
      <c r="CZ394" s="208"/>
      <c r="DA394" s="208"/>
      <c r="DB394" s="208"/>
      <c r="DC394" s="208"/>
      <c r="DD394" s="208"/>
      <c r="DE394" s="208"/>
      <c r="DF394" s="208"/>
      <c r="DG394" s="208"/>
      <c r="DH394" s="208"/>
      <c r="DI394" s="208"/>
      <c r="DJ394" s="208"/>
      <c r="DK394" s="208"/>
      <c r="DL394" s="208"/>
      <c r="DM394" s="208"/>
      <c r="DN394" s="208"/>
      <c r="DO394" s="208"/>
      <c r="DP394" s="208"/>
      <c r="DQ394" s="208"/>
      <c r="DR394" s="208"/>
      <c r="DS394" s="208"/>
      <c r="DT394" s="208"/>
      <c r="DU394" s="208"/>
      <c r="DV394" s="208"/>
      <c r="DW394" s="208"/>
      <c r="DX394" s="208"/>
      <c r="DY394" s="208"/>
      <c r="DZ394" s="208"/>
      <c r="EA394" s="208"/>
      <c r="EB394" s="208"/>
      <c r="EC394" s="208"/>
      <c r="ED394" s="208"/>
      <c r="EE394" s="208"/>
      <c r="EF394" s="208"/>
      <c r="EG394" s="208"/>
      <c r="EH394" s="208"/>
      <c r="EI394" s="208"/>
      <c r="EJ394" s="208"/>
      <c r="EK394" s="208"/>
      <c r="EL394" s="208"/>
      <c r="EM394" s="208"/>
      <c r="EN394" s="208"/>
      <c r="EO394" s="208"/>
      <c r="EP394" s="208"/>
      <c r="EQ394" s="208"/>
      <c r="ER394" s="208"/>
      <c r="ES394" s="208"/>
      <c r="ET394" s="208"/>
      <c r="EU394" s="208"/>
      <c r="EV394" s="208"/>
      <c r="EW394" s="208"/>
      <c r="EX394" s="208"/>
      <c r="EY394" s="208"/>
      <c r="EZ394" s="208"/>
      <c r="FA394" s="208"/>
      <c r="FB394" s="208"/>
      <c r="FC394" s="208"/>
      <c r="FD394" s="208"/>
      <c r="FE394" s="208"/>
      <c r="FF394" s="208"/>
      <c r="FG394" s="208"/>
      <c r="FH394" s="208"/>
      <c r="FI394" s="208"/>
      <c r="FJ394" s="208"/>
      <c r="FK394" s="208"/>
      <c r="FL394" s="208"/>
      <c r="FM394" s="208"/>
      <c r="FN394" s="208"/>
      <c r="FO394" s="208"/>
      <c r="FP394" s="208"/>
      <c r="FQ394" s="208"/>
      <c r="FR394" s="208"/>
      <c r="FS394" s="208"/>
      <c r="FT394" s="208"/>
      <c r="FU394" s="208"/>
      <c r="FV394" s="208"/>
      <c r="FW394" s="208"/>
      <c r="FX394" s="208"/>
      <c r="FY394" s="208"/>
      <c r="FZ394" s="208"/>
      <c r="GA394" s="208"/>
      <c r="GB394" s="208"/>
      <c r="GC394" s="208"/>
      <c r="GD394" s="208"/>
      <c r="GE394" s="208"/>
      <c r="GF394" s="208"/>
    </row>
    <row r="395" spans="1:188" s="209" customFormat="1" ht="15" x14ac:dyDescent="0.25">
      <c r="A395" s="195" t="s">
        <v>5179</v>
      </c>
      <c r="B395" s="195" t="s">
        <v>2934</v>
      </c>
      <c r="C395" s="196" t="s">
        <v>2935</v>
      </c>
      <c r="D395" s="154" t="s">
        <v>28</v>
      </c>
      <c r="E395" s="154">
        <v>18</v>
      </c>
      <c r="F395" s="154"/>
      <c r="G395" s="197">
        <v>5</v>
      </c>
      <c r="H395" s="198">
        <f t="shared" si="55"/>
        <v>1.6666666666666666E-2</v>
      </c>
      <c r="I395" s="247">
        <v>18.41</v>
      </c>
      <c r="J395" s="152"/>
      <c r="K395" s="198"/>
      <c r="L395" s="152">
        <f t="shared" si="58"/>
        <v>5.52</v>
      </c>
      <c r="M395" s="152">
        <f t="shared" si="59"/>
        <v>331.2</v>
      </c>
      <c r="N395" s="153"/>
      <c r="O395" s="152"/>
      <c r="Q395" s="208"/>
      <c r="R395" s="208"/>
      <c r="S395"/>
      <c r="T395" s="208"/>
      <c r="U395" s="208"/>
      <c r="V395" s="208"/>
      <c r="W395" s="208"/>
      <c r="X395" s="208"/>
      <c r="Y395" s="208"/>
      <c r="Z395" s="208"/>
      <c r="AA395" s="208"/>
      <c r="AB395" s="208"/>
      <c r="AC395" s="208"/>
      <c r="AD395" s="208"/>
      <c r="AE395" s="208"/>
      <c r="AF395" s="208"/>
      <c r="AG395" s="208"/>
      <c r="AH395" s="208"/>
      <c r="AI395" s="208"/>
      <c r="AJ395" s="208"/>
      <c r="AK395" s="208"/>
      <c r="AL395" s="208"/>
      <c r="AM395" s="208"/>
      <c r="AN395" s="208"/>
      <c r="AO395" s="208"/>
      <c r="AP395" s="208"/>
      <c r="AQ395" s="208"/>
      <c r="AR395" s="208"/>
      <c r="AS395" s="208"/>
      <c r="AT395" s="208"/>
      <c r="AU395" s="208"/>
      <c r="AV395" s="208"/>
      <c r="AW395" s="208"/>
      <c r="AX395" s="208"/>
      <c r="AY395" s="208"/>
      <c r="AZ395" s="208"/>
      <c r="BA395" s="208"/>
      <c r="BB395" s="208"/>
      <c r="BC395" s="208"/>
      <c r="BD395" s="208"/>
      <c r="BE395" s="208"/>
      <c r="BF395" s="208"/>
      <c r="BG395" s="208"/>
      <c r="BH395" s="208"/>
      <c r="BI395" s="208"/>
      <c r="BJ395" s="208"/>
      <c r="BK395" s="208"/>
      <c r="BL395" s="208"/>
      <c r="BM395" s="208"/>
      <c r="BN395" s="208"/>
      <c r="BO395" s="208"/>
      <c r="BP395" s="208"/>
      <c r="BQ395" s="208"/>
      <c r="BR395" s="208"/>
      <c r="BS395" s="208"/>
      <c r="BT395" s="208"/>
      <c r="BU395" s="208"/>
      <c r="BV395" s="208"/>
      <c r="BW395" s="208"/>
      <c r="BX395" s="208"/>
      <c r="BY395" s="208"/>
      <c r="BZ395" s="208"/>
      <c r="CA395" s="208"/>
      <c r="CB395" s="208"/>
      <c r="CC395" s="208"/>
      <c r="CD395" s="208"/>
      <c r="CE395" s="208"/>
      <c r="CF395" s="208"/>
      <c r="CG395" s="208"/>
      <c r="CH395" s="208"/>
      <c r="CI395" s="208"/>
      <c r="CJ395" s="208"/>
      <c r="CK395" s="208"/>
      <c r="CL395" s="208"/>
      <c r="CM395" s="208"/>
      <c r="CN395" s="208"/>
      <c r="CO395" s="208"/>
      <c r="CP395" s="208"/>
      <c r="CQ395" s="208"/>
      <c r="CR395" s="208"/>
      <c r="CS395" s="208"/>
      <c r="CT395" s="208"/>
      <c r="CU395" s="208"/>
      <c r="CV395" s="208"/>
      <c r="CW395" s="208"/>
      <c r="CX395" s="208"/>
      <c r="CY395" s="208"/>
      <c r="CZ395" s="208"/>
      <c r="DA395" s="208"/>
      <c r="DB395" s="208"/>
      <c r="DC395" s="208"/>
      <c r="DD395" s="208"/>
      <c r="DE395" s="208"/>
      <c r="DF395" s="208"/>
      <c r="DG395" s="208"/>
      <c r="DH395" s="208"/>
      <c r="DI395" s="208"/>
      <c r="DJ395" s="208"/>
      <c r="DK395" s="208"/>
      <c r="DL395" s="208"/>
      <c r="DM395" s="208"/>
      <c r="DN395" s="208"/>
      <c r="DO395" s="208"/>
      <c r="DP395" s="208"/>
      <c r="DQ395" s="208"/>
      <c r="DR395" s="208"/>
      <c r="DS395" s="208"/>
      <c r="DT395" s="208"/>
      <c r="DU395" s="208"/>
      <c r="DV395" s="208"/>
      <c r="DW395" s="208"/>
      <c r="DX395" s="208"/>
      <c r="DY395" s="208"/>
      <c r="DZ395" s="208"/>
      <c r="EA395" s="208"/>
      <c r="EB395" s="208"/>
      <c r="EC395" s="208"/>
      <c r="ED395" s="208"/>
      <c r="EE395" s="208"/>
      <c r="EF395" s="208"/>
      <c r="EG395" s="208"/>
      <c r="EH395" s="208"/>
      <c r="EI395" s="208"/>
      <c r="EJ395" s="208"/>
      <c r="EK395" s="208"/>
      <c r="EL395" s="208"/>
      <c r="EM395" s="208"/>
      <c r="EN395" s="208"/>
      <c r="EO395" s="208"/>
      <c r="EP395" s="208"/>
      <c r="EQ395" s="208"/>
      <c r="ER395" s="208"/>
      <c r="ES395" s="208"/>
      <c r="ET395" s="208"/>
      <c r="EU395" s="208"/>
      <c r="EV395" s="208"/>
      <c r="EW395" s="208"/>
      <c r="EX395" s="208"/>
      <c r="EY395" s="208"/>
      <c r="EZ395" s="208"/>
      <c r="FA395" s="208"/>
      <c r="FB395" s="208"/>
      <c r="FC395" s="208"/>
      <c r="FD395" s="208"/>
      <c r="FE395" s="208"/>
      <c r="FF395" s="208"/>
      <c r="FG395" s="208"/>
      <c r="FH395" s="208"/>
      <c r="FI395" s="208"/>
      <c r="FJ395" s="208"/>
      <c r="FK395" s="208"/>
      <c r="FL395" s="208"/>
      <c r="FM395" s="208"/>
      <c r="FN395" s="208"/>
      <c r="FO395" s="208"/>
      <c r="FP395" s="208"/>
      <c r="FQ395" s="208"/>
      <c r="FR395" s="208"/>
      <c r="FS395" s="208"/>
      <c r="FT395" s="208"/>
      <c r="FU395" s="208"/>
      <c r="FV395" s="208"/>
      <c r="FW395" s="208"/>
      <c r="FX395" s="208"/>
      <c r="FY395" s="208"/>
      <c r="FZ395" s="208"/>
      <c r="GA395" s="208"/>
      <c r="GB395" s="208"/>
      <c r="GC395" s="208"/>
      <c r="GD395" s="208"/>
      <c r="GE395" s="208"/>
      <c r="GF395" s="208"/>
    </row>
    <row r="396" spans="1:188" s="209" customFormat="1" ht="15" x14ac:dyDescent="0.25">
      <c r="A396" s="195" t="s">
        <v>5180</v>
      </c>
      <c r="B396" s="195" t="s">
        <v>2936</v>
      </c>
      <c r="C396" s="196" t="s">
        <v>2937</v>
      </c>
      <c r="D396" s="154" t="s">
        <v>28</v>
      </c>
      <c r="E396" s="154">
        <v>18</v>
      </c>
      <c r="F396" s="154"/>
      <c r="G396" s="197">
        <v>5</v>
      </c>
      <c r="H396" s="198">
        <f t="shared" si="55"/>
        <v>1.6666666666666666E-2</v>
      </c>
      <c r="I396" s="247">
        <v>6.25</v>
      </c>
      <c r="J396" s="152"/>
      <c r="K396" s="198"/>
      <c r="L396" s="152">
        <f t="shared" si="58"/>
        <v>1.88</v>
      </c>
      <c r="M396" s="152">
        <f t="shared" si="59"/>
        <v>112.8</v>
      </c>
      <c r="N396" s="153"/>
      <c r="O396" s="152"/>
      <c r="Q396" s="208"/>
      <c r="R396" s="208"/>
      <c r="S396"/>
      <c r="T396" s="208"/>
      <c r="U396" s="208"/>
      <c r="V396" s="208"/>
      <c r="W396" s="208"/>
      <c r="X396" s="208"/>
      <c r="Y396" s="208"/>
      <c r="Z396" s="208"/>
      <c r="AA396" s="208"/>
      <c r="AB396" s="208"/>
      <c r="AC396" s="208"/>
      <c r="AD396" s="208"/>
      <c r="AE396" s="208"/>
      <c r="AF396" s="208"/>
      <c r="AG396" s="208"/>
      <c r="AH396" s="208"/>
      <c r="AI396" s="208"/>
      <c r="AJ396" s="208"/>
      <c r="AK396" s="208"/>
      <c r="AL396" s="208"/>
      <c r="AM396" s="208"/>
      <c r="AN396" s="208"/>
      <c r="AO396" s="208"/>
      <c r="AP396" s="208"/>
      <c r="AQ396" s="208"/>
      <c r="AR396" s="208"/>
      <c r="AS396" s="208"/>
      <c r="AT396" s="208"/>
      <c r="AU396" s="208"/>
      <c r="AV396" s="208"/>
      <c r="AW396" s="208"/>
      <c r="AX396" s="208"/>
      <c r="AY396" s="208"/>
      <c r="AZ396" s="208"/>
      <c r="BA396" s="208"/>
      <c r="BB396" s="208"/>
      <c r="BC396" s="208"/>
      <c r="BD396" s="208"/>
      <c r="BE396" s="208"/>
      <c r="BF396" s="208"/>
      <c r="BG396" s="208"/>
      <c r="BH396" s="208"/>
      <c r="BI396" s="208"/>
      <c r="BJ396" s="208"/>
      <c r="BK396" s="208"/>
      <c r="BL396" s="208"/>
      <c r="BM396" s="208"/>
      <c r="BN396" s="208"/>
      <c r="BO396" s="208"/>
      <c r="BP396" s="208"/>
      <c r="BQ396" s="208"/>
      <c r="BR396" s="208"/>
      <c r="BS396" s="208"/>
      <c r="BT396" s="208"/>
      <c r="BU396" s="208"/>
      <c r="BV396" s="208"/>
      <c r="BW396" s="208"/>
      <c r="BX396" s="208"/>
      <c r="BY396" s="208"/>
      <c r="BZ396" s="208"/>
      <c r="CA396" s="208"/>
      <c r="CB396" s="208"/>
      <c r="CC396" s="208"/>
      <c r="CD396" s="208"/>
      <c r="CE396" s="208"/>
      <c r="CF396" s="208"/>
      <c r="CG396" s="208"/>
      <c r="CH396" s="208"/>
      <c r="CI396" s="208"/>
      <c r="CJ396" s="208"/>
      <c r="CK396" s="208"/>
      <c r="CL396" s="208"/>
      <c r="CM396" s="208"/>
      <c r="CN396" s="208"/>
      <c r="CO396" s="208"/>
      <c r="CP396" s="208"/>
      <c r="CQ396" s="208"/>
      <c r="CR396" s="208"/>
      <c r="CS396" s="208"/>
      <c r="CT396" s="208"/>
      <c r="CU396" s="208"/>
      <c r="CV396" s="208"/>
      <c r="CW396" s="208"/>
      <c r="CX396" s="208"/>
      <c r="CY396" s="208"/>
      <c r="CZ396" s="208"/>
      <c r="DA396" s="208"/>
      <c r="DB396" s="208"/>
      <c r="DC396" s="208"/>
      <c r="DD396" s="208"/>
      <c r="DE396" s="208"/>
      <c r="DF396" s="208"/>
      <c r="DG396" s="208"/>
      <c r="DH396" s="208"/>
      <c r="DI396" s="208"/>
      <c r="DJ396" s="208"/>
      <c r="DK396" s="208"/>
      <c r="DL396" s="208"/>
      <c r="DM396" s="208"/>
      <c r="DN396" s="208"/>
      <c r="DO396" s="208"/>
      <c r="DP396" s="208"/>
      <c r="DQ396" s="208"/>
      <c r="DR396" s="208"/>
      <c r="DS396" s="208"/>
      <c r="DT396" s="208"/>
      <c r="DU396" s="208"/>
      <c r="DV396" s="208"/>
      <c r="DW396" s="208"/>
      <c r="DX396" s="208"/>
      <c r="DY396" s="208"/>
      <c r="DZ396" s="208"/>
      <c r="EA396" s="208"/>
      <c r="EB396" s="208"/>
      <c r="EC396" s="208"/>
      <c r="ED396" s="208"/>
      <c r="EE396" s="208"/>
      <c r="EF396" s="208"/>
      <c r="EG396" s="208"/>
      <c r="EH396" s="208"/>
      <c r="EI396" s="208"/>
      <c r="EJ396" s="208"/>
      <c r="EK396" s="208"/>
      <c r="EL396" s="208"/>
      <c r="EM396" s="208"/>
      <c r="EN396" s="208"/>
      <c r="EO396" s="208"/>
      <c r="EP396" s="208"/>
      <c r="EQ396" s="208"/>
      <c r="ER396" s="208"/>
      <c r="ES396" s="208"/>
      <c r="ET396" s="208"/>
      <c r="EU396" s="208"/>
      <c r="EV396" s="208"/>
      <c r="EW396" s="208"/>
      <c r="EX396" s="208"/>
      <c r="EY396" s="208"/>
      <c r="EZ396" s="208"/>
      <c r="FA396" s="208"/>
      <c r="FB396" s="208"/>
      <c r="FC396" s="208"/>
      <c r="FD396" s="208"/>
      <c r="FE396" s="208"/>
      <c r="FF396" s="208"/>
      <c r="FG396" s="208"/>
      <c r="FH396" s="208"/>
      <c r="FI396" s="208"/>
      <c r="FJ396" s="208"/>
      <c r="FK396" s="208"/>
      <c r="FL396" s="208"/>
      <c r="FM396" s="208"/>
      <c r="FN396" s="208"/>
      <c r="FO396" s="208"/>
      <c r="FP396" s="208"/>
      <c r="FQ396" s="208"/>
      <c r="FR396" s="208"/>
      <c r="FS396" s="208"/>
      <c r="FT396" s="208"/>
      <c r="FU396" s="208"/>
      <c r="FV396" s="208"/>
      <c r="FW396" s="208"/>
      <c r="FX396" s="208"/>
      <c r="FY396" s="208"/>
      <c r="FZ396" s="208"/>
      <c r="GA396" s="208"/>
      <c r="GB396" s="208"/>
      <c r="GC396" s="208"/>
      <c r="GD396" s="208"/>
      <c r="GE396" s="208"/>
      <c r="GF396" s="208"/>
    </row>
    <row r="397" spans="1:188" s="209" customFormat="1" ht="15" x14ac:dyDescent="0.25">
      <c r="A397" s="195" t="s">
        <v>5181</v>
      </c>
      <c r="B397" s="195" t="s">
        <v>2512</v>
      </c>
      <c r="C397" s="196" t="s">
        <v>2513</v>
      </c>
      <c r="D397" s="154" t="s">
        <v>28</v>
      </c>
      <c r="E397" s="154">
        <v>18</v>
      </c>
      <c r="F397" s="154"/>
      <c r="G397" s="197">
        <v>5</v>
      </c>
      <c r="H397" s="198">
        <f t="shared" si="55"/>
        <v>1.6666666666666666E-2</v>
      </c>
      <c r="I397" s="247">
        <v>15.08</v>
      </c>
      <c r="J397" s="152"/>
      <c r="K397" s="198"/>
      <c r="L397" s="152">
        <f t="shared" si="58"/>
        <v>4.5199999999999996</v>
      </c>
      <c r="M397" s="152">
        <f t="shared" si="59"/>
        <v>271.2</v>
      </c>
      <c r="N397" s="153"/>
      <c r="O397" s="152"/>
      <c r="Q397" s="208"/>
      <c r="R397" s="208"/>
      <c r="S397"/>
      <c r="T397" s="208"/>
      <c r="U397" s="208"/>
      <c r="V397" s="208"/>
      <c r="W397" s="208"/>
      <c r="X397" s="208"/>
      <c r="Y397" s="208"/>
      <c r="Z397" s="208"/>
      <c r="AA397" s="208"/>
      <c r="AB397" s="208"/>
      <c r="AC397" s="208"/>
      <c r="AD397" s="208"/>
      <c r="AE397" s="208"/>
      <c r="AF397" s="208"/>
      <c r="AG397" s="208"/>
      <c r="AH397" s="208"/>
      <c r="AI397" s="208"/>
      <c r="AJ397" s="208"/>
      <c r="AK397" s="208"/>
      <c r="AL397" s="208"/>
      <c r="AM397" s="208"/>
      <c r="AN397" s="208"/>
      <c r="AO397" s="208"/>
      <c r="AP397" s="208"/>
      <c r="AQ397" s="208"/>
      <c r="AR397" s="208"/>
      <c r="AS397" s="208"/>
      <c r="AT397" s="208"/>
      <c r="AU397" s="208"/>
      <c r="AV397" s="208"/>
      <c r="AW397" s="208"/>
      <c r="AX397" s="208"/>
      <c r="AY397" s="208"/>
      <c r="AZ397" s="208"/>
      <c r="BA397" s="208"/>
      <c r="BB397" s="208"/>
      <c r="BC397" s="208"/>
      <c r="BD397" s="208"/>
      <c r="BE397" s="208"/>
      <c r="BF397" s="208"/>
      <c r="BG397" s="208"/>
      <c r="BH397" s="208"/>
      <c r="BI397" s="208"/>
      <c r="BJ397" s="208"/>
      <c r="BK397" s="208"/>
      <c r="BL397" s="208"/>
      <c r="BM397" s="208"/>
      <c r="BN397" s="208"/>
      <c r="BO397" s="208"/>
      <c r="BP397" s="208"/>
      <c r="BQ397" s="208"/>
      <c r="BR397" s="208"/>
      <c r="BS397" s="208"/>
      <c r="BT397" s="208"/>
      <c r="BU397" s="208"/>
      <c r="BV397" s="208"/>
      <c r="BW397" s="208"/>
      <c r="BX397" s="208"/>
      <c r="BY397" s="208"/>
      <c r="BZ397" s="208"/>
      <c r="CA397" s="208"/>
      <c r="CB397" s="208"/>
      <c r="CC397" s="208"/>
      <c r="CD397" s="208"/>
      <c r="CE397" s="208"/>
      <c r="CF397" s="208"/>
      <c r="CG397" s="208"/>
      <c r="CH397" s="208"/>
      <c r="CI397" s="208"/>
      <c r="CJ397" s="208"/>
      <c r="CK397" s="208"/>
      <c r="CL397" s="208"/>
      <c r="CM397" s="208"/>
      <c r="CN397" s="208"/>
      <c r="CO397" s="208"/>
      <c r="CP397" s="208"/>
      <c r="CQ397" s="208"/>
      <c r="CR397" s="208"/>
      <c r="CS397" s="208"/>
      <c r="CT397" s="208"/>
      <c r="CU397" s="208"/>
      <c r="CV397" s="208"/>
      <c r="CW397" s="208"/>
      <c r="CX397" s="208"/>
      <c r="CY397" s="208"/>
      <c r="CZ397" s="208"/>
      <c r="DA397" s="208"/>
      <c r="DB397" s="208"/>
      <c r="DC397" s="208"/>
      <c r="DD397" s="208"/>
      <c r="DE397" s="208"/>
      <c r="DF397" s="208"/>
      <c r="DG397" s="208"/>
      <c r="DH397" s="208"/>
      <c r="DI397" s="208"/>
      <c r="DJ397" s="208"/>
      <c r="DK397" s="208"/>
      <c r="DL397" s="208"/>
      <c r="DM397" s="208"/>
      <c r="DN397" s="208"/>
      <c r="DO397" s="208"/>
      <c r="DP397" s="208"/>
      <c r="DQ397" s="208"/>
      <c r="DR397" s="208"/>
      <c r="DS397" s="208"/>
      <c r="DT397" s="208"/>
      <c r="DU397" s="208"/>
      <c r="DV397" s="208"/>
      <c r="DW397" s="208"/>
      <c r="DX397" s="208"/>
      <c r="DY397" s="208"/>
      <c r="DZ397" s="208"/>
      <c r="EA397" s="208"/>
      <c r="EB397" s="208"/>
      <c r="EC397" s="208"/>
      <c r="ED397" s="208"/>
      <c r="EE397" s="208"/>
      <c r="EF397" s="208"/>
      <c r="EG397" s="208"/>
      <c r="EH397" s="208"/>
      <c r="EI397" s="208"/>
      <c r="EJ397" s="208"/>
      <c r="EK397" s="208"/>
      <c r="EL397" s="208"/>
      <c r="EM397" s="208"/>
      <c r="EN397" s="208"/>
      <c r="EO397" s="208"/>
      <c r="EP397" s="208"/>
      <c r="EQ397" s="208"/>
      <c r="ER397" s="208"/>
      <c r="ES397" s="208"/>
      <c r="ET397" s="208"/>
      <c r="EU397" s="208"/>
      <c r="EV397" s="208"/>
      <c r="EW397" s="208"/>
      <c r="EX397" s="208"/>
      <c r="EY397" s="208"/>
      <c r="EZ397" s="208"/>
      <c r="FA397" s="208"/>
      <c r="FB397" s="208"/>
      <c r="FC397" s="208"/>
      <c r="FD397" s="208"/>
      <c r="FE397" s="208"/>
      <c r="FF397" s="208"/>
      <c r="FG397" s="208"/>
      <c r="FH397" s="208"/>
      <c r="FI397" s="208"/>
      <c r="FJ397" s="208"/>
      <c r="FK397" s="208"/>
      <c r="FL397" s="208"/>
      <c r="FM397" s="208"/>
      <c r="FN397" s="208"/>
      <c r="FO397" s="208"/>
      <c r="FP397" s="208"/>
      <c r="FQ397" s="208"/>
      <c r="FR397" s="208"/>
      <c r="FS397" s="208"/>
      <c r="FT397" s="208"/>
      <c r="FU397" s="208"/>
      <c r="FV397" s="208"/>
      <c r="FW397" s="208"/>
      <c r="FX397" s="208"/>
      <c r="FY397" s="208"/>
      <c r="FZ397" s="208"/>
      <c r="GA397" s="208"/>
      <c r="GB397" s="208"/>
      <c r="GC397" s="208"/>
      <c r="GD397" s="208"/>
      <c r="GE397" s="208"/>
      <c r="GF397" s="208"/>
    </row>
    <row r="398" spans="1:188" s="209" customFormat="1" ht="15" x14ac:dyDescent="0.25">
      <c r="A398" s="195" t="s">
        <v>5182</v>
      </c>
      <c r="B398" s="195" t="s">
        <v>2514</v>
      </c>
      <c r="C398" s="196" t="s">
        <v>2515</v>
      </c>
      <c r="D398" s="154" t="s">
        <v>28</v>
      </c>
      <c r="E398" s="154">
        <v>18</v>
      </c>
      <c r="F398" s="154"/>
      <c r="G398" s="197">
        <v>5</v>
      </c>
      <c r="H398" s="198">
        <f t="shared" si="55"/>
        <v>1.6666666666666666E-2</v>
      </c>
      <c r="I398" s="247">
        <v>19.03</v>
      </c>
      <c r="J398" s="152"/>
      <c r="K398" s="198"/>
      <c r="L398" s="152">
        <f t="shared" si="58"/>
        <v>5.71</v>
      </c>
      <c r="M398" s="152">
        <f t="shared" si="59"/>
        <v>342.6</v>
      </c>
      <c r="N398" s="153"/>
      <c r="O398" s="152"/>
      <c r="Q398" s="208"/>
      <c r="R398" s="208"/>
      <c r="S398"/>
      <c r="T398" s="208"/>
      <c r="U398" s="208"/>
      <c r="V398" s="208"/>
      <c r="W398" s="208"/>
      <c r="X398" s="208"/>
      <c r="Y398" s="208"/>
      <c r="Z398" s="208"/>
      <c r="AA398" s="208"/>
      <c r="AB398" s="208"/>
      <c r="AC398" s="208"/>
      <c r="AD398" s="208"/>
      <c r="AE398" s="208"/>
      <c r="AF398" s="208"/>
      <c r="AG398" s="208"/>
      <c r="AH398" s="208"/>
      <c r="AI398" s="208"/>
      <c r="AJ398" s="208"/>
      <c r="AK398" s="208"/>
      <c r="AL398" s="208"/>
      <c r="AM398" s="208"/>
      <c r="AN398" s="208"/>
      <c r="AO398" s="208"/>
      <c r="AP398" s="208"/>
      <c r="AQ398" s="208"/>
      <c r="AR398" s="208"/>
      <c r="AS398" s="208"/>
      <c r="AT398" s="208"/>
      <c r="AU398" s="208"/>
      <c r="AV398" s="208"/>
      <c r="AW398" s="208"/>
      <c r="AX398" s="208"/>
      <c r="AY398" s="208"/>
      <c r="AZ398" s="208"/>
      <c r="BA398" s="208"/>
      <c r="BB398" s="208"/>
      <c r="BC398" s="208"/>
      <c r="BD398" s="208"/>
      <c r="BE398" s="208"/>
      <c r="BF398" s="208"/>
      <c r="BG398" s="208"/>
      <c r="BH398" s="208"/>
      <c r="BI398" s="208"/>
      <c r="BJ398" s="208"/>
      <c r="BK398" s="208"/>
      <c r="BL398" s="208"/>
      <c r="BM398" s="208"/>
      <c r="BN398" s="208"/>
      <c r="BO398" s="208"/>
      <c r="BP398" s="208"/>
      <c r="BQ398" s="208"/>
      <c r="BR398" s="208"/>
      <c r="BS398" s="208"/>
      <c r="BT398" s="208"/>
      <c r="BU398" s="208"/>
      <c r="BV398" s="208"/>
      <c r="BW398" s="208"/>
      <c r="BX398" s="208"/>
      <c r="BY398" s="208"/>
      <c r="BZ398" s="208"/>
      <c r="CA398" s="208"/>
      <c r="CB398" s="208"/>
      <c r="CC398" s="208"/>
      <c r="CD398" s="208"/>
      <c r="CE398" s="208"/>
      <c r="CF398" s="208"/>
      <c r="CG398" s="208"/>
      <c r="CH398" s="208"/>
      <c r="CI398" s="208"/>
      <c r="CJ398" s="208"/>
      <c r="CK398" s="208"/>
      <c r="CL398" s="208"/>
      <c r="CM398" s="208"/>
      <c r="CN398" s="208"/>
      <c r="CO398" s="208"/>
      <c r="CP398" s="208"/>
      <c r="CQ398" s="208"/>
      <c r="CR398" s="208"/>
      <c r="CS398" s="208"/>
      <c r="CT398" s="208"/>
      <c r="CU398" s="208"/>
      <c r="CV398" s="208"/>
      <c r="CW398" s="208"/>
      <c r="CX398" s="208"/>
      <c r="CY398" s="208"/>
      <c r="CZ398" s="208"/>
      <c r="DA398" s="208"/>
      <c r="DB398" s="208"/>
      <c r="DC398" s="208"/>
      <c r="DD398" s="208"/>
      <c r="DE398" s="208"/>
      <c r="DF398" s="208"/>
      <c r="DG398" s="208"/>
      <c r="DH398" s="208"/>
      <c r="DI398" s="208"/>
      <c r="DJ398" s="208"/>
      <c r="DK398" s="208"/>
      <c r="DL398" s="208"/>
      <c r="DM398" s="208"/>
      <c r="DN398" s="208"/>
      <c r="DO398" s="208"/>
      <c r="DP398" s="208"/>
      <c r="DQ398" s="208"/>
      <c r="DR398" s="208"/>
      <c r="DS398" s="208"/>
      <c r="DT398" s="208"/>
      <c r="DU398" s="208"/>
      <c r="DV398" s="208"/>
      <c r="DW398" s="208"/>
      <c r="DX398" s="208"/>
      <c r="DY398" s="208"/>
      <c r="DZ398" s="208"/>
      <c r="EA398" s="208"/>
      <c r="EB398" s="208"/>
      <c r="EC398" s="208"/>
      <c r="ED398" s="208"/>
      <c r="EE398" s="208"/>
      <c r="EF398" s="208"/>
      <c r="EG398" s="208"/>
      <c r="EH398" s="208"/>
      <c r="EI398" s="208"/>
      <c r="EJ398" s="208"/>
      <c r="EK398" s="208"/>
      <c r="EL398" s="208"/>
      <c r="EM398" s="208"/>
      <c r="EN398" s="208"/>
      <c r="EO398" s="208"/>
      <c r="EP398" s="208"/>
      <c r="EQ398" s="208"/>
      <c r="ER398" s="208"/>
      <c r="ES398" s="208"/>
      <c r="ET398" s="208"/>
      <c r="EU398" s="208"/>
      <c r="EV398" s="208"/>
      <c r="EW398" s="208"/>
      <c r="EX398" s="208"/>
      <c r="EY398" s="208"/>
      <c r="EZ398" s="208"/>
      <c r="FA398" s="208"/>
      <c r="FB398" s="208"/>
      <c r="FC398" s="208"/>
      <c r="FD398" s="208"/>
      <c r="FE398" s="208"/>
      <c r="FF398" s="208"/>
      <c r="FG398" s="208"/>
      <c r="FH398" s="208"/>
      <c r="FI398" s="208"/>
      <c r="FJ398" s="208"/>
      <c r="FK398" s="208"/>
      <c r="FL398" s="208"/>
      <c r="FM398" s="208"/>
      <c r="FN398" s="208"/>
      <c r="FO398" s="208"/>
      <c r="FP398" s="208"/>
      <c r="FQ398" s="208"/>
      <c r="FR398" s="208"/>
      <c r="FS398" s="208"/>
      <c r="FT398" s="208"/>
      <c r="FU398" s="208"/>
      <c r="FV398" s="208"/>
      <c r="FW398" s="208"/>
      <c r="FX398" s="208"/>
      <c r="FY398" s="208"/>
      <c r="FZ398" s="208"/>
      <c r="GA398" s="208"/>
      <c r="GB398" s="208"/>
      <c r="GC398" s="208"/>
      <c r="GD398" s="208"/>
      <c r="GE398" s="208"/>
      <c r="GF398" s="208"/>
    </row>
    <row r="399" spans="1:188" s="209" customFormat="1" ht="15" x14ac:dyDescent="0.25">
      <c r="A399" s="195" t="s">
        <v>5183</v>
      </c>
      <c r="B399" s="195" t="s">
        <v>2938</v>
      </c>
      <c r="C399" s="196" t="s">
        <v>2939</v>
      </c>
      <c r="D399" s="154" t="s">
        <v>28</v>
      </c>
      <c r="E399" s="154">
        <v>18</v>
      </c>
      <c r="F399" s="154"/>
      <c r="G399" s="197">
        <v>5</v>
      </c>
      <c r="H399" s="198">
        <f t="shared" si="55"/>
        <v>1.6666666666666666E-2</v>
      </c>
      <c r="I399" s="247">
        <v>8.7100000000000009</v>
      </c>
      <c r="J399" s="152"/>
      <c r="K399" s="198"/>
      <c r="L399" s="152">
        <f t="shared" si="58"/>
        <v>2.61</v>
      </c>
      <c r="M399" s="152">
        <f t="shared" si="59"/>
        <v>156.6</v>
      </c>
      <c r="N399" s="153"/>
      <c r="O399" s="152"/>
      <c r="Q399" s="208"/>
      <c r="R399" s="208"/>
      <c r="S399"/>
      <c r="T399" s="208"/>
      <c r="U399" s="208"/>
      <c r="V399" s="208"/>
      <c r="W399" s="208"/>
      <c r="X399" s="208"/>
      <c r="Y399" s="208"/>
      <c r="Z399" s="208"/>
      <c r="AA399" s="208"/>
      <c r="AB399" s="208"/>
      <c r="AC399" s="208"/>
      <c r="AD399" s="208"/>
      <c r="AE399" s="208"/>
      <c r="AF399" s="208"/>
      <c r="AG399" s="208"/>
      <c r="AH399" s="208"/>
      <c r="AI399" s="208"/>
      <c r="AJ399" s="208"/>
      <c r="AK399" s="208"/>
      <c r="AL399" s="208"/>
      <c r="AM399" s="208"/>
      <c r="AN399" s="208"/>
      <c r="AO399" s="208"/>
      <c r="AP399" s="208"/>
      <c r="AQ399" s="208"/>
      <c r="AR399" s="208"/>
      <c r="AS399" s="208"/>
      <c r="AT399" s="208"/>
      <c r="AU399" s="208"/>
      <c r="AV399" s="208"/>
      <c r="AW399" s="208"/>
      <c r="AX399" s="208"/>
      <c r="AY399" s="208"/>
      <c r="AZ399" s="208"/>
      <c r="BA399" s="208"/>
      <c r="BB399" s="208"/>
      <c r="BC399" s="208"/>
      <c r="BD399" s="208"/>
      <c r="BE399" s="208"/>
      <c r="BF399" s="208"/>
      <c r="BG399" s="208"/>
      <c r="BH399" s="208"/>
      <c r="BI399" s="208"/>
      <c r="BJ399" s="208"/>
      <c r="BK399" s="208"/>
      <c r="BL399" s="208"/>
      <c r="BM399" s="208"/>
      <c r="BN399" s="208"/>
      <c r="BO399" s="208"/>
      <c r="BP399" s="208"/>
      <c r="BQ399" s="208"/>
      <c r="BR399" s="208"/>
      <c r="BS399" s="208"/>
      <c r="BT399" s="208"/>
      <c r="BU399" s="208"/>
      <c r="BV399" s="208"/>
      <c r="BW399" s="208"/>
      <c r="BX399" s="208"/>
      <c r="BY399" s="208"/>
      <c r="BZ399" s="208"/>
      <c r="CA399" s="208"/>
      <c r="CB399" s="208"/>
      <c r="CC399" s="208"/>
      <c r="CD399" s="208"/>
      <c r="CE399" s="208"/>
      <c r="CF399" s="208"/>
      <c r="CG399" s="208"/>
      <c r="CH399" s="208"/>
      <c r="CI399" s="208"/>
      <c r="CJ399" s="208"/>
      <c r="CK399" s="208"/>
      <c r="CL399" s="208"/>
      <c r="CM399" s="208"/>
      <c r="CN399" s="208"/>
      <c r="CO399" s="208"/>
      <c r="CP399" s="208"/>
      <c r="CQ399" s="208"/>
      <c r="CR399" s="208"/>
      <c r="CS399" s="208"/>
      <c r="CT399" s="208"/>
      <c r="CU399" s="208"/>
      <c r="CV399" s="208"/>
      <c r="CW399" s="208"/>
      <c r="CX399" s="208"/>
      <c r="CY399" s="208"/>
      <c r="CZ399" s="208"/>
      <c r="DA399" s="208"/>
      <c r="DB399" s="208"/>
      <c r="DC399" s="208"/>
      <c r="DD399" s="208"/>
      <c r="DE399" s="208"/>
      <c r="DF399" s="208"/>
      <c r="DG399" s="208"/>
      <c r="DH399" s="208"/>
      <c r="DI399" s="208"/>
      <c r="DJ399" s="208"/>
      <c r="DK399" s="208"/>
      <c r="DL399" s="208"/>
      <c r="DM399" s="208"/>
      <c r="DN399" s="208"/>
      <c r="DO399" s="208"/>
      <c r="DP399" s="208"/>
      <c r="DQ399" s="208"/>
      <c r="DR399" s="208"/>
      <c r="DS399" s="208"/>
      <c r="DT399" s="208"/>
      <c r="DU399" s="208"/>
      <c r="DV399" s="208"/>
      <c r="DW399" s="208"/>
      <c r="DX399" s="208"/>
      <c r="DY399" s="208"/>
      <c r="DZ399" s="208"/>
      <c r="EA399" s="208"/>
      <c r="EB399" s="208"/>
      <c r="EC399" s="208"/>
      <c r="ED399" s="208"/>
      <c r="EE399" s="208"/>
      <c r="EF399" s="208"/>
      <c r="EG399" s="208"/>
      <c r="EH399" s="208"/>
      <c r="EI399" s="208"/>
      <c r="EJ399" s="208"/>
      <c r="EK399" s="208"/>
      <c r="EL399" s="208"/>
      <c r="EM399" s="208"/>
      <c r="EN399" s="208"/>
      <c r="EO399" s="208"/>
      <c r="EP399" s="208"/>
      <c r="EQ399" s="208"/>
      <c r="ER399" s="208"/>
      <c r="ES399" s="208"/>
      <c r="ET399" s="208"/>
      <c r="EU399" s="208"/>
      <c r="EV399" s="208"/>
      <c r="EW399" s="208"/>
      <c r="EX399" s="208"/>
      <c r="EY399" s="208"/>
      <c r="EZ399" s="208"/>
      <c r="FA399" s="208"/>
      <c r="FB399" s="208"/>
      <c r="FC399" s="208"/>
      <c r="FD399" s="208"/>
      <c r="FE399" s="208"/>
      <c r="FF399" s="208"/>
      <c r="FG399" s="208"/>
      <c r="FH399" s="208"/>
      <c r="FI399" s="208"/>
      <c r="FJ399" s="208"/>
      <c r="FK399" s="208"/>
      <c r="FL399" s="208"/>
      <c r="FM399" s="208"/>
      <c r="FN399" s="208"/>
      <c r="FO399" s="208"/>
      <c r="FP399" s="208"/>
      <c r="FQ399" s="208"/>
      <c r="FR399" s="208"/>
      <c r="FS399" s="208"/>
      <c r="FT399" s="208"/>
      <c r="FU399" s="208"/>
      <c r="FV399" s="208"/>
      <c r="FW399" s="208"/>
      <c r="FX399" s="208"/>
      <c r="FY399" s="208"/>
      <c r="FZ399" s="208"/>
      <c r="GA399" s="208"/>
      <c r="GB399" s="208"/>
      <c r="GC399" s="208"/>
      <c r="GD399" s="208"/>
      <c r="GE399" s="208"/>
      <c r="GF399" s="208"/>
    </row>
    <row r="400" spans="1:188" s="209" customFormat="1" ht="15" x14ac:dyDescent="0.25">
      <c r="A400" s="195" t="s">
        <v>5184</v>
      </c>
      <c r="B400" s="195" t="s">
        <v>2940</v>
      </c>
      <c r="C400" s="196" t="s">
        <v>2941</v>
      </c>
      <c r="D400" s="154" t="s">
        <v>28</v>
      </c>
      <c r="E400" s="154">
        <v>18</v>
      </c>
      <c r="F400" s="154"/>
      <c r="G400" s="197">
        <v>5</v>
      </c>
      <c r="H400" s="198">
        <f t="shared" si="55"/>
        <v>1.6666666666666666E-2</v>
      </c>
      <c r="I400" s="247">
        <v>11.25</v>
      </c>
      <c r="J400" s="152"/>
      <c r="K400" s="198"/>
      <c r="L400" s="152">
        <f t="shared" si="58"/>
        <v>3.38</v>
      </c>
      <c r="M400" s="152">
        <f t="shared" si="59"/>
        <v>202.8</v>
      </c>
      <c r="N400" s="153"/>
      <c r="O400" s="152"/>
      <c r="Q400" s="208"/>
      <c r="R400" s="208"/>
      <c r="S400"/>
      <c r="T400" s="208"/>
      <c r="U400" s="208"/>
      <c r="V400" s="208"/>
      <c r="W400" s="208"/>
      <c r="X400" s="208"/>
      <c r="Y400" s="208"/>
      <c r="Z400" s="208"/>
      <c r="AA400" s="208"/>
      <c r="AB400" s="208"/>
      <c r="AC400" s="208"/>
      <c r="AD400" s="208"/>
      <c r="AE400" s="208"/>
      <c r="AF400" s="208"/>
      <c r="AG400" s="208"/>
      <c r="AH400" s="208"/>
      <c r="AI400" s="208"/>
      <c r="AJ400" s="208"/>
      <c r="AK400" s="208"/>
      <c r="AL400" s="208"/>
      <c r="AM400" s="208"/>
      <c r="AN400" s="208"/>
      <c r="AO400" s="208"/>
      <c r="AP400" s="208"/>
      <c r="AQ400" s="208"/>
      <c r="AR400" s="208"/>
      <c r="AS400" s="208"/>
      <c r="AT400" s="208"/>
      <c r="AU400" s="208"/>
      <c r="AV400" s="208"/>
      <c r="AW400" s="208"/>
      <c r="AX400" s="208"/>
      <c r="AY400" s="208"/>
      <c r="AZ400" s="208"/>
      <c r="BA400" s="208"/>
      <c r="BB400" s="208"/>
      <c r="BC400" s="208"/>
      <c r="BD400" s="208"/>
      <c r="BE400" s="208"/>
      <c r="BF400" s="208"/>
      <c r="BG400" s="208"/>
      <c r="BH400" s="208"/>
      <c r="BI400" s="208"/>
      <c r="BJ400" s="208"/>
      <c r="BK400" s="208"/>
      <c r="BL400" s="208"/>
      <c r="BM400" s="208"/>
      <c r="BN400" s="208"/>
      <c r="BO400" s="208"/>
      <c r="BP400" s="208"/>
      <c r="BQ400" s="208"/>
      <c r="BR400" s="208"/>
      <c r="BS400" s="208"/>
      <c r="BT400" s="208"/>
      <c r="BU400" s="208"/>
      <c r="BV400" s="208"/>
      <c r="BW400" s="208"/>
      <c r="BX400" s="208"/>
      <c r="BY400" s="208"/>
      <c r="BZ400" s="208"/>
      <c r="CA400" s="208"/>
      <c r="CB400" s="208"/>
      <c r="CC400" s="208"/>
      <c r="CD400" s="208"/>
      <c r="CE400" s="208"/>
      <c r="CF400" s="208"/>
      <c r="CG400" s="208"/>
      <c r="CH400" s="208"/>
      <c r="CI400" s="208"/>
      <c r="CJ400" s="208"/>
      <c r="CK400" s="208"/>
      <c r="CL400" s="208"/>
      <c r="CM400" s="208"/>
      <c r="CN400" s="208"/>
      <c r="CO400" s="208"/>
      <c r="CP400" s="208"/>
      <c r="CQ400" s="208"/>
      <c r="CR400" s="208"/>
      <c r="CS400" s="208"/>
      <c r="CT400" s="208"/>
      <c r="CU400" s="208"/>
      <c r="CV400" s="208"/>
      <c r="CW400" s="208"/>
      <c r="CX400" s="208"/>
      <c r="CY400" s="208"/>
      <c r="CZ400" s="208"/>
      <c r="DA400" s="208"/>
      <c r="DB400" s="208"/>
      <c r="DC400" s="208"/>
      <c r="DD400" s="208"/>
      <c r="DE400" s="208"/>
      <c r="DF400" s="208"/>
      <c r="DG400" s="208"/>
      <c r="DH400" s="208"/>
      <c r="DI400" s="208"/>
      <c r="DJ400" s="208"/>
      <c r="DK400" s="208"/>
      <c r="DL400" s="208"/>
      <c r="DM400" s="208"/>
      <c r="DN400" s="208"/>
      <c r="DO400" s="208"/>
      <c r="DP400" s="208"/>
      <c r="DQ400" s="208"/>
      <c r="DR400" s="208"/>
      <c r="DS400" s="208"/>
      <c r="DT400" s="208"/>
      <c r="DU400" s="208"/>
      <c r="DV400" s="208"/>
      <c r="DW400" s="208"/>
      <c r="DX400" s="208"/>
      <c r="DY400" s="208"/>
      <c r="DZ400" s="208"/>
      <c r="EA400" s="208"/>
      <c r="EB400" s="208"/>
      <c r="EC400" s="208"/>
      <c r="ED400" s="208"/>
      <c r="EE400" s="208"/>
      <c r="EF400" s="208"/>
      <c r="EG400" s="208"/>
      <c r="EH400" s="208"/>
      <c r="EI400" s="208"/>
      <c r="EJ400" s="208"/>
      <c r="EK400" s="208"/>
      <c r="EL400" s="208"/>
      <c r="EM400" s="208"/>
      <c r="EN400" s="208"/>
      <c r="EO400" s="208"/>
      <c r="EP400" s="208"/>
      <c r="EQ400" s="208"/>
      <c r="ER400" s="208"/>
      <c r="ES400" s="208"/>
      <c r="ET400" s="208"/>
      <c r="EU400" s="208"/>
      <c r="EV400" s="208"/>
      <c r="EW400" s="208"/>
      <c r="EX400" s="208"/>
      <c r="EY400" s="208"/>
      <c r="EZ400" s="208"/>
      <c r="FA400" s="208"/>
      <c r="FB400" s="208"/>
      <c r="FC400" s="208"/>
      <c r="FD400" s="208"/>
      <c r="FE400" s="208"/>
      <c r="FF400" s="208"/>
      <c r="FG400" s="208"/>
      <c r="FH400" s="208"/>
      <c r="FI400" s="208"/>
      <c r="FJ400" s="208"/>
      <c r="FK400" s="208"/>
      <c r="FL400" s="208"/>
      <c r="FM400" s="208"/>
      <c r="FN400" s="208"/>
      <c r="FO400" s="208"/>
      <c r="FP400" s="208"/>
      <c r="FQ400" s="208"/>
      <c r="FR400" s="208"/>
      <c r="FS400" s="208"/>
      <c r="FT400" s="208"/>
      <c r="FU400" s="208"/>
      <c r="FV400" s="208"/>
      <c r="FW400" s="208"/>
      <c r="FX400" s="208"/>
      <c r="FY400" s="208"/>
      <c r="FZ400" s="208"/>
      <c r="GA400" s="208"/>
      <c r="GB400" s="208"/>
      <c r="GC400" s="208"/>
      <c r="GD400" s="208"/>
      <c r="GE400" s="208"/>
      <c r="GF400" s="208"/>
    </row>
    <row r="401" spans="1:188" s="209" customFormat="1" ht="15" x14ac:dyDescent="0.25">
      <c r="A401" s="195" t="s">
        <v>5185</v>
      </c>
      <c r="B401" s="195" t="s">
        <v>2600</v>
      </c>
      <c r="C401" s="196" t="s">
        <v>2601</v>
      </c>
      <c r="D401" s="154" t="s">
        <v>28</v>
      </c>
      <c r="E401" s="154">
        <v>18</v>
      </c>
      <c r="F401" s="154"/>
      <c r="G401" s="197">
        <v>5</v>
      </c>
      <c r="H401" s="198">
        <f t="shared" si="55"/>
        <v>1.6666666666666666E-2</v>
      </c>
      <c r="I401" s="247">
        <v>58.9</v>
      </c>
      <c r="J401" s="152"/>
      <c r="K401" s="198"/>
      <c r="L401" s="152">
        <f t="shared" si="58"/>
        <v>17.670000000000002</v>
      </c>
      <c r="M401" s="152">
        <f t="shared" si="59"/>
        <v>1060.2</v>
      </c>
      <c r="N401" s="153"/>
      <c r="O401" s="152"/>
      <c r="Q401" s="208"/>
      <c r="R401" s="208"/>
      <c r="S401"/>
      <c r="T401" s="208"/>
      <c r="U401" s="208"/>
      <c r="V401" s="208"/>
      <c r="W401" s="208"/>
      <c r="X401" s="208"/>
      <c r="Y401" s="208"/>
      <c r="Z401" s="208"/>
      <c r="AA401" s="208"/>
      <c r="AB401" s="208"/>
      <c r="AC401" s="208"/>
      <c r="AD401" s="208"/>
      <c r="AE401" s="208"/>
      <c r="AF401" s="208"/>
      <c r="AG401" s="208"/>
      <c r="AH401" s="208"/>
      <c r="AI401" s="208"/>
      <c r="AJ401" s="208"/>
      <c r="AK401" s="208"/>
      <c r="AL401" s="208"/>
      <c r="AM401" s="208"/>
      <c r="AN401" s="208"/>
      <c r="AO401" s="208"/>
      <c r="AP401" s="208"/>
      <c r="AQ401" s="208"/>
      <c r="AR401" s="208"/>
      <c r="AS401" s="208"/>
      <c r="AT401" s="208"/>
      <c r="AU401" s="208"/>
      <c r="AV401" s="208"/>
      <c r="AW401" s="208"/>
      <c r="AX401" s="208"/>
      <c r="AY401" s="208"/>
      <c r="AZ401" s="208"/>
      <c r="BA401" s="208"/>
      <c r="BB401" s="208"/>
      <c r="BC401" s="208"/>
      <c r="BD401" s="208"/>
      <c r="BE401" s="208"/>
      <c r="BF401" s="208"/>
      <c r="BG401" s="208"/>
      <c r="BH401" s="208"/>
      <c r="BI401" s="208"/>
      <c r="BJ401" s="208"/>
      <c r="BK401" s="208"/>
      <c r="BL401" s="208"/>
      <c r="BM401" s="208"/>
      <c r="BN401" s="208"/>
      <c r="BO401" s="208"/>
      <c r="BP401" s="208"/>
      <c r="BQ401" s="208"/>
      <c r="BR401" s="208"/>
      <c r="BS401" s="208"/>
      <c r="BT401" s="208"/>
      <c r="BU401" s="208"/>
      <c r="BV401" s="208"/>
      <c r="BW401" s="208"/>
      <c r="BX401" s="208"/>
      <c r="BY401" s="208"/>
      <c r="BZ401" s="208"/>
      <c r="CA401" s="208"/>
      <c r="CB401" s="208"/>
      <c r="CC401" s="208"/>
      <c r="CD401" s="208"/>
      <c r="CE401" s="208"/>
      <c r="CF401" s="208"/>
      <c r="CG401" s="208"/>
      <c r="CH401" s="208"/>
      <c r="CI401" s="208"/>
      <c r="CJ401" s="208"/>
      <c r="CK401" s="208"/>
      <c r="CL401" s="208"/>
      <c r="CM401" s="208"/>
      <c r="CN401" s="208"/>
      <c r="CO401" s="208"/>
      <c r="CP401" s="208"/>
      <c r="CQ401" s="208"/>
      <c r="CR401" s="208"/>
      <c r="CS401" s="208"/>
      <c r="CT401" s="208"/>
      <c r="CU401" s="208"/>
      <c r="CV401" s="208"/>
      <c r="CW401" s="208"/>
      <c r="CX401" s="208"/>
      <c r="CY401" s="208"/>
      <c r="CZ401" s="208"/>
      <c r="DA401" s="208"/>
      <c r="DB401" s="208"/>
      <c r="DC401" s="208"/>
      <c r="DD401" s="208"/>
      <c r="DE401" s="208"/>
      <c r="DF401" s="208"/>
      <c r="DG401" s="208"/>
      <c r="DH401" s="208"/>
      <c r="DI401" s="208"/>
      <c r="DJ401" s="208"/>
      <c r="DK401" s="208"/>
      <c r="DL401" s="208"/>
      <c r="DM401" s="208"/>
      <c r="DN401" s="208"/>
      <c r="DO401" s="208"/>
      <c r="DP401" s="208"/>
      <c r="DQ401" s="208"/>
      <c r="DR401" s="208"/>
      <c r="DS401" s="208"/>
      <c r="DT401" s="208"/>
      <c r="DU401" s="208"/>
      <c r="DV401" s="208"/>
      <c r="DW401" s="208"/>
      <c r="DX401" s="208"/>
      <c r="DY401" s="208"/>
      <c r="DZ401" s="208"/>
      <c r="EA401" s="208"/>
      <c r="EB401" s="208"/>
      <c r="EC401" s="208"/>
      <c r="ED401" s="208"/>
      <c r="EE401" s="208"/>
      <c r="EF401" s="208"/>
      <c r="EG401" s="208"/>
      <c r="EH401" s="208"/>
      <c r="EI401" s="208"/>
      <c r="EJ401" s="208"/>
      <c r="EK401" s="208"/>
      <c r="EL401" s="208"/>
      <c r="EM401" s="208"/>
      <c r="EN401" s="208"/>
      <c r="EO401" s="208"/>
      <c r="EP401" s="208"/>
      <c r="EQ401" s="208"/>
      <c r="ER401" s="208"/>
      <c r="ES401" s="208"/>
      <c r="ET401" s="208"/>
      <c r="EU401" s="208"/>
      <c r="EV401" s="208"/>
      <c r="EW401" s="208"/>
      <c r="EX401" s="208"/>
      <c r="EY401" s="208"/>
      <c r="EZ401" s="208"/>
      <c r="FA401" s="208"/>
      <c r="FB401" s="208"/>
      <c r="FC401" s="208"/>
      <c r="FD401" s="208"/>
      <c r="FE401" s="208"/>
      <c r="FF401" s="208"/>
      <c r="FG401" s="208"/>
      <c r="FH401" s="208"/>
      <c r="FI401" s="208"/>
      <c r="FJ401" s="208"/>
      <c r="FK401" s="208"/>
      <c r="FL401" s="208"/>
      <c r="FM401" s="208"/>
      <c r="FN401" s="208"/>
      <c r="FO401" s="208"/>
      <c r="FP401" s="208"/>
      <c r="FQ401" s="208"/>
      <c r="FR401" s="208"/>
      <c r="FS401" s="208"/>
      <c r="FT401" s="208"/>
      <c r="FU401" s="208"/>
      <c r="FV401" s="208"/>
      <c r="FW401" s="208"/>
      <c r="FX401" s="208"/>
      <c r="FY401" s="208"/>
      <c r="FZ401" s="208"/>
      <c r="GA401" s="208"/>
      <c r="GB401" s="208"/>
      <c r="GC401" s="208"/>
      <c r="GD401" s="208"/>
      <c r="GE401" s="208"/>
      <c r="GF401" s="208"/>
    </row>
    <row r="402" spans="1:188" s="209" customFormat="1" ht="15" x14ac:dyDescent="0.25">
      <c r="A402" s="195" t="s">
        <v>5186</v>
      </c>
      <c r="B402" s="195" t="s">
        <v>2942</v>
      </c>
      <c r="C402" s="196" t="s">
        <v>2943</v>
      </c>
      <c r="D402" s="154" t="s">
        <v>28</v>
      </c>
      <c r="E402" s="154">
        <v>4</v>
      </c>
      <c r="F402" s="154"/>
      <c r="G402" s="197">
        <v>5</v>
      </c>
      <c r="H402" s="198">
        <f t="shared" si="55"/>
        <v>1.6666666666666666E-2</v>
      </c>
      <c r="I402" s="247">
        <v>246.92</v>
      </c>
      <c r="J402" s="152"/>
      <c r="K402" s="198"/>
      <c r="L402" s="152">
        <f t="shared" si="58"/>
        <v>16.46</v>
      </c>
      <c r="M402" s="152">
        <f t="shared" si="59"/>
        <v>987.6</v>
      </c>
      <c r="N402" s="153"/>
      <c r="O402" s="152"/>
      <c r="Q402" s="208"/>
      <c r="R402" s="208"/>
      <c r="S402"/>
      <c r="T402" s="208"/>
      <c r="U402" s="208"/>
      <c r="V402" s="208"/>
      <c r="W402" s="208"/>
      <c r="X402" s="208"/>
      <c r="Y402" s="208"/>
      <c r="Z402" s="208"/>
      <c r="AA402" s="208"/>
      <c r="AB402" s="208"/>
      <c r="AC402" s="208"/>
      <c r="AD402" s="208"/>
      <c r="AE402" s="208"/>
      <c r="AF402" s="208"/>
      <c r="AG402" s="208"/>
      <c r="AH402" s="208"/>
      <c r="AI402" s="208"/>
      <c r="AJ402" s="208"/>
      <c r="AK402" s="208"/>
      <c r="AL402" s="208"/>
      <c r="AM402" s="208"/>
      <c r="AN402" s="208"/>
      <c r="AO402" s="208"/>
      <c r="AP402" s="208"/>
      <c r="AQ402" s="208"/>
      <c r="AR402" s="208"/>
      <c r="AS402" s="208"/>
      <c r="AT402" s="208"/>
      <c r="AU402" s="208"/>
      <c r="AV402" s="208"/>
      <c r="AW402" s="208"/>
      <c r="AX402" s="208"/>
      <c r="AY402" s="208"/>
      <c r="AZ402" s="208"/>
      <c r="BA402" s="208"/>
      <c r="BB402" s="208"/>
      <c r="BC402" s="208"/>
      <c r="BD402" s="208"/>
      <c r="BE402" s="208"/>
      <c r="BF402" s="208"/>
      <c r="BG402" s="208"/>
      <c r="BH402" s="208"/>
      <c r="BI402" s="208"/>
      <c r="BJ402" s="208"/>
      <c r="BK402" s="208"/>
      <c r="BL402" s="208"/>
      <c r="BM402" s="208"/>
      <c r="BN402" s="208"/>
      <c r="BO402" s="208"/>
      <c r="BP402" s="208"/>
      <c r="BQ402" s="208"/>
      <c r="BR402" s="208"/>
      <c r="BS402" s="208"/>
      <c r="BT402" s="208"/>
      <c r="BU402" s="208"/>
      <c r="BV402" s="208"/>
      <c r="BW402" s="208"/>
      <c r="BX402" s="208"/>
      <c r="BY402" s="208"/>
      <c r="BZ402" s="208"/>
      <c r="CA402" s="208"/>
      <c r="CB402" s="208"/>
      <c r="CC402" s="208"/>
      <c r="CD402" s="208"/>
      <c r="CE402" s="208"/>
      <c r="CF402" s="208"/>
      <c r="CG402" s="208"/>
      <c r="CH402" s="208"/>
      <c r="CI402" s="208"/>
      <c r="CJ402" s="208"/>
      <c r="CK402" s="208"/>
      <c r="CL402" s="208"/>
      <c r="CM402" s="208"/>
      <c r="CN402" s="208"/>
      <c r="CO402" s="208"/>
      <c r="CP402" s="208"/>
      <c r="CQ402" s="208"/>
      <c r="CR402" s="208"/>
      <c r="CS402" s="208"/>
      <c r="CT402" s="208"/>
      <c r="CU402" s="208"/>
      <c r="CV402" s="208"/>
      <c r="CW402" s="208"/>
      <c r="CX402" s="208"/>
      <c r="CY402" s="208"/>
      <c r="CZ402" s="208"/>
      <c r="DA402" s="208"/>
      <c r="DB402" s="208"/>
      <c r="DC402" s="208"/>
      <c r="DD402" s="208"/>
      <c r="DE402" s="208"/>
      <c r="DF402" s="208"/>
      <c r="DG402" s="208"/>
      <c r="DH402" s="208"/>
      <c r="DI402" s="208"/>
      <c r="DJ402" s="208"/>
      <c r="DK402" s="208"/>
      <c r="DL402" s="208"/>
      <c r="DM402" s="208"/>
      <c r="DN402" s="208"/>
      <c r="DO402" s="208"/>
      <c r="DP402" s="208"/>
      <c r="DQ402" s="208"/>
      <c r="DR402" s="208"/>
      <c r="DS402" s="208"/>
      <c r="DT402" s="208"/>
      <c r="DU402" s="208"/>
      <c r="DV402" s="208"/>
      <c r="DW402" s="208"/>
      <c r="DX402" s="208"/>
      <c r="DY402" s="208"/>
      <c r="DZ402" s="208"/>
      <c r="EA402" s="208"/>
      <c r="EB402" s="208"/>
      <c r="EC402" s="208"/>
      <c r="ED402" s="208"/>
      <c r="EE402" s="208"/>
      <c r="EF402" s="208"/>
      <c r="EG402" s="208"/>
      <c r="EH402" s="208"/>
      <c r="EI402" s="208"/>
      <c r="EJ402" s="208"/>
      <c r="EK402" s="208"/>
      <c r="EL402" s="208"/>
      <c r="EM402" s="208"/>
      <c r="EN402" s="208"/>
      <c r="EO402" s="208"/>
      <c r="EP402" s="208"/>
      <c r="EQ402" s="208"/>
      <c r="ER402" s="208"/>
      <c r="ES402" s="208"/>
      <c r="ET402" s="208"/>
      <c r="EU402" s="208"/>
      <c r="EV402" s="208"/>
      <c r="EW402" s="208"/>
      <c r="EX402" s="208"/>
      <c r="EY402" s="208"/>
      <c r="EZ402" s="208"/>
      <c r="FA402" s="208"/>
      <c r="FB402" s="208"/>
      <c r="FC402" s="208"/>
      <c r="FD402" s="208"/>
      <c r="FE402" s="208"/>
      <c r="FF402" s="208"/>
      <c r="FG402" s="208"/>
      <c r="FH402" s="208"/>
      <c r="FI402" s="208"/>
      <c r="FJ402" s="208"/>
      <c r="FK402" s="208"/>
      <c r="FL402" s="208"/>
      <c r="FM402" s="208"/>
      <c r="FN402" s="208"/>
      <c r="FO402" s="208"/>
      <c r="FP402" s="208"/>
      <c r="FQ402" s="208"/>
      <c r="FR402" s="208"/>
      <c r="FS402" s="208"/>
      <c r="FT402" s="208"/>
      <c r="FU402" s="208"/>
      <c r="FV402" s="208"/>
      <c r="FW402" s="208"/>
      <c r="FX402" s="208"/>
      <c r="FY402" s="208"/>
      <c r="FZ402" s="208"/>
      <c r="GA402" s="208"/>
      <c r="GB402" s="208"/>
      <c r="GC402" s="208"/>
      <c r="GD402" s="208"/>
      <c r="GE402" s="208"/>
      <c r="GF402" s="208"/>
    </row>
    <row r="403" spans="1:188" s="209" customFormat="1" ht="15" x14ac:dyDescent="0.25">
      <c r="A403" s="195" t="s">
        <v>5187</v>
      </c>
      <c r="B403" s="195" t="s">
        <v>2944</v>
      </c>
      <c r="C403" s="196" t="s">
        <v>2945</v>
      </c>
      <c r="D403" s="154" t="s">
        <v>28</v>
      </c>
      <c r="E403" s="154">
        <v>5</v>
      </c>
      <c r="F403" s="154"/>
      <c r="G403" s="197">
        <v>5</v>
      </c>
      <c r="H403" s="198">
        <f t="shared" si="55"/>
        <v>1.6666666666666666E-2</v>
      </c>
      <c r="I403" s="247">
        <v>36.72</v>
      </c>
      <c r="J403" s="152"/>
      <c r="K403" s="198"/>
      <c r="L403" s="152">
        <f t="shared" si="58"/>
        <v>3.06</v>
      </c>
      <c r="M403" s="152">
        <f t="shared" si="59"/>
        <v>183.6</v>
      </c>
      <c r="N403" s="153"/>
      <c r="O403" s="152"/>
      <c r="Q403" s="208"/>
      <c r="R403" s="208"/>
      <c r="S403"/>
      <c r="T403" s="208"/>
      <c r="U403" s="208"/>
      <c r="V403" s="208"/>
      <c r="W403" s="208"/>
      <c r="X403" s="208"/>
      <c r="Y403" s="208"/>
      <c r="Z403" s="208"/>
      <c r="AA403" s="208"/>
      <c r="AB403" s="208"/>
      <c r="AC403" s="208"/>
      <c r="AD403" s="208"/>
      <c r="AE403" s="208"/>
      <c r="AF403" s="208"/>
      <c r="AG403" s="208"/>
      <c r="AH403" s="208"/>
      <c r="AI403" s="208"/>
      <c r="AJ403" s="208"/>
      <c r="AK403" s="208"/>
      <c r="AL403" s="208"/>
      <c r="AM403" s="208"/>
      <c r="AN403" s="208"/>
      <c r="AO403" s="208"/>
      <c r="AP403" s="208"/>
      <c r="AQ403" s="208"/>
      <c r="AR403" s="208"/>
      <c r="AS403" s="208"/>
      <c r="AT403" s="208"/>
      <c r="AU403" s="208"/>
      <c r="AV403" s="208"/>
      <c r="AW403" s="208"/>
      <c r="AX403" s="208"/>
      <c r="AY403" s="208"/>
      <c r="AZ403" s="208"/>
      <c r="BA403" s="208"/>
      <c r="BB403" s="208"/>
      <c r="BC403" s="208"/>
      <c r="BD403" s="208"/>
      <c r="BE403" s="208"/>
      <c r="BF403" s="208"/>
      <c r="BG403" s="208"/>
      <c r="BH403" s="208"/>
      <c r="BI403" s="208"/>
      <c r="BJ403" s="208"/>
      <c r="BK403" s="208"/>
      <c r="BL403" s="208"/>
      <c r="BM403" s="208"/>
      <c r="BN403" s="208"/>
      <c r="BO403" s="208"/>
      <c r="BP403" s="208"/>
      <c r="BQ403" s="208"/>
      <c r="BR403" s="208"/>
      <c r="BS403" s="208"/>
      <c r="BT403" s="208"/>
      <c r="BU403" s="208"/>
      <c r="BV403" s="208"/>
      <c r="BW403" s="208"/>
      <c r="BX403" s="208"/>
      <c r="BY403" s="208"/>
      <c r="BZ403" s="208"/>
      <c r="CA403" s="208"/>
      <c r="CB403" s="208"/>
      <c r="CC403" s="208"/>
      <c r="CD403" s="208"/>
      <c r="CE403" s="208"/>
      <c r="CF403" s="208"/>
      <c r="CG403" s="208"/>
      <c r="CH403" s="208"/>
      <c r="CI403" s="208"/>
      <c r="CJ403" s="208"/>
      <c r="CK403" s="208"/>
      <c r="CL403" s="208"/>
      <c r="CM403" s="208"/>
      <c r="CN403" s="208"/>
      <c r="CO403" s="208"/>
      <c r="CP403" s="208"/>
      <c r="CQ403" s="208"/>
      <c r="CR403" s="208"/>
      <c r="CS403" s="208"/>
      <c r="CT403" s="208"/>
      <c r="CU403" s="208"/>
      <c r="CV403" s="208"/>
      <c r="CW403" s="208"/>
      <c r="CX403" s="208"/>
      <c r="CY403" s="208"/>
      <c r="CZ403" s="208"/>
      <c r="DA403" s="208"/>
      <c r="DB403" s="208"/>
      <c r="DC403" s="208"/>
      <c r="DD403" s="208"/>
      <c r="DE403" s="208"/>
      <c r="DF403" s="208"/>
      <c r="DG403" s="208"/>
      <c r="DH403" s="208"/>
      <c r="DI403" s="208"/>
      <c r="DJ403" s="208"/>
      <c r="DK403" s="208"/>
      <c r="DL403" s="208"/>
      <c r="DM403" s="208"/>
      <c r="DN403" s="208"/>
      <c r="DO403" s="208"/>
      <c r="DP403" s="208"/>
      <c r="DQ403" s="208"/>
      <c r="DR403" s="208"/>
      <c r="DS403" s="208"/>
      <c r="DT403" s="208"/>
      <c r="DU403" s="208"/>
      <c r="DV403" s="208"/>
      <c r="DW403" s="208"/>
      <c r="DX403" s="208"/>
      <c r="DY403" s="208"/>
      <c r="DZ403" s="208"/>
      <c r="EA403" s="208"/>
      <c r="EB403" s="208"/>
      <c r="EC403" s="208"/>
      <c r="ED403" s="208"/>
      <c r="EE403" s="208"/>
      <c r="EF403" s="208"/>
      <c r="EG403" s="208"/>
      <c r="EH403" s="208"/>
      <c r="EI403" s="208"/>
      <c r="EJ403" s="208"/>
      <c r="EK403" s="208"/>
      <c r="EL403" s="208"/>
      <c r="EM403" s="208"/>
      <c r="EN403" s="208"/>
      <c r="EO403" s="208"/>
      <c r="EP403" s="208"/>
      <c r="EQ403" s="208"/>
      <c r="ER403" s="208"/>
      <c r="ES403" s="208"/>
      <c r="ET403" s="208"/>
      <c r="EU403" s="208"/>
      <c r="EV403" s="208"/>
      <c r="EW403" s="208"/>
      <c r="EX403" s="208"/>
      <c r="EY403" s="208"/>
      <c r="EZ403" s="208"/>
      <c r="FA403" s="208"/>
      <c r="FB403" s="208"/>
      <c r="FC403" s="208"/>
      <c r="FD403" s="208"/>
      <c r="FE403" s="208"/>
      <c r="FF403" s="208"/>
      <c r="FG403" s="208"/>
      <c r="FH403" s="208"/>
      <c r="FI403" s="208"/>
      <c r="FJ403" s="208"/>
      <c r="FK403" s="208"/>
      <c r="FL403" s="208"/>
      <c r="FM403" s="208"/>
      <c r="FN403" s="208"/>
      <c r="FO403" s="208"/>
      <c r="FP403" s="208"/>
      <c r="FQ403" s="208"/>
      <c r="FR403" s="208"/>
      <c r="FS403" s="208"/>
      <c r="FT403" s="208"/>
      <c r="FU403" s="208"/>
      <c r="FV403" s="208"/>
      <c r="FW403" s="208"/>
      <c r="FX403" s="208"/>
      <c r="FY403" s="208"/>
      <c r="FZ403" s="208"/>
      <c r="GA403" s="208"/>
      <c r="GB403" s="208"/>
      <c r="GC403" s="208"/>
      <c r="GD403" s="208"/>
      <c r="GE403" s="208"/>
      <c r="GF403" s="208"/>
    </row>
    <row r="404" spans="1:188" s="209" customFormat="1" ht="15" x14ac:dyDescent="0.25">
      <c r="A404" s="195" t="s">
        <v>5188</v>
      </c>
      <c r="B404" s="195" t="s">
        <v>2946</v>
      </c>
      <c r="C404" s="196" t="s">
        <v>2947</v>
      </c>
      <c r="D404" s="154" t="s">
        <v>28</v>
      </c>
      <c r="E404" s="154">
        <v>5</v>
      </c>
      <c r="F404" s="154"/>
      <c r="G404" s="197">
        <v>5</v>
      </c>
      <c r="H404" s="198">
        <f t="shared" si="55"/>
        <v>1.6666666666666666E-2</v>
      </c>
      <c r="I404" s="247">
        <v>63.81</v>
      </c>
      <c r="J404" s="152"/>
      <c r="K404" s="198"/>
      <c r="L404" s="152">
        <f t="shared" si="58"/>
        <v>5.32</v>
      </c>
      <c r="M404" s="152">
        <f t="shared" si="59"/>
        <v>319.2</v>
      </c>
      <c r="N404" s="153"/>
      <c r="O404" s="152"/>
      <c r="Q404" s="208"/>
      <c r="R404" s="208"/>
      <c r="S404"/>
      <c r="T404" s="208"/>
      <c r="U404" s="208"/>
      <c r="V404" s="208"/>
      <c r="W404" s="208"/>
      <c r="X404" s="208"/>
      <c r="Y404" s="208"/>
      <c r="Z404" s="208"/>
      <c r="AA404" s="208"/>
      <c r="AB404" s="208"/>
      <c r="AC404" s="208"/>
      <c r="AD404" s="208"/>
      <c r="AE404" s="208"/>
      <c r="AF404" s="208"/>
      <c r="AG404" s="208"/>
      <c r="AH404" s="208"/>
      <c r="AI404" s="208"/>
      <c r="AJ404" s="208"/>
      <c r="AK404" s="208"/>
      <c r="AL404" s="208"/>
      <c r="AM404" s="208"/>
      <c r="AN404" s="208"/>
      <c r="AO404" s="208"/>
      <c r="AP404" s="208"/>
      <c r="AQ404" s="208"/>
      <c r="AR404" s="208"/>
      <c r="AS404" s="208"/>
      <c r="AT404" s="208"/>
      <c r="AU404" s="208"/>
      <c r="AV404" s="208"/>
      <c r="AW404" s="208"/>
      <c r="AX404" s="208"/>
      <c r="AY404" s="208"/>
      <c r="AZ404" s="208"/>
      <c r="BA404" s="208"/>
      <c r="BB404" s="208"/>
      <c r="BC404" s="208"/>
      <c r="BD404" s="208"/>
      <c r="BE404" s="208"/>
      <c r="BF404" s="208"/>
      <c r="BG404" s="208"/>
      <c r="BH404" s="208"/>
      <c r="BI404" s="208"/>
      <c r="BJ404" s="208"/>
      <c r="BK404" s="208"/>
      <c r="BL404" s="208"/>
      <c r="BM404" s="208"/>
      <c r="BN404" s="208"/>
      <c r="BO404" s="208"/>
      <c r="BP404" s="208"/>
      <c r="BQ404" s="208"/>
      <c r="BR404" s="208"/>
      <c r="BS404" s="208"/>
      <c r="BT404" s="208"/>
      <c r="BU404" s="208"/>
      <c r="BV404" s="208"/>
      <c r="BW404" s="208"/>
      <c r="BX404" s="208"/>
      <c r="BY404" s="208"/>
      <c r="BZ404" s="208"/>
      <c r="CA404" s="208"/>
      <c r="CB404" s="208"/>
      <c r="CC404" s="208"/>
      <c r="CD404" s="208"/>
      <c r="CE404" s="208"/>
      <c r="CF404" s="208"/>
      <c r="CG404" s="208"/>
      <c r="CH404" s="208"/>
      <c r="CI404" s="208"/>
      <c r="CJ404" s="208"/>
      <c r="CK404" s="208"/>
      <c r="CL404" s="208"/>
      <c r="CM404" s="208"/>
      <c r="CN404" s="208"/>
      <c r="CO404" s="208"/>
      <c r="CP404" s="208"/>
      <c r="CQ404" s="208"/>
      <c r="CR404" s="208"/>
      <c r="CS404" s="208"/>
      <c r="CT404" s="208"/>
      <c r="CU404" s="208"/>
      <c r="CV404" s="208"/>
      <c r="CW404" s="208"/>
      <c r="CX404" s="208"/>
      <c r="CY404" s="208"/>
      <c r="CZ404" s="208"/>
      <c r="DA404" s="208"/>
      <c r="DB404" s="208"/>
      <c r="DC404" s="208"/>
      <c r="DD404" s="208"/>
      <c r="DE404" s="208"/>
      <c r="DF404" s="208"/>
      <c r="DG404" s="208"/>
      <c r="DH404" s="208"/>
      <c r="DI404" s="208"/>
      <c r="DJ404" s="208"/>
      <c r="DK404" s="208"/>
      <c r="DL404" s="208"/>
      <c r="DM404" s="208"/>
      <c r="DN404" s="208"/>
      <c r="DO404" s="208"/>
      <c r="DP404" s="208"/>
      <c r="DQ404" s="208"/>
      <c r="DR404" s="208"/>
      <c r="DS404" s="208"/>
      <c r="DT404" s="208"/>
      <c r="DU404" s="208"/>
      <c r="DV404" s="208"/>
      <c r="DW404" s="208"/>
      <c r="DX404" s="208"/>
      <c r="DY404" s="208"/>
      <c r="DZ404" s="208"/>
      <c r="EA404" s="208"/>
      <c r="EB404" s="208"/>
      <c r="EC404" s="208"/>
      <c r="ED404" s="208"/>
      <c r="EE404" s="208"/>
      <c r="EF404" s="208"/>
      <c r="EG404" s="208"/>
      <c r="EH404" s="208"/>
      <c r="EI404" s="208"/>
      <c r="EJ404" s="208"/>
      <c r="EK404" s="208"/>
      <c r="EL404" s="208"/>
      <c r="EM404" s="208"/>
      <c r="EN404" s="208"/>
      <c r="EO404" s="208"/>
      <c r="EP404" s="208"/>
      <c r="EQ404" s="208"/>
      <c r="ER404" s="208"/>
      <c r="ES404" s="208"/>
      <c r="ET404" s="208"/>
      <c r="EU404" s="208"/>
      <c r="EV404" s="208"/>
      <c r="EW404" s="208"/>
      <c r="EX404" s="208"/>
      <c r="EY404" s="208"/>
      <c r="EZ404" s="208"/>
      <c r="FA404" s="208"/>
      <c r="FB404" s="208"/>
      <c r="FC404" s="208"/>
      <c r="FD404" s="208"/>
      <c r="FE404" s="208"/>
      <c r="FF404" s="208"/>
      <c r="FG404" s="208"/>
      <c r="FH404" s="208"/>
      <c r="FI404" s="208"/>
      <c r="FJ404" s="208"/>
      <c r="FK404" s="208"/>
      <c r="FL404" s="208"/>
      <c r="FM404" s="208"/>
      <c r="FN404" s="208"/>
      <c r="FO404" s="208"/>
      <c r="FP404" s="208"/>
      <c r="FQ404" s="208"/>
      <c r="FR404" s="208"/>
      <c r="FS404" s="208"/>
      <c r="FT404" s="208"/>
      <c r="FU404" s="208"/>
      <c r="FV404" s="208"/>
      <c r="FW404" s="208"/>
      <c r="FX404" s="208"/>
      <c r="FY404" s="208"/>
      <c r="FZ404" s="208"/>
      <c r="GA404" s="208"/>
      <c r="GB404" s="208"/>
      <c r="GC404" s="208"/>
      <c r="GD404" s="208"/>
      <c r="GE404" s="208"/>
      <c r="GF404" s="208"/>
    </row>
    <row r="405" spans="1:188" s="209" customFormat="1" ht="15" x14ac:dyDescent="0.25">
      <c r="A405" s="195" t="s">
        <v>5189</v>
      </c>
      <c r="B405" s="195" t="s">
        <v>2948</v>
      </c>
      <c r="C405" s="196" t="s">
        <v>2949</v>
      </c>
      <c r="D405" s="154" t="s">
        <v>28</v>
      </c>
      <c r="E405" s="154">
        <v>5</v>
      </c>
      <c r="F405" s="154"/>
      <c r="G405" s="197">
        <v>5</v>
      </c>
      <c r="H405" s="198">
        <f t="shared" si="55"/>
        <v>1.6666666666666666E-2</v>
      </c>
      <c r="I405" s="247">
        <v>282.19</v>
      </c>
      <c r="J405" s="152"/>
      <c r="K405" s="198"/>
      <c r="L405" s="152">
        <f t="shared" si="58"/>
        <v>23.52</v>
      </c>
      <c r="M405" s="152">
        <f t="shared" si="59"/>
        <v>1411.2</v>
      </c>
      <c r="N405" s="153"/>
      <c r="O405" s="152"/>
      <c r="Q405" s="208"/>
      <c r="R405" s="208"/>
      <c r="S405"/>
      <c r="T405" s="208"/>
      <c r="U405" s="208"/>
      <c r="V405" s="208"/>
      <c r="W405" s="208"/>
      <c r="X405" s="208"/>
      <c r="Y405" s="208"/>
      <c r="Z405" s="208"/>
      <c r="AA405" s="208"/>
      <c r="AB405" s="208"/>
      <c r="AC405" s="208"/>
      <c r="AD405" s="208"/>
      <c r="AE405" s="208"/>
      <c r="AF405" s="208"/>
      <c r="AG405" s="208"/>
      <c r="AH405" s="208"/>
      <c r="AI405" s="208"/>
      <c r="AJ405" s="208"/>
      <c r="AK405" s="208"/>
      <c r="AL405" s="208"/>
      <c r="AM405" s="208"/>
      <c r="AN405" s="208"/>
      <c r="AO405" s="208"/>
      <c r="AP405" s="208"/>
      <c r="AQ405" s="208"/>
      <c r="AR405" s="208"/>
      <c r="AS405" s="208"/>
      <c r="AT405" s="208"/>
      <c r="AU405" s="208"/>
      <c r="AV405" s="208"/>
      <c r="AW405" s="208"/>
      <c r="AX405" s="208"/>
      <c r="AY405" s="208"/>
      <c r="AZ405" s="208"/>
      <c r="BA405" s="208"/>
      <c r="BB405" s="208"/>
      <c r="BC405" s="208"/>
      <c r="BD405" s="208"/>
      <c r="BE405" s="208"/>
      <c r="BF405" s="208"/>
      <c r="BG405" s="208"/>
      <c r="BH405" s="208"/>
      <c r="BI405" s="208"/>
      <c r="BJ405" s="208"/>
      <c r="BK405" s="208"/>
      <c r="BL405" s="208"/>
      <c r="BM405" s="208"/>
      <c r="BN405" s="208"/>
      <c r="BO405" s="208"/>
      <c r="BP405" s="208"/>
      <c r="BQ405" s="208"/>
      <c r="BR405" s="208"/>
      <c r="BS405" s="208"/>
      <c r="BT405" s="208"/>
      <c r="BU405" s="208"/>
      <c r="BV405" s="208"/>
      <c r="BW405" s="208"/>
      <c r="BX405" s="208"/>
      <c r="BY405" s="208"/>
      <c r="BZ405" s="208"/>
      <c r="CA405" s="208"/>
      <c r="CB405" s="208"/>
      <c r="CC405" s="208"/>
      <c r="CD405" s="208"/>
      <c r="CE405" s="208"/>
      <c r="CF405" s="208"/>
      <c r="CG405" s="208"/>
      <c r="CH405" s="208"/>
      <c r="CI405" s="208"/>
      <c r="CJ405" s="208"/>
      <c r="CK405" s="208"/>
      <c r="CL405" s="208"/>
      <c r="CM405" s="208"/>
      <c r="CN405" s="208"/>
      <c r="CO405" s="208"/>
      <c r="CP405" s="208"/>
      <c r="CQ405" s="208"/>
      <c r="CR405" s="208"/>
      <c r="CS405" s="208"/>
      <c r="CT405" s="208"/>
      <c r="CU405" s="208"/>
      <c r="CV405" s="208"/>
      <c r="CW405" s="208"/>
      <c r="CX405" s="208"/>
      <c r="CY405" s="208"/>
      <c r="CZ405" s="208"/>
      <c r="DA405" s="208"/>
      <c r="DB405" s="208"/>
      <c r="DC405" s="208"/>
      <c r="DD405" s="208"/>
      <c r="DE405" s="208"/>
      <c r="DF405" s="208"/>
      <c r="DG405" s="208"/>
      <c r="DH405" s="208"/>
      <c r="DI405" s="208"/>
      <c r="DJ405" s="208"/>
      <c r="DK405" s="208"/>
      <c r="DL405" s="208"/>
      <c r="DM405" s="208"/>
      <c r="DN405" s="208"/>
      <c r="DO405" s="208"/>
      <c r="DP405" s="208"/>
      <c r="DQ405" s="208"/>
      <c r="DR405" s="208"/>
      <c r="DS405" s="208"/>
      <c r="DT405" s="208"/>
      <c r="DU405" s="208"/>
      <c r="DV405" s="208"/>
      <c r="DW405" s="208"/>
      <c r="DX405" s="208"/>
      <c r="DY405" s="208"/>
      <c r="DZ405" s="208"/>
      <c r="EA405" s="208"/>
      <c r="EB405" s="208"/>
      <c r="EC405" s="208"/>
      <c r="ED405" s="208"/>
      <c r="EE405" s="208"/>
      <c r="EF405" s="208"/>
      <c r="EG405" s="208"/>
      <c r="EH405" s="208"/>
      <c r="EI405" s="208"/>
      <c r="EJ405" s="208"/>
      <c r="EK405" s="208"/>
      <c r="EL405" s="208"/>
      <c r="EM405" s="208"/>
      <c r="EN405" s="208"/>
      <c r="EO405" s="208"/>
      <c r="EP405" s="208"/>
      <c r="EQ405" s="208"/>
      <c r="ER405" s="208"/>
      <c r="ES405" s="208"/>
      <c r="ET405" s="208"/>
      <c r="EU405" s="208"/>
      <c r="EV405" s="208"/>
      <c r="EW405" s="208"/>
      <c r="EX405" s="208"/>
      <c r="EY405" s="208"/>
      <c r="EZ405" s="208"/>
      <c r="FA405" s="208"/>
      <c r="FB405" s="208"/>
      <c r="FC405" s="208"/>
      <c r="FD405" s="208"/>
      <c r="FE405" s="208"/>
      <c r="FF405" s="208"/>
      <c r="FG405" s="208"/>
      <c r="FH405" s="208"/>
      <c r="FI405" s="208"/>
      <c r="FJ405" s="208"/>
      <c r="FK405" s="208"/>
      <c r="FL405" s="208"/>
      <c r="FM405" s="208"/>
      <c r="FN405" s="208"/>
      <c r="FO405" s="208"/>
      <c r="FP405" s="208"/>
      <c r="FQ405" s="208"/>
      <c r="FR405" s="208"/>
      <c r="FS405" s="208"/>
      <c r="FT405" s="208"/>
      <c r="FU405" s="208"/>
      <c r="FV405" s="208"/>
      <c r="FW405" s="208"/>
      <c r="FX405" s="208"/>
      <c r="FY405" s="208"/>
      <c r="FZ405" s="208"/>
      <c r="GA405" s="208"/>
      <c r="GB405" s="208"/>
      <c r="GC405" s="208"/>
      <c r="GD405" s="208"/>
      <c r="GE405" s="208"/>
      <c r="GF405" s="208"/>
    </row>
    <row r="406" spans="1:188" s="209" customFormat="1" ht="15" x14ac:dyDescent="0.25">
      <c r="A406" s="195" t="s">
        <v>5190</v>
      </c>
      <c r="B406" s="195" t="s">
        <v>2950</v>
      </c>
      <c r="C406" s="196" t="s">
        <v>2951</v>
      </c>
      <c r="D406" s="154" t="s">
        <v>28</v>
      </c>
      <c r="E406" s="154">
        <v>5</v>
      </c>
      <c r="F406" s="154"/>
      <c r="G406" s="197">
        <v>5</v>
      </c>
      <c r="H406" s="198">
        <f t="shared" si="55"/>
        <v>1.6666666666666666E-2</v>
      </c>
      <c r="I406" s="247">
        <v>168.17</v>
      </c>
      <c r="J406" s="152"/>
      <c r="K406" s="198"/>
      <c r="L406" s="152">
        <f t="shared" si="58"/>
        <v>14.01</v>
      </c>
      <c r="M406" s="152">
        <f t="shared" si="59"/>
        <v>840.6</v>
      </c>
      <c r="N406" s="153"/>
      <c r="O406" s="152"/>
      <c r="Q406" s="208"/>
      <c r="R406" s="208"/>
      <c r="S406"/>
      <c r="T406" s="208"/>
      <c r="U406" s="208"/>
      <c r="V406" s="208"/>
      <c r="W406" s="208"/>
      <c r="X406" s="208"/>
      <c r="Y406" s="208"/>
      <c r="Z406" s="208"/>
      <c r="AA406" s="208"/>
      <c r="AB406" s="208"/>
      <c r="AC406" s="208"/>
      <c r="AD406" s="208"/>
      <c r="AE406" s="208"/>
      <c r="AF406" s="208"/>
      <c r="AG406" s="208"/>
      <c r="AH406" s="208"/>
      <c r="AI406" s="208"/>
      <c r="AJ406" s="208"/>
      <c r="AK406" s="208"/>
      <c r="AL406" s="208"/>
      <c r="AM406" s="208"/>
      <c r="AN406" s="208"/>
      <c r="AO406" s="208"/>
      <c r="AP406" s="208"/>
      <c r="AQ406" s="208"/>
      <c r="AR406" s="208"/>
      <c r="AS406" s="208"/>
      <c r="AT406" s="208"/>
      <c r="AU406" s="208"/>
      <c r="AV406" s="208"/>
      <c r="AW406" s="208"/>
      <c r="AX406" s="208"/>
      <c r="AY406" s="208"/>
      <c r="AZ406" s="208"/>
      <c r="BA406" s="208"/>
      <c r="BB406" s="208"/>
      <c r="BC406" s="208"/>
      <c r="BD406" s="208"/>
      <c r="BE406" s="208"/>
      <c r="BF406" s="208"/>
      <c r="BG406" s="208"/>
      <c r="BH406" s="208"/>
      <c r="BI406" s="208"/>
      <c r="BJ406" s="208"/>
      <c r="BK406" s="208"/>
      <c r="BL406" s="208"/>
      <c r="BM406" s="208"/>
      <c r="BN406" s="208"/>
      <c r="BO406" s="208"/>
      <c r="BP406" s="208"/>
      <c r="BQ406" s="208"/>
      <c r="BR406" s="208"/>
      <c r="BS406" s="208"/>
      <c r="BT406" s="208"/>
      <c r="BU406" s="208"/>
      <c r="BV406" s="208"/>
      <c r="BW406" s="208"/>
      <c r="BX406" s="208"/>
      <c r="BY406" s="208"/>
      <c r="BZ406" s="208"/>
      <c r="CA406" s="208"/>
      <c r="CB406" s="208"/>
      <c r="CC406" s="208"/>
      <c r="CD406" s="208"/>
      <c r="CE406" s="208"/>
      <c r="CF406" s="208"/>
      <c r="CG406" s="208"/>
      <c r="CH406" s="208"/>
      <c r="CI406" s="208"/>
      <c r="CJ406" s="208"/>
      <c r="CK406" s="208"/>
      <c r="CL406" s="208"/>
      <c r="CM406" s="208"/>
      <c r="CN406" s="208"/>
      <c r="CO406" s="208"/>
      <c r="CP406" s="208"/>
      <c r="CQ406" s="208"/>
      <c r="CR406" s="208"/>
      <c r="CS406" s="208"/>
      <c r="CT406" s="208"/>
      <c r="CU406" s="208"/>
      <c r="CV406" s="208"/>
      <c r="CW406" s="208"/>
      <c r="CX406" s="208"/>
      <c r="CY406" s="208"/>
      <c r="CZ406" s="208"/>
      <c r="DA406" s="208"/>
      <c r="DB406" s="208"/>
      <c r="DC406" s="208"/>
      <c r="DD406" s="208"/>
      <c r="DE406" s="208"/>
      <c r="DF406" s="208"/>
      <c r="DG406" s="208"/>
      <c r="DH406" s="208"/>
      <c r="DI406" s="208"/>
      <c r="DJ406" s="208"/>
      <c r="DK406" s="208"/>
      <c r="DL406" s="208"/>
      <c r="DM406" s="208"/>
      <c r="DN406" s="208"/>
      <c r="DO406" s="208"/>
      <c r="DP406" s="208"/>
      <c r="DQ406" s="208"/>
      <c r="DR406" s="208"/>
      <c r="DS406" s="208"/>
      <c r="DT406" s="208"/>
      <c r="DU406" s="208"/>
      <c r="DV406" s="208"/>
      <c r="DW406" s="208"/>
      <c r="DX406" s="208"/>
      <c r="DY406" s="208"/>
      <c r="DZ406" s="208"/>
      <c r="EA406" s="208"/>
      <c r="EB406" s="208"/>
      <c r="EC406" s="208"/>
      <c r="ED406" s="208"/>
      <c r="EE406" s="208"/>
      <c r="EF406" s="208"/>
      <c r="EG406" s="208"/>
      <c r="EH406" s="208"/>
      <c r="EI406" s="208"/>
      <c r="EJ406" s="208"/>
      <c r="EK406" s="208"/>
      <c r="EL406" s="208"/>
      <c r="EM406" s="208"/>
      <c r="EN406" s="208"/>
      <c r="EO406" s="208"/>
      <c r="EP406" s="208"/>
      <c r="EQ406" s="208"/>
      <c r="ER406" s="208"/>
      <c r="ES406" s="208"/>
      <c r="ET406" s="208"/>
      <c r="EU406" s="208"/>
      <c r="EV406" s="208"/>
      <c r="EW406" s="208"/>
      <c r="EX406" s="208"/>
      <c r="EY406" s="208"/>
      <c r="EZ406" s="208"/>
      <c r="FA406" s="208"/>
      <c r="FB406" s="208"/>
      <c r="FC406" s="208"/>
      <c r="FD406" s="208"/>
      <c r="FE406" s="208"/>
      <c r="FF406" s="208"/>
      <c r="FG406" s="208"/>
      <c r="FH406" s="208"/>
      <c r="FI406" s="208"/>
      <c r="FJ406" s="208"/>
      <c r="FK406" s="208"/>
      <c r="FL406" s="208"/>
      <c r="FM406" s="208"/>
      <c r="FN406" s="208"/>
      <c r="FO406" s="208"/>
      <c r="FP406" s="208"/>
      <c r="FQ406" s="208"/>
      <c r="FR406" s="208"/>
      <c r="FS406" s="208"/>
      <c r="FT406" s="208"/>
      <c r="FU406" s="208"/>
      <c r="FV406" s="208"/>
      <c r="FW406" s="208"/>
      <c r="FX406" s="208"/>
      <c r="FY406" s="208"/>
      <c r="FZ406" s="208"/>
      <c r="GA406" s="208"/>
      <c r="GB406" s="208"/>
      <c r="GC406" s="208"/>
      <c r="GD406" s="208"/>
      <c r="GE406" s="208"/>
      <c r="GF406" s="208"/>
    </row>
    <row r="407" spans="1:188" s="209" customFormat="1" ht="15" x14ac:dyDescent="0.25">
      <c r="A407" s="195" t="s">
        <v>5191</v>
      </c>
      <c r="B407" s="195" t="s">
        <v>2952</v>
      </c>
      <c r="C407" s="196" t="s">
        <v>2953</v>
      </c>
      <c r="D407" s="154" t="s">
        <v>28</v>
      </c>
      <c r="E407" s="154">
        <v>5</v>
      </c>
      <c r="F407" s="154"/>
      <c r="G407" s="197">
        <v>5</v>
      </c>
      <c r="H407" s="198">
        <f t="shared" si="55"/>
        <v>1.6666666666666666E-2</v>
      </c>
      <c r="I407" s="247">
        <v>13.54</v>
      </c>
      <c r="J407" s="152"/>
      <c r="K407" s="198"/>
      <c r="L407" s="152">
        <f t="shared" si="58"/>
        <v>1.1299999999999999</v>
      </c>
      <c r="M407" s="152">
        <f t="shared" si="59"/>
        <v>67.8</v>
      </c>
      <c r="N407" s="153"/>
      <c r="O407" s="152"/>
      <c r="Q407" s="208"/>
      <c r="R407" s="208"/>
      <c r="S407"/>
      <c r="T407" s="208"/>
      <c r="U407" s="208"/>
      <c r="V407" s="208"/>
      <c r="W407" s="208"/>
      <c r="X407" s="208"/>
      <c r="Y407" s="208"/>
      <c r="Z407" s="208"/>
      <c r="AA407" s="208"/>
      <c r="AB407" s="208"/>
      <c r="AC407" s="208"/>
      <c r="AD407" s="208"/>
      <c r="AE407" s="208"/>
      <c r="AF407" s="208"/>
      <c r="AG407" s="208"/>
      <c r="AH407" s="208"/>
      <c r="AI407" s="208"/>
      <c r="AJ407" s="208"/>
      <c r="AK407" s="208"/>
      <c r="AL407" s="208"/>
      <c r="AM407" s="208"/>
      <c r="AN407" s="208"/>
      <c r="AO407" s="208"/>
      <c r="AP407" s="208"/>
      <c r="AQ407" s="208"/>
      <c r="AR407" s="208"/>
      <c r="AS407" s="208"/>
      <c r="AT407" s="208"/>
      <c r="AU407" s="208"/>
      <c r="AV407" s="208"/>
      <c r="AW407" s="208"/>
      <c r="AX407" s="208"/>
      <c r="AY407" s="208"/>
      <c r="AZ407" s="208"/>
      <c r="BA407" s="208"/>
      <c r="BB407" s="208"/>
      <c r="BC407" s="208"/>
      <c r="BD407" s="208"/>
      <c r="BE407" s="208"/>
      <c r="BF407" s="208"/>
      <c r="BG407" s="208"/>
      <c r="BH407" s="208"/>
      <c r="BI407" s="208"/>
      <c r="BJ407" s="208"/>
      <c r="BK407" s="208"/>
      <c r="BL407" s="208"/>
      <c r="BM407" s="208"/>
      <c r="BN407" s="208"/>
      <c r="BO407" s="208"/>
      <c r="BP407" s="208"/>
      <c r="BQ407" s="208"/>
      <c r="BR407" s="208"/>
      <c r="BS407" s="208"/>
      <c r="BT407" s="208"/>
      <c r="BU407" s="208"/>
      <c r="BV407" s="208"/>
      <c r="BW407" s="208"/>
      <c r="BX407" s="208"/>
      <c r="BY407" s="208"/>
      <c r="BZ407" s="208"/>
      <c r="CA407" s="208"/>
      <c r="CB407" s="208"/>
      <c r="CC407" s="208"/>
      <c r="CD407" s="208"/>
      <c r="CE407" s="208"/>
      <c r="CF407" s="208"/>
      <c r="CG407" s="208"/>
      <c r="CH407" s="208"/>
      <c r="CI407" s="208"/>
      <c r="CJ407" s="208"/>
      <c r="CK407" s="208"/>
      <c r="CL407" s="208"/>
      <c r="CM407" s="208"/>
      <c r="CN407" s="208"/>
      <c r="CO407" s="208"/>
      <c r="CP407" s="208"/>
      <c r="CQ407" s="208"/>
      <c r="CR407" s="208"/>
      <c r="CS407" s="208"/>
      <c r="CT407" s="208"/>
      <c r="CU407" s="208"/>
      <c r="CV407" s="208"/>
      <c r="CW407" s="208"/>
      <c r="CX407" s="208"/>
      <c r="CY407" s="208"/>
      <c r="CZ407" s="208"/>
      <c r="DA407" s="208"/>
      <c r="DB407" s="208"/>
      <c r="DC407" s="208"/>
      <c r="DD407" s="208"/>
      <c r="DE407" s="208"/>
      <c r="DF407" s="208"/>
      <c r="DG407" s="208"/>
      <c r="DH407" s="208"/>
      <c r="DI407" s="208"/>
      <c r="DJ407" s="208"/>
      <c r="DK407" s="208"/>
      <c r="DL407" s="208"/>
      <c r="DM407" s="208"/>
      <c r="DN407" s="208"/>
      <c r="DO407" s="208"/>
      <c r="DP407" s="208"/>
      <c r="DQ407" s="208"/>
      <c r="DR407" s="208"/>
      <c r="DS407" s="208"/>
      <c r="DT407" s="208"/>
      <c r="DU407" s="208"/>
      <c r="DV407" s="208"/>
      <c r="DW407" s="208"/>
      <c r="DX407" s="208"/>
      <c r="DY407" s="208"/>
      <c r="DZ407" s="208"/>
      <c r="EA407" s="208"/>
      <c r="EB407" s="208"/>
      <c r="EC407" s="208"/>
      <c r="ED407" s="208"/>
      <c r="EE407" s="208"/>
      <c r="EF407" s="208"/>
      <c r="EG407" s="208"/>
      <c r="EH407" s="208"/>
      <c r="EI407" s="208"/>
      <c r="EJ407" s="208"/>
      <c r="EK407" s="208"/>
      <c r="EL407" s="208"/>
      <c r="EM407" s="208"/>
      <c r="EN407" s="208"/>
      <c r="EO407" s="208"/>
      <c r="EP407" s="208"/>
      <c r="EQ407" s="208"/>
      <c r="ER407" s="208"/>
      <c r="ES407" s="208"/>
      <c r="ET407" s="208"/>
      <c r="EU407" s="208"/>
      <c r="EV407" s="208"/>
      <c r="EW407" s="208"/>
      <c r="EX407" s="208"/>
      <c r="EY407" s="208"/>
      <c r="EZ407" s="208"/>
      <c r="FA407" s="208"/>
      <c r="FB407" s="208"/>
      <c r="FC407" s="208"/>
      <c r="FD407" s="208"/>
      <c r="FE407" s="208"/>
      <c r="FF407" s="208"/>
      <c r="FG407" s="208"/>
      <c r="FH407" s="208"/>
      <c r="FI407" s="208"/>
      <c r="FJ407" s="208"/>
      <c r="FK407" s="208"/>
      <c r="FL407" s="208"/>
      <c r="FM407" s="208"/>
      <c r="FN407" s="208"/>
      <c r="FO407" s="208"/>
      <c r="FP407" s="208"/>
      <c r="FQ407" s="208"/>
      <c r="FR407" s="208"/>
      <c r="FS407" s="208"/>
      <c r="FT407" s="208"/>
      <c r="FU407" s="208"/>
      <c r="FV407" s="208"/>
      <c r="FW407" s="208"/>
      <c r="FX407" s="208"/>
      <c r="FY407" s="208"/>
      <c r="FZ407" s="208"/>
      <c r="GA407" s="208"/>
      <c r="GB407" s="208"/>
      <c r="GC407" s="208"/>
      <c r="GD407" s="208"/>
      <c r="GE407" s="208"/>
      <c r="GF407" s="208"/>
    </row>
    <row r="408" spans="1:188" s="209" customFormat="1" ht="15" x14ac:dyDescent="0.25">
      <c r="A408" s="195" t="s">
        <v>5192</v>
      </c>
      <c r="B408" s="195" t="s">
        <v>2954</v>
      </c>
      <c r="C408" s="196" t="s">
        <v>2955</v>
      </c>
      <c r="D408" s="154" t="s">
        <v>28</v>
      </c>
      <c r="E408" s="154">
        <v>5</v>
      </c>
      <c r="F408" s="154"/>
      <c r="G408" s="197">
        <v>5</v>
      </c>
      <c r="H408" s="198">
        <f t="shared" si="55"/>
        <v>1.6666666666666666E-2</v>
      </c>
      <c r="I408" s="247">
        <v>70.02</v>
      </c>
      <c r="J408" s="152"/>
      <c r="K408" s="198"/>
      <c r="L408" s="152">
        <f t="shared" si="58"/>
        <v>5.84</v>
      </c>
      <c r="M408" s="152">
        <f t="shared" si="59"/>
        <v>350.4</v>
      </c>
      <c r="N408" s="153"/>
      <c r="O408" s="152"/>
      <c r="Q408" s="208"/>
      <c r="R408" s="208"/>
      <c r="S408"/>
      <c r="T408" s="208"/>
      <c r="U408" s="208"/>
      <c r="V408" s="208"/>
      <c r="W408" s="208"/>
      <c r="X408" s="208"/>
      <c r="Y408" s="208"/>
      <c r="Z408" s="208"/>
      <c r="AA408" s="208"/>
      <c r="AB408" s="208"/>
      <c r="AC408" s="208"/>
      <c r="AD408" s="208"/>
      <c r="AE408" s="208"/>
      <c r="AF408" s="208"/>
      <c r="AG408" s="208"/>
      <c r="AH408" s="208"/>
      <c r="AI408" s="208"/>
      <c r="AJ408" s="208"/>
      <c r="AK408" s="208"/>
      <c r="AL408" s="208"/>
      <c r="AM408" s="208"/>
      <c r="AN408" s="208"/>
      <c r="AO408" s="208"/>
      <c r="AP408" s="208"/>
      <c r="AQ408" s="208"/>
      <c r="AR408" s="208"/>
      <c r="AS408" s="208"/>
      <c r="AT408" s="208"/>
      <c r="AU408" s="208"/>
      <c r="AV408" s="208"/>
      <c r="AW408" s="208"/>
      <c r="AX408" s="208"/>
      <c r="AY408" s="208"/>
      <c r="AZ408" s="208"/>
      <c r="BA408" s="208"/>
      <c r="BB408" s="208"/>
      <c r="BC408" s="208"/>
      <c r="BD408" s="208"/>
      <c r="BE408" s="208"/>
      <c r="BF408" s="208"/>
      <c r="BG408" s="208"/>
      <c r="BH408" s="208"/>
      <c r="BI408" s="208"/>
      <c r="BJ408" s="208"/>
      <c r="BK408" s="208"/>
      <c r="BL408" s="208"/>
      <c r="BM408" s="208"/>
      <c r="BN408" s="208"/>
      <c r="BO408" s="208"/>
      <c r="BP408" s="208"/>
      <c r="BQ408" s="208"/>
      <c r="BR408" s="208"/>
      <c r="BS408" s="208"/>
      <c r="BT408" s="208"/>
      <c r="BU408" s="208"/>
      <c r="BV408" s="208"/>
      <c r="BW408" s="208"/>
      <c r="BX408" s="208"/>
      <c r="BY408" s="208"/>
      <c r="BZ408" s="208"/>
      <c r="CA408" s="208"/>
      <c r="CB408" s="208"/>
      <c r="CC408" s="208"/>
      <c r="CD408" s="208"/>
      <c r="CE408" s="208"/>
      <c r="CF408" s="208"/>
      <c r="CG408" s="208"/>
      <c r="CH408" s="208"/>
      <c r="CI408" s="208"/>
      <c r="CJ408" s="208"/>
      <c r="CK408" s="208"/>
      <c r="CL408" s="208"/>
      <c r="CM408" s="208"/>
      <c r="CN408" s="208"/>
      <c r="CO408" s="208"/>
      <c r="CP408" s="208"/>
      <c r="CQ408" s="208"/>
      <c r="CR408" s="208"/>
      <c r="CS408" s="208"/>
      <c r="CT408" s="208"/>
      <c r="CU408" s="208"/>
      <c r="CV408" s="208"/>
      <c r="CW408" s="208"/>
      <c r="CX408" s="208"/>
      <c r="CY408" s="208"/>
      <c r="CZ408" s="208"/>
      <c r="DA408" s="208"/>
      <c r="DB408" s="208"/>
      <c r="DC408" s="208"/>
      <c r="DD408" s="208"/>
      <c r="DE408" s="208"/>
      <c r="DF408" s="208"/>
      <c r="DG408" s="208"/>
      <c r="DH408" s="208"/>
      <c r="DI408" s="208"/>
      <c r="DJ408" s="208"/>
      <c r="DK408" s="208"/>
      <c r="DL408" s="208"/>
      <c r="DM408" s="208"/>
      <c r="DN408" s="208"/>
      <c r="DO408" s="208"/>
      <c r="DP408" s="208"/>
      <c r="DQ408" s="208"/>
      <c r="DR408" s="208"/>
      <c r="DS408" s="208"/>
      <c r="DT408" s="208"/>
      <c r="DU408" s="208"/>
      <c r="DV408" s="208"/>
      <c r="DW408" s="208"/>
      <c r="DX408" s="208"/>
      <c r="DY408" s="208"/>
      <c r="DZ408" s="208"/>
      <c r="EA408" s="208"/>
      <c r="EB408" s="208"/>
      <c r="EC408" s="208"/>
      <c r="ED408" s="208"/>
      <c r="EE408" s="208"/>
      <c r="EF408" s="208"/>
      <c r="EG408" s="208"/>
      <c r="EH408" s="208"/>
      <c r="EI408" s="208"/>
      <c r="EJ408" s="208"/>
      <c r="EK408" s="208"/>
      <c r="EL408" s="208"/>
      <c r="EM408" s="208"/>
      <c r="EN408" s="208"/>
      <c r="EO408" s="208"/>
      <c r="EP408" s="208"/>
      <c r="EQ408" s="208"/>
      <c r="ER408" s="208"/>
      <c r="ES408" s="208"/>
      <c r="ET408" s="208"/>
      <c r="EU408" s="208"/>
      <c r="EV408" s="208"/>
      <c r="EW408" s="208"/>
      <c r="EX408" s="208"/>
      <c r="EY408" s="208"/>
      <c r="EZ408" s="208"/>
      <c r="FA408" s="208"/>
      <c r="FB408" s="208"/>
      <c r="FC408" s="208"/>
      <c r="FD408" s="208"/>
      <c r="FE408" s="208"/>
      <c r="FF408" s="208"/>
      <c r="FG408" s="208"/>
      <c r="FH408" s="208"/>
      <c r="FI408" s="208"/>
      <c r="FJ408" s="208"/>
      <c r="FK408" s="208"/>
      <c r="FL408" s="208"/>
      <c r="FM408" s="208"/>
      <c r="FN408" s="208"/>
      <c r="FO408" s="208"/>
      <c r="FP408" s="208"/>
      <c r="FQ408" s="208"/>
      <c r="FR408" s="208"/>
      <c r="FS408" s="208"/>
      <c r="FT408" s="208"/>
      <c r="FU408" s="208"/>
      <c r="FV408" s="208"/>
      <c r="FW408" s="208"/>
      <c r="FX408" s="208"/>
      <c r="FY408" s="208"/>
      <c r="FZ408" s="208"/>
      <c r="GA408" s="208"/>
      <c r="GB408" s="208"/>
      <c r="GC408" s="208"/>
      <c r="GD408" s="208"/>
      <c r="GE408" s="208"/>
      <c r="GF408" s="208"/>
    </row>
    <row r="409" spans="1:188" s="209" customFormat="1" ht="15" x14ac:dyDescent="0.25">
      <c r="A409" s="195" t="s">
        <v>5193</v>
      </c>
      <c r="B409" s="195" t="s">
        <v>2956</v>
      </c>
      <c r="C409" s="196" t="s">
        <v>2957</v>
      </c>
      <c r="D409" s="154" t="s">
        <v>28</v>
      </c>
      <c r="E409" s="154">
        <v>3</v>
      </c>
      <c r="F409" s="154"/>
      <c r="G409" s="197">
        <v>5</v>
      </c>
      <c r="H409" s="198">
        <f t="shared" si="55"/>
        <v>1.6666666666666666E-2</v>
      </c>
      <c r="I409" s="247">
        <v>125.72</v>
      </c>
      <c r="J409" s="152"/>
      <c r="K409" s="198"/>
      <c r="L409" s="152">
        <f t="shared" si="58"/>
        <v>6.29</v>
      </c>
      <c r="M409" s="152">
        <f t="shared" si="59"/>
        <v>377.4</v>
      </c>
      <c r="N409" s="153"/>
      <c r="O409" s="152"/>
      <c r="Q409" s="208"/>
      <c r="R409" s="208"/>
      <c r="S409"/>
      <c r="T409" s="208"/>
      <c r="U409" s="208"/>
      <c r="V409" s="208"/>
      <c r="W409" s="208"/>
      <c r="X409" s="208"/>
      <c r="Y409" s="208"/>
      <c r="Z409" s="208"/>
      <c r="AA409" s="208"/>
      <c r="AB409" s="208"/>
      <c r="AC409" s="208"/>
      <c r="AD409" s="208"/>
      <c r="AE409" s="208"/>
      <c r="AF409" s="208"/>
      <c r="AG409" s="208"/>
      <c r="AH409" s="208"/>
      <c r="AI409" s="208"/>
      <c r="AJ409" s="208"/>
      <c r="AK409" s="208"/>
      <c r="AL409" s="208"/>
      <c r="AM409" s="208"/>
      <c r="AN409" s="208"/>
      <c r="AO409" s="208"/>
      <c r="AP409" s="208"/>
      <c r="AQ409" s="208"/>
      <c r="AR409" s="208"/>
      <c r="AS409" s="208"/>
      <c r="AT409" s="208"/>
      <c r="AU409" s="208"/>
      <c r="AV409" s="208"/>
      <c r="AW409" s="208"/>
      <c r="AX409" s="208"/>
      <c r="AY409" s="208"/>
      <c r="AZ409" s="208"/>
      <c r="BA409" s="208"/>
      <c r="BB409" s="208"/>
      <c r="BC409" s="208"/>
      <c r="BD409" s="208"/>
      <c r="BE409" s="208"/>
      <c r="BF409" s="208"/>
      <c r="BG409" s="208"/>
      <c r="BH409" s="208"/>
      <c r="BI409" s="208"/>
      <c r="BJ409" s="208"/>
      <c r="BK409" s="208"/>
      <c r="BL409" s="208"/>
      <c r="BM409" s="208"/>
      <c r="BN409" s="208"/>
      <c r="BO409" s="208"/>
      <c r="BP409" s="208"/>
      <c r="BQ409" s="208"/>
      <c r="BR409" s="208"/>
      <c r="BS409" s="208"/>
      <c r="BT409" s="208"/>
      <c r="BU409" s="208"/>
      <c r="BV409" s="208"/>
      <c r="BW409" s="208"/>
      <c r="BX409" s="208"/>
      <c r="BY409" s="208"/>
      <c r="BZ409" s="208"/>
      <c r="CA409" s="208"/>
      <c r="CB409" s="208"/>
      <c r="CC409" s="208"/>
      <c r="CD409" s="208"/>
      <c r="CE409" s="208"/>
      <c r="CF409" s="208"/>
      <c r="CG409" s="208"/>
      <c r="CH409" s="208"/>
      <c r="CI409" s="208"/>
      <c r="CJ409" s="208"/>
      <c r="CK409" s="208"/>
      <c r="CL409" s="208"/>
      <c r="CM409" s="208"/>
      <c r="CN409" s="208"/>
      <c r="CO409" s="208"/>
      <c r="CP409" s="208"/>
      <c r="CQ409" s="208"/>
      <c r="CR409" s="208"/>
      <c r="CS409" s="208"/>
      <c r="CT409" s="208"/>
      <c r="CU409" s="208"/>
      <c r="CV409" s="208"/>
      <c r="CW409" s="208"/>
      <c r="CX409" s="208"/>
      <c r="CY409" s="208"/>
      <c r="CZ409" s="208"/>
      <c r="DA409" s="208"/>
      <c r="DB409" s="208"/>
      <c r="DC409" s="208"/>
      <c r="DD409" s="208"/>
      <c r="DE409" s="208"/>
      <c r="DF409" s="208"/>
      <c r="DG409" s="208"/>
      <c r="DH409" s="208"/>
      <c r="DI409" s="208"/>
      <c r="DJ409" s="208"/>
      <c r="DK409" s="208"/>
      <c r="DL409" s="208"/>
      <c r="DM409" s="208"/>
      <c r="DN409" s="208"/>
      <c r="DO409" s="208"/>
      <c r="DP409" s="208"/>
      <c r="DQ409" s="208"/>
      <c r="DR409" s="208"/>
      <c r="DS409" s="208"/>
      <c r="DT409" s="208"/>
      <c r="DU409" s="208"/>
      <c r="DV409" s="208"/>
      <c r="DW409" s="208"/>
      <c r="DX409" s="208"/>
      <c r="DY409" s="208"/>
      <c r="DZ409" s="208"/>
      <c r="EA409" s="208"/>
      <c r="EB409" s="208"/>
      <c r="EC409" s="208"/>
      <c r="ED409" s="208"/>
      <c r="EE409" s="208"/>
      <c r="EF409" s="208"/>
      <c r="EG409" s="208"/>
      <c r="EH409" s="208"/>
      <c r="EI409" s="208"/>
      <c r="EJ409" s="208"/>
      <c r="EK409" s="208"/>
      <c r="EL409" s="208"/>
      <c r="EM409" s="208"/>
      <c r="EN409" s="208"/>
      <c r="EO409" s="208"/>
      <c r="EP409" s="208"/>
      <c r="EQ409" s="208"/>
      <c r="ER409" s="208"/>
      <c r="ES409" s="208"/>
      <c r="ET409" s="208"/>
      <c r="EU409" s="208"/>
      <c r="EV409" s="208"/>
      <c r="EW409" s="208"/>
      <c r="EX409" s="208"/>
      <c r="EY409" s="208"/>
      <c r="EZ409" s="208"/>
      <c r="FA409" s="208"/>
      <c r="FB409" s="208"/>
      <c r="FC409" s="208"/>
      <c r="FD409" s="208"/>
      <c r="FE409" s="208"/>
      <c r="FF409" s="208"/>
      <c r="FG409" s="208"/>
      <c r="FH409" s="208"/>
      <c r="FI409" s="208"/>
      <c r="FJ409" s="208"/>
      <c r="FK409" s="208"/>
      <c r="FL409" s="208"/>
      <c r="FM409" s="208"/>
      <c r="FN409" s="208"/>
      <c r="FO409" s="208"/>
      <c r="FP409" s="208"/>
      <c r="FQ409" s="208"/>
      <c r="FR409" s="208"/>
      <c r="FS409" s="208"/>
      <c r="FT409" s="208"/>
      <c r="FU409" s="208"/>
      <c r="FV409" s="208"/>
      <c r="FW409" s="208"/>
      <c r="FX409" s="208"/>
      <c r="FY409" s="208"/>
      <c r="FZ409" s="208"/>
      <c r="GA409" s="208"/>
      <c r="GB409" s="208"/>
      <c r="GC409" s="208"/>
      <c r="GD409" s="208"/>
      <c r="GE409" s="208"/>
      <c r="GF409" s="208"/>
    </row>
    <row r="410" spans="1:188" s="209" customFormat="1" ht="15" x14ac:dyDescent="0.25">
      <c r="A410" s="195" t="s">
        <v>5194</v>
      </c>
      <c r="B410" s="195" t="s">
        <v>2958</v>
      </c>
      <c r="C410" s="196" t="s">
        <v>2959</v>
      </c>
      <c r="D410" s="154" t="s">
        <v>28</v>
      </c>
      <c r="E410" s="154">
        <v>3</v>
      </c>
      <c r="F410" s="154"/>
      <c r="G410" s="197">
        <v>5</v>
      </c>
      <c r="H410" s="198">
        <f t="shared" si="55"/>
        <v>1.6666666666666666E-2</v>
      </c>
      <c r="I410" s="247">
        <v>340.83</v>
      </c>
      <c r="J410" s="152"/>
      <c r="K410" s="198"/>
      <c r="L410" s="152">
        <f t="shared" ref="L410:L441" si="60">IF(ISNUMBER(I410),ROUND(H410*E410*I410,2),"")</f>
        <v>17.04</v>
      </c>
      <c r="M410" s="152">
        <f t="shared" ref="M410:M441" si="61">IF(ISNUMBER(I410),ROUND(L410*60,2),"")</f>
        <v>1022.4</v>
      </c>
      <c r="N410" s="153"/>
      <c r="O410" s="152"/>
      <c r="Q410" s="208"/>
      <c r="R410" s="208"/>
      <c r="S410"/>
      <c r="T410" s="208"/>
      <c r="U410" s="208"/>
      <c r="V410" s="208"/>
      <c r="W410" s="208"/>
      <c r="X410" s="208"/>
      <c r="Y410" s="208"/>
      <c r="Z410" s="208"/>
      <c r="AA410" s="208"/>
      <c r="AB410" s="208"/>
      <c r="AC410" s="208"/>
      <c r="AD410" s="208"/>
      <c r="AE410" s="208"/>
      <c r="AF410" s="208"/>
      <c r="AG410" s="208"/>
      <c r="AH410" s="208"/>
      <c r="AI410" s="208"/>
      <c r="AJ410" s="208"/>
      <c r="AK410" s="208"/>
      <c r="AL410" s="208"/>
      <c r="AM410" s="208"/>
      <c r="AN410" s="208"/>
      <c r="AO410" s="208"/>
      <c r="AP410" s="208"/>
      <c r="AQ410" s="208"/>
      <c r="AR410" s="208"/>
      <c r="AS410" s="208"/>
      <c r="AT410" s="208"/>
      <c r="AU410" s="208"/>
      <c r="AV410" s="208"/>
      <c r="AW410" s="208"/>
      <c r="AX410" s="208"/>
      <c r="AY410" s="208"/>
      <c r="AZ410" s="208"/>
      <c r="BA410" s="208"/>
      <c r="BB410" s="208"/>
      <c r="BC410" s="208"/>
      <c r="BD410" s="208"/>
      <c r="BE410" s="208"/>
      <c r="BF410" s="208"/>
      <c r="BG410" s="208"/>
      <c r="BH410" s="208"/>
      <c r="BI410" s="208"/>
      <c r="BJ410" s="208"/>
      <c r="BK410" s="208"/>
      <c r="BL410" s="208"/>
      <c r="BM410" s="208"/>
      <c r="BN410" s="208"/>
      <c r="BO410" s="208"/>
      <c r="BP410" s="208"/>
      <c r="BQ410" s="208"/>
      <c r="BR410" s="208"/>
      <c r="BS410" s="208"/>
      <c r="BT410" s="208"/>
      <c r="BU410" s="208"/>
      <c r="BV410" s="208"/>
      <c r="BW410" s="208"/>
      <c r="BX410" s="208"/>
      <c r="BY410" s="208"/>
      <c r="BZ410" s="208"/>
      <c r="CA410" s="208"/>
      <c r="CB410" s="208"/>
      <c r="CC410" s="208"/>
      <c r="CD410" s="208"/>
      <c r="CE410" s="208"/>
      <c r="CF410" s="208"/>
      <c r="CG410" s="208"/>
      <c r="CH410" s="208"/>
      <c r="CI410" s="208"/>
      <c r="CJ410" s="208"/>
      <c r="CK410" s="208"/>
      <c r="CL410" s="208"/>
      <c r="CM410" s="208"/>
      <c r="CN410" s="208"/>
      <c r="CO410" s="208"/>
      <c r="CP410" s="208"/>
      <c r="CQ410" s="208"/>
      <c r="CR410" s="208"/>
      <c r="CS410" s="208"/>
      <c r="CT410" s="208"/>
      <c r="CU410" s="208"/>
      <c r="CV410" s="208"/>
      <c r="CW410" s="208"/>
      <c r="CX410" s="208"/>
      <c r="CY410" s="208"/>
      <c r="CZ410" s="208"/>
      <c r="DA410" s="208"/>
      <c r="DB410" s="208"/>
      <c r="DC410" s="208"/>
      <c r="DD410" s="208"/>
      <c r="DE410" s="208"/>
      <c r="DF410" s="208"/>
      <c r="DG410" s="208"/>
      <c r="DH410" s="208"/>
      <c r="DI410" s="208"/>
      <c r="DJ410" s="208"/>
      <c r="DK410" s="208"/>
      <c r="DL410" s="208"/>
      <c r="DM410" s="208"/>
      <c r="DN410" s="208"/>
      <c r="DO410" s="208"/>
      <c r="DP410" s="208"/>
      <c r="DQ410" s="208"/>
      <c r="DR410" s="208"/>
      <c r="DS410" s="208"/>
      <c r="DT410" s="208"/>
      <c r="DU410" s="208"/>
      <c r="DV410" s="208"/>
      <c r="DW410" s="208"/>
      <c r="DX410" s="208"/>
      <c r="DY410" s="208"/>
      <c r="DZ410" s="208"/>
      <c r="EA410" s="208"/>
      <c r="EB410" s="208"/>
      <c r="EC410" s="208"/>
      <c r="ED410" s="208"/>
      <c r="EE410" s="208"/>
      <c r="EF410" s="208"/>
      <c r="EG410" s="208"/>
      <c r="EH410" s="208"/>
      <c r="EI410" s="208"/>
      <c r="EJ410" s="208"/>
      <c r="EK410" s="208"/>
      <c r="EL410" s="208"/>
      <c r="EM410" s="208"/>
      <c r="EN410" s="208"/>
      <c r="EO410" s="208"/>
      <c r="EP410" s="208"/>
      <c r="EQ410" s="208"/>
      <c r="ER410" s="208"/>
      <c r="ES410" s="208"/>
      <c r="ET410" s="208"/>
      <c r="EU410" s="208"/>
      <c r="EV410" s="208"/>
      <c r="EW410" s="208"/>
      <c r="EX410" s="208"/>
      <c r="EY410" s="208"/>
      <c r="EZ410" s="208"/>
      <c r="FA410" s="208"/>
      <c r="FB410" s="208"/>
      <c r="FC410" s="208"/>
      <c r="FD410" s="208"/>
      <c r="FE410" s="208"/>
      <c r="FF410" s="208"/>
      <c r="FG410" s="208"/>
      <c r="FH410" s="208"/>
      <c r="FI410" s="208"/>
      <c r="FJ410" s="208"/>
      <c r="FK410" s="208"/>
      <c r="FL410" s="208"/>
      <c r="FM410" s="208"/>
      <c r="FN410" s="208"/>
      <c r="FO410" s="208"/>
      <c r="FP410" s="208"/>
      <c r="FQ410" s="208"/>
      <c r="FR410" s="208"/>
      <c r="FS410" s="208"/>
      <c r="FT410" s="208"/>
      <c r="FU410" s="208"/>
      <c r="FV410" s="208"/>
      <c r="FW410" s="208"/>
      <c r="FX410" s="208"/>
      <c r="FY410" s="208"/>
      <c r="FZ410" s="208"/>
      <c r="GA410" s="208"/>
      <c r="GB410" s="208"/>
      <c r="GC410" s="208"/>
      <c r="GD410" s="208"/>
      <c r="GE410" s="208"/>
      <c r="GF410" s="208"/>
    </row>
    <row r="411" spans="1:188" s="209" customFormat="1" ht="15" x14ac:dyDescent="0.25">
      <c r="A411" s="195" t="s">
        <v>5195</v>
      </c>
      <c r="B411" s="195" t="s">
        <v>2557</v>
      </c>
      <c r="C411" s="196" t="s">
        <v>2558</v>
      </c>
      <c r="D411" s="154" t="s">
        <v>28</v>
      </c>
      <c r="E411" s="154">
        <v>18</v>
      </c>
      <c r="F411" s="154"/>
      <c r="G411" s="197">
        <v>5</v>
      </c>
      <c r="H411" s="198">
        <f t="shared" si="55"/>
        <v>1.6666666666666666E-2</v>
      </c>
      <c r="I411" s="247">
        <v>41.85</v>
      </c>
      <c r="J411" s="152"/>
      <c r="K411" s="198"/>
      <c r="L411" s="152">
        <f t="shared" si="60"/>
        <v>12.56</v>
      </c>
      <c r="M411" s="152">
        <f t="shared" si="61"/>
        <v>753.6</v>
      </c>
      <c r="N411" s="153"/>
      <c r="O411" s="152"/>
      <c r="Q411" s="208"/>
      <c r="R411" s="208"/>
      <c r="S411"/>
      <c r="T411" s="208"/>
      <c r="U411" s="208"/>
      <c r="V411" s="208"/>
      <c r="W411" s="208"/>
      <c r="X411" s="208"/>
      <c r="Y411" s="208"/>
      <c r="Z411" s="208"/>
      <c r="AA411" s="208"/>
      <c r="AB411" s="208"/>
      <c r="AC411" s="208"/>
      <c r="AD411" s="208"/>
      <c r="AE411" s="208"/>
      <c r="AF411" s="208"/>
      <c r="AG411" s="208"/>
      <c r="AH411" s="208"/>
      <c r="AI411" s="208"/>
      <c r="AJ411" s="208"/>
      <c r="AK411" s="208"/>
      <c r="AL411" s="208"/>
      <c r="AM411" s="208"/>
      <c r="AN411" s="208"/>
      <c r="AO411" s="208"/>
      <c r="AP411" s="208"/>
      <c r="AQ411" s="208"/>
      <c r="AR411" s="208"/>
      <c r="AS411" s="208"/>
      <c r="AT411" s="208"/>
      <c r="AU411" s="208"/>
      <c r="AV411" s="208"/>
      <c r="AW411" s="208"/>
      <c r="AX411" s="208"/>
      <c r="AY411" s="208"/>
      <c r="AZ411" s="208"/>
      <c r="BA411" s="208"/>
      <c r="BB411" s="208"/>
      <c r="BC411" s="208"/>
      <c r="BD411" s="208"/>
      <c r="BE411" s="208"/>
      <c r="BF411" s="208"/>
      <c r="BG411" s="208"/>
      <c r="BH411" s="208"/>
      <c r="BI411" s="208"/>
      <c r="BJ411" s="208"/>
      <c r="BK411" s="208"/>
      <c r="BL411" s="208"/>
      <c r="BM411" s="208"/>
      <c r="BN411" s="208"/>
      <c r="BO411" s="208"/>
      <c r="BP411" s="208"/>
      <c r="BQ411" s="208"/>
      <c r="BR411" s="208"/>
      <c r="BS411" s="208"/>
      <c r="BT411" s="208"/>
      <c r="BU411" s="208"/>
      <c r="BV411" s="208"/>
      <c r="BW411" s="208"/>
      <c r="BX411" s="208"/>
      <c r="BY411" s="208"/>
      <c r="BZ411" s="208"/>
      <c r="CA411" s="208"/>
      <c r="CB411" s="208"/>
      <c r="CC411" s="208"/>
      <c r="CD411" s="208"/>
      <c r="CE411" s="208"/>
      <c r="CF411" s="208"/>
      <c r="CG411" s="208"/>
      <c r="CH411" s="208"/>
      <c r="CI411" s="208"/>
      <c r="CJ411" s="208"/>
      <c r="CK411" s="208"/>
      <c r="CL411" s="208"/>
      <c r="CM411" s="208"/>
      <c r="CN411" s="208"/>
      <c r="CO411" s="208"/>
      <c r="CP411" s="208"/>
      <c r="CQ411" s="208"/>
      <c r="CR411" s="208"/>
      <c r="CS411" s="208"/>
      <c r="CT411" s="208"/>
      <c r="CU411" s="208"/>
      <c r="CV411" s="208"/>
      <c r="CW411" s="208"/>
      <c r="CX411" s="208"/>
      <c r="CY411" s="208"/>
      <c r="CZ411" s="208"/>
      <c r="DA411" s="208"/>
      <c r="DB411" s="208"/>
      <c r="DC411" s="208"/>
      <c r="DD411" s="208"/>
      <c r="DE411" s="208"/>
      <c r="DF411" s="208"/>
      <c r="DG411" s="208"/>
      <c r="DH411" s="208"/>
      <c r="DI411" s="208"/>
      <c r="DJ411" s="208"/>
      <c r="DK411" s="208"/>
      <c r="DL411" s="208"/>
      <c r="DM411" s="208"/>
      <c r="DN411" s="208"/>
      <c r="DO411" s="208"/>
      <c r="DP411" s="208"/>
      <c r="DQ411" s="208"/>
      <c r="DR411" s="208"/>
      <c r="DS411" s="208"/>
      <c r="DT411" s="208"/>
      <c r="DU411" s="208"/>
      <c r="DV411" s="208"/>
      <c r="DW411" s="208"/>
      <c r="DX411" s="208"/>
      <c r="DY411" s="208"/>
      <c r="DZ411" s="208"/>
      <c r="EA411" s="208"/>
      <c r="EB411" s="208"/>
      <c r="EC411" s="208"/>
      <c r="ED411" s="208"/>
      <c r="EE411" s="208"/>
      <c r="EF411" s="208"/>
      <c r="EG411" s="208"/>
      <c r="EH411" s="208"/>
      <c r="EI411" s="208"/>
      <c r="EJ411" s="208"/>
      <c r="EK411" s="208"/>
      <c r="EL411" s="208"/>
      <c r="EM411" s="208"/>
      <c r="EN411" s="208"/>
      <c r="EO411" s="208"/>
      <c r="EP411" s="208"/>
      <c r="EQ411" s="208"/>
      <c r="ER411" s="208"/>
      <c r="ES411" s="208"/>
      <c r="ET411" s="208"/>
      <c r="EU411" s="208"/>
      <c r="EV411" s="208"/>
      <c r="EW411" s="208"/>
      <c r="EX411" s="208"/>
      <c r="EY411" s="208"/>
      <c r="EZ411" s="208"/>
      <c r="FA411" s="208"/>
      <c r="FB411" s="208"/>
      <c r="FC411" s="208"/>
      <c r="FD411" s="208"/>
      <c r="FE411" s="208"/>
      <c r="FF411" s="208"/>
      <c r="FG411" s="208"/>
      <c r="FH411" s="208"/>
      <c r="FI411" s="208"/>
      <c r="FJ411" s="208"/>
      <c r="FK411" s="208"/>
      <c r="FL411" s="208"/>
      <c r="FM411" s="208"/>
      <c r="FN411" s="208"/>
      <c r="FO411" s="208"/>
      <c r="FP411" s="208"/>
      <c r="FQ411" s="208"/>
      <c r="FR411" s="208"/>
      <c r="FS411" s="208"/>
      <c r="FT411" s="208"/>
      <c r="FU411" s="208"/>
      <c r="FV411" s="208"/>
      <c r="FW411" s="208"/>
      <c r="FX411" s="208"/>
      <c r="FY411" s="208"/>
      <c r="FZ411" s="208"/>
      <c r="GA411" s="208"/>
      <c r="GB411" s="208"/>
      <c r="GC411" s="208"/>
      <c r="GD411" s="208"/>
      <c r="GE411" s="208"/>
      <c r="GF411" s="208"/>
    </row>
    <row r="412" spans="1:188" s="209" customFormat="1" ht="15" x14ac:dyDescent="0.25">
      <c r="A412" s="195" t="s">
        <v>5196</v>
      </c>
      <c r="B412" s="195" t="s">
        <v>2499</v>
      </c>
      <c r="C412" s="196" t="s">
        <v>2500</v>
      </c>
      <c r="D412" s="154" t="s">
        <v>28</v>
      </c>
      <c r="E412" s="154">
        <v>10</v>
      </c>
      <c r="F412" s="154"/>
      <c r="G412" s="197">
        <v>5</v>
      </c>
      <c r="H412" s="198">
        <f t="shared" si="55"/>
        <v>1.6666666666666666E-2</v>
      </c>
      <c r="I412" s="247">
        <v>270.33</v>
      </c>
      <c r="J412" s="152"/>
      <c r="K412" s="198"/>
      <c r="L412" s="152">
        <f t="shared" si="60"/>
        <v>45.06</v>
      </c>
      <c r="M412" s="152">
        <f t="shared" si="61"/>
        <v>2703.6</v>
      </c>
      <c r="N412" s="153"/>
      <c r="O412" s="152"/>
      <c r="Q412" s="208"/>
      <c r="R412" s="208"/>
      <c r="S412"/>
      <c r="T412" s="208"/>
      <c r="U412" s="208"/>
      <c r="V412" s="208"/>
      <c r="W412" s="208"/>
      <c r="X412" s="208"/>
      <c r="Y412" s="208"/>
      <c r="Z412" s="208"/>
      <c r="AA412" s="208"/>
      <c r="AB412" s="208"/>
      <c r="AC412" s="208"/>
      <c r="AD412" s="208"/>
      <c r="AE412" s="208"/>
      <c r="AF412" s="208"/>
      <c r="AG412" s="208"/>
      <c r="AH412" s="208"/>
      <c r="AI412" s="208"/>
      <c r="AJ412" s="208"/>
      <c r="AK412" s="208"/>
      <c r="AL412" s="208"/>
      <c r="AM412" s="208"/>
      <c r="AN412" s="208"/>
      <c r="AO412" s="208"/>
      <c r="AP412" s="208"/>
      <c r="AQ412" s="208"/>
      <c r="AR412" s="208"/>
      <c r="AS412" s="208"/>
      <c r="AT412" s="208"/>
      <c r="AU412" s="208"/>
      <c r="AV412" s="208"/>
      <c r="AW412" s="208"/>
      <c r="AX412" s="208"/>
      <c r="AY412" s="208"/>
      <c r="AZ412" s="208"/>
      <c r="BA412" s="208"/>
      <c r="BB412" s="208"/>
      <c r="BC412" s="208"/>
      <c r="BD412" s="208"/>
      <c r="BE412" s="208"/>
      <c r="BF412" s="208"/>
      <c r="BG412" s="208"/>
      <c r="BH412" s="208"/>
      <c r="BI412" s="208"/>
      <c r="BJ412" s="208"/>
      <c r="BK412" s="208"/>
      <c r="BL412" s="208"/>
      <c r="BM412" s="208"/>
      <c r="BN412" s="208"/>
      <c r="BO412" s="208"/>
      <c r="BP412" s="208"/>
      <c r="BQ412" s="208"/>
      <c r="BR412" s="208"/>
      <c r="BS412" s="208"/>
      <c r="BT412" s="208"/>
      <c r="BU412" s="208"/>
      <c r="BV412" s="208"/>
      <c r="BW412" s="208"/>
      <c r="BX412" s="208"/>
      <c r="BY412" s="208"/>
      <c r="BZ412" s="208"/>
      <c r="CA412" s="208"/>
      <c r="CB412" s="208"/>
      <c r="CC412" s="208"/>
      <c r="CD412" s="208"/>
      <c r="CE412" s="208"/>
      <c r="CF412" s="208"/>
      <c r="CG412" s="208"/>
      <c r="CH412" s="208"/>
      <c r="CI412" s="208"/>
      <c r="CJ412" s="208"/>
      <c r="CK412" s="208"/>
      <c r="CL412" s="208"/>
      <c r="CM412" s="208"/>
      <c r="CN412" s="208"/>
      <c r="CO412" s="208"/>
      <c r="CP412" s="208"/>
      <c r="CQ412" s="208"/>
      <c r="CR412" s="208"/>
      <c r="CS412" s="208"/>
      <c r="CT412" s="208"/>
      <c r="CU412" s="208"/>
      <c r="CV412" s="208"/>
      <c r="CW412" s="208"/>
      <c r="CX412" s="208"/>
      <c r="CY412" s="208"/>
      <c r="CZ412" s="208"/>
      <c r="DA412" s="208"/>
      <c r="DB412" s="208"/>
      <c r="DC412" s="208"/>
      <c r="DD412" s="208"/>
      <c r="DE412" s="208"/>
      <c r="DF412" s="208"/>
      <c r="DG412" s="208"/>
      <c r="DH412" s="208"/>
      <c r="DI412" s="208"/>
      <c r="DJ412" s="208"/>
      <c r="DK412" s="208"/>
      <c r="DL412" s="208"/>
      <c r="DM412" s="208"/>
      <c r="DN412" s="208"/>
      <c r="DO412" s="208"/>
      <c r="DP412" s="208"/>
      <c r="DQ412" s="208"/>
      <c r="DR412" s="208"/>
      <c r="DS412" s="208"/>
      <c r="DT412" s="208"/>
      <c r="DU412" s="208"/>
      <c r="DV412" s="208"/>
      <c r="DW412" s="208"/>
      <c r="DX412" s="208"/>
      <c r="DY412" s="208"/>
      <c r="DZ412" s="208"/>
      <c r="EA412" s="208"/>
      <c r="EB412" s="208"/>
      <c r="EC412" s="208"/>
      <c r="ED412" s="208"/>
      <c r="EE412" s="208"/>
      <c r="EF412" s="208"/>
      <c r="EG412" s="208"/>
      <c r="EH412" s="208"/>
      <c r="EI412" s="208"/>
      <c r="EJ412" s="208"/>
      <c r="EK412" s="208"/>
      <c r="EL412" s="208"/>
      <c r="EM412" s="208"/>
      <c r="EN412" s="208"/>
      <c r="EO412" s="208"/>
      <c r="EP412" s="208"/>
      <c r="EQ412" s="208"/>
      <c r="ER412" s="208"/>
      <c r="ES412" s="208"/>
      <c r="ET412" s="208"/>
      <c r="EU412" s="208"/>
      <c r="EV412" s="208"/>
      <c r="EW412" s="208"/>
      <c r="EX412" s="208"/>
      <c r="EY412" s="208"/>
      <c r="EZ412" s="208"/>
      <c r="FA412" s="208"/>
      <c r="FB412" s="208"/>
      <c r="FC412" s="208"/>
      <c r="FD412" s="208"/>
      <c r="FE412" s="208"/>
      <c r="FF412" s="208"/>
      <c r="FG412" s="208"/>
      <c r="FH412" s="208"/>
      <c r="FI412" s="208"/>
      <c r="FJ412" s="208"/>
      <c r="FK412" s="208"/>
      <c r="FL412" s="208"/>
      <c r="FM412" s="208"/>
      <c r="FN412" s="208"/>
      <c r="FO412" s="208"/>
      <c r="FP412" s="208"/>
      <c r="FQ412" s="208"/>
      <c r="FR412" s="208"/>
      <c r="FS412" s="208"/>
      <c r="FT412" s="208"/>
      <c r="FU412" s="208"/>
      <c r="FV412" s="208"/>
      <c r="FW412" s="208"/>
      <c r="FX412" s="208"/>
      <c r="FY412" s="208"/>
      <c r="FZ412" s="208"/>
      <c r="GA412" s="208"/>
      <c r="GB412" s="208"/>
      <c r="GC412" s="208"/>
      <c r="GD412" s="208"/>
      <c r="GE412" s="208"/>
      <c r="GF412" s="208"/>
    </row>
    <row r="413" spans="1:188" ht="15" x14ac:dyDescent="0.25">
      <c r="A413" s="195" t="s">
        <v>5197</v>
      </c>
      <c r="B413" s="195" t="s">
        <v>2960</v>
      </c>
      <c r="C413" s="196" t="s">
        <v>2961</v>
      </c>
      <c r="D413" s="154" t="s">
        <v>28</v>
      </c>
      <c r="E413" s="154">
        <v>4</v>
      </c>
      <c r="F413" s="154"/>
      <c r="G413" s="197">
        <v>5</v>
      </c>
      <c r="H413" s="198">
        <f t="shared" si="55"/>
        <v>1.6666666666666666E-2</v>
      </c>
      <c r="I413" s="247">
        <v>83.89</v>
      </c>
      <c r="J413" s="152"/>
      <c r="K413" s="198"/>
      <c r="L413" s="152">
        <f t="shared" si="60"/>
        <v>5.59</v>
      </c>
      <c r="M413" s="152">
        <f t="shared" si="61"/>
        <v>335.4</v>
      </c>
      <c r="N413" s="153"/>
      <c r="O413" s="152"/>
      <c r="P413" s="209"/>
      <c r="S413"/>
    </row>
    <row r="414" spans="1:188" ht="15" x14ac:dyDescent="0.25">
      <c r="A414" s="195" t="s">
        <v>5198</v>
      </c>
      <c r="B414" s="195" t="s">
        <v>1138</v>
      </c>
      <c r="C414" s="196" t="s">
        <v>2962</v>
      </c>
      <c r="D414" s="154" t="s">
        <v>28</v>
      </c>
      <c r="E414" s="154">
        <v>3</v>
      </c>
      <c r="F414" s="154"/>
      <c r="G414" s="197">
        <v>5</v>
      </c>
      <c r="H414" s="198">
        <f t="shared" si="55"/>
        <v>1.6666666666666666E-2</v>
      </c>
      <c r="I414" s="151">
        <v>36.049999999999997</v>
      </c>
      <c r="J414" s="152"/>
      <c r="K414" s="198"/>
      <c r="L414" s="152">
        <f t="shared" si="60"/>
        <v>1.8</v>
      </c>
      <c r="M414" s="152">
        <f t="shared" si="61"/>
        <v>108</v>
      </c>
      <c r="N414" s="153"/>
      <c r="O414" s="152"/>
      <c r="P414" s="209"/>
      <c r="S414"/>
    </row>
    <row r="415" spans="1:188" s="209" customFormat="1" ht="15" x14ac:dyDescent="0.25">
      <c r="A415" s="195" t="s">
        <v>5199</v>
      </c>
      <c r="B415" s="195" t="s">
        <v>2604</v>
      </c>
      <c r="C415" s="196" t="s">
        <v>2605</v>
      </c>
      <c r="D415" s="154" t="s">
        <v>28</v>
      </c>
      <c r="E415" s="154">
        <v>18</v>
      </c>
      <c r="F415" s="154"/>
      <c r="G415" s="197">
        <v>5</v>
      </c>
      <c r="H415" s="198">
        <f t="shared" si="55"/>
        <v>1.6666666666666666E-2</v>
      </c>
      <c r="I415" s="247">
        <v>25</v>
      </c>
      <c r="J415" s="152"/>
      <c r="K415" s="198"/>
      <c r="L415" s="152">
        <f t="shared" si="60"/>
        <v>7.5</v>
      </c>
      <c r="M415" s="152">
        <f t="shared" si="61"/>
        <v>450</v>
      </c>
      <c r="N415" s="153"/>
      <c r="O415" s="152"/>
      <c r="Q415" s="208"/>
      <c r="R415" s="208"/>
      <c r="S415"/>
      <c r="T415" s="208"/>
      <c r="U415" s="208"/>
      <c r="V415" s="208"/>
      <c r="W415" s="208"/>
      <c r="X415" s="208"/>
      <c r="Y415" s="208"/>
      <c r="Z415" s="208"/>
      <c r="AA415" s="208"/>
      <c r="AB415" s="208"/>
      <c r="AC415" s="208"/>
      <c r="AD415" s="208"/>
      <c r="AE415" s="208"/>
      <c r="AF415" s="208"/>
      <c r="AG415" s="208"/>
      <c r="AH415" s="208"/>
      <c r="AI415" s="208"/>
      <c r="AJ415" s="208"/>
      <c r="AK415" s="208"/>
      <c r="AL415" s="208"/>
      <c r="AM415" s="208"/>
      <c r="AN415" s="208"/>
      <c r="AO415" s="208"/>
      <c r="AP415" s="208"/>
      <c r="AQ415" s="208"/>
      <c r="AR415" s="208"/>
      <c r="AS415" s="208"/>
      <c r="AT415" s="208"/>
      <c r="AU415" s="208"/>
      <c r="AV415" s="208"/>
      <c r="AW415" s="208"/>
      <c r="AX415" s="208"/>
      <c r="AY415" s="208"/>
      <c r="AZ415" s="208"/>
      <c r="BA415" s="208"/>
      <c r="BB415" s="208"/>
      <c r="BC415" s="208"/>
      <c r="BD415" s="208"/>
      <c r="BE415" s="208"/>
      <c r="BF415" s="208"/>
      <c r="BG415" s="208"/>
      <c r="BH415" s="208"/>
      <c r="BI415" s="208"/>
      <c r="BJ415" s="208"/>
      <c r="BK415" s="208"/>
      <c r="BL415" s="208"/>
      <c r="BM415" s="208"/>
      <c r="BN415" s="208"/>
      <c r="BO415" s="208"/>
      <c r="BP415" s="208"/>
      <c r="BQ415" s="208"/>
      <c r="BR415" s="208"/>
      <c r="BS415" s="208"/>
      <c r="BT415" s="208"/>
      <c r="BU415" s="208"/>
      <c r="BV415" s="208"/>
      <c r="BW415" s="208"/>
      <c r="BX415" s="208"/>
      <c r="BY415" s="208"/>
      <c r="BZ415" s="208"/>
      <c r="CA415" s="208"/>
      <c r="CB415" s="208"/>
      <c r="CC415" s="208"/>
      <c r="CD415" s="208"/>
      <c r="CE415" s="208"/>
      <c r="CF415" s="208"/>
      <c r="CG415" s="208"/>
      <c r="CH415" s="208"/>
      <c r="CI415" s="208"/>
      <c r="CJ415" s="208"/>
      <c r="CK415" s="208"/>
      <c r="CL415" s="208"/>
      <c r="CM415" s="208"/>
      <c r="CN415" s="208"/>
      <c r="CO415" s="208"/>
      <c r="CP415" s="208"/>
      <c r="CQ415" s="208"/>
      <c r="CR415" s="208"/>
      <c r="CS415" s="208"/>
      <c r="CT415" s="208"/>
      <c r="CU415" s="208"/>
      <c r="CV415" s="208"/>
      <c r="CW415" s="208"/>
      <c r="CX415" s="208"/>
      <c r="CY415" s="208"/>
      <c r="CZ415" s="208"/>
      <c r="DA415" s="208"/>
      <c r="DB415" s="208"/>
      <c r="DC415" s="208"/>
      <c r="DD415" s="208"/>
      <c r="DE415" s="208"/>
      <c r="DF415" s="208"/>
      <c r="DG415" s="208"/>
      <c r="DH415" s="208"/>
      <c r="DI415" s="208"/>
      <c r="DJ415" s="208"/>
      <c r="DK415" s="208"/>
      <c r="DL415" s="208"/>
      <c r="DM415" s="208"/>
      <c r="DN415" s="208"/>
      <c r="DO415" s="208"/>
      <c r="DP415" s="208"/>
      <c r="DQ415" s="208"/>
      <c r="DR415" s="208"/>
      <c r="DS415" s="208"/>
      <c r="DT415" s="208"/>
      <c r="DU415" s="208"/>
      <c r="DV415" s="208"/>
      <c r="DW415" s="208"/>
      <c r="DX415" s="208"/>
      <c r="DY415" s="208"/>
      <c r="DZ415" s="208"/>
      <c r="EA415" s="208"/>
      <c r="EB415" s="208"/>
      <c r="EC415" s="208"/>
      <c r="ED415" s="208"/>
      <c r="EE415" s="208"/>
      <c r="EF415" s="208"/>
      <c r="EG415" s="208"/>
      <c r="EH415" s="208"/>
      <c r="EI415" s="208"/>
      <c r="EJ415" s="208"/>
      <c r="EK415" s="208"/>
      <c r="EL415" s="208"/>
      <c r="EM415" s="208"/>
      <c r="EN415" s="208"/>
      <c r="EO415" s="208"/>
      <c r="EP415" s="208"/>
      <c r="EQ415" s="208"/>
      <c r="ER415" s="208"/>
      <c r="ES415" s="208"/>
      <c r="ET415" s="208"/>
      <c r="EU415" s="208"/>
      <c r="EV415" s="208"/>
      <c r="EW415" s="208"/>
      <c r="EX415" s="208"/>
      <c r="EY415" s="208"/>
      <c r="EZ415" s="208"/>
      <c r="FA415" s="208"/>
      <c r="FB415" s="208"/>
      <c r="FC415" s="208"/>
      <c r="FD415" s="208"/>
      <c r="FE415" s="208"/>
      <c r="FF415" s="208"/>
      <c r="FG415" s="208"/>
      <c r="FH415" s="208"/>
      <c r="FI415" s="208"/>
      <c r="FJ415" s="208"/>
      <c r="FK415" s="208"/>
      <c r="FL415" s="208"/>
      <c r="FM415" s="208"/>
      <c r="FN415" s="208"/>
      <c r="FO415" s="208"/>
      <c r="FP415" s="208"/>
      <c r="FQ415" s="208"/>
      <c r="FR415" s="208"/>
      <c r="FS415" s="208"/>
      <c r="FT415" s="208"/>
      <c r="FU415" s="208"/>
      <c r="FV415" s="208"/>
      <c r="FW415" s="208"/>
      <c r="FX415" s="208"/>
      <c r="FY415" s="208"/>
      <c r="FZ415" s="208"/>
      <c r="GA415" s="208"/>
      <c r="GB415" s="208"/>
      <c r="GC415" s="208"/>
      <c r="GD415" s="208"/>
      <c r="GE415" s="208"/>
      <c r="GF415" s="208"/>
    </row>
    <row r="416" spans="1:188" ht="15" x14ac:dyDescent="0.25">
      <c r="A416" s="195" t="s">
        <v>5200</v>
      </c>
      <c r="B416" s="195" t="s">
        <v>682</v>
      </c>
      <c r="C416" s="196" t="s">
        <v>2606</v>
      </c>
      <c r="D416" s="154" t="s">
        <v>28</v>
      </c>
      <c r="E416" s="154">
        <v>18</v>
      </c>
      <c r="F416" s="154"/>
      <c r="G416" s="197">
        <v>5</v>
      </c>
      <c r="H416" s="198">
        <f t="shared" si="55"/>
        <v>1.6666666666666666E-2</v>
      </c>
      <c r="I416" s="151">
        <v>22.49</v>
      </c>
      <c r="J416" s="152"/>
      <c r="K416" s="198"/>
      <c r="L416" s="152">
        <f t="shared" si="60"/>
        <v>6.75</v>
      </c>
      <c r="M416" s="152">
        <f t="shared" si="61"/>
        <v>405</v>
      </c>
      <c r="N416" s="153"/>
      <c r="O416" s="152"/>
      <c r="P416" s="209"/>
      <c r="S416"/>
    </row>
    <row r="417" spans="1:188" ht="15" x14ac:dyDescent="0.25">
      <c r="A417" s="195" t="s">
        <v>5201</v>
      </c>
      <c r="B417" s="195" t="s">
        <v>683</v>
      </c>
      <c r="C417" s="196" t="s">
        <v>2607</v>
      </c>
      <c r="D417" s="154" t="s">
        <v>28</v>
      </c>
      <c r="E417" s="154">
        <v>18</v>
      </c>
      <c r="F417" s="154"/>
      <c r="G417" s="197">
        <v>5</v>
      </c>
      <c r="H417" s="198">
        <f t="shared" si="55"/>
        <v>1.6666666666666666E-2</v>
      </c>
      <c r="I417" s="151">
        <v>19.91</v>
      </c>
      <c r="J417" s="152"/>
      <c r="K417" s="198"/>
      <c r="L417" s="152">
        <f t="shared" si="60"/>
        <v>5.97</v>
      </c>
      <c r="M417" s="152">
        <f t="shared" si="61"/>
        <v>358.2</v>
      </c>
      <c r="N417" s="153"/>
      <c r="O417" s="152"/>
      <c r="P417" s="209"/>
      <c r="S417"/>
    </row>
    <row r="418" spans="1:188" ht="15" x14ac:dyDescent="0.25">
      <c r="A418" s="195" t="s">
        <v>5202</v>
      </c>
      <c r="B418" s="195" t="s">
        <v>2608</v>
      </c>
      <c r="C418" s="196" t="s">
        <v>2609</v>
      </c>
      <c r="D418" s="154" t="s">
        <v>28</v>
      </c>
      <c r="E418" s="154">
        <v>18</v>
      </c>
      <c r="F418" s="154"/>
      <c r="G418" s="197">
        <v>5</v>
      </c>
      <c r="H418" s="198">
        <f t="shared" si="55"/>
        <v>1.6666666666666666E-2</v>
      </c>
      <c r="I418" s="247">
        <v>13.9</v>
      </c>
      <c r="J418" s="152"/>
      <c r="K418" s="198"/>
      <c r="L418" s="152">
        <f t="shared" si="60"/>
        <v>4.17</v>
      </c>
      <c r="M418" s="152">
        <f t="shared" si="61"/>
        <v>250.2</v>
      </c>
      <c r="N418" s="153"/>
      <c r="O418" s="152"/>
      <c r="P418" s="209"/>
      <c r="S418"/>
    </row>
    <row r="419" spans="1:188" ht="15" x14ac:dyDescent="0.25">
      <c r="A419" s="195" t="s">
        <v>5203</v>
      </c>
      <c r="B419" s="195" t="s">
        <v>1139</v>
      </c>
      <c r="C419" s="196" t="s">
        <v>2969</v>
      </c>
      <c r="D419" s="154" t="s">
        <v>28</v>
      </c>
      <c r="E419" s="154">
        <v>6</v>
      </c>
      <c r="F419" s="154"/>
      <c r="G419" s="197">
        <v>5</v>
      </c>
      <c r="H419" s="198">
        <f t="shared" si="55"/>
        <v>1.6666666666666666E-2</v>
      </c>
      <c r="I419" s="151">
        <v>55.66</v>
      </c>
      <c r="J419" s="152"/>
      <c r="K419" s="198"/>
      <c r="L419" s="152">
        <f t="shared" si="60"/>
        <v>5.57</v>
      </c>
      <c r="M419" s="152">
        <f t="shared" si="61"/>
        <v>334.2</v>
      </c>
      <c r="N419" s="153"/>
      <c r="O419" s="152"/>
      <c r="P419" s="209"/>
      <c r="S419"/>
    </row>
    <row r="420" spans="1:188" s="209" customFormat="1" ht="15" x14ac:dyDescent="0.25">
      <c r="A420" s="195" t="s">
        <v>5204</v>
      </c>
      <c r="B420" s="195" t="s">
        <v>2518</v>
      </c>
      <c r="C420" s="196" t="s">
        <v>2519</v>
      </c>
      <c r="D420" s="154" t="s">
        <v>28</v>
      </c>
      <c r="E420" s="154">
        <v>6</v>
      </c>
      <c r="F420" s="154"/>
      <c r="G420" s="197">
        <v>5</v>
      </c>
      <c r="H420" s="198">
        <f t="shared" si="55"/>
        <v>1.6666666666666666E-2</v>
      </c>
      <c r="I420" s="247">
        <v>58</v>
      </c>
      <c r="J420" s="152"/>
      <c r="K420" s="198"/>
      <c r="L420" s="152">
        <f t="shared" si="60"/>
        <v>5.8</v>
      </c>
      <c r="M420" s="152">
        <f t="shared" si="61"/>
        <v>348</v>
      </c>
      <c r="N420" s="153"/>
      <c r="O420" s="152"/>
      <c r="Q420" s="208"/>
      <c r="R420" s="208"/>
      <c r="S420"/>
      <c r="T420" s="208"/>
      <c r="U420" s="208"/>
      <c r="V420" s="208"/>
      <c r="W420" s="208"/>
      <c r="X420" s="208"/>
      <c r="Y420" s="208"/>
      <c r="Z420" s="208"/>
      <c r="AA420" s="208"/>
      <c r="AB420" s="208"/>
      <c r="AC420" s="208"/>
      <c r="AD420" s="208"/>
      <c r="AE420" s="208"/>
      <c r="AF420" s="208"/>
      <c r="AG420" s="208"/>
      <c r="AH420" s="208"/>
      <c r="AI420" s="208"/>
      <c r="AJ420" s="208"/>
      <c r="AK420" s="208"/>
      <c r="AL420" s="208"/>
      <c r="AM420" s="208"/>
      <c r="AN420" s="208"/>
      <c r="AO420" s="208"/>
      <c r="AP420" s="208"/>
      <c r="AQ420" s="208"/>
      <c r="AR420" s="208"/>
      <c r="AS420" s="208"/>
      <c r="AT420" s="208"/>
      <c r="AU420" s="208"/>
      <c r="AV420" s="208"/>
      <c r="AW420" s="208"/>
      <c r="AX420" s="208"/>
      <c r="AY420" s="208"/>
      <c r="AZ420" s="208"/>
      <c r="BA420" s="208"/>
      <c r="BB420" s="208"/>
      <c r="BC420" s="208"/>
      <c r="BD420" s="208"/>
      <c r="BE420" s="208"/>
      <c r="BF420" s="208"/>
      <c r="BG420" s="208"/>
      <c r="BH420" s="208"/>
      <c r="BI420" s="208"/>
      <c r="BJ420" s="208"/>
      <c r="BK420" s="208"/>
      <c r="BL420" s="208"/>
      <c r="BM420" s="208"/>
      <c r="BN420" s="208"/>
      <c r="BO420" s="208"/>
      <c r="BP420" s="208"/>
      <c r="BQ420" s="208"/>
      <c r="BR420" s="208"/>
      <c r="BS420" s="208"/>
      <c r="BT420" s="208"/>
      <c r="BU420" s="208"/>
      <c r="BV420" s="208"/>
      <c r="BW420" s="208"/>
      <c r="BX420" s="208"/>
      <c r="BY420" s="208"/>
      <c r="BZ420" s="208"/>
      <c r="CA420" s="208"/>
      <c r="CB420" s="208"/>
      <c r="CC420" s="208"/>
      <c r="CD420" s="208"/>
      <c r="CE420" s="208"/>
      <c r="CF420" s="208"/>
      <c r="CG420" s="208"/>
      <c r="CH420" s="208"/>
      <c r="CI420" s="208"/>
      <c r="CJ420" s="208"/>
      <c r="CK420" s="208"/>
      <c r="CL420" s="208"/>
      <c r="CM420" s="208"/>
      <c r="CN420" s="208"/>
      <c r="CO420" s="208"/>
      <c r="CP420" s="208"/>
      <c r="CQ420" s="208"/>
      <c r="CR420" s="208"/>
      <c r="CS420" s="208"/>
      <c r="CT420" s="208"/>
      <c r="CU420" s="208"/>
      <c r="CV420" s="208"/>
      <c r="CW420" s="208"/>
      <c r="CX420" s="208"/>
      <c r="CY420" s="208"/>
      <c r="CZ420" s="208"/>
      <c r="DA420" s="208"/>
      <c r="DB420" s="208"/>
      <c r="DC420" s="208"/>
      <c r="DD420" s="208"/>
      <c r="DE420" s="208"/>
      <c r="DF420" s="208"/>
      <c r="DG420" s="208"/>
      <c r="DH420" s="208"/>
      <c r="DI420" s="208"/>
      <c r="DJ420" s="208"/>
      <c r="DK420" s="208"/>
      <c r="DL420" s="208"/>
      <c r="DM420" s="208"/>
      <c r="DN420" s="208"/>
      <c r="DO420" s="208"/>
      <c r="DP420" s="208"/>
      <c r="DQ420" s="208"/>
      <c r="DR420" s="208"/>
      <c r="DS420" s="208"/>
      <c r="DT420" s="208"/>
      <c r="DU420" s="208"/>
      <c r="DV420" s="208"/>
      <c r="DW420" s="208"/>
      <c r="DX420" s="208"/>
      <c r="DY420" s="208"/>
      <c r="DZ420" s="208"/>
      <c r="EA420" s="208"/>
      <c r="EB420" s="208"/>
      <c r="EC420" s="208"/>
      <c r="ED420" s="208"/>
      <c r="EE420" s="208"/>
      <c r="EF420" s="208"/>
      <c r="EG420" s="208"/>
      <c r="EH420" s="208"/>
      <c r="EI420" s="208"/>
      <c r="EJ420" s="208"/>
      <c r="EK420" s="208"/>
      <c r="EL420" s="208"/>
      <c r="EM420" s="208"/>
      <c r="EN420" s="208"/>
      <c r="EO420" s="208"/>
      <c r="EP420" s="208"/>
      <c r="EQ420" s="208"/>
      <c r="ER420" s="208"/>
      <c r="ES420" s="208"/>
      <c r="ET420" s="208"/>
      <c r="EU420" s="208"/>
      <c r="EV420" s="208"/>
      <c r="EW420" s="208"/>
      <c r="EX420" s="208"/>
      <c r="EY420" s="208"/>
      <c r="EZ420" s="208"/>
      <c r="FA420" s="208"/>
      <c r="FB420" s="208"/>
      <c r="FC420" s="208"/>
      <c r="FD420" s="208"/>
      <c r="FE420" s="208"/>
      <c r="FF420" s="208"/>
      <c r="FG420" s="208"/>
      <c r="FH420" s="208"/>
      <c r="FI420" s="208"/>
      <c r="FJ420" s="208"/>
      <c r="FK420" s="208"/>
      <c r="FL420" s="208"/>
      <c r="FM420" s="208"/>
      <c r="FN420" s="208"/>
      <c r="FO420" s="208"/>
      <c r="FP420" s="208"/>
      <c r="FQ420" s="208"/>
      <c r="FR420" s="208"/>
      <c r="FS420" s="208"/>
      <c r="FT420" s="208"/>
      <c r="FU420" s="208"/>
      <c r="FV420" s="208"/>
      <c r="FW420" s="208"/>
      <c r="FX420" s="208"/>
      <c r="FY420" s="208"/>
      <c r="FZ420" s="208"/>
      <c r="GA420" s="208"/>
      <c r="GB420" s="208"/>
      <c r="GC420" s="208"/>
      <c r="GD420" s="208"/>
      <c r="GE420" s="208"/>
      <c r="GF420" s="208"/>
    </row>
    <row r="421" spans="1:188" s="209" customFormat="1" ht="15" x14ac:dyDescent="0.25">
      <c r="A421" s="195" t="s">
        <v>5205</v>
      </c>
      <c r="B421" s="195" t="s">
        <v>676</v>
      </c>
      <c r="C421" s="196" t="s">
        <v>2520</v>
      </c>
      <c r="D421" s="154" t="s">
        <v>28</v>
      </c>
      <c r="E421" s="154">
        <v>6</v>
      </c>
      <c r="F421" s="154"/>
      <c r="G421" s="197">
        <v>5</v>
      </c>
      <c r="H421" s="198">
        <f t="shared" si="55"/>
        <v>1.6666666666666666E-2</v>
      </c>
      <c r="I421" s="151">
        <v>55.66</v>
      </c>
      <c r="J421" s="152"/>
      <c r="K421" s="198"/>
      <c r="L421" s="152">
        <f t="shared" si="60"/>
        <v>5.57</v>
      </c>
      <c r="M421" s="152">
        <f t="shared" si="61"/>
        <v>334.2</v>
      </c>
      <c r="N421" s="153"/>
      <c r="O421" s="152"/>
      <c r="Q421" s="208"/>
      <c r="R421" s="208"/>
      <c r="S421"/>
      <c r="T421" s="208"/>
      <c r="U421" s="208"/>
      <c r="V421" s="208"/>
      <c r="W421" s="208"/>
      <c r="X421" s="208"/>
      <c r="Y421" s="208"/>
      <c r="Z421" s="208"/>
      <c r="AA421" s="208"/>
      <c r="AB421" s="208"/>
      <c r="AC421" s="208"/>
      <c r="AD421" s="208"/>
      <c r="AE421" s="208"/>
      <c r="AF421" s="208"/>
      <c r="AG421" s="208"/>
      <c r="AH421" s="208"/>
      <c r="AI421" s="208"/>
      <c r="AJ421" s="208"/>
      <c r="AK421" s="208"/>
      <c r="AL421" s="208"/>
      <c r="AM421" s="208"/>
      <c r="AN421" s="208"/>
      <c r="AO421" s="208"/>
      <c r="AP421" s="208"/>
      <c r="AQ421" s="208"/>
      <c r="AR421" s="208"/>
      <c r="AS421" s="208"/>
      <c r="AT421" s="208"/>
      <c r="AU421" s="208"/>
      <c r="AV421" s="208"/>
      <c r="AW421" s="208"/>
      <c r="AX421" s="208"/>
      <c r="AY421" s="208"/>
      <c r="AZ421" s="208"/>
      <c r="BA421" s="208"/>
      <c r="BB421" s="208"/>
      <c r="BC421" s="208"/>
      <c r="BD421" s="208"/>
      <c r="BE421" s="208"/>
      <c r="BF421" s="208"/>
      <c r="BG421" s="208"/>
      <c r="BH421" s="208"/>
      <c r="BI421" s="208"/>
      <c r="BJ421" s="208"/>
      <c r="BK421" s="208"/>
      <c r="BL421" s="208"/>
      <c r="BM421" s="208"/>
      <c r="BN421" s="208"/>
      <c r="BO421" s="208"/>
      <c r="BP421" s="208"/>
      <c r="BQ421" s="208"/>
      <c r="BR421" s="208"/>
      <c r="BS421" s="208"/>
      <c r="BT421" s="208"/>
      <c r="BU421" s="208"/>
      <c r="BV421" s="208"/>
      <c r="BW421" s="208"/>
      <c r="BX421" s="208"/>
      <c r="BY421" s="208"/>
      <c r="BZ421" s="208"/>
      <c r="CA421" s="208"/>
      <c r="CB421" s="208"/>
      <c r="CC421" s="208"/>
      <c r="CD421" s="208"/>
      <c r="CE421" s="208"/>
      <c r="CF421" s="208"/>
      <c r="CG421" s="208"/>
      <c r="CH421" s="208"/>
      <c r="CI421" s="208"/>
      <c r="CJ421" s="208"/>
      <c r="CK421" s="208"/>
      <c r="CL421" s="208"/>
      <c r="CM421" s="208"/>
      <c r="CN421" s="208"/>
      <c r="CO421" s="208"/>
      <c r="CP421" s="208"/>
      <c r="CQ421" s="208"/>
      <c r="CR421" s="208"/>
      <c r="CS421" s="208"/>
      <c r="CT421" s="208"/>
      <c r="CU421" s="208"/>
      <c r="CV421" s="208"/>
      <c r="CW421" s="208"/>
      <c r="CX421" s="208"/>
      <c r="CY421" s="208"/>
      <c r="CZ421" s="208"/>
      <c r="DA421" s="208"/>
      <c r="DB421" s="208"/>
      <c r="DC421" s="208"/>
      <c r="DD421" s="208"/>
      <c r="DE421" s="208"/>
      <c r="DF421" s="208"/>
      <c r="DG421" s="208"/>
      <c r="DH421" s="208"/>
      <c r="DI421" s="208"/>
      <c r="DJ421" s="208"/>
      <c r="DK421" s="208"/>
      <c r="DL421" s="208"/>
      <c r="DM421" s="208"/>
      <c r="DN421" s="208"/>
      <c r="DO421" s="208"/>
      <c r="DP421" s="208"/>
      <c r="DQ421" s="208"/>
      <c r="DR421" s="208"/>
      <c r="DS421" s="208"/>
      <c r="DT421" s="208"/>
      <c r="DU421" s="208"/>
      <c r="DV421" s="208"/>
      <c r="DW421" s="208"/>
      <c r="DX421" s="208"/>
      <c r="DY421" s="208"/>
      <c r="DZ421" s="208"/>
      <c r="EA421" s="208"/>
      <c r="EB421" s="208"/>
      <c r="EC421" s="208"/>
      <c r="ED421" s="208"/>
      <c r="EE421" s="208"/>
      <c r="EF421" s="208"/>
      <c r="EG421" s="208"/>
      <c r="EH421" s="208"/>
      <c r="EI421" s="208"/>
      <c r="EJ421" s="208"/>
      <c r="EK421" s="208"/>
      <c r="EL421" s="208"/>
      <c r="EM421" s="208"/>
      <c r="EN421" s="208"/>
      <c r="EO421" s="208"/>
      <c r="EP421" s="208"/>
      <c r="EQ421" s="208"/>
      <c r="ER421" s="208"/>
      <c r="ES421" s="208"/>
      <c r="ET421" s="208"/>
      <c r="EU421" s="208"/>
      <c r="EV421" s="208"/>
      <c r="EW421" s="208"/>
      <c r="EX421" s="208"/>
      <c r="EY421" s="208"/>
      <c r="EZ421" s="208"/>
      <c r="FA421" s="208"/>
      <c r="FB421" s="208"/>
      <c r="FC421" s="208"/>
      <c r="FD421" s="208"/>
      <c r="FE421" s="208"/>
      <c r="FF421" s="208"/>
      <c r="FG421" s="208"/>
      <c r="FH421" s="208"/>
      <c r="FI421" s="208"/>
      <c r="FJ421" s="208"/>
      <c r="FK421" s="208"/>
      <c r="FL421" s="208"/>
      <c r="FM421" s="208"/>
      <c r="FN421" s="208"/>
      <c r="FO421" s="208"/>
      <c r="FP421" s="208"/>
      <c r="FQ421" s="208"/>
      <c r="FR421" s="208"/>
      <c r="FS421" s="208"/>
      <c r="FT421" s="208"/>
      <c r="FU421" s="208"/>
      <c r="FV421" s="208"/>
      <c r="FW421" s="208"/>
      <c r="FX421" s="208"/>
      <c r="FY421" s="208"/>
      <c r="FZ421" s="208"/>
      <c r="GA421" s="208"/>
      <c r="GB421" s="208"/>
      <c r="GC421" s="208"/>
      <c r="GD421" s="208"/>
      <c r="GE421" s="208"/>
      <c r="GF421" s="208"/>
    </row>
    <row r="422" spans="1:188" s="209" customFormat="1" ht="15" x14ac:dyDescent="0.25">
      <c r="A422" s="195" t="s">
        <v>5206</v>
      </c>
      <c r="B422" s="195" t="s">
        <v>1140</v>
      </c>
      <c r="C422" s="196" t="s">
        <v>2970</v>
      </c>
      <c r="D422" s="154" t="s">
        <v>28</v>
      </c>
      <c r="E422" s="154">
        <v>5</v>
      </c>
      <c r="F422" s="154"/>
      <c r="G422" s="197">
        <v>5</v>
      </c>
      <c r="H422" s="198">
        <f t="shared" ref="H422:H474" si="62">1/(12*G422)</f>
        <v>1.6666666666666666E-2</v>
      </c>
      <c r="I422" s="151">
        <v>418.31</v>
      </c>
      <c r="J422" s="152"/>
      <c r="K422" s="198"/>
      <c r="L422" s="152">
        <f t="shared" si="60"/>
        <v>34.86</v>
      </c>
      <c r="M422" s="152">
        <f t="shared" si="61"/>
        <v>2091.6</v>
      </c>
      <c r="N422" s="153"/>
      <c r="O422" s="152"/>
      <c r="Q422" s="208"/>
      <c r="R422" s="208"/>
      <c r="S422"/>
      <c r="T422" s="208"/>
      <c r="U422" s="208"/>
      <c r="V422" s="208"/>
      <c r="W422" s="208"/>
      <c r="X422" s="208"/>
      <c r="Y422" s="208"/>
      <c r="Z422" s="208"/>
      <c r="AA422" s="208"/>
      <c r="AB422" s="208"/>
      <c r="AC422" s="208"/>
      <c r="AD422" s="208"/>
      <c r="AE422" s="208"/>
      <c r="AF422" s="208"/>
      <c r="AG422" s="208"/>
      <c r="AH422" s="208"/>
      <c r="AI422" s="208"/>
      <c r="AJ422" s="208"/>
      <c r="AK422" s="208"/>
      <c r="AL422" s="208"/>
      <c r="AM422" s="208"/>
      <c r="AN422" s="208"/>
      <c r="AO422" s="208"/>
      <c r="AP422" s="208"/>
      <c r="AQ422" s="208"/>
      <c r="AR422" s="208"/>
      <c r="AS422" s="208"/>
      <c r="AT422" s="208"/>
      <c r="AU422" s="208"/>
      <c r="AV422" s="208"/>
      <c r="AW422" s="208"/>
      <c r="AX422" s="208"/>
      <c r="AY422" s="208"/>
      <c r="AZ422" s="208"/>
      <c r="BA422" s="208"/>
      <c r="BB422" s="208"/>
      <c r="BC422" s="208"/>
      <c r="BD422" s="208"/>
      <c r="BE422" s="208"/>
      <c r="BF422" s="208"/>
      <c r="BG422" s="208"/>
      <c r="BH422" s="208"/>
      <c r="BI422" s="208"/>
      <c r="BJ422" s="208"/>
      <c r="BK422" s="208"/>
      <c r="BL422" s="208"/>
      <c r="BM422" s="208"/>
      <c r="BN422" s="208"/>
      <c r="BO422" s="208"/>
      <c r="BP422" s="208"/>
      <c r="BQ422" s="208"/>
      <c r="BR422" s="208"/>
      <c r="BS422" s="208"/>
      <c r="BT422" s="208"/>
      <c r="BU422" s="208"/>
      <c r="BV422" s="208"/>
      <c r="BW422" s="208"/>
      <c r="BX422" s="208"/>
      <c r="BY422" s="208"/>
      <c r="BZ422" s="208"/>
      <c r="CA422" s="208"/>
      <c r="CB422" s="208"/>
      <c r="CC422" s="208"/>
      <c r="CD422" s="208"/>
      <c r="CE422" s="208"/>
      <c r="CF422" s="208"/>
      <c r="CG422" s="208"/>
      <c r="CH422" s="208"/>
      <c r="CI422" s="208"/>
      <c r="CJ422" s="208"/>
      <c r="CK422" s="208"/>
      <c r="CL422" s="208"/>
      <c r="CM422" s="208"/>
      <c r="CN422" s="208"/>
      <c r="CO422" s="208"/>
      <c r="CP422" s="208"/>
      <c r="CQ422" s="208"/>
      <c r="CR422" s="208"/>
      <c r="CS422" s="208"/>
      <c r="CT422" s="208"/>
      <c r="CU422" s="208"/>
      <c r="CV422" s="208"/>
      <c r="CW422" s="208"/>
      <c r="CX422" s="208"/>
      <c r="CY422" s="208"/>
      <c r="CZ422" s="208"/>
      <c r="DA422" s="208"/>
      <c r="DB422" s="208"/>
      <c r="DC422" s="208"/>
      <c r="DD422" s="208"/>
      <c r="DE422" s="208"/>
      <c r="DF422" s="208"/>
      <c r="DG422" s="208"/>
      <c r="DH422" s="208"/>
      <c r="DI422" s="208"/>
      <c r="DJ422" s="208"/>
      <c r="DK422" s="208"/>
      <c r="DL422" s="208"/>
      <c r="DM422" s="208"/>
      <c r="DN422" s="208"/>
      <c r="DO422" s="208"/>
      <c r="DP422" s="208"/>
      <c r="DQ422" s="208"/>
      <c r="DR422" s="208"/>
      <c r="DS422" s="208"/>
      <c r="DT422" s="208"/>
      <c r="DU422" s="208"/>
      <c r="DV422" s="208"/>
      <c r="DW422" s="208"/>
      <c r="DX422" s="208"/>
      <c r="DY422" s="208"/>
      <c r="DZ422" s="208"/>
      <c r="EA422" s="208"/>
      <c r="EB422" s="208"/>
      <c r="EC422" s="208"/>
      <c r="ED422" s="208"/>
      <c r="EE422" s="208"/>
      <c r="EF422" s="208"/>
      <c r="EG422" s="208"/>
      <c r="EH422" s="208"/>
      <c r="EI422" s="208"/>
      <c r="EJ422" s="208"/>
      <c r="EK422" s="208"/>
      <c r="EL422" s="208"/>
      <c r="EM422" s="208"/>
      <c r="EN422" s="208"/>
      <c r="EO422" s="208"/>
      <c r="EP422" s="208"/>
      <c r="EQ422" s="208"/>
      <c r="ER422" s="208"/>
      <c r="ES422" s="208"/>
      <c r="ET422" s="208"/>
      <c r="EU422" s="208"/>
      <c r="EV422" s="208"/>
      <c r="EW422" s="208"/>
      <c r="EX422" s="208"/>
      <c r="EY422" s="208"/>
      <c r="EZ422" s="208"/>
      <c r="FA422" s="208"/>
      <c r="FB422" s="208"/>
      <c r="FC422" s="208"/>
      <c r="FD422" s="208"/>
      <c r="FE422" s="208"/>
      <c r="FF422" s="208"/>
      <c r="FG422" s="208"/>
      <c r="FH422" s="208"/>
      <c r="FI422" s="208"/>
      <c r="FJ422" s="208"/>
      <c r="FK422" s="208"/>
      <c r="FL422" s="208"/>
      <c r="FM422" s="208"/>
      <c r="FN422" s="208"/>
      <c r="FO422" s="208"/>
      <c r="FP422" s="208"/>
      <c r="FQ422" s="208"/>
      <c r="FR422" s="208"/>
      <c r="FS422" s="208"/>
      <c r="FT422" s="208"/>
      <c r="FU422" s="208"/>
      <c r="FV422" s="208"/>
      <c r="FW422" s="208"/>
      <c r="FX422" s="208"/>
      <c r="FY422" s="208"/>
      <c r="FZ422" s="208"/>
      <c r="GA422" s="208"/>
      <c r="GB422" s="208"/>
      <c r="GC422" s="208"/>
      <c r="GD422" s="208"/>
      <c r="GE422" s="208"/>
      <c r="GF422" s="208"/>
    </row>
    <row r="423" spans="1:188" s="209" customFormat="1" ht="15" x14ac:dyDescent="0.25">
      <c r="A423" s="195" t="s">
        <v>5207</v>
      </c>
      <c r="B423" s="195" t="s">
        <v>2971</v>
      </c>
      <c r="C423" s="196" t="s">
        <v>2972</v>
      </c>
      <c r="D423" s="154" t="s">
        <v>28</v>
      </c>
      <c r="E423" s="154">
        <v>1</v>
      </c>
      <c r="F423" s="154"/>
      <c r="G423" s="197">
        <v>5</v>
      </c>
      <c r="H423" s="198">
        <f t="shared" si="62"/>
        <v>1.6666666666666666E-2</v>
      </c>
      <c r="I423" s="247">
        <v>624.76</v>
      </c>
      <c r="J423" s="152"/>
      <c r="K423" s="198"/>
      <c r="L423" s="152">
        <f t="shared" si="60"/>
        <v>10.41</v>
      </c>
      <c r="M423" s="152">
        <f t="shared" si="61"/>
        <v>624.6</v>
      </c>
      <c r="N423" s="153"/>
      <c r="O423" s="152"/>
      <c r="Q423" s="208"/>
      <c r="R423" s="208"/>
      <c r="S423"/>
      <c r="T423" s="208"/>
      <c r="U423" s="208"/>
      <c r="V423" s="208"/>
      <c r="W423" s="208"/>
      <c r="X423" s="208"/>
      <c r="Y423" s="208"/>
      <c r="Z423" s="208"/>
      <c r="AA423" s="208"/>
      <c r="AB423" s="208"/>
      <c r="AC423" s="208"/>
      <c r="AD423" s="208"/>
      <c r="AE423" s="208"/>
      <c r="AF423" s="208"/>
      <c r="AG423" s="208"/>
      <c r="AH423" s="208"/>
      <c r="AI423" s="208"/>
      <c r="AJ423" s="208"/>
      <c r="AK423" s="208"/>
      <c r="AL423" s="208"/>
      <c r="AM423" s="208"/>
      <c r="AN423" s="208"/>
      <c r="AO423" s="208"/>
      <c r="AP423" s="208"/>
      <c r="AQ423" s="208"/>
      <c r="AR423" s="208"/>
      <c r="AS423" s="208"/>
      <c r="AT423" s="208"/>
      <c r="AU423" s="208"/>
      <c r="AV423" s="208"/>
      <c r="AW423" s="208"/>
      <c r="AX423" s="208"/>
      <c r="AY423" s="208"/>
      <c r="AZ423" s="208"/>
      <c r="BA423" s="208"/>
      <c r="BB423" s="208"/>
      <c r="BC423" s="208"/>
      <c r="BD423" s="208"/>
      <c r="BE423" s="208"/>
      <c r="BF423" s="208"/>
      <c r="BG423" s="208"/>
      <c r="BH423" s="208"/>
      <c r="BI423" s="208"/>
      <c r="BJ423" s="208"/>
      <c r="BK423" s="208"/>
      <c r="BL423" s="208"/>
      <c r="BM423" s="208"/>
      <c r="BN423" s="208"/>
      <c r="BO423" s="208"/>
      <c r="BP423" s="208"/>
      <c r="BQ423" s="208"/>
      <c r="BR423" s="208"/>
      <c r="BS423" s="208"/>
      <c r="BT423" s="208"/>
      <c r="BU423" s="208"/>
      <c r="BV423" s="208"/>
      <c r="BW423" s="208"/>
      <c r="BX423" s="208"/>
      <c r="BY423" s="208"/>
      <c r="BZ423" s="208"/>
      <c r="CA423" s="208"/>
      <c r="CB423" s="208"/>
      <c r="CC423" s="208"/>
      <c r="CD423" s="208"/>
      <c r="CE423" s="208"/>
      <c r="CF423" s="208"/>
      <c r="CG423" s="208"/>
      <c r="CH423" s="208"/>
      <c r="CI423" s="208"/>
      <c r="CJ423" s="208"/>
      <c r="CK423" s="208"/>
      <c r="CL423" s="208"/>
      <c r="CM423" s="208"/>
      <c r="CN423" s="208"/>
      <c r="CO423" s="208"/>
      <c r="CP423" s="208"/>
      <c r="CQ423" s="208"/>
      <c r="CR423" s="208"/>
      <c r="CS423" s="208"/>
      <c r="CT423" s="208"/>
      <c r="CU423" s="208"/>
      <c r="CV423" s="208"/>
      <c r="CW423" s="208"/>
      <c r="CX423" s="208"/>
      <c r="CY423" s="208"/>
      <c r="CZ423" s="208"/>
      <c r="DA423" s="208"/>
      <c r="DB423" s="208"/>
      <c r="DC423" s="208"/>
      <c r="DD423" s="208"/>
      <c r="DE423" s="208"/>
      <c r="DF423" s="208"/>
      <c r="DG423" s="208"/>
      <c r="DH423" s="208"/>
      <c r="DI423" s="208"/>
      <c r="DJ423" s="208"/>
      <c r="DK423" s="208"/>
      <c r="DL423" s="208"/>
      <c r="DM423" s="208"/>
      <c r="DN423" s="208"/>
      <c r="DO423" s="208"/>
      <c r="DP423" s="208"/>
      <c r="DQ423" s="208"/>
      <c r="DR423" s="208"/>
      <c r="DS423" s="208"/>
      <c r="DT423" s="208"/>
      <c r="DU423" s="208"/>
      <c r="DV423" s="208"/>
      <c r="DW423" s="208"/>
      <c r="DX423" s="208"/>
      <c r="DY423" s="208"/>
      <c r="DZ423" s="208"/>
      <c r="EA423" s="208"/>
      <c r="EB423" s="208"/>
      <c r="EC423" s="208"/>
      <c r="ED423" s="208"/>
      <c r="EE423" s="208"/>
      <c r="EF423" s="208"/>
      <c r="EG423" s="208"/>
      <c r="EH423" s="208"/>
      <c r="EI423" s="208"/>
      <c r="EJ423" s="208"/>
      <c r="EK423" s="208"/>
      <c r="EL423" s="208"/>
      <c r="EM423" s="208"/>
      <c r="EN423" s="208"/>
      <c r="EO423" s="208"/>
      <c r="EP423" s="208"/>
      <c r="EQ423" s="208"/>
      <c r="ER423" s="208"/>
      <c r="ES423" s="208"/>
      <c r="ET423" s="208"/>
      <c r="EU423" s="208"/>
      <c r="EV423" s="208"/>
      <c r="EW423" s="208"/>
      <c r="EX423" s="208"/>
      <c r="EY423" s="208"/>
      <c r="EZ423" s="208"/>
      <c r="FA423" s="208"/>
      <c r="FB423" s="208"/>
      <c r="FC423" s="208"/>
      <c r="FD423" s="208"/>
      <c r="FE423" s="208"/>
      <c r="FF423" s="208"/>
      <c r="FG423" s="208"/>
      <c r="FH423" s="208"/>
      <c r="FI423" s="208"/>
      <c r="FJ423" s="208"/>
      <c r="FK423" s="208"/>
      <c r="FL423" s="208"/>
      <c r="FM423" s="208"/>
      <c r="FN423" s="208"/>
      <c r="FO423" s="208"/>
      <c r="FP423" s="208"/>
      <c r="FQ423" s="208"/>
      <c r="FR423" s="208"/>
      <c r="FS423" s="208"/>
      <c r="FT423" s="208"/>
      <c r="FU423" s="208"/>
      <c r="FV423" s="208"/>
      <c r="FW423" s="208"/>
      <c r="FX423" s="208"/>
      <c r="FY423" s="208"/>
      <c r="FZ423" s="208"/>
      <c r="GA423" s="208"/>
      <c r="GB423" s="208"/>
      <c r="GC423" s="208"/>
      <c r="GD423" s="208"/>
      <c r="GE423" s="208"/>
      <c r="GF423" s="208"/>
    </row>
    <row r="424" spans="1:188" s="209" customFormat="1" ht="15" x14ac:dyDescent="0.25">
      <c r="A424" s="195" t="s">
        <v>5208</v>
      </c>
      <c r="B424" s="195" t="s">
        <v>2973</v>
      </c>
      <c r="C424" s="196" t="s">
        <v>2974</v>
      </c>
      <c r="D424" s="154" t="s">
        <v>28</v>
      </c>
      <c r="E424" s="154">
        <v>1</v>
      </c>
      <c r="F424" s="154"/>
      <c r="G424" s="197">
        <v>5</v>
      </c>
      <c r="H424" s="198">
        <f t="shared" si="62"/>
        <v>1.6666666666666666E-2</v>
      </c>
      <c r="I424" s="247">
        <v>1675.6</v>
      </c>
      <c r="J424" s="152"/>
      <c r="K424" s="198"/>
      <c r="L424" s="152">
        <f t="shared" si="60"/>
        <v>27.93</v>
      </c>
      <c r="M424" s="152">
        <f t="shared" si="61"/>
        <v>1675.8</v>
      </c>
      <c r="N424" s="153"/>
      <c r="O424" s="152"/>
      <c r="Q424" s="208"/>
      <c r="R424" s="208"/>
      <c r="S424"/>
      <c r="T424" s="208"/>
      <c r="U424" s="208"/>
      <c r="V424" s="208"/>
      <c r="W424" s="208"/>
      <c r="X424" s="208"/>
      <c r="Y424" s="208"/>
      <c r="Z424" s="208"/>
      <c r="AA424" s="208"/>
      <c r="AB424" s="208"/>
      <c r="AC424" s="208"/>
      <c r="AD424" s="208"/>
      <c r="AE424" s="208"/>
      <c r="AF424" s="208"/>
      <c r="AG424" s="208"/>
      <c r="AH424" s="208"/>
      <c r="AI424" s="208"/>
      <c r="AJ424" s="208"/>
      <c r="AK424" s="208"/>
      <c r="AL424" s="208"/>
      <c r="AM424" s="208"/>
      <c r="AN424" s="208"/>
      <c r="AO424" s="208"/>
      <c r="AP424" s="208"/>
      <c r="AQ424" s="208"/>
      <c r="AR424" s="208"/>
      <c r="AS424" s="208"/>
      <c r="AT424" s="208"/>
      <c r="AU424" s="208"/>
      <c r="AV424" s="208"/>
      <c r="AW424" s="208"/>
      <c r="AX424" s="208"/>
      <c r="AY424" s="208"/>
      <c r="AZ424" s="208"/>
      <c r="BA424" s="208"/>
      <c r="BB424" s="208"/>
      <c r="BC424" s="208"/>
      <c r="BD424" s="208"/>
      <c r="BE424" s="208"/>
      <c r="BF424" s="208"/>
      <c r="BG424" s="208"/>
      <c r="BH424" s="208"/>
      <c r="BI424" s="208"/>
      <c r="BJ424" s="208"/>
      <c r="BK424" s="208"/>
      <c r="BL424" s="208"/>
      <c r="BM424" s="208"/>
      <c r="BN424" s="208"/>
      <c r="BO424" s="208"/>
      <c r="BP424" s="208"/>
      <c r="BQ424" s="208"/>
      <c r="BR424" s="208"/>
      <c r="BS424" s="208"/>
      <c r="BT424" s="208"/>
      <c r="BU424" s="208"/>
      <c r="BV424" s="208"/>
      <c r="BW424" s="208"/>
      <c r="BX424" s="208"/>
      <c r="BY424" s="208"/>
      <c r="BZ424" s="208"/>
      <c r="CA424" s="208"/>
      <c r="CB424" s="208"/>
      <c r="CC424" s="208"/>
      <c r="CD424" s="208"/>
      <c r="CE424" s="208"/>
      <c r="CF424" s="208"/>
      <c r="CG424" s="208"/>
      <c r="CH424" s="208"/>
      <c r="CI424" s="208"/>
      <c r="CJ424" s="208"/>
      <c r="CK424" s="208"/>
      <c r="CL424" s="208"/>
      <c r="CM424" s="208"/>
      <c r="CN424" s="208"/>
      <c r="CO424" s="208"/>
      <c r="CP424" s="208"/>
      <c r="CQ424" s="208"/>
      <c r="CR424" s="208"/>
      <c r="CS424" s="208"/>
      <c r="CT424" s="208"/>
      <c r="CU424" s="208"/>
      <c r="CV424" s="208"/>
      <c r="CW424" s="208"/>
      <c r="CX424" s="208"/>
      <c r="CY424" s="208"/>
      <c r="CZ424" s="208"/>
      <c r="DA424" s="208"/>
      <c r="DB424" s="208"/>
      <c r="DC424" s="208"/>
      <c r="DD424" s="208"/>
      <c r="DE424" s="208"/>
      <c r="DF424" s="208"/>
      <c r="DG424" s="208"/>
      <c r="DH424" s="208"/>
      <c r="DI424" s="208"/>
      <c r="DJ424" s="208"/>
      <c r="DK424" s="208"/>
      <c r="DL424" s="208"/>
      <c r="DM424" s="208"/>
      <c r="DN424" s="208"/>
      <c r="DO424" s="208"/>
      <c r="DP424" s="208"/>
      <c r="DQ424" s="208"/>
      <c r="DR424" s="208"/>
      <c r="DS424" s="208"/>
      <c r="DT424" s="208"/>
      <c r="DU424" s="208"/>
      <c r="DV424" s="208"/>
      <c r="DW424" s="208"/>
      <c r="DX424" s="208"/>
      <c r="DY424" s="208"/>
      <c r="DZ424" s="208"/>
      <c r="EA424" s="208"/>
      <c r="EB424" s="208"/>
      <c r="EC424" s="208"/>
      <c r="ED424" s="208"/>
      <c r="EE424" s="208"/>
      <c r="EF424" s="208"/>
      <c r="EG424" s="208"/>
      <c r="EH424" s="208"/>
      <c r="EI424" s="208"/>
      <c r="EJ424" s="208"/>
      <c r="EK424" s="208"/>
      <c r="EL424" s="208"/>
      <c r="EM424" s="208"/>
      <c r="EN424" s="208"/>
      <c r="EO424" s="208"/>
      <c r="EP424" s="208"/>
      <c r="EQ424" s="208"/>
      <c r="ER424" s="208"/>
      <c r="ES424" s="208"/>
      <c r="ET424" s="208"/>
      <c r="EU424" s="208"/>
      <c r="EV424" s="208"/>
      <c r="EW424" s="208"/>
      <c r="EX424" s="208"/>
      <c r="EY424" s="208"/>
      <c r="EZ424" s="208"/>
      <c r="FA424" s="208"/>
      <c r="FB424" s="208"/>
      <c r="FC424" s="208"/>
      <c r="FD424" s="208"/>
      <c r="FE424" s="208"/>
      <c r="FF424" s="208"/>
      <c r="FG424" s="208"/>
      <c r="FH424" s="208"/>
      <c r="FI424" s="208"/>
      <c r="FJ424" s="208"/>
      <c r="FK424" s="208"/>
      <c r="FL424" s="208"/>
      <c r="FM424" s="208"/>
      <c r="FN424" s="208"/>
      <c r="FO424" s="208"/>
      <c r="FP424" s="208"/>
      <c r="FQ424" s="208"/>
      <c r="FR424" s="208"/>
      <c r="FS424" s="208"/>
      <c r="FT424" s="208"/>
      <c r="FU424" s="208"/>
      <c r="FV424" s="208"/>
      <c r="FW424" s="208"/>
      <c r="FX424" s="208"/>
      <c r="FY424" s="208"/>
      <c r="FZ424" s="208"/>
      <c r="GA424" s="208"/>
      <c r="GB424" s="208"/>
      <c r="GC424" s="208"/>
      <c r="GD424" s="208"/>
      <c r="GE424" s="208"/>
      <c r="GF424" s="208"/>
    </row>
    <row r="425" spans="1:188" s="209" customFormat="1" ht="15" x14ac:dyDescent="0.25">
      <c r="A425" s="195" t="s">
        <v>5209</v>
      </c>
      <c r="B425" s="195" t="s">
        <v>2521</v>
      </c>
      <c r="C425" s="196" t="s">
        <v>2522</v>
      </c>
      <c r="D425" s="154" t="s">
        <v>28</v>
      </c>
      <c r="E425" s="154">
        <v>5</v>
      </c>
      <c r="F425" s="154"/>
      <c r="G425" s="197">
        <v>5</v>
      </c>
      <c r="H425" s="198">
        <f t="shared" si="62"/>
        <v>1.6666666666666666E-2</v>
      </c>
      <c r="I425" s="247">
        <v>749.9</v>
      </c>
      <c r="J425" s="152"/>
      <c r="K425" s="198"/>
      <c r="L425" s="152">
        <f t="shared" si="60"/>
        <v>62.49</v>
      </c>
      <c r="M425" s="152">
        <f t="shared" si="61"/>
        <v>3749.4</v>
      </c>
      <c r="N425" s="153"/>
      <c r="O425" s="152"/>
      <c r="Q425" s="208"/>
      <c r="R425" s="208"/>
      <c r="S425"/>
      <c r="T425" s="208"/>
      <c r="U425" s="208"/>
      <c r="V425" s="208"/>
      <c r="W425" s="208"/>
      <c r="X425" s="208"/>
      <c r="Y425" s="208"/>
      <c r="Z425" s="208"/>
      <c r="AA425" s="208"/>
      <c r="AB425" s="208"/>
      <c r="AC425" s="208"/>
      <c r="AD425" s="208"/>
      <c r="AE425" s="208"/>
      <c r="AF425" s="208"/>
      <c r="AG425" s="208"/>
      <c r="AH425" s="208"/>
      <c r="AI425" s="208"/>
      <c r="AJ425" s="208"/>
      <c r="AK425" s="208"/>
      <c r="AL425" s="208"/>
      <c r="AM425" s="208"/>
      <c r="AN425" s="208"/>
      <c r="AO425" s="208"/>
      <c r="AP425" s="208"/>
      <c r="AQ425" s="208"/>
      <c r="AR425" s="208"/>
      <c r="AS425" s="208"/>
      <c r="AT425" s="208"/>
      <c r="AU425" s="208"/>
      <c r="AV425" s="208"/>
      <c r="AW425" s="208"/>
      <c r="AX425" s="208"/>
      <c r="AY425" s="208"/>
      <c r="AZ425" s="208"/>
      <c r="BA425" s="208"/>
      <c r="BB425" s="208"/>
      <c r="BC425" s="208"/>
      <c r="BD425" s="208"/>
      <c r="BE425" s="208"/>
      <c r="BF425" s="208"/>
      <c r="BG425" s="208"/>
      <c r="BH425" s="208"/>
      <c r="BI425" s="208"/>
      <c r="BJ425" s="208"/>
      <c r="BK425" s="208"/>
      <c r="BL425" s="208"/>
      <c r="BM425" s="208"/>
      <c r="BN425" s="208"/>
      <c r="BO425" s="208"/>
      <c r="BP425" s="208"/>
      <c r="BQ425" s="208"/>
      <c r="BR425" s="208"/>
      <c r="BS425" s="208"/>
      <c r="BT425" s="208"/>
      <c r="BU425" s="208"/>
      <c r="BV425" s="208"/>
      <c r="BW425" s="208"/>
      <c r="BX425" s="208"/>
      <c r="BY425" s="208"/>
      <c r="BZ425" s="208"/>
      <c r="CA425" s="208"/>
      <c r="CB425" s="208"/>
      <c r="CC425" s="208"/>
      <c r="CD425" s="208"/>
      <c r="CE425" s="208"/>
      <c r="CF425" s="208"/>
      <c r="CG425" s="208"/>
      <c r="CH425" s="208"/>
      <c r="CI425" s="208"/>
      <c r="CJ425" s="208"/>
      <c r="CK425" s="208"/>
      <c r="CL425" s="208"/>
      <c r="CM425" s="208"/>
      <c r="CN425" s="208"/>
      <c r="CO425" s="208"/>
      <c r="CP425" s="208"/>
      <c r="CQ425" s="208"/>
      <c r="CR425" s="208"/>
      <c r="CS425" s="208"/>
      <c r="CT425" s="208"/>
      <c r="CU425" s="208"/>
      <c r="CV425" s="208"/>
      <c r="CW425" s="208"/>
      <c r="CX425" s="208"/>
      <c r="CY425" s="208"/>
      <c r="CZ425" s="208"/>
      <c r="DA425" s="208"/>
      <c r="DB425" s="208"/>
      <c r="DC425" s="208"/>
      <c r="DD425" s="208"/>
      <c r="DE425" s="208"/>
      <c r="DF425" s="208"/>
      <c r="DG425" s="208"/>
      <c r="DH425" s="208"/>
      <c r="DI425" s="208"/>
      <c r="DJ425" s="208"/>
      <c r="DK425" s="208"/>
      <c r="DL425" s="208"/>
      <c r="DM425" s="208"/>
      <c r="DN425" s="208"/>
      <c r="DO425" s="208"/>
      <c r="DP425" s="208"/>
      <c r="DQ425" s="208"/>
      <c r="DR425" s="208"/>
      <c r="DS425" s="208"/>
      <c r="DT425" s="208"/>
      <c r="DU425" s="208"/>
      <c r="DV425" s="208"/>
      <c r="DW425" s="208"/>
      <c r="DX425" s="208"/>
      <c r="DY425" s="208"/>
      <c r="DZ425" s="208"/>
      <c r="EA425" s="208"/>
      <c r="EB425" s="208"/>
      <c r="EC425" s="208"/>
      <c r="ED425" s="208"/>
      <c r="EE425" s="208"/>
      <c r="EF425" s="208"/>
      <c r="EG425" s="208"/>
      <c r="EH425" s="208"/>
      <c r="EI425" s="208"/>
      <c r="EJ425" s="208"/>
      <c r="EK425" s="208"/>
      <c r="EL425" s="208"/>
      <c r="EM425" s="208"/>
      <c r="EN425" s="208"/>
      <c r="EO425" s="208"/>
      <c r="EP425" s="208"/>
      <c r="EQ425" s="208"/>
      <c r="ER425" s="208"/>
      <c r="ES425" s="208"/>
      <c r="ET425" s="208"/>
      <c r="EU425" s="208"/>
      <c r="EV425" s="208"/>
      <c r="EW425" s="208"/>
      <c r="EX425" s="208"/>
      <c r="EY425" s="208"/>
      <c r="EZ425" s="208"/>
      <c r="FA425" s="208"/>
      <c r="FB425" s="208"/>
      <c r="FC425" s="208"/>
      <c r="FD425" s="208"/>
      <c r="FE425" s="208"/>
      <c r="FF425" s="208"/>
      <c r="FG425" s="208"/>
      <c r="FH425" s="208"/>
      <c r="FI425" s="208"/>
      <c r="FJ425" s="208"/>
      <c r="FK425" s="208"/>
      <c r="FL425" s="208"/>
      <c r="FM425" s="208"/>
      <c r="FN425" s="208"/>
      <c r="FO425" s="208"/>
      <c r="FP425" s="208"/>
      <c r="FQ425" s="208"/>
      <c r="FR425" s="208"/>
      <c r="FS425" s="208"/>
      <c r="FT425" s="208"/>
      <c r="FU425" s="208"/>
      <c r="FV425" s="208"/>
      <c r="FW425" s="208"/>
      <c r="FX425" s="208"/>
      <c r="FY425" s="208"/>
      <c r="FZ425" s="208"/>
      <c r="GA425" s="208"/>
      <c r="GB425" s="208"/>
      <c r="GC425" s="208"/>
      <c r="GD425" s="208"/>
      <c r="GE425" s="208"/>
      <c r="GF425" s="208"/>
    </row>
    <row r="426" spans="1:188" s="209" customFormat="1" ht="15" x14ac:dyDescent="0.25">
      <c r="A426" s="195" t="s">
        <v>5210</v>
      </c>
      <c r="B426" s="195" t="s">
        <v>2523</v>
      </c>
      <c r="C426" s="196" t="s">
        <v>2524</v>
      </c>
      <c r="D426" s="154" t="s">
        <v>28</v>
      </c>
      <c r="E426" s="154">
        <v>3</v>
      </c>
      <c r="F426" s="154"/>
      <c r="G426" s="197">
        <v>5</v>
      </c>
      <c r="H426" s="198">
        <f t="shared" si="62"/>
        <v>1.6666666666666666E-2</v>
      </c>
      <c r="I426" s="247">
        <v>741</v>
      </c>
      <c r="J426" s="152"/>
      <c r="K426" s="198"/>
      <c r="L426" s="152">
        <f t="shared" si="60"/>
        <v>37.049999999999997</v>
      </c>
      <c r="M426" s="152">
        <f t="shared" si="61"/>
        <v>2223</v>
      </c>
      <c r="N426" s="153"/>
      <c r="O426" s="152"/>
      <c r="Q426" s="208"/>
      <c r="R426" s="208"/>
      <c r="S426"/>
      <c r="T426" s="208"/>
      <c r="U426" s="208"/>
      <c r="V426" s="208"/>
      <c r="W426" s="208"/>
      <c r="X426" s="208"/>
      <c r="Y426" s="208"/>
      <c r="Z426" s="208"/>
      <c r="AA426" s="208"/>
      <c r="AB426" s="208"/>
      <c r="AC426" s="208"/>
      <c r="AD426" s="208"/>
      <c r="AE426" s="208"/>
      <c r="AF426" s="208"/>
      <c r="AG426" s="208"/>
      <c r="AH426" s="208"/>
      <c r="AI426" s="208"/>
      <c r="AJ426" s="208"/>
      <c r="AK426" s="208"/>
      <c r="AL426" s="208"/>
      <c r="AM426" s="208"/>
      <c r="AN426" s="208"/>
      <c r="AO426" s="208"/>
      <c r="AP426" s="208"/>
      <c r="AQ426" s="208"/>
      <c r="AR426" s="208"/>
      <c r="AS426" s="208"/>
      <c r="AT426" s="208"/>
      <c r="AU426" s="208"/>
      <c r="AV426" s="208"/>
      <c r="AW426" s="208"/>
      <c r="AX426" s="208"/>
      <c r="AY426" s="208"/>
      <c r="AZ426" s="208"/>
      <c r="BA426" s="208"/>
      <c r="BB426" s="208"/>
      <c r="BC426" s="208"/>
      <c r="BD426" s="208"/>
      <c r="BE426" s="208"/>
      <c r="BF426" s="208"/>
      <c r="BG426" s="208"/>
      <c r="BH426" s="208"/>
      <c r="BI426" s="208"/>
      <c r="BJ426" s="208"/>
      <c r="BK426" s="208"/>
      <c r="BL426" s="208"/>
      <c r="BM426" s="208"/>
      <c r="BN426" s="208"/>
      <c r="BO426" s="208"/>
      <c r="BP426" s="208"/>
      <c r="BQ426" s="208"/>
      <c r="BR426" s="208"/>
      <c r="BS426" s="208"/>
      <c r="BT426" s="208"/>
      <c r="BU426" s="208"/>
      <c r="BV426" s="208"/>
      <c r="BW426" s="208"/>
      <c r="BX426" s="208"/>
      <c r="BY426" s="208"/>
      <c r="BZ426" s="208"/>
      <c r="CA426" s="208"/>
      <c r="CB426" s="208"/>
      <c r="CC426" s="208"/>
      <c r="CD426" s="208"/>
      <c r="CE426" s="208"/>
      <c r="CF426" s="208"/>
      <c r="CG426" s="208"/>
      <c r="CH426" s="208"/>
      <c r="CI426" s="208"/>
      <c r="CJ426" s="208"/>
      <c r="CK426" s="208"/>
      <c r="CL426" s="208"/>
      <c r="CM426" s="208"/>
      <c r="CN426" s="208"/>
      <c r="CO426" s="208"/>
      <c r="CP426" s="208"/>
      <c r="CQ426" s="208"/>
      <c r="CR426" s="208"/>
      <c r="CS426" s="208"/>
      <c r="CT426" s="208"/>
      <c r="CU426" s="208"/>
      <c r="CV426" s="208"/>
      <c r="CW426" s="208"/>
      <c r="CX426" s="208"/>
      <c r="CY426" s="208"/>
      <c r="CZ426" s="208"/>
      <c r="DA426" s="208"/>
      <c r="DB426" s="208"/>
      <c r="DC426" s="208"/>
      <c r="DD426" s="208"/>
      <c r="DE426" s="208"/>
      <c r="DF426" s="208"/>
      <c r="DG426" s="208"/>
      <c r="DH426" s="208"/>
      <c r="DI426" s="208"/>
      <c r="DJ426" s="208"/>
      <c r="DK426" s="208"/>
      <c r="DL426" s="208"/>
      <c r="DM426" s="208"/>
      <c r="DN426" s="208"/>
      <c r="DO426" s="208"/>
      <c r="DP426" s="208"/>
      <c r="DQ426" s="208"/>
      <c r="DR426" s="208"/>
      <c r="DS426" s="208"/>
      <c r="DT426" s="208"/>
      <c r="DU426" s="208"/>
      <c r="DV426" s="208"/>
      <c r="DW426" s="208"/>
      <c r="DX426" s="208"/>
      <c r="DY426" s="208"/>
      <c r="DZ426" s="208"/>
      <c r="EA426" s="208"/>
      <c r="EB426" s="208"/>
      <c r="EC426" s="208"/>
      <c r="ED426" s="208"/>
      <c r="EE426" s="208"/>
      <c r="EF426" s="208"/>
      <c r="EG426" s="208"/>
      <c r="EH426" s="208"/>
      <c r="EI426" s="208"/>
      <c r="EJ426" s="208"/>
      <c r="EK426" s="208"/>
      <c r="EL426" s="208"/>
      <c r="EM426" s="208"/>
      <c r="EN426" s="208"/>
      <c r="EO426" s="208"/>
      <c r="EP426" s="208"/>
      <c r="EQ426" s="208"/>
      <c r="ER426" s="208"/>
      <c r="ES426" s="208"/>
      <c r="ET426" s="208"/>
      <c r="EU426" s="208"/>
      <c r="EV426" s="208"/>
      <c r="EW426" s="208"/>
      <c r="EX426" s="208"/>
      <c r="EY426" s="208"/>
      <c r="EZ426" s="208"/>
      <c r="FA426" s="208"/>
      <c r="FB426" s="208"/>
      <c r="FC426" s="208"/>
      <c r="FD426" s="208"/>
      <c r="FE426" s="208"/>
      <c r="FF426" s="208"/>
      <c r="FG426" s="208"/>
      <c r="FH426" s="208"/>
      <c r="FI426" s="208"/>
      <c r="FJ426" s="208"/>
      <c r="FK426" s="208"/>
      <c r="FL426" s="208"/>
      <c r="FM426" s="208"/>
      <c r="FN426" s="208"/>
      <c r="FO426" s="208"/>
      <c r="FP426" s="208"/>
      <c r="FQ426" s="208"/>
      <c r="FR426" s="208"/>
      <c r="FS426" s="208"/>
      <c r="FT426" s="208"/>
      <c r="FU426" s="208"/>
      <c r="FV426" s="208"/>
      <c r="FW426" s="208"/>
      <c r="FX426" s="208"/>
      <c r="FY426" s="208"/>
      <c r="FZ426" s="208"/>
      <c r="GA426" s="208"/>
      <c r="GB426" s="208"/>
      <c r="GC426" s="208"/>
      <c r="GD426" s="208"/>
      <c r="GE426" s="208"/>
      <c r="GF426" s="208"/>
    </row>
    <row r="427" spans="1:188" s="209" customFormat="1" ht="15" x14ac:dyDescent="0.25">
      <c r="A427" s="195" t="s">
        <v>5211</v>
      </c>
      <c r="B427" s="195" t="s">
        <v>2531</v>
      </c>
      <c r="C427" s="196" t="s">
        <v>2532</v>
      </c>
      <c r="D427" s="154" t="s">
        <v>28</v>
      </c>
      <c r="E427" s="154">
        <v>18</v>
      </c>
      <c r="F427" s="154"/>
      <c r="G427" s="197">
        <v>5</v>
      </c>
      <c r="H427" s="198">
        <f t="shared" si="62"/>
        <v>1.6666666666666666E-2</v>
      </c>
      <c r="I427" s="247">
        <v>31.1</v>
      </c>
      <c r="J427" s="152"/>
      <c r="K427" s="198"/>
      <c r="L427" s="152">
        <f t="shared" si="60"/>
        <v>9.33</v>
      </c>
      <c r="M427" s="152">
        <f t="shared" si="61"/>
        <v>559.79999999999995</v>
      </c>
      <c r="N427" s="153"/>
      <c r="O427" s="152"/>
      <c r="Q427" s="208"/>
      <c r="R427" s="208"/>
      <c r="S427"/>
      <c r="T427" s="208"/>
      <c r="U427" s="208"/>
      <c r="V427" s="208"/>
      <c r="W427" s="208"/>
      <c r="X427" s="208"/>
      <c r="Y427" s="208"/>
      <c r="Z427" s="208"/>
      <c r="AA427" s="208"/>
      <c r="AB427" s="208"/>
      <c r="AC427" s="208"/>
      <c r="AD427" s="208"/>
      <c r="AE427" s="208"/>
      <c r="AF427" s="208"/>
      <c r="AG427" s="208"/>
      <c r="AH427" s="208"/>
      <c r="AI427" s="208"/>
      <c r="AJ427" s="208"/>
      <c r="AK427" s="208"/>
      <c r="AL427" s="208"/>
      <c r="AM427" s="208"/>
      <c r="AN427" s="208"/>
      <c r="AO427" s="208"/>
      <c r="AP427" s="208"/>
      <c r="AQ427" s="208"/>
      <c r="AR427" s="208"/>
      <c r="AS427" s="208"/>
      <c r="AT427" s="208"/>
      <c r="AU427" s="208"/>
      <c r="AV427" s="208"/>
      <c r="AW427" s="208"/>
      <c r="AX427" s="208"/>
      <c r="AY427" s="208"/>
      <c r="AZ427" s="208"/>
      <c r="BA427" s="208"/>
      <c r="BB427" s="208"/>
      <c r="BC427" s="208"/>
      <c r="BD427" s="208"/>
      <c r="BE427" s="208"/>
      <c r="BF427" s="208"/>
      <c r="BG427" s="208"/>
      <c r="BH427" s="208"/>
      <c r="BI427" s="208"/>
      <c r="BJ427" s="208"/>
      <c r="BK427" s="208"/>
      <c r="BL427" s="208"/>
      <c r="BM427" s="208"/>
      <c r="BN427" s="208"/>
      <c r="BO427" s="208"/>
      <c r="BP427" s="208"/>
      <c r="BQ427" s="208"/>
      <c r="BR427" s="208"/>
      <c r="BS427" s="208"/>
      <c r="BT427" s="208"/>
      <c r="BU427" s="208"/>
      <c r="BV427" s="208"/>
      <c r="BW427" s="208"/>
      <c r="BX427" s="208"/>
      <c r="BY427" s="208"/>
      <c r="BZ427" s="208"/>
      <c r="CA427" s="208"/>
      <c r="CB427" s="208"/>
      <c r="CC427" s="208"/>
      <c r="CD427" s="208"/>
      <c r="CE427" s="208"/>
      <c r="CF427" s="208"/>
      <c r="CG427" s="208"/>
      <c r="CH427" s="208"/>
      <c r="CI427" s="208"/>
      <c r="CJ427" s="208"/>
      <c r="CK427" s="208"/>
      <c r="CL427" s="208"/>
      <c r="CM427" s="208"/>
      <c r="CN427" s="208"/>
      <c r="CO427" s="208"/>
      <c r="CP427" s="208"/>
      <c r="CQ427" s="208"/>
      <c r="CR427" s="208"/>
      <c r="CS427" s="208"/>
      <c r="CT427" s="208"/>
      <c r="CU427" s="208"/>
      <c r="CV427" s="208"/>
      <c r="CW427" s="208"/>
      <c r="CX427" s="208"/>
      <c r="CY427" s="208"/>
      <c r="CZ427" s="208"/>
      <c r="DA427" s="208"/>
      <c r="DB427" s="208"/>
      <c r="DC427" s="208"/>
      <c r="DD427" s="208"/>
      <c r="DE427" s="208"/>
      <c r="DF427" s="208"/>
      <c r="DG427" s="208"/>
      <c r="DH427" s="208"/>
      <c r="DI427" s="208"/>
      <c r="DJ427" s="208"/>
      <c r="DK427" s="208"/>
      <c r="DL427" s="208"/>
      <c r="DM427" s="208"/>
      <c r="DN427" s="208"/>
      <c r="DO427" s="208"/>
      <c r="DP427" s="208"/>
      <c r="DQ427" s="208"/>
      <c r="DR427" s="208"/>
      <c r="DS427" s="208"/>
      <c r="DT427" s="208"/>
      <c r="DU427" s="208"/>
      <c r="DV427" s="208"/>
      <c r="DW427" s="208"/>
      <c r="DX427" s="208"/>
      <c r="DY427" s="208"/>
      <c r="DZ427" s="208"/>
      <c r="EA427" s="208"/>
      <c r="EB427" s="208"/>
      <c r="EC427" s="208"/>
      <c r="ED427" s="208"/>
      <c r="EE427" s="208"/>
      <c r="EF427" s="208"/>
      <c r="EG427" s="208"/>
      <c r="EH427" s="208"/>
      <c r="EI427" s="208"/>
      <c r="EJ427" s="208"/>
      <c r="EK427" s="208"/>
      <c r="EL427" s="208"/>
      <c r="EM427" s="208"/>
      <c r="EN427" s="208"/>
      <c r="EO427" s="208"/>
      <c r="EP427" s="208"/>
      <c r="EQ427" s="208"/>
      <c r="ER427" s="208"/>
      <c r="ES427" s="208"/>
      <c r="ET427" s="208"/>
      <c r="EU427" s="208"/>
      <c r="EV427" s="208"/>
      <c r="EW427" s="208"/>
      <c r="EX427" s="208"/>
      <c r="EY427" s="208"/>
      <c r="EZ427" s="208"/>
      <c r="FA427" s="208"/>
      <c r="FB427" s="208"/>
      <c r="FC427" s="208"/>
      <c r="FD427" s="208"/>
      <c r="FE427" s="208"/>
      <c r="FF427" s="208"/>
      <c r="FG427" s="208"/>
      <c r="FH427" s="208"/>
      <c r="FI427" s="208"/>
      <c r="FJ427" s="208"/>
      <c r="FK427" s="208"/>
      <c r="FL427" s="208"/>
      <c r="FM427" s="208"/>
      <c r="FN427" s="208"/>
      <c r="FO427" s="208"/>
      <c r="FP427" s="208"/>
      <c r="FQ427" s="208"/>
      <c r="FR427" s="208"/>
      <c r="FS427" s="208"/>
      <c r="FT427" s="208"/>
      <c r="FU427" s="208"/>
      <c r="FV427" s="208"/>
      <c r="FW427" s="208"/>
      <c r="FX427" s="208"/>
      <c r="FY427" s="208"/>
      <c r="FZ427" s="208"/>
      <c r="GA427" s="208"/>
      <c r="GB427" s="208"/>
      <c r="GC427" s="208"/>
      <c r="GD427" s="208"/>
      <c r="GE427" s="208"/>
      <c r="GF427" s="208"/>
    </row>
    <row r="428" spans="1:188" s="209" customFormat="1" ht="15" x14ac:dyDescent="0.25">
      <c r="A428" s="195" t="s">
        <v>5212</v>
      </c>
      <c r="B428" s="195" t="s">
        <v>2533</v>
      </c>
      <c r="C428" s="196" t="s">
        <v>2534</v>
      </c>
      <c r="D428" s="154" t="s">
        <v>28</v>
      </c>
      <c r="E428" s="154">
        <v>18</v>
      </c>
      <c r="F428" s="154"/>
      <c r="G428" s="197">
        <v>5</v>
      </c>
      <c r="H428" s="198">
        <f t="shared" si="62"/>
        <v>1.6666666666666666E-2</v>
      </c>
      <c r="I428" s="247">
        <v>26.1</v>
      </c>
      <c r="J428" s="152"/>
      <c r="K428" s="198"/>
      <c r="L428" s="152">
        <f t="shared" si="60"/>
        <v>7.83</v>
      </c>
      <c r="M428" s="152">
        <f t="shared" si="61"/>
        <v>469.8</v>
      </c>
      <c r="N428" s="153"/>
      <c r="O428" s="152"/>
      <c r="Q428" s="208"/>
      <c r="R428" s="208"/>
      <c r="S428"/>
      <c r="T428" s="208"/>
      <c r="U428" s="208"/>
      <c r="V428" s="208"/>
      <c r="W428" s="208"/>
      <c r="X428" s="208"/>
      <c r="Y428" s="208"/>
      <c r="Z428" s="208"/>
      <c r="AA428" s="208"/>
      <c r="AB428" s="208"/>
      <c r="AC428" s="208"/>
      <c r="AD428" s="208"/>
      <c r="AE428" s="208"/>
      <c r="AF428" s="208"/>
      <c r="AG428" s="208"/>
      <c r="AH428" s="208"/>
      <c r="AI428" s="208"/>
      <c r="AJ428" s="208"/>
      <c r="AK428" s="208"/>
      <c r="AL428" s="208"/>
      <c r="AM428" s="208"/>
      <c r="AN428" s="208"/>
      <c r="AO428" s="208"/>
      <c r="AP428" s="208"/>
      <c r="AQ428" s="208"/>
      <c r="AR428" s="208"/>
      <c r="AS428" s="208"/>
      <c r="AT428" s="208"/>
      <c r="AU428" s="208"/>
      <c r="AV428" s="208"/>
      <c r="AW428" s="208"/>
      <c r="AX428" s="208"/>
      <c r="AY428" s="208"/>
      <c r="AZ428" s="208"/>
      <c r="BA428" s="208"/>
      <c r="BB428" s="208"/>
      <c r="BC428" s="208"/>
      <c r="BD428" s="208"/>
      <c r="BE428" s="208"/>
      <c r="BF428" s="208"/>
      <c r="BG428" s="208"/>
      <c r="BH428" s="208"/>
      <c r="BI428" s="208"/>
      <c r="BJ428" s="208"/>
      <c r="BK428" s="208"/>
      <c r="BL428" s="208"/>
      <c r="BM428" s="208"/>
      <c r="BN428" s="208"/>
      <c r="BO428" s="208"/>
      <c r="BP428" s="208"/>
      <c r="BQ428" s="208"/>
      <c r="BR428" s="208"/>
      <c r="BS428" s="208"/>
      <c r="BT428" s="208"/>
      <c r="BU428" s="208"/>
      <c r="BV428" s="208"/>
      <c r="BW428" s="208"/>
      <c r="BX428" s="208"/>
      <c r="BY428" s="208"/>
      <c r="BZ428" s="208"/>
      <c r="CA428" s="208"/>
      <c r="CB428" s="208"/>
      <c r="CC428" s="208"/>
      <c r="CD428" s="208"/>
      <c r="CE428" s="208"/>
      <c r="CF428" s="208"/>
      <c r="CG428" s="208"/>
      <c r="CH428" s="208"/>
      <c r="CI428" s="208"/>
      <c r="CJ428" s="208"/>
      <c r="CK428" s="208"/>
      <c r="CL428" s="208"/>
      <c r="CM428" s="208"/>
      <c r="CN428" s="208"/>
      <c r="CO428" s="208"/>
      <c r="CP428" s="208"/>
      <c r="CQ428" s="208"/>
      <c r="CR428" s="208"/>
      <c r="CS428" s="208"/>
      <c r="CT428" s="208"/>
      <c r="CU428" s="208"/>
      <c r="CV428" s="208"/>
      <c r="CW428" s="208"/>
      <c r="CX428" s="208"/>
      <c r="CY428" s="208"/>
      <c r="CZ428" s="208"/>
      <c r="DA428" s="208"/>
      <c r="DB428" s="208"/>
      <c r="DC428" s="208"/>
      <c r="DD428" s="208"/>
      <c r="DE428" s="208"/>
      <c r="DF428" s="208"/>
      <c r="DG428" s="208"/>
      <c r="DH428" s="208"/>
      <c r="DI428" s="208"/>
      <c r="DJ428" s="208"/>
      <c r="DK428" s="208"/>
      <c r="DL428" s="208"/>
      <c r="DM428" s="208"/>
      <c r="DN428" s="208"/>
      <c r="DO428" s="208"/>
      <c r="DP428" s="208"/>
      <c r="DQ428" s="208"/>
      <c r="DR428" s="208"/>
      <c r="DS428" s="208"/>
      <c r="DT428" s="208"/>
      <c r="DU428" s="208"/>
      <c r="DV428" s="208"/>
      <c r="DW428" s="208"/>
      <c r="DX428" s="208"/>
      <c r="DY428" s="208"/>
      <c r="DZ428" s="208"/>
      <c r="EA428" s="208"/>
      <c r="EB428" s="208"/>
      <c r="EC428" s="208"/>
      <c r="ED428" s="208"/>
      <c r="EE428" s="208"/>
      <c r="EF428" s="208"/>
      <c r="EG428" s="208"/>
      <c r="EH428" s="208"/>
      <c r="EI428" s="208"/>
      <c r="EJ428" s="208"/>
      <c r="EK428" s="208"/>
      <c r="EL428" s="208"/>
      <c r="EM428" s="208"/>
      <c r="EN428" s="208"/>
      <c r="EO428" s="208"/>
      <c r="EP428" s="208"/>
      <c r="EQ428" s="208"/>
      <c r="ER428" s="208"/>
      <c r="ES428" s="208"/>
      <c r="ET428" s="208"/>
      <c r="EU428" s="208"/>
      <c r="EV428" s="208"/>
      <c r="EW428" s="208"/>
      <c r="EX428" s="208"/>
      <c r="EY428" s="208"/>
      <c r="EZ428" s="208"/>
      <c r="FA428" s="208"/>
      <c r="FB428" s="208"/>
      <c r="FC428" s="208"/>
      <c r="FD428" s="208"/>
      <c r="FE428" s="208"/>
      <c r="FF428" s="208"/>
      <c r="FG428" s="208"/>
      <c r="FH428" s="208"/>
      <c r="FI428" s="208"/>
      <c r="FJ428" s="208"/>
      <c r="FK428" s="208"/>
      <c r="FL428" s="208"/>
      <c r="FM428" s="208"/>
      <c r="FN428" s="208"/>
      <c r="FO428" s="208"/>
      <c r="FP428" s="208"/>
      <c r="FQ428" s="208"/>
      <c r="FR428" s="208"/>
      <c r="FS428" s="208"/>
      <c r="FT428" s="208"/>
      <c r="FU428" s="208"/>
      <c r="FV428" s="208"/>
      <c r="FW428" s="208"/>
      <c r="FX428" s="208"/>
      <c r="FY428" s="208"/>
      <c r="FZ428" s="208"/>
      <c r="GA428" s="208"/>
      <c r="GB428" s="208"/>
      <c r="GC428" s="208"/>
      <c r="GD428" s="208"/>
      <c r="GE428" s="208"/>
      <c r="GF428" s="208"/>
    </row>
    <row r="429" spans="1:188" s="209" customFormat="1" ht="15" x14ac:dyDescent="0.25">
      <c r="A429" s="195" t="s">
        <v>5213</v>
      </c>
      <c r="B429" s="195" t="s">
        <v>677</v>
      </c>
      <c r="C429" s="196" t="s">
        <v>2535</v>
      </c>
      <c r="D429" s="154" t="s">
        <v>28</v>
      </c>
      <c r="E429" s="154">
        <v>18</v>
      </c>
      <c r="F429" s="154"/>
      <c r="G429" s="197">
        <v>5</v>
      </c>
      <c r="H429" s="198">
        <f t="shared" si="62"/>
        <v>1.6666666666666666E-2</v>
      </c>
      <c r="I429" s="151">
        <v>22.48</v>
      </c>
      <c r="J429" s="152"/>
      <c r="K429" s="198"/>
      <c r="L429" s="152">
        <f t="shared" si="60"/>
        <v>6.74</v>
      </c>
      <c r="M429" s="152">
        <f t="shared" si="61"/>
        <v>404.4</v>
      </c>
      <c r="N429" s="153"/>
      <c r="O429" s="152"/>
      <c r="Q429" s="208"/>
      <c r="R429" s="208"/>
      <c r="S429"/>
      <c r="T429" s="208"/>
      <c r="U429" s="208"/>
      <c r="V429" s="208"/>
      <c r="W429" s="208"/>
      <c r="X429" s="208"/>
      <c r="Y429" s="208"/>
      <c r="Z429" s="208"/>
      <c r="AA429" s="208"/>
      <c r="AB429" s="208"/>
      <c r="AC429" s="208"/>
      <c r="AD429" s="208"/>
      <c r="AE429" s="208"/>
      <c r="AF429" s="208"/>
      <c r="AG429" s="208"/>
      <c r="AH429" s="208"/>
      <c r="AI429" s="208"/>
      <c r="AJ429" s="208"/>
      <c r="AK429" s="208"/>
      <c r="AL429" s="208"/>
      <c r="AM429" s="208"/>
      <c r="AN429" s="208"/>
      <c r="AO429" s="208"/>
      <c r="AP429" s="208"/>
      <c r="AQ429" s="208"/>
      <c r="AR429" s="208"/>
      <c r="AS429" s="208"/>
      <c r="AT429" s="208"/>
      <c r="AU429" s="208"/>
      <c r="AV429" s="208"/>
      <c r="AW429" s="208"/>
      <c r="AX429" s="208"/>
      <c r="AY429" s="208"/>
      <c r="AZ429" s="208"/>
      <c r="BA429" s="208"/>
      <c r="BB429" s="208"/>
      <c r="BC429" s="208"/>
      <c r="BD429" s="208"/>
      <c r="BE429" s="208"/>
      <c r="BF429" s="208"/>
      <c r="BG429" s="208"/>
      <c r="BH429" s="208"/>
      <c r="BI429" s="208"/>
      <c r="BJ429" s="208"/>
      <c r="BK429" s="208"/>
      <c r="BL429" s="208"/>
      <c r="BM429" s="208"/>
      <c r="BN429" s="208"/>
      <c r="BO429" s="208"/>
      <c r="BP429" s="208"/>
      <c r="BQ429" s="208"/>
      <c r="BR429" s="208"/>
      <c r="BS429" s="208"/>
      <c r="BT429" s="208"/>
      <c r="BU429" s="208"/>
      <c r="BV429" s="208"/>
      <c r="BW429" s="208"/>
      <c r="BX429" s="208"/>
      <c r="BY429" s="208"/>
      <c r="BZ429" s="208"/>
      <c r="CA429" s="208"/>
      <c r="CB429" s="208"/>
      <c r="CC429" s="208"/>
      <c r="CD429" s="208"/>
      <c r="CE429" s="208"/>
      <c r="CF429" s="208"/>
      <c r="CG429" s="208"/>
      <c r="CH429" s="208"/>
      <c r="CI429" s="208"/>
      <c r="CJ429" s="208"/>
      <c r="CK429" s="208"/>
      <c r="CL429" s="208"/>
      <c r="CM429" s="208"/>
      <c r="CN429" s="208"/>
      <c r="CO429" s="208"/>
      <c r="CP429" s="208"/>
      <c r="CQ429" s="208"/>
      <c r="CR429" s="208"/>
      <c r="CS429" s="208"/>
      <c r="CT429" s="208"/>
      <c r="CU429" s="208"/>
      <c r="CV429" s="208"/>
      <c r="CW429" s="208"/>
      <c r="CX429" s="208"/>
      <c r="CY429" s="208"/>
      <c r="CZ429" s="208"/>
      <c r="DA429" s="208"/>
      <c r="DB429" s="208"/>
      <c r="DC429" s="208"/>
      <c r="DD429" s="208"/>
      <c r="DE429" s="208"/>
      <c r="DF429" s="208"/>
      <c r="DG429" s="208"/>
      <c r="DH429" s="208"/>
      <c r="DI429" s="208"/>
      <c r="DJ429" s="208"/>
      <c r="DK429" s="208"/>
      <c r="DL429" s="208"/>
      <c r="DM429" s="208"/>
      <c r="DN429" s="208"/>
      <c r="DO429" s="208"/>
      <c r="DP429" s="208"/>
      <c r="DQ429" s="208"/>
      <c r="DR429" s="208"/>
      <c r="DS429" s="208"/>
      <c r="DT429" s="208"/>
      <c r="DU429" s="208"/>
      <c r="DV429" s="208"/>
      <c r="DW429" s="208"/>
      <c r="DX429" s="208"/>
      <c r="DY429" s="208"/>
      <c r="DZ429" s="208"/>
      <c r="EA429" s="208"/>
      <c r="EB429" s="208"/>
      <c r="EC429" s="208"/>
      <c r="ED429" s="208"/>
      <c r="EE429" s="208"/>
      <c r="EF429" s="208"/>
      <c r="EG429" s="208"/>
      <c r="EH429" s="208"/>
      <c r="EI429" s="208"/>
      <c r="EJ429" s="208"/>
      <c r="EK429" s="208"/>
      <c r="EL429" s="208"/>
      <c r="EM429" s="208"/>
      <c r="EN429" s="208"/>
      <c r="EO429" s="208"/>
      <c r="EP429" s="208"/>
      <c r="EQ429" s="208"/>
      <c r="ER429" s="208"/>
      <c r="ES429" s="208"/>
      <c r="ET429" s="208"/>
      <c r="EU429" s="208"/>
      <c r="EV429" s="208"/>
      <c r="EW429" s="208"/>
      <c r="EX429" s="208"/>
      <c r="EY429" s="208"/>
      <c r="EZ429" s="208"/>
      <c r="FA429" s="208"/>
      <c r="FB429" s="208"/>
      <c r="FC429" s="208"/>
      <c r="FD429" s="208"/>
      <c r="FE429" s="208"/>
      <c r="FF429" s="208"/>
      <c r="FG429" s="208"/>
      <c r="FH429" s="208"/>
      <c r="FI429" s="208"/>
      <c r="FJ429" s="208"/>
      <c r="FK429" s="208"/>
      <c r="FL429" s="208"/>
      <c r="FM429" s="208"/>
      <c r="FN429" s="208"/>
      <c r="FO429" s="208"/>
      <c r="FP429" s="208"/>
      <c r="FQ429" s="208"/>
      <c r="FR429" s="208"/>
      <c r="FS429" s="208"/>
      <c r="FT429" s="208"/>
      <c r="FU429" s="208"/>
      <c r="FV429" s="208"/>
      <c r="FW429" s="208"/>
      <c r="FX429" s="208"/>
      <c r="FY429" s="208"/>
      <c r="FZ429" s="208"/>
      <c r="GA429" s="208"/>
      <c r="GB429" s="208"/>
      <c r="GC429" s="208"/>
      <c r="GD429" s="208"/>
      <c r="GE429" s="208"/>
      <c r="GF429" s="208"/>
    </row>
    <row r="430" spans="1:188" s="209" customFormat="1" ht="15" x14ac:dyDescent="0.25">
      <c r="A430" s="195" t="s">
        <v>5214</v>
      </c>
      <c r="B430" s="195" t="s">
        <v>678</v>
      </c>
      <c r="C430" s="196" t="s">
        <v>2536</v>
      </c>
      <c r="D430" s="154" t="s">
        <v>28</v>
      </c>
      <c r="E430" s="154">
        <v>18</v>
      </c>
      <c r="F430" s="154"/>
      <c r="G430" s="197">
        <v>5</v>
      </c>
      <c r="H430" s="198">
        <f t="shared" si="62"/>
        <v>1.6666666666666666E-2</v>
      </c>
      <c r="I430" s="151">
        <v>35.71</v>
      </c>
      <c r="J430" s="152"/>
      <c r="K430" s="198"/>
      <c r="L430" s="152">
        <f t="shared" si="60"/>
        <v>10.71</v>
      </c>
      <c r="M430" s="152">
        <f t="shared" si="61"/>
        <v>642.6</v>
      </c>
      <c r="N430" s="153"/>
      <c r="O430" s="152"/>
      <c r="Q430" s="208"/>
      <c r="R430" s="208"/>
      <c r="S430"/>
      <c r="T430" s="208"/>
      <c r="U430" s="208"/>
      <c r="V430" s="208"/>
      <c r="W430" s="208"/>
      <c r="X430" s="208"/>
      <c r="Y430" s="208"/>
      <c r="Z430" s="208"/>
      <c r="AA430" s="208"/>
      <c r="AB430" s="208"/>
      <c r="AC430" s="208"/>
      <c r="AD430" s="208"/>
      <c r="AE430" s="208"/>
      <c r="AF430" s="208"/>
      <c r="AG430" s="208"/>
      <c r="AH430" s="208"/>
      <c r="AI430" s="208"/>
      <c r="AJ430" s="208"/>
      <c r="AK430" s="208"/>
      <c r="AL430" s="208"/>
      <c r="AM430" s="208"/>
      <c r="AN430" s="208"/>
      <c r="AO430" s="208"/>
      <c r="AP430" s="208"/>
      <c r="AQ430" s="208"/>
      <c r="AR430" s="208"/>
      <c r="AS430" s="208"/>
      <c r="AT430" s="208"/>
      <c r="AU430" s="208"/>
      <c r="AV430" s="208"/>
      <c r="AW430" s="208"/>
      <c r="AX430" s="208"/>
      <c r="AY430" s="208"/>
      <c r="AZ430" s="208"/>
      <c r="BA430" s="208"/>
      <c r="BB430" s="208"/>
      <c r="BC430" s="208"/>
      <c r="BD430" s="208"/>
      <c r="BE430" s="208"/>
      <c r="BF430" s="208"/>
      <c r="BG430" s="208"/>
      <c r="BH430" s="208"/>
      <c r="BI430" s="208"/>
      <c r="BJ430" s="208"/>
      <c r="BK430" s="208"/>
      <c r="BL430" s="208"/>
      <c r="BM430" s="208"/>
      <c r="BN430" s="208"/>
      <c r="BO430" s="208"/>
      <c r="BP430" s="208"/>
      <c r="BQ430" s="208"/>
      <c r="BR430" s="208"/>
      <c r="BS430" s="208"/>
      <c r="BT430" s="208"/>
      <c r="BU430" s="208"/>
      <c r="BV430" s="208"/>
      <c r="BW430" s="208"/>
      <c r="BX430" s="208"/>
      <c r="BY430" s="208"/>
      <c r="BZ430" s="208"/>
      <c r="CA430" s="208"/>
      <c r="CB430" s="208"/>
      <c r="CC430" s="208"/>
      <c r="CD430" s="208"/>
      <c r="CE430" s="208"/>
      <c r="CF430" s="208"/>
      <c r="CG430" s="208"/>
      <c r="CH430" s="208"/>
      <c r="CI430" s="208"/>
      <c r="CJ430" s="208"/>
      <c r="CK430" s="208"/>
      <c r="CL430" s="208"/>
      <c r="CM430" s="208"/>
      <c r="CN430" s="208"/>
      <c r="CO430" s="208"/>
      <c r="CP430" s="208"/>
      <c r="CQ430" s="208"/>
      <c r="CR430" s="208"/>
      <c r="CS430" s="208"/>
      <c r="CT430" s="208"/>
      <c r="CU430" s="208"/>
      <c r="CV430" s="208"/>
      <c r="CW430" s="208"/>
      <c r="CX430" s="208"/>
      <c r="CY430" s="208"/>
      <c r="CZ430" s="208"/>
      <c r="DA430" s="208"/>
      <c r="DB430" s="208"/>
      <c r="DC430" s="208"/>
      <c r="DD430" s="208"/>
      <c r="DE430" s="208"/>
      <c r="DF430" s="208"/>
      <c r="DG430" s="208"/>
      <c r="DH430" s="208"/>
      <c r="DI430" s="208"/>
      <c r="DJ430" s="208"/>
      <c r="DK430" s="208"/>
      <c r="DL430" s="208"/>
      <c r="DM430" s="208"/>
      <c r="DN430" s="208"/>
      <c r="DO430" s="208"/>
      <c r="DP430" s="208"/>
      <c r="DQ430" s="208"/>
      <c r="DR430" s="208"/>
      <c r="DS430" s="208"/>
      <c r="DT430" s="208"/>
      <c r="DU430" s="208"/>
      <c r="DV430" s="208"/>
      <c r="DW430" s="208"/>
      <c r="DX430" s="208"/>
      <c r="DY430" s="208"/>
      <c r="DZ430" s="208"/>
      <c r="EA430" s="208"/>
      <c r="EB430" s="208"/>
      <c r="EC430" s="208"/>
      <c r="ED430" s="208"/>
      <c r="EE430" s="208"/>
      <c r="EF430" s="208"/>
      <c r="EG430" s="208"/>
      <c r="EH430" s="208"/>
      <c r="EI430" s="208"/>
      <c r="EJ430" s="208"/>
      <c r="EK430" s="208"/>
      <c r="EL430" s="208"/>
      <c r="EM430" s="208"/>
      <c r="EN430" s="208"/>
      <c r="EO430" s="208"/>
      <c r="EP430" s="208"/>
      <c r="EQ430" s="208"/>
      <c r="ER430" s="208"/>
      <c r="ES430" s="208"/>
      <c r="ET430" s="208"/>
      <c r="EU430" s="208"/>
      <c r="EV430" s="208"/>
      <c r="EW430" s="208"/>
      <c r="EX430" s="208"/>
      <c r="EY430" s="208"/>
      <c r="EZ430" s="208"/>
      <c r="FA430" s="208"/>
      <c r="FB430" s="208"/>
      <c r="FC430" s="208"/>
      <c r="FD430" s="208"/>
      <c r="FE430" s="208"/>
      <c r="FF430" s="208"/>
      <c r="FG430" s="208"/>
      <c r="FH430" s="208"/>
      <c r="FI430" s="208"/>
      <c r="FJ430" s="208"/>
      <c r="FK430" s="208"/>
      <c r="FL430" s="208"/>
      <c r="FM430" s="208"/>
      <c r="FN430" s="208"/>
      <c r="FO430" s="208"/>
      <c r="FP430" s="208"/>
      <c r="FQ430" s="208"/>
      <c r="FR430" s="208"/>
      <c r="FS430" s="208"/>
      <c r="FT430" s="208"/>
      <c r="FU430" s="208"/>
      <c r="FV430" s="208"/>
      <c r="FW430" s="208"/>
      <c r="FX430" s="208"/>
      <c r="FY430" s="208"/>
      <c r="FZ430" s="208"/>
      <c r="GA430" s="208"/>
      <c r="GB430" s="208"/>
      <c r="GC430" s="208"/>
      <c r="GD430" s="208"/>
      <c r="GE430" s="208"/>
      <c r="GF430" s="208"/>
    </row>
    <row r="431" spans="1:188" s="209" customFormat="1" ht="15" x14ac:dyDescent="0.25">
      <c r="A431" s="195" t="s">
        <v>5215</v>
      </c>
      <c r="B431" s="195" t="s">
        <v>2539</v>
      </c>
      <c r="C431" s="196" t="s">
        <v>2540</v>
      </c>
      <c r="D431" s="154" t="s">
        <v>28</v>
      </c>
      <c r="E431" s="154">
        <v>18</v>
      </c>
      <c r="F431" s="154"/>
      <c r="G431" s="197">
        <v>5</v>
      </c>
      <c r="H431" s="198">
        <f t="shared" si="62"/>
        <v>1.6666666666666666E-2</v>
      </c>
      <c r="I431" s="247">
        <v>34.880000000000003</v>
      </c>
      <c r="J431" s="152"/>
      <c r="K431" s="198"/>
      <c r="L431" s="152">
        <f t="shared" si="60"/>
        <v>10.46</v>
      </c>
      <c r="M431" s="152">
        <f t="shared" si="61"/>
        <v>627.6</v>
      </c>
      <c r="N431" s="153"/>
      <c r="O431" s="152"/>
      <c r="Q431" s="208"/>
      <c r="R431" s="208"/>
      <c r="S431"/>
      <c r="T431" s="208"/>
      <c r="U431" s="208"/>
      <c r="V431" s="208"/>
      <c r="W431" s="208"/>
      <c r="X431" s="208"/>
      <c r="Y431" s="208"/>
      <c r="Z431" s="208"/>
      <c r="AA431" s="208"/>
      <c r="AB431" s="208"/>
      <c r="AC431" s="208"/>
      <c r="AD431" s="208"/>
      <c r="AE431" s="208"/>
      <c r="AF431" s="208"/>
      <c r="AG431" s="208"/>
      <c r="AH431" s="208"/>
      <c r="AI431" s="208"/>
      <c r="AJ431" s="208"/>
      <c r="AK431" s="208"/>
      <c r="AL431" s="208"/>
      <c r="AM431" s="208"/>
      <c r="AN431" s="208"/>
      <c r="AO431" s="208"/>
      <c r="AP431" s="208"/>
      <c r="AQ431" s="208"/>
      <c r="AR431" s="208"/>
      <c r="AS431" s="208"/>
      <c r="AT431" s="208"/>
      <c r="AU431" s="208"/>
      <c r="AV431" s="208"/>
      <c r="AW431" s="208"/>
      <c r="AX431" s="208"/>
      <c r="AY431" s="208"/>
      <c r="AZ431" s="208"/>
      <c r="BA431" s="208"/>
      <c r="BB431" s="208"/>
      <c r="BC431" s="208"/>
      <c r="BD431" s="208"/>
      <c r="BE431" s="208"/>
      <c r="BF431" s="208"/>
      <c r="BG431" s="208"/>
      <c r="BH431" s="208"/>
      <c r="BI431" s="208"/>
      <c r="BJ431" s="208"/>
      <c r="BK431" s="208"/>
      <c r="BL431" s="208"/>
      <c r="BM431" s="208"/>
      <c r="BN431" s="208"/>
      <c r="BO431" s="208"/>
      <c r="BP431" s="208"/>
      <c r="BQ431" s="208"/>
      <c r="BR431" s="208"/>
      <c r="BS431" s="208"/>
      <c r="BT431" s="208"/>
      <c r="BU431" s="208"/>
      <c r="BV431" s="208"/>
      <c r="BW431" s="208"/>
      <c r="BX431" s="208"/>
      <c r="BY431" s="208"/>
      <c r="BZ431" s="208"/>
      <c r="CA431" s="208"/>
      <c r="CB431" s="208"/>
      <c r="CC431" s="208"/>
      <c r="CD431" s="208"/>
      <c r="CE431" s="208"/>
      <c r="CF431" s="208"/>
      <c r="CG431" s="208"/>
      <c r="CH431" s="208"/>
      <c r="CI431" s="208"/>
      <c r="CJ431" s="208"/>
      <c r="CK431" s="208"/>
      <c r="CL431" s="208"/>
      <c r="CM431" s="208"/>
      <c r="CN431" s="208"/>
      <c r="CO431" s="208"/>
      <c r="CP431" s="208"/>
      <c r="CQ431" s="208"/>
      <c r="CR431" s="208"/>
      <c r="CS431" s="208"/>
      <c r="CT431" s="208"/>
      <c r="CU431" s="208"/>
      <c r="CV431" s="208"/>
      <c r="CW431" s="208"/>
      <c r="CX431" s="208"/>
      <c r="CY431" s="208"/>
      <c r="CZ431" s="208"/>
      <c r="DA431" s="208"/>
      <c r="DB431" s="208"/>
      <c r="DC431" s="208"/>
      <c r="DD431" s="208"/>
      <c r="DE431" s="208"/>
      <c r="DF431" s="208"/>
      <c r="DG431" s="208"/>
      <c r="DH431" s="208"/>
      <c r="DI431" s="208"/>
      <c r="DJ431" s="208"/>
      <c r="DK431" s="208"/>
      <c r="DL431" s="208"/>
      <c r="DM431" s="208"/>
      <c r="DN431" s="208"/>
      <c r="DO431" s="208"/>
      <c r="DP431" s="208"/>
      <c r="DQ431" s="208"/>
      <c r="DR431" s="208"/>
      <c r="DS431" s="208"/>
      <c r="DT431" s="208"/>
      <c r="DU431" s="208"/>
      <c r="DV431" s="208"/>
      <c r="DW431" s="208"/>
      <c r="DX431" s="208"/>
      <c r="DY431" s="208"/>
      <c r="DZ431" s="208"/>
      <c r="EA431" s="208"/>
      <c r="EB431" s="208"/>
      <c r="EC431" s="208"/>
      <c r="ED431" s="208"/>
      <c r="EE431" s="208"/>
      <c r="EF431" s="208"/>
      <c r="EG431" s="208"/>
      <c r="EH431" s="208"/>
      <c r="EI431" s="208"/>
      <c r="EJ431" s="208"/>
      <c r="EK431" s="208"/>
      <c r="EL431" s="208"/>
      <c r="EM431" s="208"/>
      <c r="EN431" s="208"/>
      <c r="EO431" s="208"/>
      <c r="EP431" s="208"/>
      <c r="EQ431" s="208"/>
      <c r="ER431" s="208"/>
      <c r="ES431" s="208"/>
      <c r="ET431" s="208"/>
      <c r="EU431" s="208"/>
      <c r="EV431" s="208"/>
      <c r="EW431" s="208"/>
      <c r="EX431" s="208"/>
      <c r="EY431" s="208"/>
      <c r="EZ431" s="208"/>
      <c r="FA431" s="208"/>
      <c r="FB431" s="208"/>
      <c r="FC431" s="208"/>
      <c r="FD431" s="208"/>
      <c r="FE431" s="208"/>
      <c r="FF431" s="208"/>
      <c r="FG431" s="208"/>
      <c r="FH431" s="208"/>
      <c r="FI431" s="208"/>
      <c r="FJ431" s="208"/>
      <c r="FK431" s="208"/>
      <c r="FL431" s="208"/>
      <c r="FM431" s="208"/>
      <c r="FN431" s="208"/>
      <c r="FO431" s="208"/>
      <c r="FP431" s="208"/>
      <c r="FQ431" s="208"/>
      <c r="FR431" s="208"/>
      <c r="FS431" s="208"/>
      <c r="FT431" s="208"/>
      <c r="FU431" s="208"/>
      <c r="FV431" s="208"/>
      <c r="FW431" s="208"/>
      <c r="FX431" s="208"/>
      <c r="FY431" s="208"/>
      <c r="FZ431" s="208"/>
      <c r="GA431" s="208"/>
      <c r="GB431" s="208"/>
      <c r="GC431" s="208"/>
      <c r="GD431" s="208"/>
      <c r="GE431" s="208"/>
      <c r="GF431" s="208"/>
    </row>
    <row r="432" spans="1:188" s="209" customFormat="1" ht="15" x14ac:dyDescent="0.25">
      <c r="A432" s="195" t="s">
        <v>5216</v>
      </c>
      <c r="B432" s="195" t="s">
        <v>2537</v>
      </c>
      <c r="C432" s="196" t="s">
        <v>2538</v>
      </c>
      <c r="D432" s="154" t="s">
        <v>28</v>
      </c>
      <c r="E432" s="154">
        <v>18</v>
      </c>
      <c r="F432" s="154"/>
      <c r="G432" s="197">
        <v>5</v>
      </c>
      <c r="H432" s="198">
        <f t="shared" si="62"/>
        <v>1.6666666666666666E-2</v>
      </c>
      <c r="I432" s="247">
        <v>43.31</v>
      </c>
      <c r="J432" s="152"/>
      <c r="K432" s="198"/>
      <c r="L432" s="152">
        <f t="shared" si="60"/>
        <v>12.99</v>
      </c>
      <c r="M432" s="152">
        <f t="shared" si="61"/>
        <v>779.4</v>
      </c>
      <c r="N432" s="153"/>
      <c r="O432" s="152"/>
      <c r="Q432" s="208"/>
      <c r="R432" s="208"/>
      <c r="S432"/>
      <c r="T432" s="208"/>
      <c r="U432" s="208"/>
      <c r="V432" s="208"/>
      <c r="W432" s="208"/>
      <c r="X432" s="208"/>
      <c r="Y432" s="208"/>
      <c r="Z432" s="208"/>
      <c r="AA432" s="208"/>
      <c r="AB432" s="208"/>
      <c r="AC432" s="208"/>
      <c r="AD432" s="208"/>
      <c r="AE432" s="208"/>
      <c r="AF432" s="208"/>
      <c r="AG432" s="208"/>
      <c r="AH432" s="208"/>
      <c r="AI432" s="208"/>
      <c r="AJ432" s="208"/>
      <c r="AK432" s="208"/>
      <c r="AL432" s="208"/>
      <c r="AM432" s="208"/>
      <c r="AN432" s="208"/>
      <c r="AO432" s="208"/>
      <c r="AP432" s="208"/>
      <c r="AQ432" s="208"/>
      <c r="AR432" s="208"/>
      <c r="AS432" s="208"/>
      <c r="AT432" s="208"/>
      <c r="AU432" s="208"/>
      <c r="AV432" s="208"/>
      <c r="AW432" s="208"/>
      <c r="AX432" s="208"/>
      <c r="AY432" s="208"/>
      <c r="AZ432" s="208"/>
      <c r="BA432" s="208"/>
      <c r="BB432" s="208"/>
      <c r="BC432" s="208"/>
      <c r="BD432" s="208"/>
      <c r="BE432" s="208"/>
      <c r="BF432" s="208"/>
      <c r="BG432" s="208"/>
      <c r="BH432" s="208"/>
      <c r="BI432" s="208"/>
      <c r="BJ432" s="208"/>
      <c r="BK432" s="208"/>
      <c r="BL432" s="208"/>
      <c r="BM432" s="208"/>
      <c r="BN432" s="208"/>
      <c r="BO432" s="208"/>
      <c r="BP432" s="208"/>
      <c r="BQ432" s="208"/>
      <c r="BR432" s="208"/>
      <c r="BS432" s="208"/>
      <c r="BT432" s="208"/>
      <c r="BU432" s="208"/>
      <c r="BV432" s="208"/>
      <c r="BW432" s="208"/>
      <c r="BX432" s="208"/>
      <c r="BY432" s="208"/>
      <c r="BZ432" s="208"/>
      <c r="CA432" s="208"/>
      <c r="CB432" s="208"/>
      <c r="CC432" s="208"/>
      <c r="CD432" s="208"/>
      <c r="CE432" s="208"/>
      <c r="CF432" s="208"/>
      <c r="CG432" s="208"/>
      <c r="CH432" s="208"/>
      <c r="CI432" s="208"/>
      <c r="CJ432" s="208"/>
      <c r="CK432" s="208"/>
      <c r="CL432" s="208"/>
      <c r="CM432" s="208"/>
      <c r="CN432" s="208"/>
      <c r="CO432" s="208"/>
      <c r="CP432" s="208"/>
      <c r="CQ432" s="208"/>
      <c r="CR432" s="208"/>
      <c r="CS432" s="208"/>
      <c r="CT432" s="208"/>
      <c r="CU432" s="208"/>
      <c r="CV432" s="208"/>
      <c r="CW432" s="208"/>
      <c r="CX432" s="208"/>
      <c r="CY432" s="208"/>
      <c r="CZ432" s="208"/>
      <c r="DA432" s="208"/>
      <c r="DB432" s="208"/>
      <c r="DC432" s="208"/>
      <c r="DD432" s="208"/>
      <c r="DE432" s="208"/>
      <c r="DF432" s="208"/>
      <c r="DG432" s="208"/>
      <c r="DH432" s="208"/>
      <c r="DI432" s="208"/>
      <c r="DJ432" s="208"/>
      <c r="DK432" s="208"/>
      <c r="DL432" s="208"/>
      <c r="DM432" s="208"/>
      <c r="DN432" s="208"/>
      <c r="DO432" s="208"/>
      <c r="DP432" s="208"/>
      <c r="DQ432" s="208"/>
      <c r="DR432" s="208"/>
      <c r="DS432" s="208"/>
      <c r="DT432" s="208"/>
      <c r="DU432" s="208"/>
      <c r="DV432" s="208"/>
      <c r="DW432" s="208"/>
      <c r="DX432" s="208"/>
      <c r="DY432" s="208"/>
      <c r="DZ432" s="208"/>
      <c r="EA432" s="208"/>
      <c r="EB432" s="208"/>
      <c r="EC432" s="208"/>
      <c r="ED432" s="208"/>
      <c r="EE432" s="208"/>
      <c r="EF432" s="208"/>
      <c r="EG432" s="208"/>
      <c r="EH432" s="208"/>
      <c r="EI432" s="208"/>
      <c r="EJ432" s="208"/>
      <c r="EK432" s="208"/>
      <c r="EL432" s="208"/>
      <c r="EM432" s="208"/>
      <c r="EN432" s="208"/>
      <c r="EO432" s="208"/>
      <c r="EP432" s="208"/>
      <c r="EQ432" s="208"/>
      <c r="ER432" s="208"/>
      <c r="ES432" s="208"/>
      <c r="ET432" s="208"/>
      <c r="EU432" s="208"/>
      <c r="EV432" s="208"/>
      <c r="EW432" s="208"/>
      <c r="EX432" s="208"/>
      <c r="EY432" s="208"/>
      <c r="EZ432" s="208"/>
      <c r="FA432" s="208"/>
      <c r="FB432" s="208"/>
      <c r="FC432" s="208"/>
      <c r="FD432" s="208"/>
      <c r="FE432" s="208"/>
      <c r="FF432" s="208"/>
      <c r="FG432" s="208"/>
      <c r="FH432" s="208"/>
      <c r="FI432" s="208"/>
      <c r="FJ432" s="208"/>
      <c r="FK432" s="208"/>
      <c r="FL432" s="208"/>
      <c r="FM432" s="208"/>
      <c r="FN432" s="208"/>
      <c r="FO432" s="208"/>
      <c r="FP432" s="208"/>
      <c r="FQ432" s="208"/>
      <c r="FR432" s="208"/>
      <c r="FS432" s="208"/>
      <c r="FT432" s="208"/>
      <c r="FU432" s="208"/>
      <c r="FV432" s="208"/>
      <c r="FW432" s="208"/>
      <c r="FX432" s="208"/>
      <c r="FY432" s="208"/>
      <c r="FZ432" s="208"/>
      <c r="GA432" s="208"/>
      <c r="GB432" s="208"/>
      <c r="GC432" s="208"/>
      <c r="GD432" s="208"/>
      <c r="GE432" s="208"/>
      <c r="GF432" s="208"/>
    </row>
    <row r="433" spans="1:188" s="209" customFormat="1" ht="15" x14ac:dyDescent="0.25">
      <c r="A433" s="195" t="s">
        <v>5217</v>
      </c>
      <c r="B433" s="195" t="s">
        <v>2541</v>
      </c>
      <c r="C433" s="196" t="s">
        <v>2542</v>
      </c>
      <c r="D433" s="154" t="s">
        <v>28</v>
      </c>
      <c r="E433" s="154">
        <v>5</v>
      </c>
      <c r="F433" s="154"/>
      <c r="G433" s="197">
        <v>5</v>
      </c>
      <c r="H433" s="198">
        <f t="shared" si="62"/>
        <v>1.6666666666666666E-2</v>
      </c>
      <c r="I433" s="247">
        <v>29</v>
      </c>
      <c r="J433" s="152"/>
      <c r="K433" s="198"/>
      <c r="L433" s="152">
        <f t="shared" si="60"/>
        <v>2.42</v>
      </c>
      <c r="M433" s="152">
        <f t="shared" si="61"/>
        <v>145.19999999999999</v>
      </c>
      <c r="N433" s="153"/>
      <c r="O433" s="152"/>
      <c r="Q433" s="208"/>
      <c r="R433" s="208"/>
      <c r="S433"/>
      <c r="T433" s="208"/>
      <c r="U433" s="208"/>
      <c r="V433" s="208"/>
      <c r="W433" s="208"/>
      <c r="X433" s="208"/>
      <c r="Y433" s="208"/>
      <c r="Z433" s="208"/>
      <c r="AA433" s="208"/>
      <c r="AB433" s="208"/>
      <c r="AC433" s="208"/>
      <c r="AD433" s="208"/>
      <c r="AE433" s="208"/>
      <c r="AF433" s="208"/>
      <c r="AG433" s="208"/>
      <c r="AH433" s="208"/>
      <c r="AI433" s="208"/>
      <c r="AJ433" s="208"/>
      <c r="AK433" s="208"/>
      <c r="AL433" s="208"/>
      <c r="AM433" s="208"/>
      <c r="AN433" s="208"/>
      <c r="AO433" s="208"/>
      <c r="AP433" s="208"/>
      <c r="AQ433" s="208"/>
      <c r="AR433" s="208"/>
      <c r="AS433" s="208"/>
      <c r="AT433" s="208"/>
      <c r="AU433" s="208"/>
      <c r="AV433" s="208"/>
      <c r="AW433" s="208"/>
      <c r="AX433" s="208"/>
      <c r="AY433" s="208"/>
      <c r="AZ433" s="208"/>
      <c r="BA433" s="208"/>
      <c r="BB433" s="208"/>
      <c r="BC433" s="208"/>
      <c r="BD433" s="208"/>
      <c r="BE433" s="208"/>
      <c r="BF433" s="208"/>
      <c r="BG433" s="208"/>
      <c r="BH433" s="208"/>
      <c r="BI433" s="208"/>
      <c r="BJ433" s="208"/>
      <c r="BK433" s="208"/>
      <c r="BL433" s="208"/>
      <c r="BM433" s="208"/>
      <c r="BN433" s="208"/>
      <c r="BO433" s="208"/>
      <c r="BP433" s="208"/>
      <c r="BQ433" s="208"/>
      <c r="BR433" s="208"/>
      <c r="BS433" s="208"/>
      <c r="BT433" s="208"/>
      <c r="BU433" s="208"/>
      <c r="BV433" s="208"/>
      <c r="BW433" s="208"/>
      <c r="BX433" s="208"/>
      <c r="BY433" s="208"/>
      <c r="BZ433" s="208"/>
      <c r="CA433" s="208"/>
      <c r="CB433" s="208"/>
      <c r="CC433" s="208"/>
      <c r="CD433" s="208"/>
      <c r="CE433" s="208"/>
      <c r="CF433" s="208"/>
      <c r="CG433" s="208"/>
      <c r="CH433" s="208"/>
      <c r="CI433" s="208"/>
      <c r="CJ433" s="208"/>
      <c r="CK433" s="208"/>
      <c r="CL433" s="208"/>
      <c r="CM433" s="208"/>
      <c r="CN433" s="208"/>
      <c r="CO433" s="208"/>
      <c r="CP433" s="208"/>
      <c r="CQ433" s="208"/>
      <c r="CR433" s="208"/>
      <c r="CS433" s="208"/>
      <c r="CT433" s="208"/>
      <c r="CU433" s="208"/>
      <c r="CV433" s="208"/>
      <c r="CW433" s="208"/>
      <c r="CX433" s="208"/>
      <c r="CY433" s="208"/>
      <c r="CZ433" s="208"/>
      <c r="DA433" s="208"/>
      <c r="DB433" s="208"/>
      <c r="DC433" s="208"/>
      <c r="DD433" s="208"/>
      <c r="DE433" s="208"/>
      <c r="DF433" s="208"/>
      <c r="DG433" s="208"/>
      <c r="DH433" s="208"/>
      <c r="DI433" s="208"/>
      <c r="DJ433" s="208"/>
      <c r="DK433" s="208"/>
      <c r="DL433" s="208"/>
      <c r="DM433" s="208"/>
      <c r="DN433" s="208"/>
      <c r="DO433" s="208"/>
      <c r="DP433" s="208"/>
      <c r="DQ433" s="208"/>
      <c r="DR433" s="208"/>
      <c r="DS433" s="208"/>
      <c r="DT433" s="208"/>
      <c r="DU433" s="208"/>
      <c r="DV433" s="208"/>
      <c r="DW433" s="208"/>
      <c r="DX433" s="208"/>
      <c r="DY433" s="208"/>
      <c r="DZ433" s="208"/>
      <c r="EA433" s="208"/>
      <c r="EB433" s="208"/>
      <c r="EC433" s="208"/>
      <c r="ED433" s="208"/>
      <c r="EE433" s="208"/>
      <c r="EF433" s="208"/>
      <c r="EG433" s="208"/>
      <c r="EH433" s="208"/>
      <c r="EI433" s="208"/>
      <c r="EJ433" s="208"/>
      <c r="EK433" s="208"/>
      <c r="EL433" s="208"/>
      <c r="EM433" s="208"/>
      <c r="EN433" s="208"/>
      <c r="EO433" s="208"/>
      <c r="EP433" s="208"/>
      <c r="EQ433" s="208"/>
      <c r="ER433" s="208"/>
      <c r="ES433" s="208"/>
      <c r="ET433" s="208"/>
      <c r="EU433" s="208"/>
      <c r="EV433" s="208"/>
      <c r="EW433" s="208"/>
      <c r="EX433" s="208"/>
      <c r="EY433" s="208"/>
      <c r="EZ433" s="208"/>
      <c r="FA433" s="208"/>
      <c r="FB433" s="208"/>
      <c r="FC433" s="208"/>
      <c r="FD433" s="208"/>
      <c r="FE433" s="208"/>
      <c r="FF433" s="208"/>
      <c r="FG433" s="208"/>
      <c r="FH433" s="208"/>
      <c r="FI433" s="208"/>
      <c r="FJ433" s="208"/>
      <c r="FK433" s="208"/>
      <c r="FL433" s="208"/>
      <c r="FM433" s="208"/>
      <c r="FN433" s="208"/>
      <c r="FO433" s="208"/>
      <c r="FP433" s="208"/>
      <c r="FQ433" s="208"/>
      <c r="FR433" s="208"/>
      <c r="FS433" s="208"/>
      <c r="FT433" s="208"/>
      <c r="FU433" s="208"/>
      <c r="FV433" s="208"/>
      <c r="FW433" s="208"/>
      <c r="FX433" s="208"/>
      <c r="FY433" s="208"/>
      <c r="FZ433" s="208"/>
      <c r="GA433" s="208"/>
      <c r="GB433" s="208"/>
      <c r="GC433" s="208"/>
      <c r="GD433" s="208"/>
      <c r="GE433" s="208"/>
      <c r="GF433" s="208"/>
    </row>
    <row r="434" spans="1:188" s="209" customFormat="1" ht="15" x14ac:dyDescent="0.25">
      <c r="A434" s="195" t="s">
        <v>5218</v>
      </c>
      <c r="B434" s="195" t="s">
        <v>2545</v>
      </c>
      <c r="C434" s="196" t="s">
        <v>2546</v>
      </c>
      <c r="D434" s="154" t="s">
        <v>28</v>
      </c>
      <c r="E434" s="154">
        <v>5</v>
      </c>
      <c r="F434" s="154"/>
      <c r="G434" s="197">
        <v>5</v>
      </c>
      <c r="H434" s="198">
        <f t="shared" si="62"/>
        <v>1.6666666666666666E-2</v>
      </c>
      <c r="I434" s="247">
        <v>269.89999999999998</v>
      </c>
      <c r="J434" s="152"/>
      <c r="K434" s="198"/>
      <c r="L434" s="152">
        <f t="shared" si="60"/>
        <v>22.49</v>
      </c>
      <c r="M434" s="152">
        <f t="shared" si="61"/>
        <v>1349.4</v>
      </c>
      <c r="N434" s="153"/>
      <c r="O434" s="152"/>
      <c r="Q434" s="208"/>
      <c r="R434" s="208"/>
      <c r="S434"/>
      <c r="T434" s="208"/>
      <c r="U434" s="208"/>
      <c r="V434" s="208"/>
      <c r="W434" s="208"/>
      <c r="X434" s="208"/>
      <c r="Y434" s="208"/>
      <c r="Z434" s="208"/>
      <c r="AA434" s="208"/>
      <c r="AB434" s="208"/>
      <c r="AC434" s="208"/>
      <c r="AD434" s="208"/>
      <c r="AE434" s="208"/>
      <c r="AF434" s="208"/>
      <c r="AG434" s="208"/>
      <c r="AH434" s="208"/>
      <c r="AI434" s="208"/>
      <c r="AJ434" s="208"/>
      <c r="AK434" s="208"/>
      <c r="AL434" s="208"/>
      <c r="AM434" s="208"/>
      <c r="AN434" s="208"/>
      <c r="AO434" s="208"/>
      <c r="AP434" s="208"/>
      <c r="AQ434" s="208"/>
      <c r="AR434" s="208"/>
      <c r="AS434" s="208"/>
      <c r="AT434" s="208"/>
      <c r="AU434" s="208"/>
      <c r="AV434" s="208"/>
      <c r="AW434" s="208"/>
      <c r="AX434" s="208"/>
      <c r="AY434" s="208"/>
      <c r="AZ434" s="208"/>
      <c r="BA434" s="208"/>
      <c r="BB434" s="208"/>
      <c r="BC434" s="208"/>
      <c r="BD434" s="208"/>
      <c r="BE434" s="208"/>
      <c r="BF434" s="208"/>
      <c r="BG434" s="208"/>
      <c r="BH434" s="208"/>
      <c r="BI434" s="208"/>
      <c r="BJ434" s="208"/>
      <c r="BK434" s="208"/>
      <c r="BL434" s="208"/>
      <c r="BM434" s="208"/>
      <c r="BN434" s="208"/>
      <c r="BO434" s="208"/>
      <c r="BP434" s="208"/>
      <c r="BQ434" s="208"/>
      <c r="BR434" s="208"/>
      <c r="BS434" s="208"/>
      <c r="BT434" s="208"/>
      <c r="BU434" s="208"/>
      <c r="BV434" s="208"/>
      <c r="BW434" s="208"/>
      <c r="BX434" s="208"/>
      <c r="BY434" s="208"/>
      <c r="BZ434" s="208"/>
      <c r="CA434" s="208"/>
      <c r="CB434" s="208"/>
      <c r="CC434" s="208"/>
      <c r="CD434" s="208"/>
      <c r="CE434" s="208"/>
      <c r="CF434" s="208"/>
      <c r="CG434" s="208"/>
      <c r="CH434" s="208"/>
      <c r="CI434" s="208"/>
      <c r="CJ434" s="208"/>
      <c r="CK434" s="208"/>
      <c r="CL434" s="208"/>
      <c r="CM434" s="208"/>
      <c r="CN434" s="208"/>
      <c r="CO434" s="208"/>
      <c r="CP434" s="208"/>
      <c r="CQ434" s="208"/>
      <c r="CR434" s="208"/>
      <c r="CS434" s="208"/>
      <c r="CT434" s="208"/>
      <c r="CU434" s="208"/>
      <c r="CV434" s="208"/>
      <c r="CW434" s="208"/>
      <c r="CX434" s="208"/>
      <c r="CY434" s="208"/>
      <c r="CZ434" s="208"/>
      <c r="DA434" s="208"/>
      <c r="DB434" s="208"/>
      <c r="DC434" s="208"/>
      <c r="DD434" s="208"/>
      <c r="DE434" s="208"/>
      <c r="DF434" s="208"/>
      <c r="DG434" s="208"/>
      <c r="DH434" s="208"/>
      <c r="DI434" s="208"/>
      <c r="DJ434" s="208"/>
      <c r="DK434" s="208"/>
      <c r="DL434" s="208"/>
      <c r="DM434" s="208"/>
      <c r="DN434" s="208"/>
      <c r="DO434" s="208"/>
      <c r="DP434" s="208"/>
      <c r="DQ434" s="208"/>
      <c r="DR434" s="208"/>
      <c r="DS434" s="208"/>
      <c r="DT434" s="208"/>
      <c r="DU434" s="208"/>
      <c r="DV434" s="208"/>
      <c r="DW434" s="208"/>
      <c r="DX434" s="208"/>
      <c r="DY434" s="208"/>
      <c r="DZ434" s="208"/>
      <c r="EA434" s="208"/>
      <c r="EB434" s="208"/>
      <c r="EC434" s="208"/>
      <c r="ED434" s="208"/>
      <c r="EE434" s="208"/>
      <c r="EF434" s="208"/>
      <c r="EG434" s="208"/>
      <c r="EH434" s="208"/>
      <c r="EI434" s="208"/>
      <c r="EJ434" s="208"/>
      <c r="EK434" s="208"/>
      <c r="EL434" s="208"/>
      <c r="EM434" s="208"/>
      <c r="EN434" s="208"/>
      <c r="EO434" s="208"/>
      <c r="EP434" s="208"/>
      <c r="EQ434" s="208"/>
      <c r="ER434" s="208"/>
      <c r="ES434" s="208"/>
      <c r="ET434" s="208"/>
      <c r="EU434" s="208"/>
      <c r="EV434" s="208"/>
      <c r="EW434" s="208"/>
      <c r="EX434" s="208"/>
      <c r="EY434" s="208"/>
      <c r="EZ434" s="208"/>
      <c r="FA434" s="208"/>
      <c r="FB434" s="208"/>
      <c r="FC434" s="208"/>
      <c r="FD434" s="208"/>
      <c r="FE434" s="208"/>
      <c r="FF434" s="208"/>
      <c r="FG434" s="208"/>
      <c r="FH434" s="208"/>
      <c r="FI434" s="208"/>
      <c r="FJ434" s="208"/>
      <c r="FK434" s="208"/>
      <c r="FL434" s="208"/>
      <c r="FM434" s="208"/>
      <c r="FN434" s="208"/>
      <c r="FO434" s="208"/>
      <c r="FP434" s="208"/>
      <c r="FQ434" s="208"/>
      <c r="FR434" s="208"/>
      <c r="FS434" s="208"/>
      <c r="FT434" s="208"/>
      <c r="FU434" s="208"/>
      <c r="FV434" s="208"/>
      <c r="FW434" s="208"/>
      <c r="FX434" s="208"/>
      <c r="FY434" s="208"/>
      <c r="FZ434" s="208"/>
      <c r="GA434" s="208"/>
      <c r="GB434" s="208"/>
      <c r="GC434" s="208"/>
      <c r="GD434" s="208"/>
      <c r="GE434" s="208"/>
      <c r="GF434" s="208"/>
    </row>
    <row r="435" spans="1:188" s="209" customFormat="1" ht="15" x14ac:dyDescent="0.25">
      <c r="A435" s="195" t="s">
        <v>5219</v>
      </c>
      <c r="B435" s="195" t="s">
        <v>2983</v>
      </c>
      <c r="C435" s="196" t="s">
        <v>2984</v>
      </c>
      <c r="D435" s="154" t="s">
        <v>28</v>
      </c>
      <c r="E435" s="154">
        <v>5</v>
      </c>
      <c r="F435" s="154"/>
      <c r="G435" s="197">
        <v>5</v>
      </c>
      <c r="H435" s="198">
        <f t="shared" si="62"/>
        <v>1.6666666666666666E-2</v>
      </c>
      <c r="I435" s="247">
        <v>93.72</v>
      </c>
      <c r="J435" s="152"/>
      <c r="K435" s="198"/>
      <c r="L435" s="152">
        <f t="shared" si="60"/>
        <v>7.81</v>
      </c>
      <c r="M435" s="152">
        <f t="shared" si="61"/>
        <v>468.6</v>
      </c>
      <c r="N435" s="153"/>
      <c r="O435" s="152"/>
      <c r="Q435" s="208"/>
      <c r="R435" s="208"/>
      <c r="S435"/>
      <c r="T435" s="208"/>
      <c r="U435" s="208"/>
      <c r="V435" s="208"/>
      <c r="W435" s="208"/>
      <c r="X435" s="208"/>
      <c r="Y435" s="208"/>
      <c r="Z435" s="208"/>
      <c r="AA435" s="208"/>
      <c r="AB435" s="208"/>
      <c r="AC435" s="208"/>
      <c r="AD435" s="208"/>
      <c r="AE435" s="208"/>
      <c r="AF435" s="208"/>
      <c r="AG435" s="208"/>
      <c r="AH435" s="208"/>
      <c r="AI435" s="208"/>
      <c r="AJ435" s="208"/>
      <c r="AK435" s="208"/>
      <c r="AL435" s="208"/>
      <c r="AM435" s="208"/>
      <c r="AN435" s="208"/>
      <c r="AO435" s="208"/>
      <c r="AP435" s="208"/>
      <c r="AQ435" s="208"/>
      <c r="AR435" s="208"/>
      <c r="AS435" s="208"/>
      <c r="AT435" s="208"/>
      <c r="AU435" s="208"/>
      <c r="AV435" s="208"/>
      <c r="AW435" s="208"/>
      <c r="AX435" s="208"/>
      <c r="AY435" s="208"/>
      <c r="AZ435" s="208"/>
      <c r="BA435" s="208"/>
      <c r="BB435" s="208"/>
      <c r="BC435" s="208"/>
      <c r="BD435" s="208"/>
      <c r="BE435" s="208"/>
      <c r="BF435" s="208"/>
      <c r="BG435" s="208"/>
      <c r="BH435" s="208"/>
      <c r="BI435" s="208"/>
      <c r="BJ435" s="208"/>
      <c r="BK435" s="208"/>
      <c r="BL435" s="208"/>
      <c r="BM435" s="208"/>
      <c r="BN435" s="208"/>
      <c r="BO435" s="208"/>
      <c r="BP435" s="208"/>
      <c r="BQ435" s="208"/>
      <c r="BR435" s="208"/>
      <c r="BS435" s="208"/>
      <c r="BT435" s="208"/>
      <c r="BU435" s="208"/>
      <c r="BV435" s="208"/>
      <c r="BW435" s="208"/>
      <c r="BX435" s="208"/>
      <c r="BY435" s="208"/>
      <c r="BZ435" s="208"/>
      <c r="CA435" s="208"/>
      <c r="CB435" s="208"/>
      <c r="CC435" s="208"/>
      <c r="CD435" s="208"/>
      <c r="CE435" s="208"/>
      <c r="CF435" s="208"/>
      <c r="CG435" s="208"/>
      <c r="CH435" s="208"/>
      <c r="CI435" s="208"/>
      <c r="CJ435" s="208"/>
      <c r="CK435" s="208"/>
      <c r="CL435" s="208"/>
      <c r="CM435" s="208"/>
      <c r="CN435" s="208"/>
      <c r="CO435" s="208"/>
      <c r="CP435" s="208"/>
      <c r="CQ435" s="208"/>
      <c r="CR435" s="208"/>
      <c r="CS435" s="208"/>
      <c r="CT435" s="208"/>
      <c r="CU435" s="208"/>
      <c r="CV435" s="208"/>
      <c r="CW435" s="208"/>
      <c r="CX435" s="208"/>
      <c r="CY435" s="208"/>
      <c r="CZ435" s="208"/>
      <c r="DA435" s="208"/>
      <c r="DB435" s="208"/>
      <c r="DC435" s="208"/>
      <c r="DD435" s="208"/>
      <c r="DE435" s="208"/>
      <c r="DF435" s="208"/>
      <c r="DG435" s="208"/>
      <c r="DH435" s="208"/>
      <c r="DI435" s="208"/>
      <c r="DJ435" s="208"/>
      <c r="DK435" s="208"/>
      <c r="DL435" s="208"/>
      <c r="DM435" s="208"/>
      <c r="DN435" s="208"/>
      <c r="DO435" s="208"/>
      <c r="DP435" s="208"/>
      <c r="DQ435" s="208"/>
      <c r="DR435" s="208"/>
      <c r="DS435" s="208"/>
      <c r="DT435" s="208"/>
      <c r="DU435" s="208"/>
      <c r="DV435" s="208"/>
      <c r="DW435" s="208"/>
      <c r="DX435" s="208"/>
      <c r="DY435" s="208"/>
      <c r="DZ435" s="208"/>
      <c r="EA435" s="208"/>
      <c r="EB435" s="208"/>
      <c r="EC435" s="208"/>
      <c r="ED435" s="208"/>
      <c r="EE435" s="208"/>
      <c r="EF435" s="208"/>
      <c r="EG435" s="208"/>
      <c r="EH435" s="208"/>
      <c r="EI435" s="208"/>
      <c r="EJ435" s="208"/>
      <c r="EK435" s="208"/>
      <c r="EL435" s="208"/>
      <c r="EM435" s="208"/>
      <c r="EN435" s="208"/>
      <c r="EO435" s="208"/>
      <c r="EP435" s="208"/>
      <c r="EQ435" s="208"/>
      <c r="ER435" s="208"/>
      <c r="ES435" s="208"/>
      <c r="ET435" s="208"/>
      <c r="EU435" s="208"/>
      <c r="EV435" s="208"/>
      <c r="EW435" s="208"/>
      <c r="EX435" s="208"/>
      <c r="EY435" s="208"/>
      <c r="EZ435" s="208"/>
      <c r="FA435" s="208"/>
      <c r="FB435" s="208"/>
      <c r="FC435" s="208"/>
      <c r="FD435" s="208"/>
      <c r="FE435" s="208"/>
      <c r="FF435" s="208"/>
      <c r="FG435" s="208"/>
      <c r="FH435" s="208"/>
      <c r="FI435" s="208"/>
      <c r="FJ435" s="208"/>
      <c r="FK435" s="208"/>
      <c r="FL435" s="208"/>
      <c r="FM435" s="208"/>
      <c r="FN435" s="208"/>
      <c r="FO435" s="208"/>
      <c r="FP435" s="208"/>
      <c r="FQ435" s="208"/>
      <c r="FR435" s="208"/>
      <c r="FS435" s="208"/>
      <c r="FT435" s="208"/>
      <c r="FU435" s="208"/>
      <c r="FV435" s="208"/>
      <c r="FW435" s="208"/>
      <c r="FX435" s="208"/>
      <c r="FY435" s="208"/>
      <c r="FZ435" s="208"/>
      <c r="GA435" s="208"/>
      <c r="GB435" s="208"/>
      <c r="GC435" s="208"/>
      <c r="GD435" s="208"/>
      <c r="GE435" s="208"/>
      <c r="GF435" s="208"/>
    </row>
    <row r="436" spans="1:188" s="209" customFormat="1" ht="15" x14ac:dyDescent="0.25">
      <c r="A436" s="195" t="s">
        <v>5220</v>
      </c>
      <c r="B436" s="195" t="s">
        <v>2547</v>
      </c>
      <c r="C436" s="196" t="s">
        <v>2548</v>
      </c>
      <c r="D436" s="154" t="s">
        <v>28</v>
      </c>
      <c r="E436" s="154">
        <v>18</v>
      </c>
      <c r="F436" s="154"/>
      <c r="G436" s="197">
        <v>5</v>
      </c>
      <c r="H436" s="198">
        <f t="shared" si="62"/>
        <v>1.6666666666666666E-2</v>
      </c>
      <c r="I436" s="247">
        <v>9.89</v>
      </c>
      <c r="J436" s="152"/>
      <c r="K436" s="198"/>
      <c r="L436" s="152">
        <f t="shared" si="60"/>
        <v>2.97</v>
      </c>
      <c r="M436" s="152">
        <f t="shared" si="61"/>
        <v>178.2</v>
      </c>
      <c r="N436" s="153"/>
      <c r="O436" s="152"/>
      <c r="Q436" s="208"/>
      <c r="R436" s="208"/>
      <c r="S436"/>
      <c r="T436" s="208"/>
      <c r="U436" s="208"/>
      <c r="V436" s="208"/>
      <c r="W436" s="208"/>
      <c r="X436" s="208"/>
      <c r="Y436" s="208"/>
      <c r="Z436" s="208"/>
      <c r="AA436" s="208"/>
      <c r="AB436" s="208"/>
      <c r="AC436" s="208"/>
      <c r="AD436" s="208"/>
      <c r="AE436" s="208"/>
      <c r="AF436" s="208"/>
      <c r="AG436" s="208"/>
      <c r="AH436" s="208"/>
      <c r="AI436" s="208"/>
      <c r="AJ436" s="208"/>
      <c r="AK436" s="208"/>
      <c r="AL436" s="208"/>
      <c r="AM436" s="208"/>
      <c r="AN436" s="208"/>
      <c r="AO436" s="208"/>
      <c r="AP436" s="208"/>
      <c r="AQ436" s="208"/>
      <c r="AR436" s="208"/>
      <c r="AS436" s="208"/>
      <c r="AT436" s="208"/>
      <c r="AU436" s="208"/>
      <c r="AV436" s="208"/>
      <c r="AW436" s="208"/>
      <c r="AX436" s="208"/>
      <c r="AY436" s="208"/>
      <c r="AZ436" s="208"/>
      <c r="BA436" s="208"/>
      <c r="BB436" s="208"/>
      <c r="BC436" s="208"/>
      <c r="BD436" s="208"/>
      <c r="BE436" s="208"/>
      <c r="BF436" s="208"/>
      <c r="BG436" s="208"/>
      <c r="BH436" s="208"/>
      <c r="BI436" s="208"/>
      <c r="BJ436" s="208"/>
      <c r="BK436" s="208"/>
      <c r="BL436" s="208"/>
      <c r="BM436" s="208"/>
      <c r="BN436" s="208"/>
      <c r="BO436" s="208"/>
      <c r="BP436" s="208"/>
      <c r="BQ436" s="208"/>
      <c r="BR436" s="208"/>
      <c r="BS436" s="208"/>
      <c r="BT436" s="208"/>
      <c r="BU436" s="208"/>
      <c r="BV436" s="208"/>
      <c r="BW436" s="208"/>
      <c r="BX436" s="208"/>
      <c r="BY436" s="208"/>
      <c r="BZ436" s="208"/>
      <c r="CA436" s="208"/>
      <c r="CB436" s="208"/>
      <c r="CC436" s="208"/>
      <c r="CD436" s="208"/>
      <c r="CE436" s="208"/>
      <c r="CF436" s="208"/>
      <c r="CG436" s="208"/>
      <c r="CH436" s="208"/>
      <c r="CI436" s="208"/>
      <c r="CJ436" s="208"/>
      <c r="CK436" s="208"/>
      <c r="CL436" s="208"/>
      <c r="CM436" s="208"/>
      <c r="CN436" s="208"/>
      <c r="CO436" s="208"/>
      <c r="CP436" s="208"/>
      <c r="CQ436" s="208"/>
      <c r="CR436" s="208"/>
      <c r="CS436" s="208"/>
      <c r="CT436" s="208"/>
      <c r="CU436" s="208"/>
      <c r="CV436" s="208"/>
      <c r="CW436" s="208"/>
      <c r="CX436" s="208"/>
      <c r="CY436" s="208"/>
      <c r="CZ436" s="208"/>
      <c r="DA436" s="208"/>
      <c r="DB436" s="208"/>
      <c r="DC436" s="208"/>
      <c r="DD436" s="208"/>
      <c r="DE436" s="208"/>
      <c r="DF436" s="208"/>
      <c r="DG436" s="208"/>
      <c r="DH436" s="208"/>
      <c r="DI436" s="208"/>
      <c r="DJ436" s="208"/>
      <c r="DK436" s="208"/>
      <c r="DL436" s="208"/>
      <c r="DM436" s="208"/>
      <c r="DN436" s="208"/>
      <c r="DO436" s="208"/>
      <c r="DP436" s="208"/>
      <c r="DQ436" s="208"/>
      <c r="DR436" s="208"/>
      <c r="DS436" s="208"/>
      <c r="DT436" s="208"/>
      <c r="DU436" s="208"/>
      <c r="DV436" s="208"/>
      <c r="DW436" s="208"/>
      <c r="DX436" s="208"/>
      <c r="DY436" s="208"/>
      <c r="DZ436" s="208"/>
      <c r="EA436" s="208"/>
      <c r="EB436" s="208"/>
      <c r="EC436" s="208"/>
      <c r="ED436" s="208"/>
      <c r="EE436" s="208"/>
      <c r="EF436" s="208"/>
      <c r="EG436" s="208"/>
      <c r="EH436" s="208"/>
      <c r="EI436" s="208"/>
      <c r="EJ436" s="208"/>
      <c r="EK436" s="208"/>
      <c r="EL436" s="208"/>
      <c r="EM436" s="208"/>
      <c r="EN436" s="208"/>
      <c r="EO436" s="208"/>
      <c r="EP436" s="208"/>
      <c r="EQ436" s="208"/>
      <c r="ER436" s="208"/>
      <c r="ES436" s="208"/>
      <c r="ET436" s="208"/>
      <c r="EU436" s="208"/>
      <c r="EV436" s="208"/>
      <c r="EW436" s="208"/>
      <c r="EX436" s="208"/>
      <c r="EY436" s="208"/>
      <c r="EZ436" s="208"/>
      <c r="FA436" s="208"/>
      <c r="FB436" s="208"/>
      <c r="FC436" s="208"/>
      <c r="FD436" s="208"/>
      <c r="FE436" s="208"/>
      <c r="FF436" s="208"/>
      <c r="FG436" s="208"/>
      <c r="FH436" s="208"/>
      <c r="FI436" s="208"/>
      <c r="FJ436" s="208"/>
      <c r="FK436" s="208"/>
      <c r="FL436" s="208"/>
      <c r="FM436" s="208"/>
      <c r="FN436" s="208"/>
      <c r="FO436" s="208"/>
      <c r="FP436" s="208"/>
      <c r="FQ436" s="208"/>
      <c r="FR436" s="208"/>
      <c r="FS436" s="208"/>
      <c r="FT436" s="208"/>
      <c r="FU436" s="208"/>
      <c r="FV436" s="208"/>
      <c r="FW436" s="208"/>
      <c r="FX436" s="208"/>
      <c r="FY436" s="208"/>
      <c r="FZ436" s="208"/>
      <c r="GA436" s="208"/>
      <c r="GB436" s="208"/>
      <c r="GC436" s="208"/>
      <c r="GD436" s="208"/>
      <c r="GE436" s="208"/>
      <c r="GF436" s="208"/>
    </row>
    <row r="437" spans="1:188" s="209" customFormat="1" ht="15" x14ac:dyDescent="0.25">
      <c r="A437" s="195" t="s">
        <v>5221</v>
      </c>
      <c r="B437" s="195" t="s">
        <v>2592</v>
      </c>
      <c r="C437" s="196" t="s">
        <v>2593</v>
      </c>
      <c r="D437" s="154" t="s">
        <v>28</v>
      </c>
      <c r="E437" s="154">
        <v>3</v>
      </c>
      <c r="F437" s="154"/>
      <c r="G437" s="197">
        <v>5</v>
      </c>
      <c r="H437" s="198">
        <f t="shared" si="62"/>
        <v>1.6666666666666666E-2</v>
      </c>
      <c r="I437" s="247">
        <v>1625.03</v>
      </c>
      <c r="J437" s="152"/>
      <c r="K437" s="198"/>
      <c r="L437" s="152">
        <f t="shared" si="60"/>
        <v>81.25</v>
      </c>
      <c r="M437" s="152">
        <f t="shared" si="61"/>
        <v>4875</v>
      </c>
      <c r="N437" s="153"/>
      <c r="O437" s="152"/>
      <c r="Q437" s="208"/>
      <c r="R437" s="208"/>
      <c r="S437"/>
      <c r="T437" s="208"/>
      <c r="U437" s="208"/>
      <c r="V437" s="208"/>
      <c r="W437" s="208"/>
      <c r="X437" s="208"/>
      <c r="Y437" s="208"/>
      <c r="Z437" s="208"/>
      <c r="AA437" s="208"/>
      <c r="AB437" s="208"/>
      <c r="AC437" s="208"/>
      <c r="AD437" s="208"/>
      <c r="AE437" s="208"/>
      <c r="AF437" s="208"/>
      <c r="AG437" s="208"/>
      <c r="AH437" s="208"/>
      <c r="AI437" s="208"/>
      <c r="AJ437" s="208"/>
      <c r="AK437" s="208"/>
      <c r="AL437" s="208"/>
      <c r="AM437" s="208"/>
      <c r="AN437" s="208"/>
      <c r="AO437" s="208"/>
      <c r="AP437" s="208"/>
      <c r="AQ437" s="208"/>
      <c r="AR437" s="208"/>
      <c r="AS437" s="208"/>
      <c r="AT437" s="208"/>
      <c r="AU437" s="208"/>
      <c r="AV437" s="208"/>
      <c r="AW437" s="208"/>
      <c r="AX437" s="208"/>
      <c r="AY437" s="208"/>
      <c r="AZ437" s="208"/>
      <c r="BA437" s="208"/>
      <c r="BB437" s="208"/>
      <c r="BC437" s="208"/>
      <c r="BD437" s="208"/>
      <c r="BE437" s="208"/>
      <c r="BF437" s="208"/>
      <c r="BG437" s="208"/>
      <c r="BH437" s="208"/>
      <c r="BI437" s="208"/>
      <c r="BJ437" s="208"/>
      <c r="BK437" s="208"/>
      <c r="BL437" s="208"/>
      <c r="BM437" s="208"/>
      <c r="BN437" s="208"/>
      <c r="BO437" s="208"/>
      <c r="BP437" s="208"/>
      <c r="BQ437" s="208"/>
      <c r="BR437" s="208"/>
      <c r="BS437" s="208"/>
      <c r="BT437" s="208"/>
      <c r="BU437" s="208"/>
      <c r="BV437" s="208"/>
      <c r="BW437" s="208"/>
      <c r="BX437" s="208"/>
      <c r="BY437" s="208"/>
      <c r="BZ437" s="208"/>
      <c r="CA437" s="208"/>
      <c r="CB437" s="208"/>
      <c r="CC437" s="208"/>
      <c r="CD437" s="208"/>
      <c r="CE437" s="208"/>
      <c r="CF437" s="208"/>
      <c r="CG437" s="208"/>
      <c r="CH437" s="208"/>
      <c r="CI437" s="208"/>
      <c r="CJ437" s="208"/>
      <c r="CK437" s="208"/>
      <c r="CL437" s="208"/>
      <c r="CM437" s="208"/>
      <c r="CN437" s="208"/>
      <c r="CO437" s="208"/>
      <c r="CP437" s="208"/>
      <c r="CQ437" s="208"/>
      <c r="CR437" s="208"/>
      <c r="CS437" s="208"/>
      <c r="CT437" s="208"/>
      <c r="CU437" s="208"/>
      <c r="CV437" s="208"/>
      <c r="CW437" s="208"/>
      <c r="CX437" s="208"/>
      <c r="CY437" s="208"/>
      <c r="CZ437" s="208"/>
      <c r="DA437" s="208"/>
      <c r="DB437" s="208"/>
      <c r="DC437" s="208"/>
      <c r="DD437" s="208"/>
      <c r="DE437" s="208"/>
      <c r="DF437" s="208"/>
      <c r="DG437" s="208"/>
      <c r="DH437" s="208"/>
      <c r="DI437" s="208"/>
      <c r="DJ437" s="208"/>
      <c r="DK437" s="208"/>
      <c r="DL437" s="208"/>
      <c r="DM437" s="208"/>
      <c r="DN437" s="208"/>
      <c r="DO437" s="208"/>
      <c r="DP437" s="208"/>
      <c r="DQ437" s="208"/>
      <c r="DR437" s="208"/>
      <c r="DS437" s="208"/>
      <c r="DT437" s="208"/>
      <c r="DU437" s="208"/>
      <c r="DV437" s="208"/>
      <c r="DW437" s="208"/>
      <c r="DX437" s="208"/>
      <c r="DY437" s="208"/>
      <c r="DZ437" s="208"/>
      <c r="EA437" s="208"/>
      <c r="EB437" s="208"/>
      <c r="EC437" s="208"/>
      <c r="ED437" s="208"/>
      <c r="EE437" s="208"/>
      <c r="EF437" s="208"/>
      <c r="EG437" s="208"/>
      <c r="EH437" s="208"/>
      <c r="EI437" s="208"/>
      <c r="EJ437" s="208"/>
      <c r="EK437" s="208"/>
      <c r="EL437" s="208"/>
      <c r="EM437" s="208"/>
      <c r="EN437" s="208"/>
      <c r="EO437" s="208"/>
      <c r="EP437" s="208"/>
      <c r="EQ437" s="208"/>
      <c r="ER437" s="208"/>
      <c r="ES437" s="208"/>
      <c r="ET437" s="208"/>
      <c r="EU437" s="208"/>
      <c r="EV437" s="208"/>
      <c r="EW437" s="208"/>
      <c r="EX437" s="208"/>
      <c r="EY437" s="208"/>
      <c r="EZ437" s="208"/>
      <c r="FA437" s="208"/>
      <c r="FB437" s="208"/>
      <c r="FC437" s="208"/>
      <c r="FD437" s="208"/>
      <c r="FE437" s="208"/>
      <c r="FF437" s="208"/>
      <c r="FG437" s="208"/>
      <c r="FH437" s="208"/>
      <c r="FI437" s="208"/>
      <c r="FJ437" s="208"/>
      <c r="FK437" s="208"/>
      <c r="FL437" s="208"/>
      <c r="FM437" s="208"/>
      <c r="FN437" s="208"/>
      <c r="FO437" s="208"/>
      <c r="FP437" s="208"/>
      <c r="FQ437" s="208"/>
      <c r="FR437" s="208"/>
      <c r="FS437" s="208"/>
      <c r="FT437" s="208"/>
      <c r="FU437" s="208"/>
      <c r="FV437" s="208"/>
      <c r="FW437" s="208"/>
      <c r="FX437" s="208"/>
      <c r="FY437" s="208"/>
      <c r="FZ437" s="208"/>
      <c r="GA437" s="208"/>
      <c r="GB437" s="208"/>
      <c r="GC437" s="208"/>
      <c r="GD437" s="208"/>
      <c r="GE437" s="208"/>
      <c r="GF437" s="208"/>
    </row>
    <row r="438" spans="1:188" s="209" customFormat="1" ht="15" x14ac:dyDescent="0.25">
      <c r="A438" s="195" t="s">
        <v>5222</v>
      </c>
      <c r="B438" s="195" t="s">
        <v>1141</v>
      </c>
      <c r="C438" s="196" t="s">
        <v>2985</v>
      </c>
      <c r="D438" s="154" t="s">
        <v>28</v>
      </c>
      <c r="E438" s="154">
        <v>3</v>
      </c>
      <c r="F438" s="154"/>
      <c r="G438" s="197">
        <v>5</v>
      </c>
      <c r="H438" s="198">
        <f t="shared" si="62"/>
        <v>1.6666666666666666E-2</v>
      </c>
      <c r="I438" s="151">
        <v>46.55</v>
      </c>
      <c r="J438" s="152"/>
      <c r="K438" s="198"/>
      <c r="L438" s="152">
        <f t="shared" si="60"/>
        <v>2.33</v>
      </c>
      <c r="M438" s="152">
        <f t="shared" si="61"/>
        <v>139.80000000000001</v>
      </c>
      <c r="N438" s="153"/>
      <c r="O438" s="152"/>
      <c r="Q438" s="208"/>
      <c r="R438" s="208"/>
      <c r="S438"/>
      <c r="T438" s="208"/>
      <c r="U438" s="208"/>
      <c r="V438" s="208"/>
      <c r="W438" s="208"/>
      <c r="X438" s="208"/>
      <c r="Y438" s="208"/>
      <c r="Z438" s="208"/>
      <c r="AA438" s="208"/>
      <c r="AB438" s="208"/>
      <c r="AC438" s="208"/>
      <c r="AD438" s="208"/>
      <c r="AE438" s="208"/>
      <c r="AF438" s="208"/>
      <c r="AG438" s="208"/>
      <c r="AH438" s="208"/>
      <c r="AI438" s="208"/>
      <c r="AJ438" s="208"/>
      <c r="AK438" s="208"/>
      <c r="AL438" s="208"/>
      <c r="AM438" s="208"/>
      <c r="AN438" s="208"/>
      <c r="AO438" s="208"/>
      <c r="AP438" s="208"/>
      <c r="AQ438" s="208"/>
      <c r="AR438" s="208"/>
      <c r="AS438" s="208"/>
      <c r="AT438" s="208"/>
      <c r="AU438" s="208"/>
      <c r="AV438" s="208"/>
      <c r="AW438" s="208"/>
      <c r="AX438" s="208"/>
      <c r="AY438" s="208"/>
      <c r="AZ438" s="208"/>
      <c r="BA438" s="208"/>
      <c r="BB438" s="208"/>
      <c r="BC438" s="208"/>
      <c r="BD438" s="208"/>
      <c r="BE438" s="208"/>
      <c r="BF438" s="208"/>
      <c r="BG438" s="208"/>
      <c r="BH438" s="208"/>
      <c r="BI438" s="208"/>
      <c r="BJ438" s="208"/>
      <c r="BK438" s="208"/>
      <c r="BL438" s="208"/>
      <c r="BM438" s="208"/>
      <c r="BN438" s="208"/>
      <c r="BO438" s="208"/>
      <c r="BP438" s="208"/>
      <c r="BQ438" s="208"/>
      <c r="BR438" s="208"/>
      <c r="BS438" s="208"/>
      <c r="BT438" s="208"/>
      <c r="BU438" s="208"/>
      <c r="BV438" s="208"/>
      <c r="BW438" s="208"/>
      <c r="BX438" s="208"/>
      <c r="BY438" s="208"/>
      <c r="BZ438" s="208"/>
      <c r="CA438" s="208"/>
      <c r="CB438" s="208"/>
      <c r="CC438" s="208"/>
      <c r="CD438" s="208"/>
      <c r="CE438" s="208"/>
      <c r="CF438" s="208"/>
      <c r="CG438" s="208"/>
      <c r="CH438" s="208"/>
      <c r="CI438" s="208"/>
      <c r="CJ438" s="208"/>
      <c r="CK438" s="208"/>
      <c r="CL438" s="208"/>
      <c r="CM438" s="208"/>
      <c r="CN438" s="208"/>
      <c r="CO438" s="208"/>
      <c r="CP438" s="208"/>
      <c r="CQ438" s="208"/>
      <c r="CR438" s="208"/>
      <c r="CS438" s="208"/>
      <c r="CT438" s="208"/>
      <c r="CU438" s="208"/>
      <c r="CV438" s="208"/>
      <c r="CW438" s="208"/>
      <c r="CX438" s="208"/>
      <c r="CY438" s="208"/>
      <c r="CZ438" s="208"/>
      <c r="DA438" s="208"/>
      <c r="DB438" s="208"/>
      <c r="DC438" s="208"/>
      <c r="DD438" s="208"/>
      <c r="DE438" s="208"/>
      <c r="DF438" s="208"/>
      <c r="DG438" s="208"/>
      <c r="DH438" s="208"/>
      <c r="DI438" s="208"/>
      <c r="DJ438" s="208"/>
      <c r="DK438" s="208"/>
      <c r="DL438" s="208"/>
      <c r="DM438" s="208"/>
      <c r="DN438" s="208"/>
      <c r="DO438" s="208"/>
      <c r="DP438" s="208"/>
      <c r="DQ438" s="208"/>
      <c r="DR438" s="208"/>
      <c r="DS438" s="208"/>
      <c r="DT438" s="208"/>
      <c r="DU438" s="208"/>
      <c r="DV438" s="208"/>
      <c r="DW438" s="208"/>
      <c r="DX438" s="208"/>
      <c r="DY438" s="208"/>
      <c r="DZ438" s="208"/>
      <c r="EA438" s="208"/>
      <c r="EB438" s="208"/>
      <c r="EC438" s="208"/>
      <c r="ED438" s="208"/>
      <c r="EE438" s="208"/>
      <c r="EF438" s="208"/>
      <c r="EG438" s="208"/>
      <c r="EH438" s="208"/>
      <c r="EI438" s="208"/>
      <c r="EJ438" s="208"/>
      <c r="EK438" s="208"/>
      <c r="EL438" s="208"/>
      <c r="EM438" s="208"/>
      <c r="EN438" s="208"/>
      <c r="EO438" s="208"/>
      <c r="EP438" s="208"/>
      <c r="EQ438" s="208"/>
      <c r="ER438" s="208"/>
      <c r="ES438" s="208"/>
      <c r="ET438" s="208"/>
      <c r="EU438" s="208"/>
      <c r="EV438" s="208"/>
      <c r="EW438" s="208"/>
      <c r="EX438" s="208"/>
      <c r="EY438" s="208"/>
      <c r="EZ438" s="208"/>
      <c r="FA438" s="208"/>
      <c r="FB438" s="208"/>
      <c r="FC438" s="208"/>
      <c r="FD438" s="208"/>
      <c r="FE438" s="208"/>
      <c r="FF438" s="208"/>
      <c r="FG438" s="208"/>
      <c r="FH438" s="208"/>
      <c r="FI438" s="208"/>
      <c r="FJ438" s="208"/>
      <c r="FK438" s="208"/>
      <c r="FL438" s="208"/>
      <c r="FM438" s="208"/>
      <c r="FN438" s="208"/>
      <c r="FO438" s="208"/>
      <c r="FP438" s="208"/>
      <c r="FQ438" s="208"/>
      <c r="FR438" s="208"/>
      <c r="FS438" s="208"/>
      <c r="FT438" s="208"/>
      <c r="FU438" s="208"/>
      <c r="FV438" s="208"/>
      <c r="FW438" s="208"/>
      <c r="FX438" s="208"/>
      <c r="FY438" s="208"/>
      <c r="FZ438" s="208"/>
      <c r="GA438" s="208"/>
      <c r="GB438" s="208"/>
      <c r="GC438" s="208"/>
      <c r="GD438" s="208"/>
      <c r="GE438" s="208"/>
      <c r="GF438" s="208"/>
    </row>
    <row r="439" spans="1:188" s="209" customFormat="1" ht="15" x14ac:dyDescent="0.25">
      <c r="A439" s="195" t="s">
        <v>5223</v>
      </c>
      <c r="B439" s="195" t="s">
        <v>2549</v>
      </c>
      <c r="C439" s="196" t="s">
        <v>2550</v>
      </c>
      <c r="D439" s="154" t="s">
        <v>28</v>
      </c>
      <c r="E439" s="154">
        <v>5</v>
      </c>
      <c r="F439" s="154"/>
      <c r="G439" s="197">
        <v>5</v>
      </c>
      <c r="H439" s="198">
        <f t="shared" si="62"/>
        <v>1.6666666666666666E-2</v>
      </c>
      <c r="I439" s="247">
        <v>36.200000000000003</v>
      </c>
      <c r="J439" s="152"/>
      <c r="K439" s="198"/>
      <c r="L439" s="152">
        <f t="shared" si="60"/>
        <v>3.02</v>
      </c>
      <c r="M439" s="152">
        <f t="shared" si="61"/>
        <v>181.2</v>
      </c>
      <c r="N439" s="153"/>
      <c r="O439" s="152"/>
      <c r="Q439" s="208"/>
      <c r="R439" s="208"/>
      <c r="S439"/>
      <c r="T439" s="208"/>
      <c r="U439" s="208"/>
      <c r="V439" s="208"/>
      <c r="W439" s="208"/>
      <c r="X439" s="208"/>
      <c r="Y439" s="208"/>
      <c r="Z439" s="208"/>
      <c r="AA439" s="208"/>
      <c r="AB439" s="208"/>
      <c r="AC439" s="208"/>
      <c r="AD439" s="208"/>
      <c r="AE439" s="208"/>
      <c r="AF439" s="208"/>
      <c r="AG439" s="208"/>
      <c r="AH439" s="208"/>
      <c r="AI439" s="208"/>
      <c r="AJ439" s="208"/>
      <c r="AK439" s="208"/>
      <c r="AL439" s="208"/>
      <c r="AM439" s="208"/>
      <c r="AN439" s="208"/>
      <c r="AO439" s="208"/>
      <c r="AP439" s="208"/>
      <c r="AQ439" s="208"/>
      <c r="AR439" s="208"/>
      <c r="AS439" s="208"/>
      <c r="AT439" s="208"/>
      <c r="AU439" s="208"/>
      <c r="AV439" s="208"/>
      <c r="AW439" s="208"/>
      <c r="AX439" s="208"/>
      <c r="AY439" s="208"/>
      <c r="AZ439" s="208"/>
      <c r="BA439" s="208"/>
      <c r="BB439" s="208"/>
      <c r="BC439" s="208"/>
      <c r="BD439" s="208"/>
      <c r="BE439" s="208"/>
      <c r="BF439" s="208"/>
      <c r="BG439" s="208"/>
      <c r="BH439" s="208"/>
      <c r="BI439" s="208"/>
      <c r="BJ439" s="208"/>
      <c r="BK439" s="208"/>
      <c r="BL439" s="208"/>
      <c r="BM439" s="208"/>
      <c r="BN439" s="208"/>
      <c r="BO439" s="208"/>
      <c r="BP439" s="208"/>
      <c r="BQ439" s="208"/>
      <c r="BR439" s="208"/>
      <c r="BS439" s="208"/>
      <c r="BT439" s="208"/>
      <c r="BU439" s="208"/>
      <c r="BV439" s="208"/>
      <c r="BW439" s="208"/>
      <c r="BX439" s="208"/>
      <c r="BY439" s="208"/>
      <c r="BZ439" s="208"/>
      <c r="CA439" s="208"/>
      <c r="CB439" s="208"/>
      <c r="CC439" s="208"/>
      <c r="CD439" s="208"/>
      <c r="CE439" s="208"/>
      <c r="CF439" s="208"/>
      <c r="CG439" s="208"/>
      <c r="CH439" s="208"/>
      <c r="CI439" s="208"/>
      <c r="CJ439" s="208"/>
      <c r="CK439" s="208"/>
      <c r="CL439" s="208"/>
      <c r="CM439" s="208"/>
      <c r="CN439" s="208"/>
      <c r="CO439" s="208"/>
      <c r="CP439" s="208"/>
      <c r="CQ439" s="208"/>
      <c r="CR439" s="208"/>
      <c r="CS439" s="208"/>
      <c r="CT439" s="208"/>
      <c r="CU439" s="208"/>
      <c r="CV439" s="208"/>
      <c r="CW439" s="208"/>
      <c r="CX439" s="208"/>
      <c r="CY439" s="208"/>
      <c r="CZ439" s="208"/>
      <c r="DA439" s="208"/>
      <c r="DB439" s="208"/>
      <c r="DC439" s="208"/>
      <c r="DD439" s="208"/>
      <c r="DE439" s="208"/>
      <c r="DF439" s="208"/>
      <c r="DG439" s="208"/>
      <c r="DH439" s="208"/>
      <c r="DI439" s="208"/>
      <c r="DJ439" s="208"/>
      <c r="DK439" s="208"/>
      <c r="DL439" s="208"/>
      <c r="DM439" s="208"/>
      <c r="DN439" s="208"/>
      <c r="DO439" s="208"/>
      <c r="DP439" s="208"/>
      <c r="DQ439" s="208"/>
      <c r="DR439" s="208"/>
      <c r="DS439" s="208"/>
      <c r="DT439" s="208"/>
      <c r="DU439" s="208"/>
      <c r="DV439" s="208"/>
      <c r="DW439" s="208"/>
      <c r="DX439" s="208"/>
      <c r="DY439" s="208"/>
      <c r="DZ439" s="208"/>
      <c r="EA439" s="208"/>
      <c r="EB439" s="208"/>
      <c r="EC439" s="208"/>
      <c r="ED439" s="208"/>
      <c r="EE439" s="208"/>
      <c r="EF439" s="208"/>
      <c r="EG439" s="208"/>
      <c r="EH439" s="208"/>
      <c r="EI439" s="208"/>
      <c r="EJ439" s="208"/>
      <c r="EK439" s="208"/>
      <c r="EL439" s="208"/>
      <c r="EM439" s="208"/>
      <c r="EN439" s="208"/>
      <c r="EO439" s="208"/>
      <c r="EP439" s="208"/>
      <c r="EQ439" s="208"/>
      <c r="ER439" s="208"/>
      <c r="ES439" s="208"/>
      <c r="ET439" s="208"/>
      <c r="EU439" s="208"/>
      <c r="EV439" s="208"/>
      <c r="EW439" s="208"/>
      <c r="EX439" s="208"/>
      <c r="EY439" s="208"/>
      <c r="EZ439" s="208"/>
      <c r="FA439" s="208"/>
      <c r="FB439" s="208"/>
      <c r="FC439" s="208"/>
      <c r="FD439" s="208"/>
      <c r="FE439" s="208"/>
      <c r="FF439" s="208"/>
      <c r="FG439" s="208"/>
      <c r="FH439" s="208"/>
      <c r="FI439" s="208"/>
      <c r="FJ439" s="208"/>
      <c r="FK439" s="208"/>
      <c r="FL439" s="208"/>
      <c r="FM439" s="208"/>
      <c r="FN439" s="208"/>
      <c r="FO439" s="208"/>
      <c r="FP439" s="208"/>
      <c r="FQ439" s="208"/>
      <c r="FR439" s="208"/>
      <c r="FS439" s="208"/>
      <c r="FT439" s="208"/>
      <c r="FU439" s="208"/>
      <c r="FV439" s="208"/>
      <c r="FW439" s="208"/>
      <c r="FX439" s="208"/>
      <c r="FY439" s="208"/>
      <c r="FZ439" s="208"/>
      <c r="GA439" s="208"/>
      <c r="GB439" s="208"/>
      <c r="GC439" s="208"/>
      <c r="GD439" s="208"/>
      <c r="GE439" s="208"/>
      <c r="GF439" s="208"/>
    </row>
    <row r="440" spans="1:188" s="209" customFormat="1" ht="15" x14ac:dyDescent="0.25">
      <c r="A440" s="195" t="s">
        <v>5224</v>
      </c>
      <c r="B440" s="195" t="s">
        <v>2551</v>
      </c>
      <c r="C440" s="196" t="s">
        <v>2552</v>
      </c>
      <c r="D440" s="154" t="s">
        <v>28</v>
      </c>
      <c r="E440" s="154">
        <v>5</v>
      </c>
      <c r="F440" s="154"/>
      <c r="G440" s="197">
        <v>5</v>
      </c>
      <c r="H440" s="198">
        <f t="shared" si="62"/>
        <v>1.6666666666666666E-2</v>
      </c>
      <c r="I440" s="247">
        <v>36.92</v>
      </c>
      <c r="J440" s="152"/>
      <c r="K440" s="198"/>
      <c r="L440" s="152">
        <f t="shared" si="60"/>
        <v>3.08</v>
      </c>
      <c r="M440" s="152">
        <f t="shared" si="61"/>
        <v>184.8</v>
      </c>
      <c r="N440" s="153"/>
      <c r="O440" s="152"/>
      <c r="Q440" s="208"/>
      <c r="R440" s="208"/>
      <c r="S440"/>
      <c r="T440" s="208"/>
      <c r="U440" s="208"/>
      <c r="V440" s="208"/>
      <c r="W440" s="208"/>
      <c r="X440" s="208"/>
      <c r="Y440" s="208"/>
      <c r="Z440" s="208"/>
      <c r="AA440" s="208"/>
      <c r="AB440" s="208"/>
      <c r="AC440" s="208"/>
      <c r="AD440" s="208"/>
      <c r="AE440" s="208"/>
      <c r="AF440" s="208"/>
      <c r="AG440" s="208"/>
      <c r="AH440" s="208"/>
      <c r="AI440" s="208"/>
      <c r="AJ440" s="208"/>
      <c r="AK440" s="208"/>
      <c r="AL440" s="208"/>
      <c r="AM440" s="208"/>
      <c r="AN440" s="208"/>
      <c r="AO440" s="208"/>
      <c r="AP440" s="208"/>
      <c r="AQ440" s="208"/>
      <c r="AR440" s="208"/>
      <c r="AS440" s="208"/>
      <c r="AT440" s="208"/>
      <c r="AU440" s="208"/>
      <c r="AV440" s="208"/>
      <c r="AW440" s="208"/>
      <c r="AX440" s="208"/>
      <c r="AY440" s="208"/>
      <c r="AZ440" s="208"/>
      <c r="BA440" s="208"/>
      <c r="BB440" s="208"/>
      <c r="BC440" s="208"/>
      <c r="BD440" s="208"/>
      <c r="BE440" s="208"/>
      <c r="BF440" s="208"/>
      <c r="BG440" s="208"/>
      <c r="BH440" s="208"/>
      <c r="BI440" s="208"/>
      <c r="BJ440" s="208"/>
      <c r="BK440" s="208"/>
      <c r="BL440" s="208"/>
      <c r="BM440" s="208"/>
      <c r="BN440" s="208"/>
      <c r="BO440" s="208"/>
      <c r="BP440" s="208"/>
      <c r="BQ440" s="208"/>
      <c r="BR440" s="208"/>
      <c r="BS440" s="208"/>
      <c r="BT440" s="208"/>
      <c r="BU440" s="208"/>
      <c r="BV440" s="208"/>
      <c r="BW440" s="208"/>
      <c r="BX440" s="208"/>
      <c r="BY440" s="208"/>
      <c r="BZ440" s="208"/>
      <c r="CA440" s="208"/>
      <c r="CB440" s="208"/>
      <c r="CC440" s="208"/>
      <c r="CD440" s="208"/>
      <c r="CE440" s="208"/>
      <c r="CF440" s="208"/>
      <c r="CG440" s="208"/>
      <c r="CH440" s="208"/>
      <c r="CI440" s="208"/>
      <c r="CJ440" s="208"/>
      <c r="CK440" s="208"/>
      <c r="CL440" s="208"/>
      <c r="CM440" s="208"/>
      <c r="CN440" s="208"/>
      <c r="CO440" s="208"/>
      <c r="CP440" s="208"/>
      <c r="CQ440" s="208"/>
      <c r="CR440" s="208"/>
      <c r="CS440" s="208"/>
      <c r="CT440" s="208"/>
      <c r="CU440" s="208"/>
      <c r="CV440" s="208"/>
      <c r="CW440" s="208"/>
      <c r="CX440" s="208"/>
      <c r="CY440" s="208"/>
      <c r="CZ440" s="208"/>
      <c r="DA440" s="208"/>
      <c r="DB440" s="208"/>
      <c r="DC440" s="208"/>
      <c r="DD440" s="208"/>
      <c r="DE440" s="208"/>
      <c r="DF440" s="208"/>
      <c r="DG440" s="208"/>
      <c r="DH440" s="208"/>
      <c r="DI440" s="208"/>
      <c r="DJ440" s="208"/>
      <c r="DK440" s="208"/>
      <c r="DL440" s="208"/>
      <c r="DM440" s="208"/>
      <c r="DN440" s="208"/>
      <c r="DO440" s="208"/>
      <c r="DP440" s="208"/>
      <c r="DQ440" s="208"/>
      <c r="DR440" s="208"/>
      <c r="DS440" s="208"/>
      <c r="DT440" s="208"/>
      <c r="DU440" s="208"/>
      <c r="DV440" s="208"/>
      <c r="DW440" s="208"/>
      <c r="DX440" s="208"/>
      <c r="DY440" s="208"/>
      <c r="DZ440" s="208"/>
      <c r="EA440" s="208"/>
      <c r="EB440" s="208"/>
      <c r="EC440" s="208"/>
      <c r="ED440" s="208"/>
      <c r="EE440" s="208"/>
      <c r="EF440" s="208"/>
      <c r="EG440" s="208"/>
      <c r="EH440" s="208"/>
      <c r="EI440" s="208"/>
      <c r="EJ440" s="208"/>
      <c r="EK440" s="208"/>
      <c r="EL440" s="208"/>
      <c r="EM440" s="208"/>
      <c r="EN440" s="208"/>
      <c r="EO440" s="208"/>
      <c r="EP440" s="208"/>
      <c r="EQ440" s="208"/>
      <c r="ER440" s="208"/>
      <c r="ES440" s="208"/>
      <c r="ET440" s="208"/>
      <c r="EU440" s="208"/>
      <c r="EV440" s="208"/>
      <c r="EW440" s="208"/>
      <c r="EX440" s="208"/>
      <c r="EY440" s="208"/>
      <c r="EZ440" s="208"/>
      <c r="FA440" s="208"/>
      <c r="FB440" s="208"/>
      <c r="FC440" s="208"/>
      <c r="FD440" s="208"/>
      <c r="FE440" s="208"/>
      <c r="FF440" s="208"/>
      <c r="FG440" s="208"/>
      <c r="FH440" s="208"/>
      <c r="FI440" s="208"/>
      <c r="FJ440" s="208"/>
      <c r="FK440" s="208"/>
      <c r="FL440" s="208"/>
      <c r="FM440" s="208"/>
      <c r="FN440" s="208"/>
      <c r="FO440" s="208"/>
      <c r="FP440" s="208"/>
      <c r="FQ440" s="208"/>
      <c r="FR440" s="208"/>
      <c r="FS440" s="208"/>
      <c r="FT440" s="208"/>
      <c r="FU440" s="208"/>
      <c r="FV440" s="208"/>
      <c r="FW440" s="208"/>
      <c r="FX440" s="208"/>
      <c r="FY440" s="208"/>
      <c r="FZ440" s="208"/>
      <c r="GA440" s="208"/>
      <c r="GB440" s="208"/>
      <c r="GC440" s="208"/>
      <c r="GD440" s="208"/>
      <c r="GE440" s="208"/>
      <c r="GF440" s="208"/>
    </row>
    <row r="441" spans="1:188" s="209" customFormat="1" ht="15" x14ac:dyDescent="0.25">
      <c r="A441" s="195" t="s">
        <v>5225</v>
      </c>
      <c r="B441" s="195" t="s">
        <v>2553</v>
      </c>
      <c r="C441" s="196" t="s">
        <v>2554</v>
      </c>
      <c r="D441" s="154" t="s">
        <v>28</v>
      </c>
      <c r="E441" s="154">
        <v>3</v>
      </c>
      <c r="F441" s="154"/>
      <c r="G441" s="197">
        <v>5</v>
      </c>
      <c r="H441" s="198">
        <f t="shared" si="62"/>
        <v>1.6666666666666666E-2</v>
      </c>
      <c r="I441" s="247">
        <v>56.48</v>
      </c>
      <c r="J441" s="152"/>
      <c r="K441" s="198"/>
      <c r="L441" s="152">
        <f t="shared" si="60"/>
        <v>2.82</v>
      </c>
      <c r="M441" s="152">
        <f t="shared" si="61"/>
        <v>169.2</v>
      </c>
      <c r="N441" s="153"/>
      <c r="O441" s="152"/>
      <c r="Q441" s="208"/>
      <c r="R441" s="208"/>
      <c r="S441"/>
      <c r="T441" s="208"/>
      <c r="U441" s="208"/>
      <c r="V441" s="208"/>
      <c r="W441" s="208"/>
      <c r="X441" s="208"/>
      <c r="Y441" s="208"/>
      <c r="Z441" s="208"/>
      <c r="AA441" s="208"/>
      <c r="AB441" s="208"/>
      <c r="AC441" s="208"/>
      <c r="AD441" s="208"/>
      <c r="AE441" s="208"/>
      <c r="AF441" s="208"/>
      <c r="AG441" s="208"/>
      <c r="AH441" s="208"/>
      <c r="AI441" s="208"/>
      <c r="AJ441" s="208"/>
      <c r="AK441" s="208"/>
      <c r="AL441" s="208"/>
      <c r="AM441" s="208"/>
      <c r="AN441" s="208"/>
      <c r="AO441" s="208"/>
      <c r="AP441" s="208"/>
      <c r="AQ441" s="208"/>
      <c r="AR441" s="208"/>
      <c r="AS441" s="208"/>
      <c r="AT441" s="208"/>
      <c r="AU441" s="208"/>
      <c r="AV441" s="208"/>
      <c r="AW441" s="208"/>
      <c r="AX441" s="208"/>
      <c r="AY441" s="208"/>
      <c r="AZ441" s="208"/>
      <c r="BA441" s="208"/>
      <c r="BB441" s="208"/>
      <c r="BC441" s="208"/>
      <c r="BD441" s="208"/>
      <c r="BE441" s="208"/>
      <c r="BF441" s="208"/>
      <c r="BG441" s="208"/>
      <c r="BH441" s="208"/>
      <c r="BI441" s="208"/>
      <c r="BJ441" s="208"/>
      <c r="BK441" s="208"/>
      <c r="BL441" s="208"/>
      <c r="BM441" s="208"/>
      <c r="BN441" s="208"/>
      <c r="BO441" s="208"/>
      <c r="BP441" s="208"/>
      <c r="BQ441" s="208"/>
      <c r="BR441" s="208"/>
      <c r="BS441" s="208"/>
      <c r="BT441" s="208"/>
      <c r="BU441" s="208"/>
      <c r="BV441" s="208"/>
      <c r="BW441" s="208"/>
      <c r="BX441" s="208"/>
      <c r="BY441" s="208"/>
      <c r="BZ441" s="208"/>
      <c r="CA441" s="208"/>
      <c r="CB441" s="208"/>
      <c r="CC441" s="208"/>
      <c r="CD441" s="208"/>
      <c r="CE441" s="208"/>
      <c r="CF441" s="208"/>
      <c r="CG441" s="208"/>
      <c r="CH441" s="208"/>
      <c r="CI441" s="208"/>
      <c r="CJ441" s="208"/>
      <c r="CK441" s="208"/>
      <c r="CL441" s="208"/>
      <c r="CM441" s="208"/>
      <c r="CN441" s="208"/>
      <c r="CO441" s="208"/>
      <c r="CP441" s="208"/>
      <c r="CQ441" s="208"/>
      <c r="CR441" s="208"/>
      <c r="CS441" s="208"/>
      <c r="CT441" s="208"/>
      <c r="CU441" s="208"/>
      <c r="CV441" s="208"/>
      <c r="CW441" s="208"/>
      <c r="CX441" s="208"/>
      <c r="CY441" s="208"/>
      <c r="CZ441" s="208"/>
      <c r="DA441" s="208"/>
      <c r="DB441" s="208"/>
      <c r="DC441" s="208"/>
      <c r="DD441" s="208"/>
      <c r="DE441" s="208"/>
      <c r="DF441" s="208"/>
      <c r="DG441" s="208"/>
      <c r="DH441" s="208"/>
      <c r="DI441" s="208"/>
      <c r="DJ441" s="208"/>
      <c r="DK441" s="208"/>
      <c r="DL441" s="208"/>
      <c r="DM441" s="208"/>
      <c r="DN441" s="208"/>
      <c r="DO441" s="208"/>
      <c r="DP441" s="208"/>
      <c r="DQ441" s="208"/>
      <c r="DR441" s="208"/>
      <c r="DS441" s="208"/>
      <c r="DT441" s="208"/>
      <c r="DU441" s="208"/>
      <c r="DV441" s="208"/>
      <c r="DW441" s="208"/>
      <c r="DX441" s="208"/>
      <c r="DY441" s="208"/>
      <c r="DZ441" s="208"/>
      <c r="EA441" s="208"/>
      <c r="EB441" s="208"/>
      <c r="EC441" s="208"/>
      <c r="ED441" s="208"/>
      <c r="EE441" s="208"/>
      <c r="EF441" s="208"/>
      <c r="EG441" s="208"/>
      <c r="EH441" s="208"/>
      <c r="EI441" s="208"/>
      <c r="EJ441" s="208"/>
      <c r="EK441" s="208"/>
      <c r="EL441" s="208"/>
      <c r="EM441" s="208"/>
      <c r="EN441" s="208"/>
      <c r="EO441" s="208"/>
      <c r="EP441" s="208"/>
      <c r="EQ441" s="208"/>
      <c r="ER441" s="208"/>
      <c r="ES441" s="208"/>
      <c r="ET441" s="208"/>
      <c r="EU441" s="208"/>
      <c r="EV441" s="208"/>
      <c r="EW441" s="208"/>
      <c r="EX441" s="208"/>
      <c r="EY441" s="208"/>
      <c r="EZ441" s="208"/>
      <c r="FA441" s="208"/>
      <c r="FB441" s="208"/>
      <c r="FC441" s="208"/>
      <c r="FD441" s="208"/>
      <c r="FE441" s="208"/>
      <c r="FF441" s="208"/>
      <c r="FG441" s="208"/>
      <c r="FH441" s="208"/>
      <c r="FI441" s="208"/>
      <c r="FJ441" s="208"/>
      <c r="FK441" s="208"/>
      <c r="FL441" s="208"/>
      <c r="FM441" s="208"/>
      <c r="FN441" s="208"/>
      <c r="FO441" s="208"/>
      <c r="FP441" s="208"/>
      <c r="FQ441" s="208"/>
      <c r="FR441" s="208"/>
      <c r="FS441" s="208"/>
      <c r="FT441" s="208"/>
      <c r="FU441" s="208"/>
      <c r="FV441" s="208"/>
      <c r="FW441" s="208"/>
      <c r="FX441" s="208"/>
      <c r="FY441" s="208"/>
      <c r="FZ441" s="208"/>
      <c r="GA441" s="208"/>
      <c r="GB441" s="208"/>
      <c r="GC441" s="208"/>
      <c r="GD441" s="208"/>
      <c r="GE441" s="208"/>
      <c r="GF441" s="208"/>
    </row>
    <row r="442" spans="1:188" s="209" customFormat="1" ht="15" x14ac:dyDescent="0.25">
      <c r="A442" s="195" t="s">
        <v>5226</v>
      </c>
      <c r="B442" s="195" t="s">
        <v>2555</v>
      </c>
      <c r="C442" s="196" t="s">
        <v>2556</v>
      </c>
      <c r="D442" s="154" t="s">
        <v>28</v>
      </c>
      <c r="E442" s="154">
        <v>3</v>
      </c>
      <c r="F442" s="154"/>
      <c r="G442" s="197">
        <v>5</v>
      </c>
      <c r="H442" s="198">
        <f t="shared" si="62"/>
        <v>1.6666666666666666E-2</v>
      </c>
      <c r="I442" s="247">
        <v>30.08</v>
      </c>
      <c r="J442" s="152"/>
      <c r="K442" s="198"/>
      <c r="L442" s="152">
        <f t="shared" ref="L442:L468" si="63">IF(ISNUMBER(I442),ROUND(H442*E442*I442,2),"")</f>
        <v>1.5</v>
      </c>
      <c r="M442" s="152">
        <f t="shared" ref="M442:M468" si="64">IF(ISNUMBER(I442),ROUND(L442*60,2),"")</f>
        <v>90</v>
      </c>
      <c r="N442" s="153"/>
      <c r="O442" s="152"/>
      <c r="Q442" s="208"/>
      <c r="R442" s="208"/>
      <c r="S442"/>
      <c r="T442" s="208"/>
      <c r="U442" s="208"/>
      <c r="V442" s="208"/>
      <c r="W442" s="208"/>
      <c r="X442" s="208"/>
      <c r="Y442" s="208"/>
      <c r="Z442" s="208"/>
      <c r="AA442" s="208"/>
      <c r="AB442" s="208"/>
      <c r="AC442" s="208"/>
      <c r="AD442" s="208"/>
      <c r="AE442" s="208"/>
      <c r="AF442" s="208"/>
      <c r="AG442" s="208"/>
      <c r="AH442" s="208"/>
      <c r="AI442" s="208"/>
      <c r="AJ442" s="208"/>
      <c r="AK442" s="208"/>
      <c r="AL442" s="208"/>
      <c r="AM442" s="208"/>
      <c r="AN442" s="208"/>
      <c r="AO442" s="208"/>
      <c r="AP442" s="208"/>
      <c r="AQ442" s="208"/>
      <c r="AR442" s="208"/>
      <c r="AS442" s="208"/>
      <c r="AT442" s="208"/>
      <c r="AU442" s="208"/>
      <c r="AV442" s="208"/>
      <c r="AW442" s="208"/>
      <c r="AX442" s="208"/>
      <c r="AY442" s="208"/>
      <c r="AZ442" s="208"/>
      <c r="BA442" s="208"/>
      <c r="BB442" s="208"/>
      <c r="BC442" s="208"/>
      <c r="BD442" s="208"/>
      <c r="BE442" s="208"/>
      <c r="BF442" s="208"/>
      <c r="BG442" s="208"/>
      <c r="BH442" s="208"/>
      <c r="BI442" s="208"/>
      <c r="BJ442" s="208"/>
      <c r="BK442" s="208"/>
      <c r="BL442" s="208"/>
      <c r="BM442" s="208"/>
      <c r="BN442" s="208"/>
      <c r="BO442" s="208"/>
      <c r="BP442" s="208"/>
      <c r="BQ442" s="208"/>
      <c r="BR442" s="208"/>
      <c r="BS442" s="208"/>
      <c r="BT442" s="208"/>
      <c r="BU442" s="208"/>
      <c r="BV442" s="208"/>
      <c r="BW442" s="208"/>
      <c r="BX442" s="208"/>
      <c r="BY442" s="208"/>
      <c r="BZ442" s="208"/>
      <c r="CA442" s="208"/>
      <c r="CB442" s="208"/>
      <c r="CC442" s="208"/>
      <c r="CD442" s="208"/>
      <c r="CE442" s="208"/>
      <c r="CF442" s="208"/>
      <c r="CG442" s="208"/>
      <c r="CH442" s="208"/>
      <c r="CI442" s="208"/>
      <c r="CJ442" s="208"/>
      <c r="CK442" s="208"/>
      <c r="CL442" s="208"/>
      <c r="CM442" s="208"/>
      <c r="CN442" s="208"/>
      <c r="CO442" s="208"/>
      <c r="CP442" s="208"/>
      <c r="CQ442" s="208"/>
      <c r="CR442" s="208"/>
      <c r="CS442" s="208"/>
      <c r="CT442" s="208"/>
      <c r="CU442" s="208"/>
      <c r="CV442" s="208"/>
      <c r="CW442" s="208"/>
      <c r="CX442" s="208"/>
      <c r="CY442" s="208"/>
      <c r="CZ442" s="208"/>
      <c r="DA442" s="208"/>
      <c r="DB442" s="208"/>
      <c r="DC442" s="208"/>
      <c r="DD442" s="208"/>
      <c r="DE442" s="208"/>
      <c r="DF442" s="208"/>
      <c r="DG442" s="208"/>
      <c r="DH442" s="208"/>
      <c r="DI442" s="208"/>
      <c r="DJ442" s="208"/>
      <c r="DK442" s="208"/>
      <c r="DL442" s="208"/>
      <c r="DM442" s="208"/>
      <c r="DN442" s="208"/>
      <c r="DO442" s="208"/>
      <c r="DP442" s="208"/>
      <c r="DQ442" s="208"/>
      <c r="DR442" s="208"/>
      <c r="DS442" s="208"/>
      <c r="DT442" s="208"/>
      <c r="DU442" s="208"/>
      <c r="DV442" s="208"/>
      <c r="DW442" s="208"/>
      <c r="DX442" s="208"/>
      <c r="DY442" s="208"/>
      <c r="DZ442" s="208"/>
      <c r="EA442" s="208"/>
      <c r="EB442" s="208"/>
      <c r="EC442" s="208"/>
      <c r="ED442" s="208"/>
      <c r="EE442" s="208"/>
      <c r="EF442" s="208"/>
      <c r="EG442" s="208"/>
      <c r="EH442" s="208"/>
      <c r="EI442" s="208"/>
      <c r="EJ442" s="208"/>
      <c r="EK442" s="208"/>
      <c r="EL442" s="208"/>
      <c r="EM442" s="208"/>
      <c r="EN442" s="208"/>
      <c r="EO442" s="208"/>
      <c r="EP442" s="208"/>
      <c r="EQ442" s="208"/>
      <c r="ER442" s="208"/>
      <c r="ES442" s="208"/>
      <c r="ET442" s="208"/>
      <c r="EU442" s="208"/>
      <c r="EV442" s="208"/>
      <c r="EW442" s="208"/>
      <c r="EX442" s="208"/>
      <c r="EY442" s="208"/>
      <c r="EZ442" s="208"/>
      <c r="FA442" s="208"/>
      <c r="FB442" s="208"/>
      <c r="FC442" s="208"/>
      <c r="FD442" s="208"/>
      <c r="FE442" s="208"/>
      <c r="FF442" s="208"/>
      <c r="FG442" s="208"/>
      <c r="FH442" s="208"/>
      <c r="FI442" s="208"/>
      <c r="FJ442" s="208"/>
      <c r="FK442" s="208"/>
      <c r="FL442" s="208"/>
      <c r="FM442" s="208"/>
      <c r="FN442" s="208"/>
      <c r="FO442" s="208"/>
      <c r="FP442" s="208"/>
      <c r="FQ442" s="208"/>
      <c r="FR442" s="208"/>
      <c r="FS442" s="208"/>
      <c r="FT442" s="208"/>
      <c r="FU442" s="208"/>
      <c r="FV442" s="208"/>
      <c r="FW442" s="208"/>
      <c r="FX442" s="208"/>
      <c r="FY442" s="208"/>
      <c r="FZ442" s="208"/>
      <c r="GA442" s="208"/>
      <c r="GB442" s="208"/>
      <c r="GC442" s="208"/>
      <c r="GD442" s="208"/>
      <c r="GE442" s="208"/>
      <c r="GF442" s="208"/>
    </row>
    <row r="443" spans="1:188" s="209" customFormat="1" ht="15" x14ac:dyDescent="0.25">
      <c r="A443" s="195" t="s">
        <v>5227</v>
      </c>
      <c r="B443" s="195" t="s">
        <v>2598</v>
      </c>
      <c r="C443" s="196" t="s">
        <v>2599</v>
      </c>
      <c r="D443" s="154" t="s">
        <v>28</v>
      </c>
      <c r="E443" s="154">
        <v>18</v>
      </c>
      <c r="F443" s="154"/>
      <c r="G443" s="197">
        <v>5</v>
      </c>
      <c r="H443" s="198">
        <f t="shared" si="62"/>
        <v>1.6666666666666666E-2</v>
      </c>
      <c r="I443" s="247">
        <v>22.11</v>
      </c>
      <c r="J443" s="152"/>
      <c r="K443" s="198"/>
      <c r="L443" s="152">
        <f t="shared" si="63"/>
        <v>6.63</v>
      </c>
      <c r="M443" s="152">
        <f t="shared" si="64"/>
        <v>397.8</v>
      </c>
      <c r="N443" s="153"/>
      <c r="O443" s="152"/>
      <c r="Q443" s="208"/>
      <c r="R443" s="208"/>
      <c r="S443"/>
      <c r="T443" s="208"/>
      <c r="U443" s="208"/>
      <c r="V443" s="208"/>
      <c r="W443" s="208"/>
      <c r="X443" s="208"/>
      <c r="Y443" s="208"/>
      <c r="Z443" s="208"/>
      <c r="AA443" s="208"/>
      <c r="AB443" s="208"/>
      <c r="AC443" s="208"/>
      <c r="AD443" s="208"/>
      <c r="AE443" s="208"/>
      <c r="AF443" s="208"/>
      <c r="AG443" s="208"/>
      <c r="AH443" s="208"/>
      <c r="AI443" s="208"/>
      <c r="AJ443" s="208"/>
      <c r="AK443" s="208"/>
      <c r="AL443" s="208"/>
      <c r="AM443" s="208"/>
      <c r="AN443" s="208"/>
      <c r="AO443" s="208"/>
      <c r="AP443" s="208"/>
      <c r="AQ443" s="208"/>
      <c r="AR443" s="208"/>
      <c r="AS443" s="208"/>
      <c r="AT443" s="208"/>
      <c r="AU443" s="208"/>
      <c r="AV443" s="208"/>
      <c r="AW443" s="208"/>
      <c r="AX443" s="208"/>
      <c r="AY443" s="208"/>
      <c r="AZ443" s="208"/>
      <c r="BA443" s="208"/>
      <c r="BB443" s="208"/>
      <c r="BC443" s="208"/>
      <c r="BD443" s="208"/>
      <c r="BE443" s="208"/>
      <c r="BF443" s="208"/>
      <c r="BG443" s="208"/>
      <c r="BH443" s="208"/>
      <c r="BI443" s="208"/>
      <c r="BJ443" s="208"/>
      <c r="BK443" s="208"/>
      <c r="BL443" s="208"/>
      <c r="BM443" s="208"/>
      <c r="BN443" s="208"/>
      <c r="BO443" s="208"/>
      <c r="BP443" s="208"/>
      <c r="BQ443" s="208"/>
      <c r="BR443" s="208"/>
      <c r="BS443" s="208"/>
      <c r="BT443" s="208"/>
      <c r="BU443" s="208"/>
      <c r="BV443" s="208"/>
      <c r="BW443" s="208"/>
      <c r="BX443" s="208"/>
      <c r="BY443" s="208"/>
      <c r="BZ443" s="208"/>
      <c r="CA443" s="208"/>
      <c r="CB443" s="208"/>
      <c r="CC443" s="208"/>
      <c r="CD443" s="208"/>
      <c r="CE443" s="208"/>
      <c r="CF443" s="208"/>
      <c r="CG443" s="208"/>
      <c r="CH443" s="208"/>
      <c r="CI443" s="208"/>
      <c r="CJ443" s="208"/>
      <c r="CK443" s="208"/>
      <c r="CL443" s="208"/>
      <c r="CM443" s="208"/>
      <c r="CN443" s="208"/>
      <c r="CO443" s="208"/>
      <c r="CP443" s="208"/>
      <c r="CQ443" s="208"/>
      <c r="CR443" s="208"/>
      <c r="CS443" s="208"/>
      <c r="CT443" s="208"/>
      <c r="CU443" s="208"/>
      <c r="CV443" s="208"/>
      <c r="CW443" s="208"/>
      <c r="CX443" s="208"/>
      <c r="CY443" s="208"/>
      <c r="CZ443" s="208"/>
      <c r="DA443" s="208"/>
      <c r="DB443" s="208"/>
      <c r="DC443" s="208"/>
      <c r="DD443" s="208"/>
      <c r="DE443" s="208"/>
      <c r="DF443" s="208"/>
      <c r="DG443" s="208"/>
      <c r="DH443" s="208"/>
      <c r="DI443" s="208"/>
      <c r="DJ443" s="208"/>
      <c r="DK443" s="208"/>
      <c r="DL443" s="208"/>
      <c r="DM443" s="208"/>
      <c r="DN443" s="208"/>
      <c r="DO443" s="208"/>
      <c r="DP443" s="208"/>
      <c r="DQ443" s="208"/>
      <c r="DR443" s="208"/>
      <c r="DS443" s="208"/>
      <c r="DT443" s="208"/>
      <c r="DU443" s="208"/>
      <c r="DV443" s="208"/>
      <c r="DW443" s="208"/>
      <c r="DX443" s="208"/>
      <c r="DY443" s="208"/>
      <c r="DZ443" s="208"/>
      <c r="EA443" s="208"/>
      <c r="EB443" s="208"/>
      <c r="EC443" s="208"/>
      <c r="ED443" s="208"/>
      <c r="EE443" s="208"/>
      <c r="EF443" s="208"/>
      <c r="EG443" s="208"/>
      <c r="EH443" s="208"/>
      <c r="EI443" s="208"/>
      <c r="EJ443" s="208"/>
      <c r="EK443" s="208"/>
      <c r="EL443" s="208"/>
      <c r="EM443" s="208"/>
      <c r="EN443" s="208"/>
      <c r="EO443" s="208"/>
      <c r="EP443" s="208"/>
      <c r="EQ443" s="208"/>
      <c r="ER443" s="208"/>
      <c r="ES443" s="208"/>
      <c r="ET443" s="208"/>
      <c r="EU443" s="208"/>
      <c r="EV443" s="208"/>
      <c r="EW443" s="208"/>
      <c r="EX443" s="208"/>
      <c r="EY443" s="208"/>
      <c r="EZ443" s="208"/>
      <c r="FA443" s="208"/>
      <c r="FB443" s="208"/>
      <c r="FC443" s="208"/>
      <c r="FD443" s="208"/>
      <c r="FE443" s="208"/>
      <c r="FF443" s="208"/>
      <c r="FG443" s="208"/>
      <c r="FH443" s="208"/>
      <c r="FI443" s="208"/>
      <c r="FJ443" s="208"/>
      <c r="FK443" s="208"/>
      <c r="FL443" s="208"/>
      <c r="FM443" s="208"/>
      <c r="FN443" s="208"/>
      <c r="FO443" s="208"/>
      <c r="FP443" s="208"/>
      <c r="FQ443" s="208"/>
      <c r="FR443" s="208"/>
      <c r="FS443" s="208"/>
      <c r="FT443" s="208"/>
      <c r="FU443" s="208"/>
      <c r="FV443" s="208"/>
      <c r="FW443" s="208"/>
      <c r="FX443" s="208"/>
      <c r="FY443" s="208"/>
      <c r="FZ443" s="208"/>
      <c r="GA443" s="208"/>
      <c r="GB443" s="208"/>
      <c r="GC443" s="208"/>
      <c r="GD443" s="208"/>
      <c r="GE443" s="208"/>
      <c r="GF443" s="208"/>
    </row>
    <row r="444" spans="1:188" s="209" customFormat="1" ht="15" x14ac:dyDescent="0.25">
      <c r="A444" s="195" t="s">
        <v>5228</v>
      </c>
      <c r="B444" s="195" t="s">
        <v>2525</v>
      </c>
      <c r="C444" s="196" t="s">
        <v>2526</v>
      </c>
      <c r="D444" s="154" t="s">
        <v>28</v>
      </c>
      <c r="E444" s="154">
        <v>18</v>
      </c>
      <c r="F444" s="154"/>
      <c r="G444" s="197">
        <v>5</v>
      </c>
      <c r="H444" s="198">
        <f t="shared" si="62"/>
        <v>1.6666666666666666E-2</v>
      </c>
      <c r="I444" s="247">
        <v>51.29</v>
      </c>
      <c r="J444" s="152"/>
      <c r="K444" s="198"/>
      <c r="L444" s="152">
        <f t="shared" si="63"/>
        <v>15.39</v>
      </c>
      <c r="M444" s="152">
        <f t="shared" si="64"/>
        <v>923.4</v>
      </c>
      <c r="N444" s="153"/>
      <c r="O444" s="152"/>
      <c r="Q444" s="208"/>
      <c r="R444" s="208"/>
      <c r="S444"/>
      <c r="T444" s="208"/>
      <c r="U444" s="208"/>
      <c r="V444" s="208"/>
      <c r="W444" s="208"/>
      <c r="X444" s="208"/>
      <c r="Y444" s="208"/>
      <c r="Z444" s="208"/>
      <c r="AA444" s="208"/>
      <c r="AB444" s="208"/>
      <c r="AC444" s="208"/>
      <c r="AD444" s="208"/>
      <c r="AE444" s="208"/>
      <c r="AF444" s="208"/>
      <c r="AG444" s="208"/>
      <c r="AH444" s="208"/>
      <c r="AI444" s="208"/>
      <c r="AJ444" s="208"/>
      <c r="AK444" s="208"/>
      <c r="AL444" s="208"/>
      <c r="AM444" s="208"/>
      <c r="AN444" s="208"/>
      <c r="AO444" s="208"/>
      <c r="AP444" s="208"/>
      <c r="AQ444" s="208"/>
      <c r="AR444" s="208"/>
      <c r="AS444" s="208"/>
      <c r="AT444" s="208"/>
      <c r="AU444" s="208"/>
      <c r="AV444" s="208"/>
      <c r="AW444" s="208"/>
      <c r="AX444" s="208"/>
      <c r="AY444" s="208"/>
      <c r="AZ444" s="208"/>
      <c r="BA444" s="208"/>
      <c r="BB444" s="208"/>
      <c r="BC444" s="208"/>
      <c r="BD444" s="208"/>
      <c r="BE444" s="208"/>
      <c r="BF444" s="208"/>
      <c r="BG444" s="208"/>
      <c r="BH444" s="208"/>
      <c r="BI444" s="208"/>
      <c r="BJ444" s="208"/>
      <c r="BK444" s="208"/>
      <c r="BL444" s="208"/>
      <c r="BM444" s="208"/>
      <c r="BN444" s="208"/>
      <c r="BO444" s="208"/>
      <c r="BP444" s="208"/>
      <c r="BQ444" s="208"/>
      <c r="BR444" s="208"/>
      <c r="BS444" s="208"/>
      <c r="BT444" s="208"/>
      <c r="BU444" s="208"/>
      <c r="BV444" s="208"/>
      <c r="BW444" s="208"/>
      <c r="BX444" s="208"/>
      <c r="BY444" s="208"/>
      <c r="BZ444" s="208"/>
      <c r="CA444" s="208"/>
      <c r="CB444" s="208"/>
      <c r="CC444" s="208"/>
      <c r="CD444" s="208"/>
      <c r="CE444" s="208"/>
      <c r="CF444" s="208"/>
      <c r="CG444" s="208"/>
      <c r="CH444" s="208"/>
      <c r="CI444" s="208"/>
      <c r="CJ444" s="208"/>
      <c r="CK444" s="208"/>
      <c r="CL444" s="208"/>
      <c r="CM444" s="208"/>
      <c r="CN444" s="208"/>
      <c r="CO444" s="208"/>
      <c r="CP444" s="208"/>
      <c r="CQ444" s="208"/>
      <c r="CR444" s="208"/>
      <c r="CS444" s="208"/>
      <c r="CT444" s="208"/>
      <c r="CU444" s="208"/>
      <c r="CV444" s="208"/>
      <c r="CW444" s="208"/>
      <c r="CX444" s="208"/>
      <c r="CY444" s="208"/>
      <c r="CZ444" s="208"/>
      <c r="DA444" s="208"/>
      <c r="DB444" s="208"/>
      <c r="DC444" s="208"/>
      <c r="DD444" s="208"/>
      <c r="DE444" s="208"/>
      <c r="DF444" s="208"/>
      <c r="DG444" s="208"/>
      <c r="DH444" s="208"/>
      <c r="DI444" s="208"/>
      <c r="DJ444" s="208"/>
      <c r="DK444" s="208"/>
      <c r="DL444" s="208"/>
      <c r="DM444" s="208"/>
      <c r="DN444" s="208"/>
      <c r="DO444" s="208"/>
      <c r="DP444" s="208"/>
      <c r="DQ444" s="208"/>
      <c r="DR444" s="208"/>
      <c r="DS444" s="208"/>
      <c r="DT444" s="208"/>
      <c r="DU444" s="208"/>
      <c r="DV444" s="208"/>
      <c r="DW444" s="208"/>
      <c r="DX444" s="208"/>
      <c r="DY444" s="208"/>
      <c r="DZ444" s="208"/>
      <c r="EA444" s="208"/>
      <c r="EB444" s="208"/>
      <c r="EC444" s="208"/>
      <c r="ED444" s="208"/>
      <c r="EE444" s="208"/>
      <c r="EF444" s="208"/>
      <c r="EG444" s="208"/>
      <c r="EH444" s="208"/>
      <c r="EI444" s="208"/>
      <c r="EJ444" s="208"/>
      <c r="EK444" s="208"/>
      <c r="EL444" s="208"/>
      <c r="EM444" s="208"/>
      <c r="EN444" s="208"/>
      <c r="EO444" s="208"/>
      <c r="EP444" s="208"/>
      <c r="EQ444" s="208"/>
      <c r="ER444" s="208"/>
      <c r="ES444" s="208"/>
      <c r="ET444" s="208"/>
      <c r="EU444" s="208"/>
      <c r="EV444" s="208"/>
      <c r="EW444" s="208"/>
      <c r="EX444" s="208"/>
      <c r="EY444" s="208"/>
      <c r="EZ444" s="208"/>
      <c r="FA444" s="208"/>
      <c r="FB444" s="208"/>
      <c r="FC444" s="208"/>
      <c r="FD444" s="208"/>
      <c r="FE444" s="208"/>
      <c r="FF444" s="208"/>
      <c r="FG444" s="208"/>
      <c r="FH444" s="208"/>
      <c r="FI444" s="208"/>
      <c r="FJ444" s="208"/>
      <c r="FK444" s="208"/>
      <c r="FL444" s="208"/>
      <c r="FM444" s="208"/>
      <c r="FN444" s="208"/>
      <c r="FO444" s="208"/>
      <c r="FP444" s="208"/>
      <c r="FQ444" s="208"/>
      <c r="FR444" s="208"/>
      <c r="FS444" s="208"/>
      <c r="FT444" s="208"/>
      <c r="FU444" s="208"/>
      <c r="FV444" s="208"/>
      <c r="FW444" s="208"/>
      <c r="FX444" s="208"/>
      <c r="FY444" s="208"/>
      <c r="FZ444" s="208"/>
      <c r="GA444" s="208"/>
      <c r="GB444" s="208"/>
      <c r="GC444" s="208"/>
      <c r="GD444" s="208"/>
      <c r="GE444" s="208"/>
      <c r="GF444" s="208"/>
    </row>
    <row r="445" spans="1:188" s="209" customFormat="1" ht="15" x14ac:dyDescent="0.25">
      <c r="A445" s="195" t="s">
        <v>5229</v>
      </c>
      <c r="B445" s="195" t="s">
        <v>2559</v>
      </c>
      <c r="C445" s="196" t="s">
        <v>2560</v>
      </c>
      <c r="D445" s="154" t="s">
        <v>28</v>
      </c>
      <c r="E445" s="154">
        <v>18</v>
      </c>
      <c r="F445" s="154"/>
      <c r="G445" s="197">
        <v>5</v>
      </c>
      <c r="H445" s="198">
        <f t="shared" si="62"/>
        <v>1.6666666666666666E-2</v>
      </c>
      <c r="I445" s="247">
        <v>56.5</v>
      </c>
      <c r="J445" s="152"/>
      <c r="K445" s="198"/>
      <c r="L445" s="152">
        <f t="shared" si="63"/>
        <v>16.95</v>
      </c>
      <c r="M445" s="152">
        <f t="shared" si="64"/>
        <v>1017</v>
      </c>
      <c r="N445" s="153"/>
      <c r="O445" s="152"/>
      <c r="Q445" s="208"/>
      <c r="R445" s="208"/>
      <c r="S445"/>
      <c r="T445" s="208"/>
      <c r="U445" s="208"/>
      <c r="V445" s="208"/>
      <c r="W445" s="208"/>
      <c r="X445" s="208"/>
      <c r="Y445" s="208"/>
      <c r="Z445" s="208"/>
      <c r="AA445" s="208"/>
      <c r="AB445" s="208"/>
      <c r="AC445" s="208"/>
      <c r="AD445" s="208"/>
      <c r="AE445" s="208"/>
      <c r="AF445" s="208"/>
      <c r="AG445" s="208"/>
      <c r="AH445" s="208"/>
      <c r="AI445" s="208"/>
      <c r="AJ445" s="208"/>
      <c r="AK445" s="208"/>
      <c r="AL445" s="208"/>
      <c r="AM445" s="208"/>
      <c r="AN445" s="208"/>
      <c r="AO445" s="208"/>
      <c r="AP445" s="208"/>
      <c r="AQ445" s="208"/>
      <c r="AR445" s="208"/>
      <c r="AS445" s="208"/>
      <c r="AT445" s="208"/>
      <c r="AU445" s="208"/>
      <c r="AV445" s="208"/>
      <c r="AW445" s="208"/>
      <c r="AX445" s="208"/>
      <c r="AY445" s="208"/>
      <c r="AZ445" s="208"/>
      <c r="BA445" s="208"/>
      <c r="BB445" s="208"/>
      <c r="BC445" s="208"/>
      <c r="BD445" s="208"/>
      <c r="BE445" s="208"/>
      <c r="BF445" s="208"/>
      <c r="BG445" s="208"/>
      <c r="BH445" s="208"/>
      <c r="BI445" s="208"/>
      <c r="BJ445" s="208"/>
      <c r="BK445" s="208"/>
      <c r="BL445" s="208"/>
      <c r="BM445" s="208"/>
      <c r="BN445" s="208"/>
      <c r="BO445" s="208"/>
      <c r="BP445" s="208"/>
      <c r="BQ445" s="208"/>
      <c r="BR445" s="208"/>
      <c r="BS445" s="208"/>
      <c r="BT445" s="208"/>
      <c r="BU445" s="208"/>
      <c r="BV445" s="208"/>
      <c r="BW445" s="208"/>
      <c r="BX445" s="208"/>
      <c r="BY445" s="208"/>
      <c r="BZ445" s="208"/>
      <c r="CA445" s="208"/>
      <c r="CB445" s="208"/>
      <c r="CC445" s="208"/>
      <c r="CD445" s="208"/>
      <c r="CE445" s="208"/>
      <c r="CF445" s="208"/>
      <c r="CG445" s="208"/>
      <c r="CH445" s="208"/>
      <c r="CI445" s="208"/>
      <c r="CJ445" s="208"/>
      <c r="CK445" s="208"/>
      <c r="CL445" s="208"/>
      <c r="CM445" s="208"/>
      <c r="CN445" s="208"/>
      <c r="CO445" s="208"/>
      <c r="CP445" s="208"/>
      <c r="CQ445" s="208"/>
      <c r="CR445" s="208"/>
      <c r="CS445" s="208"/>
      <c r="CT445" s="208"/>
      <c r="CU445" s="208"/>
      <c r="CV445" s="208"/>
      <c r="CW445" s="208"/>
      <c r="CX445" s="208"/>
      <c r="CY445" s="208"/>
      <c r="CZ445" s="208"/>
      <c r="DA445" s="208"/>
      <c r="DB445" s="208"/>
      <c r="DC445" s="208"/>
      <c r="DD445" s="208"/>
      <c r="DE445" s="208"/>
      <c r="DF445" s="208"/>
      <c r="DG445" s="208"/>
      <c r="DH445" s="208"/>
      <c r="DI445" s="208"/>
      <c r="DJ445" s="208"/>
      <c r="DK445" s="208"/>
      <c r="DL445" s="208"/>
      <c r="DM445" s="208"/>
      <c r="DN445" s="208"/>
      <c r="DO445" s="208"/>
      <c r="DP445" s="208"/>
      <c r="DQ445" s="208"/>
      <c r="DR445" s="208"/>
      <c r="DS445" s="208"/>
      <c r="DT445" s="208"/>
      <c r="DU445" s="208"/>
      <c r="DV445" s="208"/>
      <c r="DW445" s="208"/>
      <c r="DX445" s="208"/>
      <c r="DY445" s="208"/>
      <c r="DZ445" s="208"/>
      <c r="EA445" s="208"/>
      <c r="EB445" s="208"/>
      <c r="EC445" s="208"/>
      <c r="ED445" s="208"/>
      <c r="EE445" s="208"/>
      <c r="EF445" s="208"/>
      <c r="EG445" s="208"/>
      <c r="EH445" s="208"/>
      <c r="EI445" s="208"/>
      <c r="EJ445" s="208"/>
      <c r="EK445" s="208"/>
      <c r="EL445" s="208"/>
      <c r="EM445" s="208"/>
      <c r="EN445" s="208"/>
      <c r="EO445" s="208"/>
      <c r="EP445" s="208"/>
      <c r="EQ445" s="208"/>
      <c r="ER445" s="208"/>
      <c r="ES445" s="208"/>
      <c r="ET445" s="208"/>
      <c r="EU445" s="208"/>
      <c r="EV445" s="208"/>
      <c r="EW445" s="208"/>
      <c r="EX445" s="208"/>
      <c r="EY445" s="208"/>
      <c r="EZ445" s="208"/>
      <c r="FA445" s="208"/>
      <c r="FB445" s="208"/>
      <c r="FC445" s="208"/>
      <c r="FD445" s="208"/>
      <c r="FE445" s="208"/>
      <c r="FF445" s="208"/>
      <c r="FG445" s="208"/>
      <c r="FH445" s="208"/>
      <c r="FI445" s="208"/>
      <c r="FJ445" s="208"/>
      <c r="FK445" s="208"/>
      <c r="FL445" s="208"/>
      <c r="FM445" s="208"/>
      <c r="FN445" s="208"/>
      <c r="FO445" s="208"/>
      <c r="FP445" s="208"/>
      <c r="FQ445" s="208"/>
      <c r="FR445" s="208"/>
      <c r="FS445" s="208"/>
      <c r="FT445" s="208"/>
      <c r="FU445" s="208"/>
      <c r="FV445" s="208"/>
      <c r="FW445" s="208"/>
      <c r="FX445" s="208"/>
      <c r="FY445" s="208"/>
      <c r="FZ445" s="208"/>
      <c r="GA445" s="208"/>
      <c r="GB445" s="208"/>
      <c r="GC445" s="208"/>
      <c r="GD445" s="208"/>
      <c r="GE445" s="208"/>
      <c r="GF445" s="208"/>
    </row>
    <row r="446" spans="1:188" s="209" customFormat="1" ht="15" x14ac:dyDescent="0.25">
      <c r="A446" s="195" t="s">
        <v>5230</v>
      </c>
      <c r="B446" s="195" t="s">
        <v>2561</v>
      </c>
      <c r="C446" s="196" t="s">
        <v>2562</v>
      </c>
      <c r="D446" s="154" t="s">
        <v>28</v>
      </c>
      <c r="E446" s="154">
        <v>3</v>
      </c>
      <c r="F446" s="154"/>
      <c r="G446" s="197">
        <v>5</v>
      </c>
      <c r="H446" s="198">
        <f t="shared" si="62"/>
        <v>1.6666666666666666E-2</v>
      </c>
      <c r="I446" s="247">
        <v>30.69</v>
      </c>
      <c r="J446" s="152"/>
      <c r="K446" s="198"/>
      <c r="L446" s="152">
        <f t="shared" si="63"/>
        <v>1.53</v>
      </c>
      <c r="M446" s="152">
        <f t="shared" si="64"/>
        <v>91.8</v>
      </c>
      <c r="N446" s="153"/>
      <c r="O446" s="152"/>
      <c r="Q446" s="208"/>
      <c r="R446" s="208"/>
      <c r="S446"/>
      <c r="T446" s="208"/>
      <c r="U446" s="208"/>
      <c r="V446" s="208"/>
      <c r="W446" s="208"/>
      <c r="X446" s="208"/>
      <c r="Y446" s="208"/>
      <c r="Z446" s="208"/>
      <c r="AA446" s="208"/>
      <c r="AB446" s="208"/>
      <c r="AC446" s="208"/>
      <c r="AD446" s="208"/>
      <c r="AE446" s="208"/>
      <c r="AF446" s="208"/>
      <c r="AG446" s="208"/>
      <c r="AH446" s="208"/>
      <c r="AI446" s="208"/>
      <c r="AJ446" s="208"/>
      <c r="AK446" s="208"/>
      <c r="AL446" s="208"/>
      <c r="AM446" s="208"/>
      <c r="AN446" s="208"/>
      <c r="AO446" s="208"/>
      <c r="AP446" s="208"/>
      <c r="AQ446" s="208"/>
      <c r="AR446" s="208"/>
      <c r="AS446" s="208"/>
      <c r="AT446" s="208"/>
      <c r="AU446" s="208"/>
      <c r="AV446" s="208"/>
      <c r="AW446" s="208"/>
      <c r="AX446" s="208"/>
      <c r="AY446" s="208"/>
      <c r="AZ446" s="208"/>
      <c r="BA446" s="208"/>
      <c r="BB446" s="208"/>
      <c r="BC446" s="208"/>
      <c r="BD446" s="208"/>
      <c r="BE446" s="208"/>
      <c r="BF446" s="208"/>
      <c r="BG446" s="208"/>
      <c r="BH446" s="208"/>
      <c r="BI446" s="208"/>
      <c r="BJ446" s="208"/>
      <c r="BK446" s="208"/>
      <c r="BL446" s="208"/>
      <c r="BM446" s="208"/>
      <c r="BN446" s="208"/>
      <c r="BO446" s="208"/>
      <c r="BP446" s="208"/>
      <c r="BQ446" s="208"/>
      <c r="BR446" s="208"/>
      <c r="BS446" s="208"/>
      <c r="BT446" s="208"/>
      <c r="BU446" s="208"/>
      <c r="BV446" s="208"/>
      <c r="BW446" s="208"/>
      <c r="BX446" s="208"/>
      <c r="BY446" s="208"/>
      <c r="BZ446" s="208"/>
      <c r="CA446" s="208"/>
      <c r="CB446" s="208"/>
      <c r="CC446" s="208"/>
      <c r="CD446" s="208"/>
      <c r="CE446" s="208"/>
      <c r="CF446" s="208"/>
      <c r="CG446" s="208"/>
      <c r="CH446" s="208"/>
      <c r="CI446" s="208"/>
      <c r="CJ446" s="208"/>
      <c r="CK446" s="208"/>
      <c r="CL446" s="208"/>
      <c r="CM446" s="208"/>
      <c r="CN446" s="208"/>
      <c r="CO446" s="208"/>
      <c r="CP446" s="208"/>
      <c r="CQ446" s="208"/>
      <c r="CR446" s="208"/>
      <c r="CS446" s="208"/>
      <c r="CT446" s="208"/>
      <c r="CU446" s="208"/>
      <c r="CV446" s="208"/>
      <c r="CW446" s="208"/>
      <c r="CX446" s="208"/>
      <c r="CY446" s="208"/>
      <c r="CZ446" s="208"/>
      <c r="DA446" s="208"/>
      <c r="DB446" s="208"/>
      <c r="DC446" s="208"/>
      <c r="DD446" s="208"/>
      <c r="DE446" s="208"/>
      <c r="DF446" s="208"/>
      <c r="DG446" s="208"/>
      <c r="DH446" s="208"/>
      <c r="DI446" s="208"/>
      <c r="DJ446" s="208"/>
      <c r="DK446" s="208"/>
      <c r="DL446" s="208"/>
      <c r="DM446" s="208"/>
      <c r="DN446" s="208"/>
      <c r="DO446" s="208"/>
      <c r="DP446" s="208"/>
      <c r="DQ446" s="208"/>
      <c r="DR446" s="208"/>
      <c r="DS446" s="208"/>
      <c r="DT446" s="208"/>
      <c r="DU446" s="208"/>
      <c r="DV446" s="208"/>
      <c r="DW446" s="208"/>
      <c r="DX446" s="208"/>
      <c r="DY446" s="208"/>
      <c r="DZ446" s="208"/>
      <c r="EA446" s="208"/>
      <c r="EB446" s="208"/>
      <c r="EC446" s="208"/>
      <c r="ED446" s="208"/>
      <c r="EE446" s="208"/>
      <c r="EF446" s="208"/>
      <c r="EG446" s="208"/>
      <c r="EH446" s="208"/>
      <c r="EI446" s="208"/>
      <c r="EJ446" s="208"/>
      <c r="EK446" s="208"/>
      <c r="EL446" s="208"/>
      <c r="EM446" s="208"/>
      <c r="EN446" s="208"/>
      <c r="EO446" s="208"/>
      <c r="EP446" s="208"/>
      <c r="EQ446" s="208"/>
      <c r="ER446" s="208"/>
      <c r="ES446" s="208"/>
      <c r="ET446" s="208"/>
      <c r="EU446" s="208"/>
      <c r="EV446" s="208"/>
      <c r="EW446" s="208"/>
      <c r="EX446" s="208"/>
      <c r="EY446" s="208"/>
      <c r="EZ446" s="208"/>
      <c r="FA446" s="208"/>
      <c r="FB446" s="208"/>
      <c r="FC446" s="208"/>
      <c r="FD446" s="208"/>
      <c r="FE446" s="208"/>
      <c r="FF446" s="208"/>
      <c r="FG446" s="208"/>
      <c r="FH446" s="208"/>
      <c r="FI446" s="208"/>
      <c r="FJ446" s="208"/>
      <c r="FK446" s="208"/>
      <c r="FL446" s="208"/>
      <c r="FM446" s="208"/>
      <c r="FN446" s="208"/>
      <c r="FO446" s="208"/>
      <c r="FP446" s="208"/>
      <c r="FQ446" s="208"/>
      <c r="FR446" s="208"/>
      <c r="FS446" s="208"/>
      <c r="FT446" s="208"/>
      <c r="FU446" s="208"/>
      <c r="FV446" s="208"/>
      <c r="FW446" s="208"/>
      <c r="FX446" s="208"/>
      <c r="FY446" s="208"/>
      <c r="FZ446" s="208"/>
      <c r="GA446" s="208"/>
      <c r="GB446" s="208"/>
      <c r="GC446" s="208"/>
      <c r="GD446" s="208"/>
      <c r="GE446" s="208"/>
      <c r="GF446" s="208"/>
    </row>
    <row r="447" spans="1:188" s="209" customFormat="1" ht="15" x14ac:dyDescent="0.25">
      <c r="A447" s="195" t="s">
        <v>5231</v>
      </c>
      <c r="B447" s="195" t="s">
        <v>3265</v>
      </c>
      <c r="C447" s="196" t="s">
        <v>3266</v>
      </c>
      <c r="D447" s="154" t="s">
        <v>28</v>
      </c>
      <c r="E447" s="154">
        <v>1</v>
      </c>
      <c r="F447" s="154"/>
      <c r="G447" s="197">
        <v>10</v>
      </c>
      <c r="H447" s="198">
        <f t="shared" si="62"/>
        <v>8.3333333333333332E-3</v>
      </c>
      <c r="I447" s="247">
        <v>4072.16</v>
      </c>
      <c r="J447" s="152"/>
      <c r="K447" s="198"/>
      <c r="L447" s="152">
        <f t="shared" si="63"/>
        <v>33.93</v>
      </c>
      <c r="M447" s="152">
        <f t="shared" si="64"/>
        <v>2035.8</v>
      </c>
      <c r="N447" s="153"/>
      <c r="O447" s="152"/>
      <c r="Q447" s="208"/>
      <c r="R447" s="208"/>
      <c r="S447"/>
      <c r="T447" s="208"/>
      <c r="U447" s="208"/>
      <c r="V447" s="208"/>
      <c r="W447" s="208"/>
      <c r="X447" s="208"/>
      <c r="Y447" s="208"/>
      <c r="Z447" s="208"/>
      <c r="AA447" s="208"/>
      <c r="AB447" s="208"/>
      <c r="AC447" s="208"/>
      <c r="AD447" s="208"/>
      <c r="AE447" s="208"/>
      <c r="AF447" s="208"/>
      <c r="AG447" s="208"/>
      <c r="AH447" s="208"/>
      <c r="AI447" s="208"/>
      <c r="AJ447" s="208"/>
      <c r="AK447" s="208"/>
      <c r="AL447" s="208"/>
      <c r="AM447" s="208"/>
      <c r="AN447" s="208"/>
      <c r="AO447" s="208"/>
      <c r="AP447" s="208"/>
      <c r="AQ447" s="208"/>
      <c r="AR447" s="208"/>
      <c r="AS447" s="208"/>
      <c r="AT447" s="208"/>
      <c r="AU447" s="208"/>
      <c r="AV447" s="208"/>
      <c r="AW447" s="208"/>
      <c r="AX447" s="208"/>
      <c r="AY447" s="208"/>
      <c r="AZ447" s="208"/>
      <c r="BA447" s="208"/>
      <c r="BB447" s="208"/>
      <c r="BC447" s="208"/>
      <c r="BD447" s="208"/>
      <c r="BE447" s="208"/>
      <c r="BF447" s="208"/>
      <c r="BG447" s="208"/>
      <c r="BH447" s="208"/>
      <c r="BI447" s="208"/>
      <c r="BJ447" s="208"/>
      <c r="BK447" s="208"/>
      <c r="BL447" s="208"/>
      <c r="BM447" s="208"/>
      <c r="BN447" s="208"/>
      <c r="BO447" s="208"/>
      <c r="BP447" s="208"/>
      <c r="BQ447" s="208"/>
      <c r="BR447" s="208"/>
      <c r="BS447" s="208"/>
      <c r="BT447" s="208"/>
      <c r="BU447" s="208"/>
      <c r="BV447" s="208"/>
      <c r="BW447" s="208"/>
      <c r="BX447" s="208"/>
      <c r="BY447" s="208"/>
      <c r="BZ447" s="208"/>
      <c r="CA447" s="208"/>
      <c r="CB447" s="208"/>
      <c r="CC447" s="208"/>
      <c r="CD447" s="208"/>
      <c r="CE447" s="208"/>
      <c r="CF447" s="208"/>
      <c r="CG447" s="208"/>
      <c r="CH447" s="208"/>
      <c r="CI447" s="208"/>
      <c r="CJ447" s="208"/>
      <c r="CK447" s="208"/>
      <c r="CL447" s="208"/>
      <c r="CM447" s="208"/>
      <c r="CN447" s="208"/>
      <c r="CO447" s="208"/>
      <c r="CP447" s="208"/>
      <c r="CQ447" s="208"/>
      <c r="CR447" s="208"/>
      <c r="CS447" s="208"/>
      <c r="CT447" s="208"/>
      <c r="CU447" s="208"/>
      <c r="CV447" s="208"/>
      <c r="CW447" s="208"/>
      <c r="CX447" s="208"/>
      <c r="CY447" s="208"/>
      <c r="CZ447" s="208"/>
      <c r="DA447" s="208"/>
      <c r="DB447" s="208"/>
      <c r="DC447" s="208"/>
      <c r="DD447" s="208"/>
      <c r="DE447" s="208"/>
      <c r="DF447" s="208"/>
      <c r="DG447" s="208"/>
      <c r="DH447" s="208"/>
      <c r="DI447" s="208"/>
      <c r="DJ447" s="208"/>
      <c r="DK447" s="208"/>
      <c r="DL447" s="208"/>
      <c r="DM447" s="208"/>
      <c r="DN447" s="208"/>
      <c r="DO447" s="208"/>
      <c r="DP447" s="208"/>
      <c r="DQ447" s="208"/>
      <c r="DR447" s="208"/>
      <c r="DS447" s="208"/>
      <c r="DT447" s="208"/>
      <c r="DU447" s="208"/>
      <c r="DV447" s="208"/>
      <c r="DW447" s="208"/>
      <c r="DX447" s="208"/>
      <c r="DY447" s="208"/>
      <c r="DZ447" s="208"/>
      <c r="EA447" s="208"/>
      <c r="EB447" s="208"/>
      <c r="EC447" s="208"/>
      <c r="ED447" s="208"/>
      <c r="EE447" s="208"/>
      <c r="EF447" s="208"/>
      <c r="EG447" s="208"/>
      <c r="EH447" s="208"/>
      <c r="EI447" s="208"/>
      <c r="EJ447" s="208"/>
      <c r="EK447" s="208"/>
      <c r="EL447" s="208"/>
      <c r="EM447" s="208"/>
      <c r="EN447" s="208"/>
      <c r="EO447" s="208"/>
      <c r="EP447" s="208"/>
      <c r="EQ447" s="208"/>
      <c r="ER447" s="208"/>
      <c r="ES447" s="208"/>
      <c r="ET447" s="208"/>
      <c r="EU447" s="208"/>
      <c r="EV447" s="208"/>
      <c r="EW447" s="208"/>
      <c r="EX447" s="208"/>
      <c r="EY447" s="208"/>
      <c r="EZ447" s="208"/>
      <c r="FA447" s="208"/>
      <c r="FB447" s="208"/>
      <c r="FC447" s="208"/>
      <c r="FD447" s="208"/>
      <c r="FE447" s="208"/>
      <c r="FF447" s="208"/>
      <c r="FG447" s="208"/>
      <c r="FH447" s="208"/>
      <c r="FI447" s="208"/>
      <c r="FJ447" s="208"/>
      <c r="FK447" s="208"/>
      <c r="FL447" s="208"/>
      <c r="FM447" s="208"/>
      <c r="FN447" s="208"/>
      <c r="FO447" s="208"/>
      <c r="FP447" s="208"/>
      <c r="FQ447" s="208"/>
      <c r="FR447" s="208"/>
      <c r="FS447" s="208"/>
      <c r="FT447" s="208"/>
      <c r="FU447" s="208"/>
      <c r="FV447" s="208"/>
      <c r="FW447" s="208"/>
      <c r="FX447" s="208"/>
      <c r="FY447" s="208"/>
      <c r="FZ447" s="208"/>
      <c r="GA447" s="208"/>
      <c r="GB447" s="208"/>
      <c r="GC447" s="208"/>
      <c r="GD447" s="208"/>
      <c r="GE447" s="208"/>
      <c r="GF447" s="208"/>
    </row>
    <row r="448" spans="1:188" s="209" customFormat="1" ht="15" x14ac:dyDescent="0.25">
      <c r="A448" s="195" t="s">
        <v>5232</v>
      </c>
      <c r="B448" s="195" t="s">
        <v>2563</v>
      </c>
      <c r="C448" s="196" t="s">
        <v>2564</v>
      </c>
      <c r="D448" s="154" t="s">
        <v>28</v>
      </c>
      <c r="E448" s="154">
        <v>4</v>
      </c>
      <c r="F448" s="154"/>
      <c r="G448" s="197">
        <v>5</v>
      </c>
      <c r="H448" s="198">
        <f t="shared" si="62"/>
        <v>1.6666666666666666E-2</v>
      </c>
      <c r="I448" s="247">
        <v>53.46</v>
      </c>
      <c r="J448" s="152"/>
      <c r="K448" s="198"/>
      <c r="L448" s="152">
        <f t="shared" si="63"/>
        <v>3.56</v>
      </c>
      <c r="M448" s="152">
        <f t="shared" si="64"/>
        <v>213.6</v>
      </c>
      <c r="N448" s="153"/>
      <c r="O448" s="152"/>
      <c r="Q448" s="208"/>
      <c r="R448" s="208"/>
      <c r="S448"/>
      <c r="T448" s="208"/>
      <c r="U448" s="208"/>
      <c r="V448" s="208"/>
      <c r="W448" s="208"/>
      <c r="X448" s="208"/>
      <c r="Y448" s="208"/>
      <c r="Z448" s="208"/>
      <c r="AA448" s="208"/>
      <c r="AB448" s="208"/>
      <c r="AC448" s="208"/>
      <c r="AD448" s="208"/>
      <c r="AE448" s="208"/>
      <c r="AF448" s="208"/>
      <c r="AG448" s="208"/>
      <c r="AH448" s="208"/>
      <c r="AI448" s="208"/>
      <c r="AJ448" s="208"/>
      <c r="AK448" s="208"/>
      <c r="AL448" s="208"/>
      <c r="AM448" s="208"/>
      <c r="AN448" s="208"/>
      <c r="AO448" s="208"/>
      <c r="AP448" s="208"/>
      <c r="AQ448" s="208"/>
      <c r="AR448" s="208"/>
      <c r="AS448" s="208"/>
      <c r="AT448" s="208"/>
      <c r="AU448" s="208"/>
      <c r="AV448" s="208"/>
      <c r="AW448" s="208"/>
      <c r="AX448" s="208"/>
      <c r="AY448" s="208"/>
      <c r="AZ448" s="208"/>
      <c r="BA448" s="208"/>
      <c r="BB448" s="208"/>
      <c r="BC448" s="208"/>
      <c r="BD448" s="208"/>
      <c r="BE448" s="208"/>
      <c r="BF448" s="208"/>
      <c r="BG448" s="208"/>
      <c r="BH448" s="208"/>
      <c r="BI448" s="208"/>
      <c r="BJ448" s="208"/>
      <c r="BK448" s="208"/>
      <c r="BL448" s="208"/>
      <c r="BM448" s="208"/>
      <c r="BN448" s="208"/>
      <c r="BO448" s="208"/>
      <c r="BP448" s="208"/>
      <c r="BQ448" s="208"/>
      <c r="BR448" s="208"/>
      <c r="BS448" s="208"/>
      <c r="BT448" s="208"/>
      <c r="BU448" s="208"/>
      <c r="BV448" s="208"/>
      <c r="BW448" s="208"/>
      <c r="BX448" s="208"/>
      <c r="BY448" s="208"/>
      <c r="BZ448" s="208"/>
      <c r="CA448" s="208"/>
      <c r="CB448" s="208"/>
      <c r="CC448" s="208"/>
      <c r="CD448" s="208"/>
      <c r="CE448" s="208"/>
      <c r="CF448" s="208"/>
      <c r="CG448" s="208"/>
      <c r="CH448" s="208"/>
      <c r="CI448" s="208"/>
      <c r="CJ448" s="208"/>
      <c r="CK448" s="208"/>
      <c r="CL448" s="208"/>
      <c r="CM448" s="208"/>
      <c r="CN448" s="208"/>
      <c r="CO448" s="208"/>
      <c r="CP448" s="208"/>
      <c r="CQ448" s="208"/>
      <c r="CR448" s="208"/>
      <c r="CS448" s="208"/>
      <c r="CT448" s="208"/>
      <c r="CU448" s="208"/>
      <c r="CV448" s="208"/>
      <c r="CW448" s="208"/>
      <c r="CX448" s="208"/>
      <c r="CY448" s="208"/>
      <c r="CZ448" s="208"/>
      <c r="DA448" s="208"/>
      <c r="DB448" s="208"/>
      <c r="DC448" s="208"/>
      <c r="DD448" s="208"/>
      <c r="DE448" s="208"/>
      <c r="DF448" s="208"/>
      <c r="DG448" s="208"/>
      <c r="DH448" s="208"/>
      <c r="DI448" s="208"/>
      <c r="DJ448" s="208"/>
      <c r="DK448" s="208"/>
      <c r="DL448" s="208"/>
      <c r="DM448" s="208"/>
      <c r="DN448" s="208"/>
      <c r="DO448" s="208"/>
      <c r="DP448" s="208"/>
      <c r="DQ448" s="208"/>
      <c r="DR448" s="208"/>
      <c r="DS448" s="208"/>
      <c r="DT448" s="208"/>
      <c r="DU448" s="208"/>
      <c r="DV448" s="208"/>
      <c r="DW448" s="208"/>
      <c r="DX448" s="208"/>
      <c r="DY448" s="208"/>
      <c r="DZ448" s="208"/>
      <c r="EA448" s="208"/>
      <c r="EB448" s="208"/>
      <c r="EC448" s="208"/>
      <c r="ED448" s="208"/>
      <c r="EE448" s="208"/>
      <c r="EF448" s="208"/>
      <c r="EG448" s="208"/>
      <c r="EH448" s="208"/>
      <c r="EI448" s="208"/>
      <c r="EJ448" s="208"/>
      <c r="EK448" s="208"/>
      <c r="EL448" s="208"/>
      <c r="EM448" s="208"/>
      <c r="EN448" s="208"/>
      <c r="EO448" s="208"/>
      <c r="EP448" s="208"/>
      <c r="EQ448" s="208"/>
      <c r="ER448" s="208"/>
      <c r="ES448" s="208"/>
      <c r="ET448" s="208"/>
      <c r="EU448" s="208"/>
      <c r="EV448" s="208"/>
      <c r="EW448" s="208"/>
      <c r="EX448" s="208"/>
      <c r="EY448" s="208"/>
      <c r="EZ448" s="208"/>
      <c r="FA448" s="208"/>
      <c r="FB448" s="208"/>
      <c r="FC448" s="208"/>
      <c r="FD448" s="208"/>
      <c r="FE448" s="208"/>
      <c r="FF448" s="208"/>
      <c r="FG448" s="208"/>
      <c r="FH448" s="208"/>
      <c r="FI448" s="208"/>
      <c r="FJ448" s="208"/>
      <c r="FK448" s="208"/>
      <c r="FL448" s="208"/>
      <c r="FM448" s="208"/>
      <c r="FN448" s="208"/>
      <c r="FO448" s="208"/>
      <c r="FP448" s="208"/>
      <c r="FQ448" s="208"/>
      <c r="FR448" s="208"/>
      <c r="FS448" s="208"/>
      <c r="FT448" s="208"/>
      <c r="FU448" s="208"/>
      <c r="FV448" s="208"/>
      <c r="FW448" s="208"/>
      <c r="FX448" s="208"/>
      <c r="FY448" s="208"/>
      <c r="FZ448" s="208"/>
      <c r="GA448" s="208"/>
      <c r="GB448" s="208"/>
      <c r="GC448" s="208"/>
      <c r="GD448" s="208"/>
      <c r="GE448" s="208"/>
      <c r="GF448" s="208"/>
    </row>
    <row r="449" spans="1:188" s="209" customFormat="1" ht="15" x14ac:dyDescent="0.25">
      <c r="A449" s="195" t="s">
        <v>5233</v>
      </c>
      <c r="B449" s="195" t="s">
        <v>3705</v>
      </c>
      <c r="C449" s="196" t="s">
        <v>3706</v>
      </c>
      <c r="D449" s="154" t="s">
        <v>28</v>
      </c>
      <c r="E449" s="154">
        <v>4</v>
      </c>
      <c r="F449" s="154"/>
      <c r="G449" s="197">
        <v>5</v>
      </c>
      <c r="H449" s="198">
        <f t="shared" si="62"/>
        <v>1.6666666666666666E-2</v>
      </c>
      <c r="I449" s="247">
        <v>36.799999999999997</v>
      </c>
      <c r="J449" s="152"/>
      <c r="K449" s="198"/>
      <c r="L449" s="152">
        <f t="shared" si="63"/>
        <v>2.4500000000000002</v>
      </c>
      <c r="M449" s="152">
        <f t="shared" si="64"/>
        <v>147</v>
      </c>
      <c r="N449" s="153"/>
      <c r="O449" s="152"/>
      <c r="Q449" s="208"/>
      <c r="R449" s="208"/>
      <c r="S449"/>
      <c r="T449" s="208"/>
      <c r="U449" s="208"/>
      <c r="V449" s="208"/>
      <c r="W449" s="208"/>
      <c r="X449" s="208"/>
      <c r="Y449" s="208"/>
      <c r="Z449" s="208"/>
      <c r="AA449" s="208"/>
      <c r="AB449" s="208"/>
      <c r="AC449" s="208"/>
      <c r="AD449" s="208"/>
      <c r="AE449" s="208"/>
      <c r="AF449" s="208"/>
      <c r="AG449" s="208"/>
      <c r="AH449" s="208"/>
      <c r="AI449" s="208"/>
      <c r="AJ449" s="208"/>
      <c r="AK449" s="208"/>
      <c r="AL449" s="208"/>
      <c r="AM449" s="208"/>
      <c r="AN449" s="208"/>
      <c r="AO449" s="208"/>
      <c r="AP449" s="208"/>
      <c r="AQ449" s="208"/>
      <c r="AR449" s="208"/>
      <c r="AS449" s="208"/>
      <c r="AT449" s="208"/>
      <c r="AU449" s="208"/>
      <c r="AV449" s="208"/>
      <c r="AW449" s="208"/>
      <c r="AX449" s="208"/>
      <c r="AY449" s="208"/>
      <c r="AZ449" s="208"/>
      <c r="BA449" s="208"/>
      <c r="BB449" s="208"/>
      <c r="BC449" s="208"/>
      <c r="BD449" s="208"/>
      <c r="BE449" s="208"/>
      <c r="BF449" s="208"/>
      <c r="BG449" s="208"/>
      <c r="BH449" s="208"/>
      <c r="BI449" s="208"/>
      <c r="BJ449" s="208"/>
      <c r="BK449" s="208"/>
      <c r="BL449" s="208"/>
      <c r="BM449" s="208"/>
      <c r="BN449" s="208"/>
      <c r="BO449" s="208"/>
      <c r="BP449" s="208"/>
      <c r="BQ449" s="208"/>
      <c r="BR449" s="208"/>
      <c r="BS449" s="208"/>
      <c r="BT449" s="208"/>
      <c r="BU449" s="208"/>
      <c r="BV449" s="208"/>
      <c r="BW449" s="208"/>
      <c r="BX449" s="208"/>
      <c r="BY449" s="208"/>
      <c r="BZ449" s="208"/>
      <c r="CA449" s="208"/>
      <c r="CB449" s="208"/>
      <c r="CC449" s="208"/>
      <c r="CD449" s="208"/>
      <c r="CE449" s="208"/>
      <c r="CF449" s="208"/>
      <c r="CG449" s="208"/>
      <c r="CH449" s="208"/>
      <c r="CI449" s="208"/>
      <c r="CJ449" s="208"/>
      <c r="CK449" s="208"/>
      <c r="CL449" s="208"/>
      <c r="CM449" s="208"/>
      <c r="CN449" s="208"/>
      <c r="CO449" s="208"/>
      <c r="CP449" s="208"/>
      <c r="CQ449" s="208"/>
      <c r="CR449" s="208"/>
      <c r="CS449" s="208"/>
      <c r="CT449" s="208"/>
      <c r="CU449" s="208"/>
      <c r="CV449" s="208"/>
      <c r="CW449" s="208"/>
      <c r="CX449" s="208"/>
      <c r="CY449" s="208"/>
      <c r="CZ449" s="208"/>
      <c r="DA449" s="208"/>
      <c r="DB449" s="208"/>
      <c r="DC449" s="208"/>
      <c r="DD449" s="208"/>
      <c r="DE449" s="208"/>
      <c r="DF449" s="208"/>
      <c r="DG449" s="208"/>
      <c r="DH449" s="208"/>
      <c r="DI449" s="208"/>
      <c r="DJ449" s="208"/>
      <c r="DK449" s="208"/>
      <c r="DL449" s="208"/>
      <c r="DM449" s="208"/>
      <c r="DN449" s="208"/>
      <c r="DO449" s="208"/>
      <c r="DP449" s="208"/>
      <c r="DQ449" s="208"/>
      <c r="DR449" s="208"/>
      <c r="DS449" s="208"/>
      <c r="DT449" s="208"/>
      <c r="DU449" s="208"/>
      <c r="DV449" s="208"/>
      <c r="DW449" s="208"/>
      <c r="DX449" s="208"/>
      <c r="DY449" s="208"/>
      <c r="DZ449" s="208"/>
      <c r="EA449" s="208"/>
      <c r="EB449" s="208"/>
      <c r="EC449" s="208"/>
      <c r="ED449" s="208"/>
      <c r="EE449" s="208"/>
      <c r="EF449" s="208"/>
      <c r="EG449" s="208"/>
      <c r="EH449" s="208"/>
      <c r="EI449" s="208"/>
      <c r="EJ449" s="208"/>
      <c r="EK449" s="208"/>
      <c r="EL449" s="208"/>
      <c r="EM449" s="208"/>
      <c r="EN449" s="208"/>
      <c r="EO449" s="208"/>
      <c r="EP449" s="208"/>
      <c r="EQ449" s="208"/>
      <c r="ER449" s="208"/>
      <c r="ES449" s="208"/>
      <c r="ET449" s="208"/>
      <c r="EU449" s="208"/>
      <c r="EV449" s="208"/>
      <c r="EW449" s="208"/>
      <c r="EX449" s="208"/>
      <c r="EY449" s="208"/>
      <c r="EZ449" s="208"/>
      <c r="FA449" s="208"/>
      <c r="FB449" s="208"/>
      <c r="FC449" s="208"/>
      <c r="FD449" s="208"/>
      <c r="FE449" s="208"/>
      <c r="FF449" s="208"/>
      <c r="FG449" s="208"/>
      <c r="FH449" s="208"/>
      <c r="FI449" s="208"/>
      <c r="FJ449" s="208"/>
      <c r="FK449" s="208"/>
      <c r="FL449" s="208"/>
      <c r="FM449" s="208"/>
      <c r="FN449" s="208"/>
      <c r="FO449" s="208"/>
      <c r="FP449" s="208"/>
      <c r="FQ449" s="208"/>
      <c r="FR449" s="208"/>
      <c r="FS449" s="208"/>
      <c r="FT449" s="208"/>
      <c r="FU449" s="208"/>
      <c r="FV449" s="208"/>
      <c r="FW449" s="208"/>
      <c r="FX449" s="208"/>
      <c r="FY449" s="208"/>
      <c r="FZ449" s="208"/>
      <c r="GA449" s="208"/>
      <c r="GB449" s="208"/>
      <c r="GC449" s="208"/>
      <c r="GD449" s="208"/>
      <c r="GE449" s="208"/>
      <c r="GF449" s="208"/>
    </row>
    <row r="450" spans="1:188" s="209" customFormat="1" ht="15" x14ac:dyDescent="0.25">
      <c r="A450" s="195" t="s">
        <v>5234</v>
      </c>
      <c r="B450" s="195" t="s">
        <v>2565</v>
      </c>
      <c r="C450" s="196" t="s">
        <v>2566</v>
      </c>
      <c r="D450" s="154" t="s">
        <v>28</v>
      </c>
      <c r="E450" s="154">
        <v>5</v>
      </c>
      <c r="F450" s="154"/>
      <c r="G450" s="197">
        <v>5</v>
      </c>
      <c r="H450" s="198">
        <f t="shared" si="62"/>
        <v>1.6666666666666666E-2</v>
      </c>
      <c r="I450" s="247">
        <v>25.37</v>
      </c>
      <c r="J450" s="152"/>
      <c r="K450" s="198"/>
      <c r="L450" s="152">
        <f t="shared" si="63"/>
        <v>2.11</v>
      </c>
      <c r="M450" s="152">
        <f t="shared" si="64"/>
        <v>126.6</v>
      </c>
      <c r="N450" s="153"/>
      <c r="O450" s="152"/>
      <c r="Q450" s="208"/>
      <c r="R450" s="208"/>
      <c r="S450"/>
      <c r="T450" s="208"/>
      <c r="U450" s="208"/>
      <c r="V450" s="208"/>
      <c r="W450" s="208"/>
      <c r="X450" s="208"/>
      <c r="Y450" s="208"/>
      <c r="Z450" s="208"/>
      <c r="AA450" s="208"/>
      <c r="AB450" s="208"/>
      <c r="AC450" s="208"/>
      <c r="AD450" s="208"/>
      <c r="AE450" s="208"/>
      <c r="AF450" s="208"/>
      <c r="AG450" s="208"/>
      <c r="AH450" s="208"/>
      <c r="AI450" s="208"/>
      <c r="AJ450" s="208"/>
      <c r="AK450" s="208"/>
      <c r="AL450" s="208"/>
      <c r="AM450" s="208"/>
      <c r="AN450" s="208"/>
      <c r="AO450" s="208"/>
      <c r="AP450" s="208"/>
      <c r="AQ450" s="208"/>
      <c r="AR450" s="208"/>
      <c r="AS450" s="208"/>
      <c r="AT450" s="208"/>
      <c r="AU450" s="208"/>
      <c r="AV450" s="208"/>
      <c r="AW450" s="208"/>
      <c r="AX450" s="208"/>
      <c r="AY450" s="208"/>
      <c r="AZ450" s="208"/>
      <c r="BA450" s="208"/>
      <c r="BB450" s="208"/>
      <c r="BC450" s="208"/>
      <c r="BD450" s="208"/>
      <c r="BE450" s="208"/>
      <c r="BF450" s="208"/>
      <c r="BG450" s="208"/>
      <c r="BH450" s="208"/>
      <c r="BI450" s="208"/>
      <c r="BJ450" s="208"/>
      <c r="BK450" s="208"/>
      <c r="BL450" s="208"/>
      <c r="BM450" s="208"/>
      <c r="BN450" s="208"/>
      <c r="BO450" s="208"/>
      <c r="BP450" s="208"/>
      <c r="BQ450" s="208"/>
      <c r="BR450" s="208"/>
      <c r="BS450" s="208"/>
      <c r="BT450" s="208"/>
      <c r="BU450" s="208"/>
      <c r="BV450" s="208"/>
      <c r="BW450" s="208"/>
      <c r="BX450" s="208"/>
      <c r="BY450" s="208"/>
      <c r="BZ450" s="208"/>
      <c r="CA450" s="208"/>
      <c r="CB450" s="208"/>
      <c r="CC450" s="208"/>
      <c r="CD450" s="208"/>
      <c r="CE450" s="208"/>
      <c r="CF450" s="208"/>
      <c r="CG450" s="208"/>
      <c r="CH450" s="208"/>
      <c r="CI450" s="208"/>
      <c r="CJ450" s="208"/>
      <c r="CK450" s="208"/>
      <c r="CL450" s="208"/>
      <c r="CM450" s="208"/>
      <c r="CN450" s="208"/>
      <c r="CO450" s="208"/>
      <c r="CP450" s="208"/>
      <c r="CQ450" s="208"/>
      <c r="CR450" s="208"/>
      <c r="CS450" s="208"/>
      <c r="CT450" s="208"/>
      <c r="CU450" s="208"/>
      <c r="CV450" s="208"/>
      <c r="CW450" s="208"/>
      <c r="CX450" s="208"/>
      <c r="CY450" s="208"/>
      <c r="CZ450" s="208"/>
      <c r="DA450" s="208"/>
      <c r="DB450" s="208"/>
      <c r="DC450" s="208"/>
      <c r="DD450" s="208"/>
      <c r="DE450" s="208"/>
      <c r="DF450" s="208"/>
      <c r="DG450" s="208"/>
      <c r="DH450" s="208"/>
      <c r="DI450" s="208"/>
      <c r="DJ450" s="208"/>
      <c r="DK450" s="208"/>
      <c r="DL450" s="208"/>
      <c r="DM450" s="208"/>
      <c r="DN450" s="208"/>
      <c r="DO450" s="208"/>
      <c r="DP450" s="208"/>
      <c r="DQ450" s="208"/>
      <c r="DR450" s="208"/>
      <c r="DS450" s="208"/>
      <c r="DT450" s="208"/>
      <c r="DU450" s="208"/>
      <c r="DV450" s="208"/>
      <c r="DW450" s="208"/>
      <c r="DX450" s="208"/>
      <c r="DY450" s="208"/>
      <c r="DZ450" s="208"/>
      <c r="EA450" s="208"/>
      <c r="EB450" s="208"/>
      <c r="EC450" s="208"/>
      <c r="ED450" s="208"/>
      <c r="EE450" s="208"/>
      <c r="EF450" s="208"/>
      <c r="EG450" s="208"/>
      <c r="EH450" s="208"/>
      <c r="EI450" s="208"/>
      <c r="EJ450" s="208"/>
      <c r="EK450" s="208"/>
      <c r="EL450" s="208"/>
      <c r="EM450" s="208"/>
      <c r="EN450" s="208"/>
      <c r="EO450" s="208"/>
      <c r="EP450" s="208"/>
      <c r="EQ450" s="208"/>
      <c r="ER450" s="208"/>
      <c r="ES450" s="208"/>
      <c r="ET450" s="208"/>
      <c r="EU450" s="208"/>
      <c r="EV450" s="208"/>
      <c r="EW450" s="208"/>
      <c r="EX450" s="208"/>
      <c r="EY450" s="208"/>
      <c r="EZ450" s="208"/>
      <c r="FA450" s="208"/>
      <c r="FB450" s="208"/>
      <c r="FC450" s="208"/>
      <c r="FD450" s="208"/>
      <c r="FE450" s="208"/>
      <c r="FF450" s="208"/>
      <c r="FG450" s="208"/>
      <c r="FH450" s="208"/>
      <c r="FI450" s="208"/>
      <c r="FJ450" s="208"/>
      <c r="FK450" s="208"/>
      <c r="FL450" s="208"/>
      <c r="FM450" s="208"/>
      <c r="FN450" s="208"/>
      <c r="FO450" s="208"/>
      <c r="FP450" s="208"/>
      <c r="FQ450" s="208"/>
      <c r="FR450" s="208"/>
      <c r="FS450" s="208"/>
      <c r="FT450" s="208"/>
      <c r="FU450" s="208"/>
      <c r="FV450" s="208"/>
      <c r="FW450" s="208"/>
      <c r="FX450" s="208"/>
      <c r="FY450" s="208"/>
      <c r="FZ450" s="208"/>
      <c r="GA450" s="208"/>
      <c r="GB450" s="208"/>
      <c r="GC450" s="208"/>
      <c r="GD450" s="208"/>
      <c r="GE450" s="208"/>
      <c r="GF450" s="208"/>
    </row>
    <row r="451" spans="1:188" s="209" customFormat="1" ht="15" x14ac:dyDescent="0.25">
      <c r="A451" s="195" t="s">
        <v>5235</v>
      </c>
      <c r="B451" s="195" t="s">
        <v>2567</v>
      </c>
      <c r="C451" s="196" t="s">
        <v>2568</v>
      </c>
      <c r="D451" s="154" t="s">
        <v>28</v>
      </c>
      <c r="E451" s="154">
        <v>4</v>
      </c>
      <c r="F451" s="154"/>
      <c r="G451" s="197">
        <v>5</v>
      </c>
      <c r="H451" s="198">
        <f t="shared" si="62"/>
        <v>1.6666666666666666E-2</v>
      </c>
      <c r="I451" s="247">
        <v>14.9</v>
      </c>
      <c r="J451" s="152"/>
      <c r="K451" s="198"/>
      <c r="L451" s="152">
        <f t="shared" si="63"/>
        <v>0.99</v>
      </c>
      <c r="M451" s="152">
        <f t="shared" si="64"/>
        <v>59.4</v>
      </c>
      <c r="N451" s="153"/>
      <c r="O451" s="152"/>
      <c r="Q451" s="208"/>
      <c r="R451" s="208"/>
      <c r="S451"/>
      <c r="T451" s="208"/>
      <c r="U451" s="208"/>
      <c r="V451" s="208"/>
      <c r="W451" s="208"/>
      <c r="X451" s="208"/>
      <c r="Y451" s="208"/>
      <c r="Z451" s="208"/>
      <c r="AA451" s="208"/>
      <c r="AB451" s="208"/>
      <c r="AC451" s="208"/>
      <c r="AD451" s="208"/>
      <c r="AE451" s="208"/>
      <c r="AF451" s="208"/>
      <c r="AG451" s="208"/>
      <c r="AH451" s="208"/>
      <c r="AI451" s="208"/>
      <c r="AJ451" s="208"/>
      <c r="AK451" s="208"/>
      <c r="AL451" s="208"/>
      <c r="AM451" s="208"/>
      <c r="AN451" s="208"/>
      <c r="AO451" s="208"/>
      <c r="AP451" s="208"/>
      <c r="AQ451" s="208"/>
      <c r="AR451" s="208"/>
      <c r="AS451" s="208"/>
      <c r="AT451" s="208"/>
      <c r="AU451" s="208"/>
      <c r="AV451" s="208"/>
      <c r="AW451" s="208"/>
      <c r="AX451" s="208"/>
      <c r="AY451" s="208"/>
      <c r="AZ451" s="208"/>
      <c r="BA451" s="208"/>
      <c r="BB451" s="208"/>
      <c r="BC451" s="208"/>
      <c r="BD451" s="208"/>
      <c r="BE451" s="208"/>
      <c r="BF451" s="208"/>
      <c r="BG451" s="208"/>
      <c r="BH451" s="208"/>
      <c r="BI451" s="208"/>
      <c r="BJ451" s="208"/>
      <c r="BK451" s="208"/>
      <c r="BL451" s="208"/>
      <c r="BM451" s="208"/>
      <c r="BN451" s="208"/>
      <c r="BO451" s="208"/>
      <c r="BP451" s="208"/>
      <c r="BQ451" s="208"/>
      <c r="BR451" s="208"/>
      <c r="BS451" s="208"/>
      <c r="BT451" s="208"/>
      <c r="BU451" s="208"/>
      <c r="BV451" s="208"/>
      <c r="BW451" s="208"/>
      <c r="BX451" s="208"/>
      <c r="BY451" s="208"/>
      <c r="BZ451" s="208"/>
      <c r="CA451" s="208"/>
      <c r="CB451" s="208"/>
      <c r="CC451" s="208"/>
      <c r="CD451" s="208"/>
      <c r="CE451" s="208"/>
      <c r="CF451" s="208"/>
      <c r="CG451" s="208"/>
      <c r="CH451" s="208"/>
      <c r="CI451" s="208"/>
      <c r="CJ451" s="208"/>
      <c r="CK451" s="208"/>
      <c r="CL451" s="208"/>
      <c r="CM451" s="208"/>
      <c r="CN451" s="208"/>
      <c r="CO451" s="208"/>
      <c r="CP451" s="208"/>
      <c r="CQ451" s="208"/>
      <c r="CR451" s="208"/>
      <c r="CS451" s="208"/>
      <c r="CT451" s="208"/>
      <c r="CU451" s="208"/>
      <c r="CV451" s="208"/>
      <c r="CW451" s="208"/>
      <c r="CX451" s="208"/>
      <c r="CY451" s="208"/>
      <c r="CZ451" s="208"/>
      <c r="DA451" s="208"/>
      <c r="DB451" s="208"/>
      <c r="DC451" s="208"/>
      <c r="DD451" s="208"/>
      <c r="DE451" s="208"/>
      <c r="DF451" s="208"/>
      <c r="DG451" s="208"/>
      <c r="DH451" s="208"/>
      <c r="DI451" s="208"/>
      <c r="DJ451" s="208"/>
      <c r="DK451" s="208"/>
      <c r="DL451" s="208"/>
      <c r="DM451" s="208"/>
      <c r="DN451" s="208"/>
      <c r="DO451" s="208"/>
      <c r="DP451" s="208"/>
      <c r="DQ451" s="208"/>
      <c r="DR451" s="208"/>
      <c r="DS451" s="208"/>
      <c r="DT451" s="208"/>
      <c r="DU451" s="208"/>
      <c r="DV451" s="208"/>
      <c r="DW451" s="208"/>
      <c r="DX451" s="208"/>
      <c r="DY451" s="208"/>
      <c r="DZ451" s="208"/>
      <c r="EA451" s="208"/>
      <c r="EB451" s="208"/>
      <c r="EC451" s="208"/>
      <c r="ED451" s="208"/>
      <c r="EE451" s="208"/>
      <c r="EF451" s="208"/>
      <c r="EG451" s="208"/>
      <c r="EH451" s="208"/>
      <c r="EI451" s="208"/>
      <c r="EJ451" s="208"/>
      <c r="EK451" s="208"/>
      <c r="EL451" s="208"/>
      <c r="EM451" s="208"/>
      <c r="EN451" s="208"/>
      <c r="EO451" s="208"/>
      <c r="EP451" s="208"/>
      <c r="EQ451" s="208"/>
      <c r="ER451" s="208"/>
      <c r="ES451" s="208"/>
      <c r="ET451" s="208"/>
      <c r="EU451" s="208"/>
      <c r="EV451" s="208"/>
      <c r="EW451" s="208"/>
      <c r="EX451" s="208"/>
      <c r="EY451" s="208"/>
      <c r="EZ451" s="208"/>
      <c r="FA451" s="208"/>
      <c r="FB451" s="208"/>
      <c r="FC451" s="208"/>
      <c r="FD451" s="208"/>
      <c r="FE451" s="208"/>
      <c r="FF451" s="208"/>
      <c r="FG451" s="208"/>
      <c r="FH451" s="208"/>
      <c r="FI451" s="208"/>
      <c r="FJ451" s="208"/>
      <c r="FK451" s="208"/>
      <c r="FL451" s="208"/>
      <c r="FM451" s="208"/>
      <c r="FN451" s="208"/>
      <c r="FO451" s="208"/>
      <c r="FP451" s="208"/>
      <c r="FQ451" s="208"/>
      <c r="FR451" s="208"/>
      <c r="FS451" s="208"/>
      <c r="FT451" s="208"/>
      <c r="FU451" s="208"/>
      <c r="FV451" s="208"/>
      <c r="FW451" s="208"/>
      <c r="FX451" s="208"/>
      <c r="FY451" s="208"/>
      <c r="FZ451" s="208"/>
      <c r="GA451" s="208"/>
      <c r="GB451" s="208"/>
      <c r="GC451" s="208"/>
      <c r="GD451" s="208"/>
      <c r="GE451" s="208"/>
      <c r="GF451" s="208"/>
    </row>
    <row r="452" spans="1:188" s="209" customFormat="1" ht="15" x14ac:dyDescent="0.25">
      <c r="A452" s="195" t="s">
        <v>5236</v>
      </c>
      <c r="B452" s="195" t="s">
        <v>2571</v>
      </c>
      <c r="C452" s="196" t="s">
        <v>2572</v>
      </c>
      <c r="D452" s="154" t="s">
        <v>28</v>
      </c>
      <c r="E452" s="154">
        <v>4</v>
      </c>
      <c r="F452" s="154"/>
      <c r="G452" s="197">
        <v>5</v>
      </c>
      <c r="H452" s="198">
        <f t="shared" si="62"/>
        <v>1.6666666666666666E-2</v>
      </c>
      <c r="I452" s="247">
        <v>23</v>
      </c>
      <c r="J452" s="152"/>
      <c r="K452" s="198"/>
      <c r="L452" s="152">
        <f t="shared" si="63"/>
        <v>1.53</v>
      </c>
      <c r="M452" s="152">
        <f t="shared" si="64"/>
        <v>91.8</v>
      </c>
      <c r="N452" s="153"/>
      <c r="O452" s="152"/>
      <c r="Q452" s="208"/>
      <c r="R452" s="208"/>
      <c r="S452"/>
      <c r="T452" s="208"/>
      <c r="U452" s="208"/>
      <c r="V452" s="208"/>
      <c r="W452" s="208"/>
      <c r="X452" s="208"/>
      <c r="Y452" s="208"/>
      <c r="Z452" s="208"/>
      <c r="AA452" s="208"/>
      <c r="AB452" s="208"/>
      <c r="AC452" s="208"/>
      <c r="AD452" s="208"/>
      <c r="AE452" s="208"/>
      <c r="AF452" s="208"/>
      <c r="AG452" s="208"/>
      <c r="AH452" s="208"/>
      <c r="AI452" s="208"/>
      <c r="AJ452" s="208"/>
      <c r="AK452" s="208"/>
      <c r="AL452" s="208"/>
      <c r="AM452" s="208"/>
      <c r="AN452" s="208"/>
      <c r="AO452" s="208"/>
      <c r="AP452" s="208"/>
      <c r="AQ452" s="208"/>
      <c r="AR452" s="208"/>
      <c r="AS452" s="208"/>
      <c r="AT452" s="208"/>
      <c r="AU452" s="208"/>
      <c r="AV452" s="208"/>
      <c r="AW452" s="208"/>
      <c r="AX452" s="208"/>
      <c r="AY452" s="208"/>
      <c r="AZ452" s="208"/>
      <c r="BA452" s="208"/>
      <c r="BB452" s="208"/>
      <c r="BC452" s="208"/>
      <c r="BD452" s="208"/>
      <c r="BE452" s="208"/>
      <c r="BF452" s="208"/>
      <c r="BG452" s="208"/>
      <c r="BH452" s="208"/>
      <c r="BI452" s="208"/>
      <c r="BJ452" s="208"/>
      <c r="BK452" s="208"/>
      <c r="BL452" s="208"/>
      <c r="BM452" s="208"/>
      <c r="BN452" s="208"/>
      <c r="BO452" s="208"/>
      <c r="BP452" s="208"/>
      <c r="BQ452" s="208"/>
      <c r="BR452" s="208"/>
      <c r="BS452" s="208"/>
      <c r="BT452" s="208"/>
      <c r="BU452" s="208"/>
      <c r="BV452" s="208"/>
      <c r="BW452" s="208"/>
      <c r="BX452" s="208"/>
      <c r="BY452" s="208"/>
      <c r="BZ452" s="208"/>
      <c r="CA452" s="208"/>
      <c r="CB452" s="208"/>
      <c r="CC452" s="208"/>
      <c r="CD452" s="208"/>
      <c r="CE452" s="208"/>
      <c r="CF452" s="208"/>
      <c r="CG452" s="208"/>
      <c r="CH452" s="208"/>
      <c r="CI452" s="208"/>
      <c r="CJ452" s="208"/>
      <c r="CK452" s="208"/>
      <c r="CL452" s="208"/>
      <c r="CM452" s="208"/>
      <c r="CN452" s="208"/>
      <c r="CO452" s="208"/>
      <c r="CP452" s="208"/>
      <c r="CQ452" s="208"/>
      <c r="CR452" s="208"/>
      <c r="CS452" s="208"/>
      <c r="CT452" s="208"/>
      <c r="CU452" s="208"/>
      <c r="CV452" s="208"/>
      <c r="CW452" s="208"/>
      <c r="CX452" s="208"/>
      <c r="CY452" s="208"/>
      <c r="CZ452" s="208"/>
      <c r="DA452" s="208"/>
      <c r="DB452" s="208"/>
      <c r="DC452" s="208"/>
      <c r="DD452" s="208"/>
      <c r="DE452" s="208"/>
      <c r="DF452" s="208"/>
      <c r="DG452" s="208"/>
      <c r="DH452" s="208"/>
      <c r="DI452" s="208"/>
      <c r="DJ452" s="208"/>
      <c r="DK452" s="208"/>
      <c r="DL452" s="208"/>
      <c r="DM452" s="208"/>
      <c r="DN452" s="208"/>
      <c r="DO452" s="208"/>
      <c r="DP452" s="208"/>
      <c r="DQ452" s="208"/>
      <c r="DR452" s="208"/>
      <c r="DS452" s="208"/>
      <c r="DT452" s="208"/>
      <c r="DU452" s="208"/>
      <c r="DV452" s="208"/>
      <c r="DW452" s="208"/>
      <c r="DX452" s="208"/>
      <c r="DY452" s="208"/>
      <c r="DZ452" s="208"/>
      <c r="EA452" s="208"/>
      <c r="EB452" s="208"/>
      <c r="EC452" s="208"/>
      <c r="ED452" s="208"/>
      <c r="EE452" s="208"/>
      <c r="EF452" s="208"/>
      <c r="EG452" s="208"/>
      <c r="EH452" s="208"/>
      <c r="EI452" s="208"/>
      <c r="EJ452" s="208"/>
      <c r="EK452" s="208"/>
      <c r="EL452" s="208"/>
      <c r="EM452" s="208"/>
      <c r="EN452" s="208"/>
      <c r="EO452" s="208"/>
      <c r="EP452" s="208"/>
      <c r="EQ452" s="208"/>
      <c r="ER452" s="208"/>
      <c r="ES452" s="208"/>
      <c r="ET452" s="208"/>
      <c r="EU452" s="208"/>
      <c r="EV452" s="208"/>
      <c r="EW452" s="208"/>
      <c r="EX452" s="208"/>
      <c r="EY452" s="208"/>
      <c r="EZ452" s="208"/>
      <c r="FA452" s="208"/>
      <c r="FB452" s="208"/>
      <c r="FC452" s="208"/>
      <c r="FD452" s="208"/>
      <c r="FE452" s="208"/>
      <c r="FF452" s="208"/>
      <c r="FG452" s="208"/>
      <c r="FH452" s="208"/>
      <c r="FI452" s="208"/>
      <c r="FJ452" s="208"/>
      <c r="FK452" s="208"/>
      <c r="FL452" s="208"/>
      <c r="FM452" s="208"/>
      <c r="FN452" s="208"/>
      <c r="FO452" s="208"/>
      <c r="FP452" s="208"/>
      <c r="FQ452" s="208"/>
      <c r="FR452" s="208"/>
      <c r="FS452" s="208"/>
      <c r="FT452" s="208"/>
      <c r="FU452" s="208"/>
      <c r="FV452" s="208"/>
      <c r="FW452" s="208"/>
      <c r="FX452" s="208"/>
      <c r="FY452" s="208"/>
      <c r="FZ452" s="208"/>
      <c r="GA452" s="208"/>
      <c r="GB452" s="208"/>
      <c r="GC452" s="208"/>
      <c r="GD452" s="208"/>
      <c r="GE452" s="208"/>
      <c r="GF452" s="208"/>
    </row>
    <row r="453" spans="1:188" s="209" customFormat="1" ht="15" x14ac:dyDescent="0.25">
      <c r="A453" s="195" t="s">
        <v>5237</v>
      </c>
      <c r="B453" s="195" t="s">
        <v>2569</v>
      </c>
      <c r="C453" s="196" t="s">
        <v>2570</v>
      </c>
      <c r="D453" s="154" t="s">
        <v>28</v>
      </c>
      <c r="E453" s="154">
        <v>4</v>
      </c>
      <c r="F453" s="154"/>
      <c r="G453" s="197">
        <v>5</v>
      </c>
      <c r="H453" s="198">
        <f t="shared" si="62"/>
        <v>1.6666666666666666E-2</v>
      </c>
      <c r="I453" s="247">
        <v>21.76</v>
      </c>
      <c r="J453" s="152"/>
      <c r="K453" s="198"/>
      <c r="L453" s="152">
        <f t="shared" si="63"/>
        <v>1.45</v>
      </c>
      <c r="M453" s="152">
        <f t="shared" si="64"/>
        <v>87</v>
      </c>
      <c r="N453" s="153"/>
      <c r="O453" s="152"/>
      <c r="Q453" s="208"/>
      <c r="R453" s="208"/>
      <c r="S453"/>
      <c r="T453" s="208"/>
      <c r="U453" s="208"/>
      <c r="V453" s="208"/>
      <c r="W453" s="208"/>
      <c r="X453" s="208"/>
      <c r="Y453" s="208"/>
      <c r="Z453" s="208"/>
      <c r="AA453" s="208"/>
      <c r="AB453" s="208"/>
      <c r="AC453" s="208"/>
      <c r="AD453" s="208"/>
      <c r="AE453" s="208"/>
      <c r="AF453" s="208"/>
      <c r="AG453" s="208"/>
      <c r="AH453" s="208"/>
      <c r="AI453" s="208"/>
      <c r="AJ453" s="208"/>
      <c r="AK453" s="208"/>
      <c r="AL453" s="208"/>
      <c r="AM453" s="208"/>
      <c r="AN453" s="208"/>
      <c r="AO453" s="208"/>
      <c r="AP453" s="208"/>
      <c r="AQ453" s="208"/>
      <c r="AR453" s="208"/>
      <c r="AS453" s="208"/>
      <c r="AT453" s="208"/>
      <c r="AU453" s="208"/>
      <c r="AV453" s="208"/>
      <c r="AW453" s="208"/>
      <c r="AX453" s="208"/>
      <c r="AY453" s="208"/>
      <c r="AZ453" s="208"/>
      <c r="BA453" s="208"/>
      <c r="BB453" s="208"/>
      <c r="BC453" s="208"/>
      <c r="BD453" s="208"/>
      <c r="BE453" s="208"/>
      <c r="BF453" s="208"/>
      <c r="BG453" s="208"/>
      <c r="BH453" s="208"/>
      <c r="BI453" s="208"/>
      <c r="BJ453" s="208"/>
      <c r="BK453" s="208"/>
      <c r="BL453" s="208"/>
      <c r="BM453" s="208"/>
      <c r="BN453" s="208"/>
      <c r="BO453" s="208"/>
      <c r="BP453" s="208"/>
      <c r="BQ453" s="208"/>
      <c r="BR453" s="208"/>
      <c r="BS453" s="208"/>
      <c r="BT453" s="208"/>
      <c r="BU453" s="208"/>
      <c r="BV453" s="208"/>
      <c r="BW453" s="208"/>
      <c r="BX453" s="208"/>
      <c r="BY453" s="208"/>
      <c r="BZ453" s="208"/>
      <c r="CA453" s="208"/>
      <c r="CB453" s="208"/>
      <c r="CC453" s="208"/>
      <c r="CD453" s="208"/>
      <c r="CE453" s="208"/>
      <c r="CF453" s="208"/>
      <c r="CG453" s="208"/>
      <c r="CH453" s="208"/>
      <c r="CI453" s="208"/>
      <c r="CJ453" s="208"/>
      <c r="CK453" s="208"/>
      <c r="CL453" s="208"/>
      <c r="CM453" s="208"/>
      <c r="CN453" s="208"/>
      <c r="CO453" s="208"/>
      <c r="CP453" s="208"/>
      <c r="CQ453" s="208"/>
      <c r="CR453" s="208"/>
      <c r="CS453" s="208"/>
      <c r="CT453" s="208"/>
      <c r="CU453" s="208"/>
      <c r="CV453" s="208"/>
      <c r="CW453" s="208"/>
      <c r="CX453" s="208"/>
      <c r="CY453" s="208"/>
      <c r="CZ453" s="208"/>
      <c r="DA453" s="208"/>
      <c r="DB453" s="208"/>
      <c r="DC453" s="208"/>
      <c r="DD453" s="208"/>
      <c r="DE453" s="208"/>
      <c r="DF453" s="208"/>
      <c r="DG453" s="208"/>
      <c r="DH453" s="208"/>
      <c r="DI453" s="208"/>
      <c r="DJ453" s="208"/>
      <c r="DK453" s="208"/>
      <c r="DL453" s="208"/>
      <c r="DM453" s="208"/>
      <c r="DN453" s="208"/>
      <c r="DO453" s="208"/>
      <c r="DP453" s="208"/>
      <c r="DQ453" s="208"/>
      <c r="DR453" s="208"/>
      <c r="DS453" s="208"/>
      <c r="DT453" s="208"/>
      <c r="DU453" s="208"/>
      <c r="DV453" s="208"/>
      <c r="DW453" s="208"/>
      <c r="DX453" s="208"/>
      <c r="DY453" s="208"/>
      <c r="DZ453" s="208"/>
      <c r="EA453" s="208"/>
      <c r="EB453" s="208"/>
      <c r="EC453" s="208"/>
      <c r="ED453" s="208"/>
      <c r="EE453" s="208"/>
      <c r="EF453" s="208"/>
      <c r="EG453" s="208"/>
      <c r="EH453" s="208"/>
      <c r="EI453" s="208"/>
      <c r="EJ453" s="208"/>
      <c r="EK453" s="208"/>
      <c r="EL453" s="208"/>
      <c r="EM453" s="208"/>
      <c r="EN453" s="208"/>
      <c r="EO453" s="208"/>
      <c r="EP453" s="208"/>
      <c r="EQ453" s="208"/>
      <c r="ER453" s="208"/>
      <c r="ES453" s="208"/>
      <c r="ET453" s="208"/>
      <c r="EU453" s="208"/>
      <c r="EV453" s="208"/>
      <c r="EW453" s="208"/>
      <c r="EX453" s="208"/>
      <c r="EY453" s="208"/>
      <c r="EZ453" s="208"/>
      <c r="FA453" s="208"/>
      <c r="FB453" s="208"/>
      <c r="FC453" s="208"/>
      <c r="FD453" s="208"/>
      <c r="FE453" s="208"/>
      <c r="FF453" s="208"/>
      <c r="FG453" s="208"/>
      <c r="FH453" s="208"/>
      <c r="FI453" s="208"/>
      <c r="FJ453" s="208"/>
      <c r="FK453" s="208"/>
      <c r="FL453" s="208"/>
      <c r="FM453" s="208"/>
      <c r="FN453" s="208"/>
      <c r="FO453" s="208"/>
      <c r="FP453" s="208"/>
      <c r="FQ453" s="208"/>
      <c r="FR453" s="208"/>
      <c r="FS453" s="208"/>
      <c r="FT453" s="208"/>
      <c r="FU453" s="208"/>
      <c r="FV453" s="208"/>
      <c r="FW453" s="208"/>
      <c r="FX453" s="208"/>
      <c r="FY453" s="208"/>
      <c r="FZ453" s="208"/>
      <c r="GA453" s="208"/>
      <c r="GB453" s="208"/>
      <c r="GC453" s="208"/>
      <c r="GD453" s="208"/>
      <c r="GE453" s="208"/>
      <c r="GF453" s="208"/>
    </row>
    <row r="454" spans="1:188" s="209" customFormat="1" ht="15" x14ac:dyDescent="0.25">
      <c r="A454" s="195" t="s">
        <v>5238</v>
      </c>
      <c r="B454" s="195" t="s">
        <v>2573</v>
      </c>
      <c r="C454" s="196" t="s">
        <v>2574</v>
      </c>
      <c r="D454" s="154" t="s">
        <v>28</v>
      </c>
      <c r="E454" s="154">
        <v>5</v>
      </c>
      <c r="F454" s="154"/>
      <c r="G454" s="197">
        <v>5</v>
      </c>
      <c r="H454" s="198">
        <f t="shared" si="62"/>
        <v>1.6666666666666666E-2</v>
      </c>
      <c r="I454" s="247">
        <v>124.27</v>
      </c>
      <c r="J454" s="152"/>
      <c r="K454" s="198"/>
      <c r="L454" s="152">
        <f t="shared" si="63"/>
        <v>10.36</v>
      </c>
      <c r="M454" s="152">
        <f t="shared" si="64"/>
        <v>621.6</v>
      </c>
      <c r="N454" s="153"/>
      <c r="O454" s="152"/>
      <c r="Q454" s="208"/>
      <c r="R454" s="208"/>
      <c r="S454"/>
      <c r="T454" s="208"/>
      <c r="U454" s="208"/>
      <c r="V454" s="208"/>
      <c r="W454" s="208"/>
      <c r="X454" s="208"/>
      <c r="Y454" s="208"/>
      <c r="Z454" s="208"/>
      <c r="AA454" s="208"/>
      <c r="AB454" s="208"/>
      <c r="AC454" s="208"/>
      <c r="AD454" s="208"/>
      <c r="AE454" s="208"/>
      <c r="AF454" s="208"/>
      <c r="AG454" s="208"/>
      <c r="AH454" s="208"/>
      <c r="AI454" s="208"/>
      <c r="AJ454" s="208"/>
      <c r="AK454" s="208"/>
      <c r="AL454" s="208"/>
      <c r="AM454" s="208"/>
      <c r="AN454" s="208"/>
      <c r="AO454" s="208"/>
      <c r="AP454" s="208"/>
      <c r="AQ454" s="208"/>
      <c r="AR454" s="208"/>
      <c r="AS454" s="208"/>
      <c r="AT454" s="208"/>
      <c r="AU454" s="208"/>
      <c r="AV454" s="208"/>
      <c r="AW454" s="208"/>
      <c r="AX454" s="208"/>
      <c r="AY454" s="208"/>
      <c r="AZ454" s="208"/>
      <c r="BA454" s="208"/>
      <c r="BB454" s="208"/>
      <c r="BC454" s="208"/>
      <c r="BD454" s="208"/>
      <c r="BE454" s="208"/>
      <c r="BF454" s="208"/>
      <c r="BG454" s="208"/>
      <c r="BH454" s="208"/>
      <c r="BI454" s="208"/>
      <c r="BJ454" s="208"/>
      <c r="BK454" s="208"/>
      <c r="BL454" s="208"/>
      <c r="BM454" s="208"/>
      <c r="BN454" s="208"/>
      <c r="BO454" s="208"/>
      <c r="BP454" s="208"/>
      <c r="BQ454" s="208"/>
      <c r="BR454" s="208"/>
      <c r="BS454" s="208"/>
      <c r="BT454" s="208"/>
      <c r="BU454" s="208"/>
      <c r="BV454" s="208"/>
      <c r="BW454" s="208"/>
      <c r="BX454" s="208"/>
      <c r="BY454" s="208"/>
      <c r="BZ454" s="208"/>
      <c r="CA454" s="208"/>
      <c r="CB454" s="208"/>
      <c r="CC454" s="208"/>
      <c r="CD454" s="208"/>
      <c r="CE454" s="208"/>
      <c r="CF454" s="208"/>
      <c r="CG454" s="208"/>
      <c r="CH454" s="208"/>
      <c r="CI454" s="208"/>
      <c r="CJ454" s="208"/>
      <c r="CK454" s="208"/>
      <c r="CL454" s="208"/>
      <c r="CM454" s="208"/>
      <c r="CN454" s="208"/>
      <c r="CO454" s="208"/>
      <c r="CP454" s="208"/>
      <c r="CQ454" s="208"/>
      <c r="CR454" s="208"/>
      <c r="CS454" s="208"/>
      <c r="CT454" s="208"/>
      <c r="CU454" s="208"/>
      <c r="CV454" s="208"/>
      <c r="CW454" s="208"/>
      <c r="CX454" s="208"/>
      <c r="CY454" s="208"/>
      <c r="CZ454" s="208"/>
      <c r="DA454" s="208"/>
      <c r="DB454" s="208"/>
      <c r="DC454" s="208"/>
      <c r="DD454" s="208"/>
      <c r="DE454" s="208"/>
      <c r="DF454" s="208"/>
      <c r="DG454" s="208"/>
      <c r="DH454" s="208"/>
      <c r="DI454" s="208"/>
      <c r="DJ454" s="208"/>
      <c r="DK454" s="208"/>
      <c r="DL454" s="208"/>
      <c r="DM454" s="208"/>
      <c r="DN454" s="208"/>
      <c r="DO454" s="208"/>
      <c r="DP454" s="208"/>
      <c r="DQ454" s="208"/>
      <c r="DR454" s="208"/>
      <c r="DS454" s="208"/>
      <c r="DT454" s="208"/>
      <c r="DU454" s="208"/>
      <c r="DV454" s="208"/>
      <c r="DW454" s="208"/>
      <c r="DX454" s="208"/>
      <c r="DY454" s="208"/>
      <c r="DZ454" s="208"/>
      <c r="EA454" s="208"/>
      <c r="EB454" s="208"/>
      <c r="EC454" s="208"/>
      <c r="ED454" s="208"/>
      <c r="EE454" s="208"/>
      <c r="EF454" s="208"/>
      <c r="EG454" s="208"/>
      <c r="EH454" s="208"/>
      <c r="EI454" s="208"/>
      <c r="EJ454" s="208"/>
      <c r="EK454" s="208"/>
      <c r="EL454" s="208"/>
      <c r="EM454" s="208"/>
      <c r="EN454" s="208"/>
      <c r="EO454" s="208"/>
      <c r="EP454" s="208"/>
      <c r="EQ454" s="208"/>
      <c r="ER454" s="208"/>
      <c r="ES454" s="208"/>
      <c r="ET454" s="208"/>
      <c r="EU454" s="208"/>
      <c r="EV454" s="208"/>
      <c r="EW454" s="208"/>
      <c r="EX454" s="208"/>
      <c r="EY454" s="208"/>
      <c r="EZ454" s="208"/>
      <c r="FA454" s="208"/>
      <c r="FB454" s="208"/>
      <c r="FC454" s="208"/>
      <c r="FD454" s="208"/>
      <c r="FE454" s="208"/>
      <c r="FF454" s="208"/>
      <c r="FG454" s="208"/>
      <c r="FH454" s="208"/>
      <c r="FI454" s="208"/>
      <c r="FJ454" s="208"/>
      <c r="FK454" s="208"/>
      <c r="FL454" s="208"/>
      <c r="FM454" s="208"/>
      <c r="FN454" s="208"/>
      <c r="FO454" s="208"/>
      <c r="FP454" s="208"/>
      <c r="FQ454" s="208"/>
      <c r="FR454" s="208"/>
      <c r="FS454" s="208"/>
      <c r="FT454" s="208"/>
      <c r="FU454" s="208"/>
      <c r="FV454" s="208"/>
      <c r="FW454" s="208"/>
      <c r="FX454" s="208"/>
      <c r="FY454" s="208"/>
      <c r="FZ454" s="208"/>
      <c r="GA454" s="208"/>
      <c r="GB454" s="208"/>
      <c r="GC454" s="208"/>
      <c r="GD454" s="208"/>
      <c r="GE454" s="208"/>
      <c r="GF454" s="208"/>
    </row>
    <row r="455" spans="1:188" s="209" customFormat="1" ht="15" x14ac:dyDescent="0.25">
      <c r="A455" s="195" t="s">
        <v>5239</v>
      </c>
      <c r="B455" s="195" t="s">
        <v>679</v>
      </c>
      <c r="C455" s="196" t="s">
        <v>2575</v>
      </c>
      <c r="D455" s="154" t="s">
        <v>28</v>
      </c>
      <c r="E455" s="154">
        <v>5</v>
      </c>
      <c r="F455" s="154"/>
      <c r="G455" s="197">
        <v>5</v>
      </c>
      <c r="H455" s="198">
        <f t="shared" si="62"/>
        <v>1.6666666666666666E-2</v>
      </c>
      <c r="I455" s="151">
        <v>45.16</v>
      </c>
      <c r="J455" s="152"/>
      <c r="K455" s="198"/>
      <c r="L455" s="152">
        <f t="shared" si="63"/>
        <v>3.76</v>
      </c>
      <c r="M455" s="152">
        <f t="shared" si="64"/>
        <v>225.6</v>
      </c>
      <c r="N455" s="153"/>
      <c r="O455" s="152"/>
      <c r="Q455" s="208"/>
      <c r="R455" s="208"/>
      <c r="S455"/>
      <c r="T455" s="208"/>
      <c r="U455" s="208"/>
      <c r="V455" s="208"/>
      <c r="W455" s="208"/>
      <c r="X455" s="208"/>
      <c r="Y455" s="208"/>
      <c r="Z455" s="208"/>
      <c r="AA455" s="208"/>
      <c r="AB455" s="208"/>
      <c r="AC455" s="208"/>
      <c r="AD455" s="208"/>
      <c r="AE455" s="208"/>
      <c r="AF455" s="208"/>
      <c r="AG455" s="208"/>
      <c r="AH455" s="208"/>
      <c r="AI455" s="208"/>
      <c r="AJ455" s="208"/>
      <c r="AK455" s="208"/>
      <c r="AL455" s="208"/>
      <c r="AM455" s="208"/>
      <c r="AN455" s="208"/>
      <c r="AO455" s="208"/>
      <c r="AP455" s="208"/>
      <c r="AQ455" s="208"/>
      <c r="AR455" s="208"/>
      <c r="AS455" s="208"/>
      <c r="AT455" s="208"/>
      <c r="AU455" s="208"/>
      <c r="AV455" s="208"/>
      <c r="AW455" s="208"/>
      <c r="AX455" s="208"/>
      <c r="AY455" s="208"/>
      <c r="AZ455" s="208"/>
      <c r="BA455" s="208"/>
      <c r="BB455" s="208"/>
      <c r="BC455" s="208"/>
      <c r="BD455" s="208"/>
      <c r="BE455" s="208"/>
      <c r="BF455" s="208"/>
      <c r="BG455" s="208"/>
      <c r="BH455" s="208"/>
      <c r="BI455" s="208"/>
      <c r="BJ455" s="208"/>
      <c r="BK455" s="208"/>
      <c r="BL455" s="208"/>
      <c r="BM455" s="208"/>
      <c r="BN455" s="208"/>
      <c r="BO455" s="208"/>
      <c r="BP455" s="208"/>
      <c r="BQ455" s="208"/>
      <c r="BR455" s="208"/>
      <c r="BS455" s="208"/>
      <c r="BT455" s="208"/>
      <c r="BU455" s="208"/>
      <c r="BV455" s="208"/>
      <c r="BW455" s="208"/>
      <c r="BX455" s="208"/>
      <c r="BY455" s="208"/>
      <c r="BZ455" s="208"/>
      <c r="CA455" s="208"/>
      <c r="CB455" s="208"/>
      <c r="CC455" s="208"/>
      <c r="CD455" s="208"/>
      <c r="CE455" s="208"/>
      <c r="CF455" s="208"/>
      <c r="CG455" s="208"/>
      <c r="CH455" s="208"/>
      <c r="CI455" s="208"/>
      <c r="CJ455" s="208"/>
      <c r="CK455" s="208"/>
      <c r="CL455" s="208"/>
      <c r="CM455" s="208"/>
      <c r="CN455" s="208"/>
      <c r="CO455" s="208"/>
      <c r="CP455" s="208"/>
      <c r="CQ455" s="208"/>
      <c r="CR455" s="208"/>
      <c r="CS455" s="208"/>
      <c r="CT455" s="208"/>
      <c r="CU455" s="208"/>
      <c r="CV455" s="208"/>
      <c r="CW455" s="208"/>
      <c r="CX455" s="208"/>
      <c r="CY455" s="208"/>
      <c r="CZ455" s="208"/>
      <c r="DA455" s="208"/>
      <c r="DB455" s="208"/>
      <c r="DC455" s="208"/>
      <c r="DD455" s="208"/>
      <c r="DE455" s="208"/>
      <c r="DF455" s="208"/>
      <c r="DG455" s="208"/>
      <c r="DH455" s="208"/>
      <c r="DI455" s="208"/>
      <c r="DJ455" s="208"/>
      <c r="DK455" s="208"/>
      <c r="DL455" s="208"/>
      <c r="DM455" s="208"/>
      <c r="DN455" s="208"/>
      <c r="DO455" s="208"/>
      <c r="DP455" s="208"/>
      <c r="DQ455" s="208"/>
      <c r="DR455" s="208"/>
      <c r="DS455" s="208"/>
      <c r="DT455" s="208"/>
      <c r="DU455" s="208"/>
      <c r="DV455" s="208"/>
      <c r="DW455" s="208"/>
      <c r="DX455" s="208"/>
      <c r="DY455" s="208"/>
      <c r="DZ455" s="208"/>
      <c r="EA455" s="208"/>
      <c r="EB455" s="208"/>
      <c r="EC455" s="208"/>
      <c r="ED455" s="208"/>
      <c r="EE455" s="208"/>
      <c r="EF455" s="208"/>
      <c r="EG455" s="208"/>
      <c r="EH455" s="208"/>
      <c r="EI455" s="208"/>
      <c r="EJ455" s="208"/>
      <c r="EK455" s="208"/>
      <c r="EL455" s="208"/>
      <c r="EM455" s="208"/>
      <c r="EN455" s="208"/>
      <c r="EO455" s="208"/>
      <c r="EP455" s="208"/>
      <c r="EQ455" s="208"/>
      <c r="ER455" s="208"/>
      <c r="ES455" s="208"/>
      <c r="ET455" s="208"/>
      <c r="EU455" s="208"/>
      <c r="EV455" s="208"/>
      <c r="EW455" s="208"/>
      <c r="EX455" s="208"/>
      <c r="EY455" s="208"/>
      <c r="EZ455" s="208"/>
      <c r="FA455" s="208"/>
      <c r="FB455" s="208"/>
      <c r="FC455" s="208"/>
      <c r="FD455" s="208"/>
      <c r="FE455" s="208"/>
      <c r="FF455" s="208"/>
      <c r="FG455" s="208"/>
      <c r="FH455" s="208"/>
      <c r="FI455" s="208"/>
      <c r="FJ455" s="208"/>
      <c r="FK455" s="208"/>
      <c r="FL455" s="208"/>
      <c r="FM455" s="208"/>
      <c r="FN455" s="208"/>
      <c r="FO455" s="208"/>
      <c r="FP455" s="208"/>
      <c r="FQ455" s="208"/>
      <c r="FR455" s="208"/>
      <c r="FS455" s="208"/>
      <c r="FT455" s="208"/>
      <c r="FU455" s="208"/>
      <c r="FV455" s="208"/>
      <c r="FW455" s="208"/>
      <c r="FX455" s="208"/>
      <c r="FY455" s="208"/>
      <c r="FZ455" s="208"/>
      <c r="GA455" s="208"/>
      <c r="GB455" s="208"/>
      <c r="GC455" s="208"/>
      <c r="GD455" s="208"/>
      <c r="GE455" s="208"/>
      <c r="GF455" s="208"/>
    </row>
    <row r="456" spans="1:188" s="209" customFormat="1" ht="15" x14ac:dyDescent="0.25">
      <c r="A456" s="195" t="s">
        <v>5240</v>
      </c>
      <c r="B456" s="195" t="s">
        <v>680</v>
      </c>
      <c r="C456" s="196" t="s">
        <v>2576</v>
      </c>
      <c r="D456" s="154" t="s">
        <v>28</v>
      </c>
      <c r="E456" s="154">
        <v>18</v>
      </c>
      <c r="F456" s="154"/>
      <c r="G456" s="197">
        <v>5</v>
      </c>
      <c r="H456" s="198">
        <f t="shared" si="62"/>
        <v>1.6666666666666666E-2</v>
      </c>
      <c r="I456" s="151">
        <v>51.5</v>
      </c>
      <c r="J456" s="152"/>
      <c r="K456" s="198"/>
      <c r="L456" s="152">
        <f t="shared" si="63"/>
        <v>15.45</v>
      </c>
      <c r="M456" s="152">
        <f t="shared" si="64"/>
        <v>927</v>
      </c>
      <c r="N456" s="153"/>
      <c r="O456" s="152"/>
      <c r="Q456" s="208"/>
      <c r="R456" s="208"/>
      <c r="S456"/>
      <c r="T456" s="208"/>
      <c r="U456" s="208"/>
      <c r="V456" s="208"/>
      <c r="W456" s="208"/>
      <c r="X456" s="208"/>
      <c r="Y456" s="208"/>
      <c r="Z456" s="208"/>
      <c r="AA456" s="208"/>
      <c r="AB456" s="208"/>
      <c r="AC456" s="208"/>
      <c r="AD456" s="208"/>
      <c r="AE456" s="208"/>
      <c r="AF456" s="208"/>
      <c r="AG456" s="208"/>
      <c r="AH456" s="208"/>
      <c r="AI456" s="208"/>
      <c r="AJ456" s="208"/>
      <c r="AK456" s="208"/>
      <c r="AL456" s="208"/>
      <c r="AM456" s="208"/>
      <c r="AN456" s="208"/>
      <c r="AO456" s="208"/>
      <c r="AP456" s="208"/>
      <c r="AQ456" s="208"/>
      <c r="AR456" s="208"/>
      <c r="AS456" s="208"/>
      <c r="AT456" s="208"/>
      <c r="AU456" s="208"/>
      <c r="AV456" s="208"/>
      <c r="AW456" s="208"/>
      <c r="AX456" s="208"/>
      <c r="AY456" s="208"/>
      <c r="AZ456" s="208"/>
      <c r="BA456" s="208"/>
      <c r="BB456" s="208"/>
      <c r="BC456" s="208"/>
      <c r="BD456" s="208"/>
      <c r="BE456" s="208"/>
      <c r="BF456" s="208"/>
      <c r="BG456" s="208"/>
      <c r="BH456" s="208"/>
      <c r="BI456" s="208"/>
      <c r="BJ456" s="208"/>
      <c r="BK456" s="208"/>
      <c r="BL456" s="208"/>
      <c r="BM456" s="208"/>
      <c r="BN456" s="208"/>
      <c r="BO456" s="208"/>
      <c r="BP456" s="208"/>
      <c r="BQ456" s="208"/>
      <c r="BR456" s="208"/>
      <c r="BS456" s="208"/>
      <c r="BT456" s="208"/>
      <c r="BU456" s="208"/>
      <c r="BV456" s="208"/>
      <c r="BW456" s="208"/>
      <c r="BX456" s="208"/>
      <c r="BY456" s="208"/>
      <c r="BZ456" s="208"/>
      <c r="CA456" s="208"/>
      <c r="CB456" s="208"/>
      <c r="CC456" s="208"/>
      <c r="CD456" s="208"/>
      <c r="CE456" s="208"/>
      <c r="CF456" s="208"/>
      <c r="CG456" s="208"/>
      <c r="CH456" s="208"/>
      <c r="CI456" s="208"/>
      <c r="CJ456" s="208"/>
      <c r="CK456" s="208"/>
      <c r="CL456" s="208"/>
      <c r="CM456" s="208"/>
      <c r="CN456" s="208"/>
      <c r="CO456" s="208"/>
      <c r="CP456" s="208"/>
      <c r="CQ456" s="208"/>
      <c r="CR456" s="208"/>
      <c r="CS456" s="208"/>
      <c r="CT456" s="208"/>
      <c r="CU456" s="208"/>
      <c r="CV456" s="208"/>
      <c r="CW456" s="208"/>
      <c r="CX456" s="208"/>
      <c r="CY456" s="208"/>
      <c r="CZ456" s="208"/>
      <c r="DA456" s="208"/>
      <c r="DB456" s="208"/>
      <c r="DC456" s="208"/>
      <c r="DD456" s="208"/>
      <c r="DE456" s="208"/>
      <c r="DF456" s="208"/>
      <c r="DG456" s="208"/>
      <c r="DH456" s="208"/>
      <c r="DI456" s="208"/>
      <c r="DJ456" s="208"/>
      <c r="DK456" s="208"/>
      <c r="DL456" s="208"/>
      <c r="DM456" s="208"/>
      <c r="DN456" s="208"/>
      <c r="DO456" s="208"/>
      <c r="DP456" s="208"/>
      <c r="DQ456" s="208"/>
      <c r="DR456" s="208"/>
      <c r="DS456" s="208"/>
      <c r="DT456" s="208"/>
      <c r="DU456" s="208"/>
      <c r="DV456" s="208"/>
      <c r="DW456" s="208"/>
      <c r="DX456" s="208"/>
      <c r="DY456" s="208"/>
      <c r="DZ456" s="208"/>
      <c r="EA456" s="208"/>
      <c r="EB456" s="208"/>
      <c r="EC456" s="208"/>
      <c r="ED456" s="208"/>
      <c r="EE456" s="208"/>
      <c r="EF456" s="208"/>
      <c r="EG456" s="208"/>
      <c r="EH456" s="208"/>
      <c r="EI456" s="208"/>
      <c r="EJ456" s="208"/>
      <c r="EK456" s="208"/>
      <c r="EL456" s="208"/>
      <c r="EM456" s="208"/>
      <c r="EN456" s="208"/>
      <c r="EO456" s="208"/>
      <c r="EP456" s="208"/>
      <c r="EQ456" s="208"/>
      <c r="ER456" s="208"/>
      <c r="ES456" s="208"/>
      <c r="ET456" s="208"/>
      <c r="EU456" s="208"/>
      <c r="EV456" s="208"/>
      <c r="EW456" s="208"/>
      <c r="EX456" s="208"/>
      <c r="EY456" s="208"/>
      <c r="EZ456" s="208"/>
      <c r="FA456" s="208"/>
      <c r="FB456" s="208"/>
      <c r="FC456" s="208"/>
      <c r="FD456" s="208"/>
      <c r="FE456" s="208"/>
      <c r="FF456" s="208"/>
      <c r="FG456" s="208"/>
      <c r="FH456" s="208"/>
      <c r="FI456" s="208"/>
      <c r="FJ456" s="208"/>
      <c r="FK456" s="208"/>
      <c r="FL456" s="208"/>
      <c r="FM456" s="208"/>
      <c r="FN456" s="208"/>
      <c r="FO456" s="208"/>
      <c r="FP456" s="208"/>
      <c r="FQ456" s="208"/>
      <c r="FR456" s="208"/>
      <c r="FS456" s="208"/>
      <c r="FT456" s="208"/>
      <c r="FU456" s="208"/>
      <c r="FV456" s="208"/>
      <c r="FW456" s="208"/>
      <c r="FX456" s="208"/>
      <c r="FY456" s="208"/>
      <c r="FZ456" s="208"/>
      <c r="GA456" s="208"/>
      <c r="GB456" s="208"/>
      <c r="GC456" s="208"/>
      <c r="GD456" s="208"/>
      <c r="GE456" s="208"/>
      <c r="GF456" s="208"/>
    </row>
    <row r="457" spans="1:188" s="209" customFormat="1" ht="15" x14ac:dyDescent="0.25">
      <c r="A457" s="195" t="s">
        <v>5241</v>
      </c>
      <c r="B457" s="195" t="s">
        <v>2988</v>
      </c>
      <c r="C457" s="196" t="s">
        <v>2989</v>
      </c>
      <c r="D457" s="154" t="s">
        <v>28</v>
      </c>
      <c r="E457" s="154">
        <v>18</v>
      </c>
      <c r="F457" s="154"/>
      <c r="G457" s="197">
        <v>5</v>
      </c>
      <c r="H457" s="198">
        <f t="shared" si="62"/>
        <v>1.6666666666666666E-2</v>
      </c>
      <c r="I457" s="247">
        <v>60.92</v>
      </c>
      <c r="J457" s="152"/>
      <c r="K457" s="198"/>
      <c r="L457" s="152">
        <f t="shared" si="63"/>
        <v>18.28</v>
      </c>
      <c r="M457" s="152">
        <f t="shared" si="64"/>
        <v>1096.8</v>
      </c>
      <c r="N457" s="153"/>
      <c r="O457" s="152"/>
      <c r="Q457" s="208"/>
      <c r="R457" s="208"/>
      <c r="S457"/>
      <c r="T457" s="208"/>
      <c r="U457" s="208"/>
      <c r="V457" s="208"/>
      <c r="W457" s="208"/>
      <c r="X457" s="208"/>
      <c r="Y457" s="208"/>
      <c r="Z457" s="208"/>
      <c r="AA457" s="208"/>
      <c r="AB457" s="208"/>
      <c r="AC457" s="208"/>
      <c r="AD457" s="208"/>
      <c r="AE457" s="208"/>
      <c r="AF457" s="208"/>
      <c r="AG457" s="208"/>
      <c r="AH457" s="208"/>
      <c r="AI457" s="208"/>
      <c r="AJ457" s="208"/>
      <c r="AK457" s="208"/>
      <c r="AL457" s="208"/>
      <c r="AM457" s="208"/>
      <c r="AN457" s="208"/>
      <c r="AO457" s="208"/>
      <c r="AP457" s="208"/>
      <c r="AQ457" s="208"/>
      <c r="AR457" s="208"/>
      <c r="AS457" s="208"/>
      <c r="AT457" s="208"/>
      <c r="AU457" s="208"/>
      <c r="AV457" s="208"/>
      <c r="AW457" s="208"/>
      <c r="AX457" s="208"/>
      <c r="AY457" s="208"/>
      <c r="AZ457" s="208"/>
      <c r="BA457" s="208"/>
      <c r="BB457" s="208"/>
      <c r="BC457" s="208"/>
      <c r="BD457" s="208"/>
      <c r="BE457" s="208"/>
      <c r="BF457" s="208"/>
      <c r="BG457" s="208"/>
      <c r="BH457" s="208"/>
      <c r="BI457" s="208"/>
      <c r="BJ457" s="208"/>
      <c r="BK457" s="208"/>
      <c r="BL457" s="208"/>
      <c r="BM457" s="208"/>
      <c r="BN457" s="208"/>
      <c r="BO457" s="208"/>
      <c r="BP457" s="208"/>
      <c r="BQ457" s="208"/>
      <c r="BR457" s="208"/>
      <c r="BS457" s="208"/>
      <c r="BT457" s="208"/>
      <c r="BU457" s="208"/>
      <c r="BV457" s="208"/>
      <c r="BW457" s="208"/>
      <c r="BX457" s="208"/>
      <c r="BY457" s="208"/>
      <c r="BZ457" s="208"/>
      <c r="CA457" s="208"/>
      <c r="CB457" s="208"/>
      <c r="CC457" s="208"/>
      <c r="CD457" s="208"/>
      <c r="CE457" s="208"/>
      <c r="CF457" s="208"/>
      <c r="CG457" s="208"/>
      <c r="CH457" s="208"/>
      <c r="CI457" s="208"/>
      <c r="CJ457" s="208"/>
      <c r="CK457" s="208"/>
      <c r="CL457" s="208"/>
      <c r="CM457" s="208"/>
      <c r="CN457" s="208"/>
      <c r="CO457" s="208"/>
      <c r="CP457" s="208"/>
      <c r="CQ457" s="208"/>
      <c r="CR457" s="208"/>
      <c r="CS457" s="208"/>
      <c r="CT457" s="208"/>
      <c r="CU457" s="208"/>
      <c r="CV457" s="208"/>
      <c r="CW457" s="208"/>
      <c r="CX457" s="208"/>
      <c r="CY457" s="208"/>
      <c r="CZ457" s="208"/>
      <c r="DA457" s="208"/>
      <c r="DB457" s="208"/>
      <c r="DC457" s="208"/>
      <c r="DD457" s="208"/>
      <c r="DE457" s="208"/>
      <c r="DF457" s="208"/>
      <c r="DG457" s="208"/>
      <c r="DH457" s="208"/>
      <c r="DI457" s="208"/>
      <c r="DJ457" s="208"/>
      <c r="DK457" s="208"/>
      <c r="DL457" s="208"/>
      <c r="DM457" s="208"/>
      <c r="DN457" s="208"/>
      <c r="DO457" s="208"/>
      <c r="DP457" s="208"/>
      <c r="DQ457" s="208"/>
      <c r="DR457" s="208"/>
      <c r="DS457" s="208"/>
      <c r="DT457" s="208"/>
      <c r="DU457" s="208"/>
      <c r="DV457" s="208"/>
      <c r="DW457" s="208"/>
      <c r="DX457" s="208"/>
      <c r="DY457" s="208"/>
      <c r="DZ457" s="208"/>
      <c r="EA457" s="208"/>
      <c r="EB457" s="208"/>
      <c r="EC457" s="208"/>
      <c r="ED457" s="208"/>
      <c r="EE457" s="208"/>
      <c r="EF457" s="208"/>
      <c r="EG457" s="208"/>
      <c r="EH457" s="208"/>
      <c r="EI457" s="208"/>
      <c r="EJ457" s="208"/>
      <c r="EK457" s="208"/>
      <c r="EL457" s="208"/>
      <c r="EM457" s="208"/>
      <c r="EN457" s="208"/>
      <c r="EO457" s="208"/>
      <c r="EP457" s="208"/>
      <c r="EQ457" s="208"/>
      <c r="ER457" s="208"/>
      <c r="ES457" s="208"/>
      <c r="ET457" s="208"/>
      <c r="EU457" s="208"/>
      <c r="EV457" s="208"/>
      <c r="EW457" s="208"/>
      <c r="EX457" s="208"/>
      <c r="EY457" s="208"/>
      <c r="EZ457" s="208"/>
      <c r="FA457" s="208"/>
      <c r="FB457" s="208"/>
      <c r="FC457" s="208"/>
      <c r="FD457" s="208"/>
      <c r="FE457" s="208"/>
      <c r="FF457" s="208"/>
      <c r="FG457" s="208"/>
      <c r="FH457" s="208"/>
      <c r="FI457" s="208"/>
      <c r="FJ457" s="208"/>
      <c r="FK457" s="208"/>
      <c r="FL457" s="208"/>
      <c r="FM457" s="208"/>
      <c r="FN457" s="208"/>
      <c r="FO457" s="208"/>
      <c r="FP457" s="208"/>
      <c r="FQ457" s="208"/>
      <c r="FR457" s="208"/>
      <c r="FS457" s="208"/>
      <c r="FT457" s="208"/>
      <c r="FU457" s="208"/>
      <c r="FV457" s="208"/>
      <c r="FW457" s="208"/>
      <c r="FX457" s="208"/>
      <c r="FY457" s="208"/>
      <c r="FZ457" s="208"/>
      <c r="GA457" s="208"/>
      <c r="GB457" s="208"/>
      <c r="GC457" s="208"/>
      <c r="GD457" s="208"/>
      <c r="GE457" s="208"/>
      <c r="GF457" s="208"/>
    </row>
    <row r="458" spans="1:188" s="209" customFormat="1" ht="15" x14ac:dyDescent="0.25">
      <c r="A458" s="195" t="s">
        <v>5242</v>
      </c>
      <c r="B458" s="195" t="s">
        <v>681</v>
      </c>
      <c r="C458" s="196" t="s">
        <v>2579</v>
      </c>
      <c r="D458" s="154" t="s">
        <v>28</v>
      </c>
      <c r="E458" s="154">
        <v>5</v>
      </c>
      <c r="F458" s="154"/>
      <c r="G458" s="197">
        <v>5</v>
      </c>
      <c r="H458" s="198">
        <f t="shared" si="62"/>
        <v>1.6666666666666666E-2</v>
      </c>
      <c r="I458" s="151">
        <v>120.86</v>
      </c>
      <c r="J458" s="152"/>
      <c r="K458" s="198"/>
      <c r="L458" s="152">
        <f t="shared" si="63"/>
        <v>10.07</v>
      </c>
      <c r="M458" s="152">
        <f t="shared" si="64"/>
        <v>604.20000000000005</v>
      </c>
      <c r="N458" s="153"/>
      <c r="O458" s="152"/>
      <c r="Q458" s="208"/>
      <c r="R458" s="208"/>
      <c r="S458"/>
      <c r="T458" s="208"/>
      <c r="U458" s="208"/>
      <c r="V458" s="208"/>
      <c r="W458" s="208"/>
      <c r="X458" s="208"/>
      <c r="Y458" s="208"/>
      <c r="Z458" s="208"/>
      <c r="AA458" s="208"/>
      <c r="AB458" s="208"/>
      <c r="AC458" s="208"/>
      <c r="AD458" s="208"/>
      <c r="AE458" s="208"/>
      <c r="AF458" s="208"/>
      <c r="AG458" s="208"/>
      <c r="AH458" s="208"/>
      <c r="AI458" s="208"/>
      <c r="AJ458" s="208"/>
      <c r="AK458" s="208"/>
      <c r="AL458" s="208"/>
      <c r="AM458" s="208"/>
      <c r="AN458" s="208"/>
      <c r="AO458" s="208"/>
      <c r="AP458" s="208"/>
      <c r="AQ458" s="208"/>
      <c r="AR458" s="208"/>
      <c r="AS458" s="208"/>
      <c r="AT458" s="208"/>
      <c r="AU458" s="208"/>
      <c r="AV458" s="208"/>
      <c r="AW458" s="208"/>
      <c r="AX458" s="208"/>
      <c r="AY458" s="208"/>
      <c r="AZ458" s="208"/>
      <c r="BA458" s="208"/>
      <c r="BB458" s="208"/>
      <c r="BC458" s="208"/>
      <c r="BD458" s="208"/>
      <c r="BE458" s="208"/>
      <c r="BF458" s="208"/>
      <c r="BG458" s="208"/>
      <c r="BH458" s="208"/>
      <c r="BI458" s="208"/>
      <c r="BJ458" s="208"/>
      <c r="BK458" s="208"/>
      <c r="BL458" s="208"/>
      <c r="BM458" s="208"/>
      <c r="BN458" s="208"/>
      <c r="BO458" s="208"/>
      <c r="BP458" s="208"/>
      <c r="BQ458" s="208"/>
      <c r="BR458" s="208"/>
      <c r="BS458" s="208"/>
      <c r="BT458" s="208"/>
      <c r="BU458" s="208"/>
      <c r="BV458" s="208"/>
      <c r="BW458" s="208"/>
      <c r="BX458" s="208"/>
      <c r="BY458" s="208"/>
      <c r="BZ458" s="208"/>
      <c r="CA458" s="208"/>
      <c r="CB458" s="208"/>
      <c r="CC458" s="208"/>
      <c r="CD458" s="208"/>
      <c r="CE458" s="208"/>
      <c r="CF458" s="208"/>
      <c r="CG458" s="208"/>
      <c r="CH458" s="208"/>
      <c r="CI458" s="208"/>
      <c r="CJ458" s="208"/>
      <c r="CK458" s="208"/>
      <c r="CL458" s="208"/>
      <c r="CM458" s="208"/>
      <c r="CN458" s="208"/>
      <c r="CO458" s="208"/>
      <c r="CP458" s="208"/>
      <c r="CQ458" s="208"/>
      <c r="CR458" s="208"/>
      <c r="CS458" s="208"/>
      <c r="CT458" s="208"/>
      <c r="CU458" s="208"/>
      <c r="CV458" s="208"/>
      <c r="CW458" s="208"/>
      <c r="CX458" s="208"/>
      <c r="CY458" s="208"/>
      <c r="CZ458" s="208"/>
      <c r="DA458" s="208"/>
      <c r="DB458" s="208"/>
      <c r="DC458" s="208"/>
      <c r="DD458" s="208"/>
      <c r="DE458" s="208"/>
      <c r="DF458" s="208"/>
      <c r="DG458" s="208"/>
      <c r="DH458" s="208"/>
      <c r="DI458" s="208"/>
      <c r="DJ458" s="208"/>
      <c r="DK458" s="208"/>
      <c r="DL458" s="208"/>
      <c r="DM458" s="208"/>
      <c r="DN458" s="208"/>
      <c r="DO458" s="208"/>
      <c r="DP458" s="208"/>
      <c r="DQ458" s="208"/>
      <c r="DR458" s="208"/>
      <c r="DS458" s="208"/>
      <c r="DT458" s="208"/>
      <c r="DU458" s="208"/>
      <c r="DV458" s="208"/>
      <c r="DW458" s="208"/>
      <c r="DX458" s="208"/>
      <c r="DY458" s="208"/>
      <c r="DZ458" s="208"/>
      <c r="EA458" s="208"/>
      <c r="EB458" s="208"/>
      <c r="EC458" s="208"/>
      <c r="ED458" s="208"/>
      <c r="EE458" s="208"/>
      <c r="EF458" s="208"/>
      <c r="EG458" s="208"/>
      <c r="EH458" s="208"/>
      <c r="EI458" s="208"/>
      <c r="EJ458" s="208"/>
      <c r="EK458" s="208"/>
      <c r="EL458" s="208"/>
      <c r="EM458" s="208"/>
      <c r="EN458" s="208"/>
      <c r="EO458" s="208"/>
      <c r="EP458" s="208"/>
      <c r="EQ458" s="208"/>
      <c r="ER458" s="208"/>
      <c r="ES458" s="208"/>
      <c r="ET458" s="208"/>
      <c r="EU458" s="208"/>
      <c r="EV458" s="208"/>
      <c r="EW458" s="208"/>
      <c r="EX458" s="208"/>
      <c r="EY458" s="208"/>
      <c r="EZ458" s="208"/>
      <c r="FA458" s="208"/>
      <c r="FB458" s="208"/>
      <c r="FC458" s="208"/>
      <c r="FD458" s="208"/>
      <c r="FE458" s="208"/>
      <c r="FF458" s="208"/>
      <c r="FG458" s="208"/>
      <c r="FH458" s="208"/>
      <c r="FI458" s="208"/>
      <c r="FJ458" s="208"/>
      <c r="FK458" s="208"/>
      <c r="FL458" s="208"/>
      <c r="FM458" s="208"/>
      <c r="FN458" s="208"/>
      <c r="FO458" s="208"/>
      <c r="FP458" s="208"/>
      <c r="FQ458" s="208"/>
      <c r="FR458" s="208"/>
      <c r="FS458" s="208"/>
      <c r="FT458" s="208"/>
      <c r="FU458" s="208"/>
      <c r="FV458" s="208"/>
      <c r="FW458" s="208"/>
      <c r="FX458" s="208"/>
      <c r="FY458" s="208"/>
      <c r="FZ458" s="208"/>
      <c r="GA458" s="208"/>
      <c r="GB458" s="208"/>
      <c r="GC458" s="208"/>
      <c r="GD458" s="208"/>
      <c r="GE458" s="208"/>
      <c r="GF458" s="208"/>
    </row>
    <row r="459" spans="1:188" s="209" customFormat="1" ht="15" x14ac:dyDescent="0.25">
      <c r="A459" s="195" t="s">
        <v>5243</v>
      </c>
      <c r="B459" s="195" t="s">
        <v>2614</v>
      </c>
      <c r="C459" s="196" t="s">
        <v>2615</v>
      </c>
      <c r="D459" s="154" t="s">
        <v>28</v>
      </c>
      <c r="E459" s="154">
        <v>5</v>
      </c>
      <c r="F459" s="154"/>
      <c r="G459" s="197">
        <v>5</v>
      </c>
      <c r="H459" s="198">
        <f t="shared" si="62"/>
        <v>1.6666666666666666E-2</v>
      </c>
      <c r="I459" s="247">
        <v>22.8</v>
      </c>
      <c r="J459" s="152"/>
      <c r="K459" s="198"/>
      <c r="L459" s="152">
        <f t="shared" si="63"/>
        <v>1.9</v>
      </c>
      <c r="M459" s="152">
        <f t="shared" si="64"/>
        <v>114</v>
      </c>
      <c r="N459" s="153"/>
      <c r="O459" s="152"/>
      <c r="Q459" s="208"/>
      <c r="R459" s="208"/>
      <c r="S459"/>
      <c r="T459" s="208"/>
      <c r="U459" s="208"/>
      <c r="V459" s="208"/>
      <c r="W459" s="208"/>
      <c r="X459" s="208"/>
      <c r="Y459" s="208"/>
      <c r="Z459" s="208"/>
      <c r="AA459" s="208"/>
      <c r="AB459" s="208"/>
      <c r="AC459" s="208"/>
      <c r="AD459" s="208"/>
      <c r="AE459" s="208"/>
      <c r="AF459" s="208"/>
      <c r="AG459" s="208"/>
      <c r="AH459" s="208"/>
      <c r="AI459" s="208"/>
      <c r="AJ459" s="208"/>
      <c r="AK459" s="208"/>
      <c r="AL459" s="208"/>
      <c r="AM459" s="208"/>
      <c r="AN459" s="208"/>
      <c r="AO459" s="208"/>
      <c r="AP459" s="208"/>
      <c r="AQ459" s="208"/>
      <c r="AR459" s="208"/>
      <c r="AS459" s="208"/>
      <c r="AT459" s="208"/>
      <c r="AU459" s="208"/>
      <c r="AV459" s="208"/>
      <c r="AW459" s="208"/>
      <c r="AX459" s="208"/>
      <c r="AY459" s="208"/>
      <c r="AZ459" s="208"/>
      <c r="BA459" s="208"/>
      <c r="BB459" s="208"/>
      <c r="BC459" s="208"/>
      <c r="BD459" s="208"/>
      <c r="BE459" s="208"/>
      <c r="BF459" s="208"/>
      <c r="BG459" s="208"/>
      <c r="BH459" s="208"/>
      <c r="BI459" s="208"/>
      <c r="BJ459" s="208"/>
      <c r="BK459" s="208"/>
      <c r="BL459" s="208"/>
      <c r="BM459" s="208"/>
      <c r="BN459" s="208"/>
      <c r="BO459" s="208"/>
      <c r="BP459" s="208"/>
      <c r="BQ459" s="208"/>
      <c r="BR459" s="208"/>
      <c r="BS459" s="208"/>
      <c r="BT459" s="208"/>
      <c r="BU459" s="208"/>
      <c r="BV459" s="208"/>
      <c r="BW459" s="208"/>
      <c r="BX459" s="208"/>
      <c r="BY459" s="208"/>
      <c r="BZ459" s="208"/>
      <c r="CA459" s="208"/>
      <c r="CB459" s="208"/>
      <c r="CC459" s="208"/>
      <c r="CD459" s="208"/>
      <c r="CE459" s="208"/>
      <c r="CF459" s="208"/>
      <c r="CG459" s="208"/>
      <c r="CH459" s="208"/>
      <c r="CI459" s="208"/>
      <c r="CJ459" s="208"/>
      <c r="CK459" s="208"/>
      <c r="CL459" s="208"/>
      <c r="CM459" s="208"/>
      <c r="CN459" s="208"/>
      <c r="CO459" s="208"/>
      <c r="CP459" s="208"/>
      <c r="CQ459" s="208"/>
      <c r="CR459" s="208"/>
      <c r="CS459" s="208"/>
      <c r="CT459" s="208"/>
      <c r="CU459" s="208"/>
      <c r="CV459" s="208"/>
      <c r="CW459" s="208"/>
      <c r="CX459" s="208"/>
      <c r="CY459" s="208"/>
      <c r="CZ459" s="208"/>
      <c r="DA459" s="208"/>
      <c r="DB459" s="208"/>
      <c r="DC459" s="208"/>
      <c r="DD459" s="208"/>
      <c r="DE459" s="208"/>
      <c r="DF459" s="208"/>
      <c r="DG459" s="208"/>
      <c r="DH459" s="208"/>
      <c r="DI459" s="208"/>
      <c r="DJ459" s="208"/>
      <c r="DK459" s="208"/>
      <c r="DL459" s="208"/>
      <c r="DM459" s="208"/>
      <c r="DN459" s="208"/>
      <c r="DO459" s="208"/>
      <c r="DP459" s="208"/>
      <c r="DQ459" s="208"/>
      <c r="DR459" s="208"/>
      <c r="DS459" s="208"/>
      <c r="DT459" s="208"/>
      <c r="DU459" s="208"/>
      <c r="DV459" s="208"/>
      <c r="DW459" s="208"/>
      <c r="DX459" s="208"/>
      <c r="DY459" s="208"/>
      <c r="DZ459" s="208"/>
      <c r="EA459" s="208"/>
      <c r="EB459" s="208"/>
      <c r="EC459" s="208"/>
      <c r="ED459" s="208"/>
      <c r="EE459" s="208"/>
      <c r="EF459" s="208"/>
      <c r="EG459" s="208"/>
      <c r="EH459" s="208"/>
      <c r="EI459" s="208"/>
      <c r="EJ459" s="208"/>
      <c r="EK459" s="208"/>
      <c r="EL459" s="208"/>
      <c r="EM459" s="208"/>
      <c r="EN459" s="208"/>
      <c r="EO459" s="208"/>
      <c r="EP459" s="208"/>
      <c r="EQ459" s="208"/>
      <c r="ER459" s="208"/>
      <c r="ES459" s="208"/>
      <c r="ET459" s="208"/>
      <c r="EU459" s="208"/>
      <c r="EV459" s="208"/>
      <c r="EW459" s="208"/>
      <c r="EX459" s="208"/>
      <c r="EY459" s="208"/>
      <c r="EZ459" s="208"/>
      <c r="FA459" s="208"/>
      <c r="FB459" s="208"/>
      <c r="FC459" s="208"/>
      <c r="FD459" s="208"/>
      <c r="FE459" s="208"/>
      <c r="FF459" s="208"/>
      <c r="FG459" s="208"/>
      <c r="FH459" s="208"/>
      <c r="FI459" s="208"/>
      <c r="FJ459" s="208"/>
      <c r="FK459" s="208"/>
      <c r="FL459" s="208"/>
      <c r="FM459" s="208"/>
      <c r="FN459" s="208"/>
      <c r="FO459" s="208"/>
      <c r="FP459" s="208"/>
      <c r="FQ459" s="208"/>
      <c r="FR459" s="208"/>
      <c r="FS459" s="208"/>
      <c r="FT459" s="208"/>
      <c r="FU459" s="208"/>
      <c r="FV459" s="208"/>
      <c r="FW459" s="208"/>
      <c r="FX459" s="208"/>
      <c r="FY459" s="208"/>
      <c r="FZ459" s="208"/>
      <c r="GA459" s="208"/>
      <c r="GB459" s="208"/>
      <c r="GC459" s="208"/>
      <c r="GD459" s="208"/>
      <c r="GE459" s="208"/>
      <c r="GF459" s="208"/>
    </row>
    <row r="460" spans="1:188" s="209" customFormat="1" ht="15" x14ac:dyDescent="0.25">
      <c r="A460" s="195" t="s">
        <v>5244</v>
      </c>
      <c r="B460" s="195" t="s">
        <v>2582</v>
      </c>
      <c r="C460" s="196" t="s">
        <v>2583</v>
      </c>
      <c r="D460" s="154" t="s">
        <v>28</v>
      </c>
      <c r="E460" s="154">
        <v>5</v>
      </c>
      <c r="F460" s="154"/>
      <c r="G460" s="197">
        <v>5</v>
      </c>
      <c r="H460" s="198">
        <f t="shared" si="62"/>
        <v>1.6666666666666666E-2</v>
      </c>
      <c r="I460" s="247">
        <v>41.69</v>
      </c>
      <c r="J460" s="152"/>
      <c r="K460" s="198"/>
      <c r="L460" s="152">
        <f t="shared" si="63"/>
        <v>3.47</v>
      </c>
      <c r="M460" s="152">
        <f t="shared" si="64"/>
        <v>208.2</v>
      </c>
      <c r="N460" s="153"/>
      <c r="O460" s="152"/>
      <c r="Q460" s="208"/>
      <c r="R460" s="208"/>
      <c r="S460"/>
      <c r="T460" s="208"/>
      <c r="U460" s="208"/>
      <c r="V460" s="208"/>
      <c r="W460" s="208"/>
      <c r="X460" s="208"/>
      <c r="Y460" s="208"/>
      <c r="Z460" s="208"/>
      <c r="AA460" s="208"/>
      <c r="AB460" s="208"/>
      <c r="AC460" s="208"/>
      <c r="AD460" s="208"/>
      <c r="AE460" s="208"/>
      <c r="AF460" s="208"/>
      <c r="AG460" s="208"/>
      <c r="AH460" s="208"/>
      <c r="AI460" s="208"/>
      <c r="AJ460" s="208"/>
      <c r="AK460" s="208"/>
      <c r="AL460" s="208"/>
      <c r="AM460" s="208"/>
      <c r="AN460" s="208"/>
      <c r="AO460" s="208"/>
      <c r="AP460" s="208"/>
      <c r="AQ460" s="208"/>
      <c r="AR460" s="208"/>
      <c r="AS460" s="208"/>
      <c r="AT460" s="208"/>
      <c r="AU460" s="208"/>
      <c r="AV460" s="208"/>
      <c r="AW460" s="208"/>
      <c r="AX460" s="208"/>
      <c r="AY460" s="208"/>
      <c r="AZ460" s="208"/>
      <c r="BA460" s="208"/>
      <c r="BB460" s="208"/>
      <c r="BC460" s="208"/>
      <c r="BD460" s="208"/>
      <c r="BE460" s="208"/>
      <c r="BF460" s="208"/>
      <c r="BG460" s="208"/>
      <c r="BH460" s="208"/>
      <c r="BI460" s="208"/>
      <c r="BJ460" s="208"/>
      <c r="BK460" s="208"/>
      <c r="BL460" s="208"/>
      <c r="BM460" s="208"/>
      <c r="BN460" s="208"/>
      <c r="BO460" s="208"/>
      <c r="BP460" s="208"/>
      <c r="BQ460" s="208"/>
      <c r="BR460" s="208"/>
      <c r="BS460" s="208"/>
      <c r="BT460" s="208"/>
      <c r="BU460" s="208"/>
      <c r="BV460" s="208"/>
      <c r="BW460" s="208"/>
      <c r="BX460" s="208"/>
      <c r="BY460" s="208"/>
      <c r="BZ460" s="208"/>
      <c r="CA460" s="208"/>
      <c r="CB460" s="208"/>
      <c r="CC460" s="208"/>
      <c r="CD460" s="208"/>
      <c r="CE460" s="208"/>
      <c r="CF460" s="208"/>
      <c r="CG460" s="208"/>
      <c r="CH460" s="208"/>
      <c r="CI460" s="208"/>
      <c r="CJ460" s="208"/>
      <c r="CK460" s="208"/>
      <c r="CL460" s="208"/>
      <c r="CM460" s="208"/>
      <c r="CN460" s="208"/>
      <c r="CO460" s="208"/>
      <c r="CP460" s="208"/>
      <c r="CQ460" s="208"/>
      <c r="CR460" s="208"/>
      <c r="CS460" s="208"/>
      <c r="CT460" s="208"/>
      <c r="CU460" s="208"/>
      <c r="CV460" s="208"/>
      <c r="CW460" s="208"/>
      <c r="CX460" s="208"/>
      <c r="CY460" s="208"/>
      <c r="CZ460" s="208"/>
      <c r="DA460" s="208"/>
      <c r="DB460" s="208"/>
      <c r="DC460" s="208"/>
      <c r="DD460" s="208"/>
      <c r="DE460" s="208"/>
      <c r="DF460" s="208"/>
      <c r="DG460" s="208"/>
      <c r="DH460" s="208"/>
      <c r="DI460" s="208"/>
      <c r="DJ460" s="208"/>
      <c r="DK460" s="208"/>
      <c r="DL460" s="208"/>
      <c r="DM460" s="208"/>
      <c r="DN460" s="208"/>
      <c r="DO460" s="208"/>
      <c r="DP460" s="208"/>
      <c r="DQ460" s="208"/>
      <c r="DR460" s="208"/>
      <c r="DS460" s="208"/>
      <c r="DT460" s="208"/>
      <c r="DU460" s="208"/>
      <c r="DV460" s="208"/>
      <c r="DW460" s="208"/>
      <c r="DX460" s="208"/>
      <c r="DY460" s="208"/>
      <c r="DZ460" s="208"/>
      <c r="EA460" s="208"/>
      <c r="EB460" s="208"/>
      <c r="EC460" s="208"/>
      <c r="ED460" s="208"/>
      <c r="EE460" s="208"/>
      <c r="EF460" s="208"/>
      <c r="EG460" s="208"/>
      <c r="EH460" s="208"/>
      <c r="EI460" s="208"/>
      <c r="EJ460" s="208"/>
      <c r="EK460" s="208"/>
      <c r="EL460" s="208"/>
      <c r="EM460" s="208"/>
      <c r="EN460" s="208"/>
      <c r="EO460" s="208"/>
      <c r="EP460" s="208"/>
      <c r="EQ460" s="208"/>
      <c r="ER460" s="208"/>
      <c r="ES460" s="208"/>
      <c r="ET460" s="208"/>
      <c r="EU460" s="208"/>
      <c r="EV460" s="208"/>
      <c r="EW460" s="208"/>
      <c r="EX460" s="208"/>
      <c r="EY460" s="208"/>
      <c r="EZ460" s="208"/>
      <c r="FA460" s="208"/>
      <c r="FB460" s="208"/>
      <c r="FC460" s="208"/>
      <c r="FD460" s="208"/>
      <c r="FE460" s="208"/>
      <c r="FF460" s="208"/>
      <c r="FG460" s="208"/>
      <c r="FH460" s="208"/>
      <c r="FI460" s="208"/>
      <c r="FJ460" s="208"/>
      <c r="FK460" s="208"/>
      <c r="FL460" s="208"/>
      <c r="FM460" s="208"/>
      <c r="FN460" s="208"/>
      <c r="FO460" s="208"/>
      <c r="FP460" s="208"/>
      <c r="FQ460" s="208"/>
      <c r="FR460" s="208"/>
      <c r="FS460" s="208"/>
      <c r="FT460" s="208"/>
      <c r="FU460" s="208"/>
      <c r="FV460" s="208"/>
      <c r="FW460" s="208"/>
      <c r="FX460" s="208"/>
      <c r="FY460" s="208"/>
      <c r="FZ460" s="208"/>
      <c r="GA460" s="208"/>
      <c r="GB460" s="208"/>
      <c r="GC460" s="208"/>
      <c r="GD460" s="208"/>
      <c r="GE460" s="208"/>
      <c r="GF460" s="208"/>
    </row>
    <row r="461" spans="1:188" s="209" customFormat="1" ht="15" x14ac:dyDescent="0.25">
      <c r="A461" s="195" t="s">
        <v>5245</v>
      </c>
      <c r="B461" s="195" t="s">
        <v>2580</v>
      </c>
      <c r="C461" s="196" t="s">
        <v>2581</v>
      </c>
      <c r="D461" s="154" t="s">
        <v>28</v>
      </c>
      <c r="E461" s="154">
        <v>5</v>
      </c>
      <c r="F461" s="154"/>
      <c r="G461" s="197">
        <v>5</v>
      </c>
      <c r="H461" s="198">
        <f t="shared" si="62"/>
        <v>1.6666666666666666E-2</v>
      </c>
      <c r="I461" s="247">
        <v>107.9</v>
      </c>
      <c r="J461" s="152"/>
      <c r="K461" s="198"/>
      <c r="L461" s="152">
        <f t="shared" si="63"/>
        <v>8.99</v>
      </c>
      <c r="M461" s="152">
        <f t="shared" si="64"/>
        <v>539.4</v>
      </c>
      <c r="N461" s="153"/>
      <c r="O461" s="152"/>
      <c r="Q461" s="208"/>
      <c r="R461" s="208"/>
      <c r="S461"/>
      <c r="T461" s="208"/>
      <c r="U461" s="208"/>
      <c r="V461" s="208"/>
      <c r="W461" s="208"/>
      <c r="X461" s="208"/>
      <c r="Y461" s="208"/>
      <c r="Z461" s="208"/>
      <c r="AA461" s="208"/>
      <c r="AB461" s="208"/>
      <c r="AC461" s="208"/>
      <c r="AD461" s="208"/>
      <c r="AE461" s="208"/>
      <c r="AF461" s="208"/>
      <c r="AG461" s="208"/>
      <c r="AH461" s="208"/>
      <c r="AI461" s="208"/>
      <c r="AJ461" s="208"/>
      <c r="AK461" s="208"/>
      <c r="AL461" s="208"/>
      <c r="AM461" s="208"/>
      <c r="AN461" s="208"/>
      <c r="AO461" s="208"/>
      <c r="AP461" s="208"/>
      <c r="AQ461" s="208"/>
      <c r="AR461" s="208"/>
      <c r="AS461" s="208"/>
      <c r="AT461" s="208"/>
      <c r="AU461" s="208"/>
      <c r="AV461" s="208"/>
      <c r="AW461" s="208"/>
      <c r="AX461" s="208"/>
      <c r="AY461" s="208"/>
      <c r="AZ461" s="208"/>
      <c r="BA461" s="208"/>
      <c r="BB461" s="208"/>
      <c r="BC461" s="208"/>
      <c r="BD461" s="208"/>
      <c r="BE461" s="208"/>
      <c r="BF461" s="208"/>
      <c r="BG461" s="208"/>
      <c r="BH461" s="208"/>
      <c r="BI461" s="208"/>
      <c r="BJ461" s="208"/>
      <c r="BK461" s="208"/>
      <c r="BL461" s="208"/>
      <c r="BM461" s="208"/>
      <c r="BN461" s="208"/>
      <c r="BO461" s="208"/>
      <c r="BP461" s="208"/>
      <c r="BQ461" s="208"/>
      <c r="BR461" s="208"/>
      <c r="BS461" s="208"/>
      <c r="BT461" s="208"/>
      <c r="BU461" s="208"/>
      <c r="BV461" s="208"/>
      <c r="BW461" s="208"/>
      <c r="BX461" s="208"/>
      <c r="BY461" s="208"/>
      <c r="BZ461" s="208"/>
      <c r="CA461" s="208"/>
      <c r="CB461" s="208"/>
      <c r="CC461" s="208"/>
      <c r="CD461" s="208"/>
      <c r="CE461" s="208"/>
      <c r="CF461" s="208"/>
      <c r="CG461" s="208"/>
      <c r="CH461" s="208"/>
      <c r="CI461" s="208"/>
      <c r="CJ461" s="208"/>
      <c r="CK461" s="208"/>
      <c r="CL461" s="208"/>
      <c r="CM461" s="208"/>
      <c r="CN461" s="208"/>
      <c r="CO461" s="208"/>
      <c r="CP461" s="208"/>
      <c r="CQ461" s="208"/>
      <c r="CR461" s="208"/>
      <c r="CS461" s="208"/>
      <c r="CT461" s="208"/>
      <c r="CU461" s="208"/>
      <c r="CV461" s="208"/>
      <c r="CW461" s="208"/>
      <c r="CX461" s="208"/>
      <c r="CY461" s="208"/>
      <c r="CZ461" s="208"/>
      <c r="DA461" s="208"/>
      <c r="DB461" s="208"/>
      <c r="DC461" s="208"/>
      <c r="DD461" s="208"/>
      <c r="DE461" s="208"/>
      <c r="DF461" s="208"/>
      <c r="DG461" s="208"/>
      <c r="DH461" s="208"/>
      <c r="DI461" s="208"/>
      <c r="DJ461" s="208"/>
      <c r="DK461" s="208"/>
      <c r="DL461" s="208"/>
      <c r="DM461" s="208"/>
      <c r="DN461" s="208"/>
      <c r="DO461" s="208"/>
      <c r="DP461" s="208"/>
      <c r="DQ461" s="208"/>
      <c r="DR461" s="208"/>
      <c r="DS461" s="208"/>
      <c r="DT461" s="208"/>
      <c r="DU461" s="208"/>
      <c r="DV461" s="208"/>
      <c r="DW461" s="208"/>
      <c r="DX461" s="208"/>
      <c r="DY461" s="208"/>
      <c r="DZ461" s="208"/>
      <c r="EA461" s="208"/>
      <c r="EB461" s="208"/>
      <c r="EC461" s="208"/>
      <c r="ED461" s="208"/>
      <c r="EE461" s="208"/>
      <c r="EF461" s="208"/>
      <c r="EG461" s="208"/>
      <c r="EH461" s="208"/>
      <c r="EI461" s="208"/>
      <c r="EJ461" s="208"/>
      <c r="EK461" s="208"/>
      <c r="EL461" s="208"/>
      <c r="EM461" s="208"/>
      <c r="EN461" s="208"/>
      <c r="EO461" s="208"/>
      <c r="EP461" s="208"/>
      <c r="EQ461" s="208"/>
      <c r="ER461" s="208"/>
      <c r="ES461" s="208"/>
      <c r="ET461" s="208"/>
      <c r="EU461" s="208"/>
      <c r="EV461" s="208"/>
      <c r="EW461" s="208"/>
      <c r="EX461" s="208"/>
      <c r="EY461" s="208"/>
      <c r="EZ461" s="208"/>
      <c r="FA461" s="208"/>
      <c r="FB461" s="208"/>
      <c r="FC461" s="208"/>
      <c r="FD461" s="208"/>
      <c r="FE461" s="208"/>
      <c r="FF461" s="208"/>
      <c r="FG461" s="208"/>
      <c r="FH461" s="208"/>
      <c r="FI461" s="208"/>
      <c r="FJ461" s="208"/>
      <c r="FK461" s="208"/>
      <c r="FL461" s="208"/>
      <c r="FM461" s="208"/>
      <c r="FN461" s="208"/>
      <c r="FO461" s="208"/>
      <c r="FP461" s="208"/>
      <c r="FQ461" s="208"/>
      <c r="FR461" s="208"/>
      <c r="FS461" s="208"/>
      <c r="FT461" s="208"/>
      <c r="FU461" s="208"/>
      <c r="FV461" s="208"/>
      <c r="FW461" s="208"/>
      <c r="FX461" s="208"/>
      <c r="FY461" s="208"/>
      <c r="FZ461" s="208"/>
      <c r="GA461" s="208"/>
      <c r="GB461" s="208"/>
      <c r="GC461" s="208"/>
      <c r="GD461" s="208"/>
      <c r="GE461" s="208"/>
      <c r="GF461" s="208"/>
    </row>
    <row r="462" spans="1:188" s="209" customFormat="1" ht="15" x14ac:dyDescent="0.25">
      <c r="A462" s="195" t="s">
        <v>5246</v>
      </c>
      <c r="B462" s="195" t="s">
        <v>2992</v>
      </c>
      <c r="C462" s="196" t="s">
        <v>2993</v>
      </c>
      <c r="D462" s="154" t="s">
        <v>28</v>
      </c>
      <c r="E462" s="154">
        <v>5</v>
      </c>
      <c r="F462" s="154"/>
      <c r="G462" s="197">
        <v>5</v>
      </c>
      <c r="H462" s="198">
        <f t="shared" si="62"/>
        <v>1.6666666666666666E-2</v>
      </c>
      <c r="I462" s="247">
        <v>31.96</v>
      </c>
      <c r="J462" s="152"/>
      <c r="K462" s="198"/>
      <c r="L462" s="152">
        <f t="shared" si="63"/>
        <v>2.66</v>
      </c>
      <c r="M462" s="152">
        <f t="shared" si="64"/>
        <v>159.6</v>
      </c>
      <c r="N462" s="153"/>
      <c r="O462" s="152"/>
      <c r="Q462" s="208"/>
      <c r="R462" s="208"/>
      <c r="S462"/>
      <c r="T462" s="208"/>
      <c r="U462" s="208"/>
      <c r="V462" s="208"/>
      <c r="W462" s="208"/>
      <c r="X462" s="208"/>
      <c r="Y462" s="208"/>
      <c r="Z462" s="208"/>
      <c r="AA462" s="208"/>
      <c r="AB462" s="208"/>
      <c r="AC462" s="208"/>
      <c r="AD462" s="208"/>
      <c r="AE462" s="208"/>
      <c r="AF462" s="208"/>
      <c r="AG462" s="208"/>
      <c r="AH462" s="208"/>
      <c r="AI462" s="208"/>
      <c r="AJ462" s="208"/>
      <c r="AK462" s="208"/>
      <c r="AL462" s="208"/>
      <c r="AM462" s="208"/>
      <c r="AN462" s="208"/>
      <c r="AO462" s="208"/>
      <c r="AP462" s="208"/>
      <c r="AQ462" s="208"/>
      <c r="AR462" s="208"/>
      <c r="AS462" s="208"/>
      <c r="AT462" s="208"/>
      <c r="AU462" s="208"/>
      <c r="AV462" s="208"/>
      <c r="AW462" s="208"/>
      <c r="AX462" s="208"/>
      <c r="AY462" s="208"/>
      <c r="AZ462" s="208"/>
      <c r="BA462" s="208"/>
      <c r="BB462" s="208"/>
      <c r="BC462" s="208"/>
      <c r="BD462" s="208"/>
      <c r="BE462" s="208"/>
      <c r="BF462" s="208"/>
      <c r="BG462" s="208"/>
      <c r="BH462" s="208"/>
      <c r="BI462" s="208"/>
      <c r="BJ462" s="208"/>
      <c r="BK462" s="208"/>
      <c r="BL462" s="208"/>
      <c r="BM462" s="208"/>
      <c r="BN462" s="208"/>
      <c r="BO462" s="208"/>
      <c r="BP462" s="208"/>
      <c r="BQ462" s="208"/>
      <c r="BR462" s="208"/>
      <c r="BS462" s="208"/>
      <c r="BT462" s="208"/>
      <c r="BU462" s="208"/>
      <c r="BV462" s="208"/>
      <c r="BW462" s="208"/>
      <c r="BX462" s="208"/>
      <c r="BY462" s="208"/>
      <c r="BZ462" s="208"/>
      <c r="CA462" s="208"/>
      <c r="CB462" s="208"/>
      <c r="CC462" s="208"/>
      <c r="CD462" s="208"/>
      <c r="CE462" s="208"/>
      <c r="CF462" s="208"/>
      <c r="CG462" s="208"/>
      <c r="CH462" s="208"/>
      <c r="CI462" s="208"/>
      <c r="CJ462" s="208"/>
      <c r="CK462" s="208"/>
      <c r="CL462" s="208"/>
      <c r="CM462" s="208"/>
      <c r="CN462" s="208"/>
      <c r="CO462" s="208"/>
      <c r="CP462" s="208"/>
      <c r="CQ462" s="208"/>
      <c r="CR462" s="208"/>
      <c r="CS462" s="208"/>
      <c r="CT462" s="208"/>
      <c r="CU462" s="208"/>
      <c r="CV462" s="208"/>
      <c r="CW462" s="208"/>
      <c r="CX462" s="208"/>
      <c r="CY462" s="208"/>
      <c r="CZ462" s="208"/>
      <c r="DA462" s="208"/>
      <c r="DB462" s="208"/>
      <c r="DC462" s="208"/>
      <c r="DD462" s="208"/>
      <c r="DE462" s="208"/>
      <c r="DF462" s="208"/>
      <c r="DG462" s="208"/>
      <c r="DH462" s="208"/>
      <c r="DI462" s="208"/>
      <c r="DJ462" s="208"/>
      <c r="DK462" s="208"/>
      <c r="DL462" s="208"/>
      <c r="DM462" s="208"/>
      <c r="DN462" s="208"/>
      <c r="DO462" s="208"/>
      <c r="DP462" s="208"/>
      <c r="DQ462" s="208"/>
      <c r="DR462" s="208"/>
      <c r="DS462" s="208"/>
      <c r="DT462" s="208"/>
      <c r="DU462" s="208"/>
      <c r="DV462" s="208"/>
      <c r="DW462" s="208"/>
      <c r="DX462" s="208"/>
      <c r="DY462" s="208"/>
      <c r="DZ462" s="208"/>
      <c r="EA462" s="208"/>
      <c r="EB462" s="208"/>
      <c r="EC462" s="208"/>
      <c r="ED462" s="208"/>
      <c r="EE462" s="208"/>
      <c r="EF462" s="208"/>
      <c r="EG462" s="208"/>
      <c r="EH462" s="208"/>
      <c r="EI462" s="208"/>
      <c r="EJ462" s="208"/>
      <c r="EK462" s="208"/>
      <c r="EL462" s="208"/>
      <c r="EM462" s="208"/>
      <c r="EN462" s="208"/>
      <c r="EO462" s="208"/>
      <c r="EP462" s="208"/>
      <c r="EQ462" s="208"/>
      <c r="ER462" s="208"/>
      <c r="ES462" s="208"/>
      <c r="ET462" s="208"/>
      <c r="EU462" s="208"/>
      <c r="EV462" s="208"/>
      <c r="EW462" s="208"/>
      <c r="EX462" s="208"/>
      <c r="EY462" s="208"/>
      <c r="EZ462" s="208"/>
      <c r="FA462" s="208"/>
      <c r="FB462" s="208"/>
      <c r="FC462" s="208"/>
      <c r="FD462" s="208"/>
      <c r="FE462" s="208"/>
      <c r="FF462" s="208"/>
      <c r="FG462" s="208"/>
      <c r="FH462" s="208"/>
      <c r="FI462" s="208"/>
      <c r="FJ462" s="208"/>
      <c r="FK462" s="208"/>
      <c r="FL462" s="208"/>
      <c r="FM462" s="208"/>
      <c r="FN462" s="208"/>
      <c r="FO462" s="208"/>
      <c r="FP462" s="208"/>
      <c r="FQ462" s="208"/>
      <c r="FR462" s="208"/>
      <c r="FS462" s="208"/>
      <c r="FT462" s="208"/>
      <c r="FU462" s="208"/>
      <c r="FV462" s="208"/>
      <c r="FW462" s="208"/>
      <c r="FX462" s="208"/>
      <c r="FY462" s="208"/>
      <c r="FZ462" s="208"/>
      <c r="GA462" s="208"/>
      <c r="GB462" s="208"/>
      <c r="GC462" s="208"/>
      <c r="GD462" s="208"/>
      <c r="GE462" s="208"/>
      <c r="GF462" s="208"/>
    </row>
    <row r="463" spans="1:188" s="209" customFormat="1" ht="15" x14ac:dyDescent="0.25">
      <c r="A463" s="195" t="s">
        <v>5247</v>
      </c>
      <c r="B463" s="195" t="s">
        <v>1142</v>
      </c>
      <c r="C463" s="196" t="s">
        <v>2994</v>
      </c>
      <c r="D463" s="154" t="s">
        <v>28</v>
      </c>
      <c r="E463" s="154">
        <v>1</v>
      </c>
      <c r="F463" s="154"/>
      <c r="G463" s="197">
        <v>10</v>
      </c>
      <c r="H463" s="198">
        <f t="shared" si="62"/>
        <v>8.3333333333333332E-3</v>
      </c>
      <c r="I463" s="151">
        <v>1072.4100000000001</v>
      </c>
      <c r="J463" s="152"/>
      <c r="K463" s="198"/>
      <c r="L463" s="152">
        <f t="shared" si="63"/>
        <v>8.94</v>
      </c>
      <c r="M463" s="152">
        <f t="shared" si="64"/>
        <v>536.4</v>
      </c>
      <c r="N463" s="153"/>
      <c r="O463" s="152"/>
      <c r="Q463" s="208"/>
      <c r="R463" s="208"/>
      <c r="S463"/>
      <c r="T463" s="208"/>
      <c r="U463" s="208"/>
      <c r="V463" s="208"/>
      <c r="W463" s="208"/>
      <c r="X463" s="208"/>
      <c r="Y463" s="208"/>
      <c r="Z463" s="208"/>
      <c r="AA463" s="208"/>
      <c r="AB463" s="208"/>
      <c r="AC463" s="208"/>
      <c r="AD463" s="208"/>
      <c r="AE463" s="208"/>
      <c r="AF463" s="208"/>
      <c r="AG463" s="208"/>
      <c r="AH463" s="208"/>
      <c r="AI463" s="208"/>
      <c r="AJ463" s="208"/>
      <c r="AK463" s="208"/>
      <c r="AL463" s="208"/>
      <c r="AM463" s="208"/>
      <c r="AN463" s="208"/>
      <c r="AO463" s="208"/>
      <c r="AP463" s="208"/>
      <c r="AQ463" s="208"/>
      <c r="AR463" s="208"/>
      <c r="AS463" s="208"/>
      <c r="AT463" s="208"/>
      <c r="AU463" s="208"/>
      <c r="AV463" s="208"/>
      <c r="AW463" s="208"/>
      <c r="AX463" s="208"/>
      <c r="AY463" s="208"/>
      <c r="AZ463" s="208"/>
      <c r="BA463" s="208"/>
      <c r="BB463" s="208"/>
      <c r="BC463" s="208"/>
      <c r="BD463" s="208"/>
      <c r="BE463" s="208"/>
      <c r="BF463" s="208"/>
      <c r="BG463" s="208"/>
      <c r="BH463" s="208"/>
      <c r="BI463" s="208"/>
      <c r="BJ463" s="208"/>
      <c r="BK463" s="208"/>
      <c r="BL463" s="208"/>
      <c r="BM463" s="208"/>
      <c r="BN463" s="208"/>
      <c r="BO463" s="208"/>
      <c r="BP463" s="208"/>
      <c r="BQ463" s="208"/>
      <c r="BR463" s="208"/>
      <c r="BS463" s="208"/>
      <c r="BT463" s="208"/>
      <c r="BU463" s="208"/>
      <c r="BV463" s="208"/>
      <c r="BW463" s="208"/>
      <c r="BX463" s="208"/>
      <c r="BY463" s="208"/>
      <c r="BZ463" s="208"/>
      <c r="CA463" s="208"/>
      <c r="CB463" s="208"/>
      <c r="CC463" s="208"/>
      <c r="CD463" s="208"/>
      <c r="CE463" s="208"/>
      <c r="CF463" s="208"/>
      <c r="CG463" s="208"/>
      <c r="CH463" s="208"/>
      <c r="CI463" s="208"/>
      <c r="CJ463" s="208"/>
      <c r="CK463" s="208"/>
      <c r="CL463" s="208"/>
      <c r="CM463" s="208"/>
      <c r="CN463" s="208"/>
      <c r="CO463" s="208"/>
      <c r="CP463" s="208"/>
      <c r="CQ463" s="208"/>
      <c r="CR463" s="208"/>
      <c r="CS463" s="208"/>
      <c r="CT463" s="208"/>
      <c r="CU463" s="208"/>
      <c r="CV463" s="208"/>
      <c r="CW463" s="208"/>
      <c r="CX463" s="208"/>
      <c r="CY463" s="208"/>
      <c r="CZ463" s="208"/>
      <c r="DA463" s="208"/>
      <c r="DB463" s="208"/>
      <c r="DC463" s="208"/>
      <c r="DD463" s="208"/>
      <c r="DE463" s="208"/>
      <c r="DF463" s="208"/>
      <c r="DG463" s="208"/>
      <c r="DH463" s="208"/>
      <c r="DI463" s="208"/>
      <c r="DJ463" s="208"/>
      <c r="DK463" s="208"/>
      <c r="DL463" s="208"/>
      <c r="DM463" s="208"/>
      <c r="DN463" s="208"/>
      <c r="DO463" s="208"/>
      <c r="DP463" s="208"/>
      <c r="DQ463" s="208"/>
      <c r="DR463" s="208"/>
      <c r="DS463" s="208"/>
      <c r="DT463" s="208"/>
      <c r="DU463" s="208"/>
      <c r="DV463" s="208"/>
      <c r="DW463" s="208"/>
      <c r="DX463" s="208"/>
      <c r="DY463" s="208"/>
      <c r="DZ463" s="208"/>
      <c r="EA463" s="208"/>
      <c r="EB463" s="208"/>
      <c r="EC463" s="208"/>
      <c r="ED463" s="208"/>
      <c r="EE463" s="208"/>
      <c r="EF463" s="208"/>
      <c r="EG463" s="208"/>
      <c r="EH463" s="208"/>
      <c r="EI463" s="208"/>
      <c r="EJ463" s="208"/>
      <c r="EK463" s="208"/>
      <c r="EL463" s="208"/>
      <c r="EM463" s="208"/>
      <c r="EN463" s="208"/>
      <c r="EO463" s="208"/>
      <c r="EP463" s="208"/>
      <c r="EQ463" s="208"/>
      <c r="ER463" s="208"/>
      <c r="ES463" s="208"/>
      <c r="ET463" s="208"/>
      <c r="EU463" s="208"/>
      <c r="EV463" s="208"/>
      <c r="EW463" s="208"/>
      <c r="EX463" s="208"/>
      <c r="EY463" s="208"/>
      <c r="EZ463" s="208"/>
      <c r="FA463" s="208"/>
      <c r="FB463" s="208"/>
      <c r="FC463" s="208"/>
      <c r="FD463" s="208"/>
      <c r="FE463" s="208"/>
      <c r="FF463" s="208"/>
      <c r="FG463" s="208"/>
      <c r="FH463" s="208"/>
      <c r="FI463" s="208"/>
      <c r="FJ463" s="208"/>
      <c r="FK463" s="208"/>
      <c r="FL463" s="208"/>
      <c r="FM463" s="208"/>
      <c r="FN463" s="208"/>
      <c r="FO463" s="208"/>
      <c r="FP463" s="208"/>
      <c r="FQ463" s="208"/>
      <c r="FR463" s="208"/>
      <c r="FS463" s="208"/>
      <c r="FT463" s="208"/>
      <c r="FU463" s="208"/>
      <c r="FV463" s="208"/>
      <c r="FW463" s="208"/>
      <c r="FX463" s="208"/>
      <c r="FY463" s="208"/>
      <c r="FZ463" s="208"/>
      <c r="GA463" s="208"/>
      <c r="GB463" s="208"/>
      <c r="GC463" s="208"/>
      <c r="GD463" s="208"/>
      <c r="GE463" s="208"/>
      <c r="GF463" s="208"/>
    </row>
    <row r="464" spans="1:188" s="209" customFormat="1" ht="15" x14ac:dyDescent="0.25">
      <c r="A464" s="195" t="s">
        <v>5248</v>
      </c>
      <c r="B464" s="195" t="s">
        <v>2584</v>
      </c>
      <c r="C464" s="196" t="s">
        <v>2585</v>
      </c>
      <c r="D464" s="154" t="s">
        <v>28</v>
      </c>
      <c r="E464" s="154">
        <v>5</v>
      </c>
      <c r="F464" s="154"/>
      <c r="G464" s="197">
        <v>5</v>
      </c>
      <c r="H464" s="198">
        <f t="shared" si="62"/>
        <v>1.6666666666666666E-2</v>
      </c>
      <c r="I464" s="247">
        <v>21.9</v>
      </c>
      <c r="J464" s="152"/>
      <c r="K464" s="198"/>
      <c r="L464" s="152">
        <f t="shared" si="63"/>
        <v>1.83</v>
      </c>
      <c r="M464" s="152">
        <f t="shared" si="64"/>
        <v>109.8</v>
      </c>
      <c r="N464" s="153"/>
      <c r="O464" s="152"/>
      <c r="Q464" s="208"/>
      <c r="R464" s="208"/>
      <c r="S464"/>
      <c r="T464" s="208"/>
      <c r="U464" s="208"/>
      <c r="V464" s="208"/>
      <c r="W464" s="208"/>
      <c r="X464" s="208"/>
      <c r="Y464" s="208"/>
      <c r="Z464" s="208"/>
      <c r="AA464" s="208"/>
      <c r="AB464" s="208"/>
      <c r="AC464" s="208"/>
      <c r="AD464" s="208"/>
      <c r="AE464" s="208"/>
      <c r="AF464" s="208"/>
      <c r="AG464" s="208"/>
      <c r="AH464" s="208"/>
      <c r="AI464" s="208"/>
      <c r="AJ464" s="208"/>
      <c r="AK464" s="208"/>
      <c r="AL464" s="208"/>
      <c r="AM464" s="208"/>
      <c r="AN464" s="208"/>
      <c r="AO464" s="208"/>
      <c r="AP464" s="208"/>
      <c r="AQ464" s="208"/>
      <c r="AR464" s="208"/>
      <c r="AS464" s="208"/>
      <c r="AT464" s="208"/>
      <c r="AU464" s="208"/>
      <c r="AV464" s="208"/>
      <c r="AW464" s="208"/>
      <c r="AX464" s="208"/>
      <c r="AY464" s="208"/>
      <c r="AZ464" s="208"/>
      <c r="BA464" s="208"/>
      <c r="BB464" s="208"/>
      <c r="BC464" s="208"/>
      <c r="BD464" s="208"/>
      <c r="BE464" s="208"/>
      <c r="BF464" s="208"/>
      <c r="BG464" s="208"/>
      <c r="BH464" s="208"/>
      <c r="BI464" s="208"/>
      <c r="BJ464" s="208"/>
      <c r="BK464" s="208"/>
      <c r="BL464" s="208"/>
      <c r="BM464" s="208"/>
      <c r="BN464" s="208"/>
      <c r="BO464" s="208"/>
      <c r="BP464" s="208"/>
      <c r="BQ464" s="208"/>
      <c r="BR464" s="208"/>
      <c r="BS464" s="208"/>
      <c r="BT464" s="208"/>
      <c r="BU464" s="208"/>
      <c r="BV464" s="208"/>
      <c r="BW464" s="208"/>
      <c r="BX464" s="208"/>
      <c r="BY464" s="208"/>
      <c r="BZ464" s="208"/>
      <c r="CA464" s="208"/>
      <c r="CB464" s="208"/>
      <c r="CC464" s="208"/>
      <c r="CD464" s="208"/>
      <c r="CE464" s="208"/>
      <c r="CF464" s="208"/>
      <c r="CG464" s="208"/>
      <c r="CH464" s="208"/>
      <c r="CI464" s="208"/>
      <c r="CJ464" s="208"/>
      <c r="CK464" s="208"/>
      <c r="CL464" s="208"/>
      <c r="CM464" s="208"/>
      <c r="CN464" s="208"/>
      <c r="CO464" s="208"/>
      <c r="CP464" s="208"/>
      <c r="CQ464" s="208"/>
      <c r="CR464" s="208"/>
      <c r="CS464" s="208"/>
      <c r="CT464" s="208"/>
      <c r="CU464" s="208"/>
      <c r="CV464" s="208"/>
      <c r="CW464" s="208"/>
      <c r="CX464" s="208"/>
      <c r="CY464" s="208"/>
      <c r="CZ464" s="208"/>
      <c r="DA464" s="208"/>
      <c r="DB464" s="208"/>
      <c r="DC464" s="208"/>
      <c r="DD464" s="208"/>
      <c r="DE464" s="208"/>
      <c r="DF464" s="208"/>
      <c r="DG464" s="208"/>
      <c r="DH464" s="208"/>
      <c r="DI464" s="208"/>
      <c r="DJ464" s="208"/>
      <c r="DK464" s="208"/>
      <c r="DL464" s="208"/>
      <c r="DM464" s="208"/>
      <c r="DN464" s="208"/>
      <c r="DO464" s="208"/>
      <c r="DP464" s="208"/>
      <c r="DQ464" s="208"/>
      <c r="DR464" s="208"/>
      <c r="DS464" s="208"/>
      <c r="DT464" s="208"/>
      <c r="DU464" s="208"/>
      <c r="DV464" s="208"/>
      <c r="DW464" s="208"/>
      <c r="DX464" s="208"/>
      <c r="DY464" s="208"/>
      <c r="DZ464" s="208"/>
      <c r="EA464" s="208"/>
      <c r="EB464" s="208"/>
      <c r="EC464" s="208"/>
      <c r="ED464" s="208"/>
      <c r="EE464" s="208"/>
      <c r="EF464" s="208"/>
      <c r="EG464" s="208"/>
      <c r="EH464" s="208"/>
      <c r="EI464" s="208"/>
      <c r="EJ464" s="208"/>
      <c r="EK464" s="208"/>
      <c r="EL464" s="208"/>
      <c r="EM464" s="208"/>
      <c r="EN464" s="208"/>
      <c r="EO464" s="208"/>
      <c r="EP464" s="208"/>
      <c r="EQ464" s="208"/>
      <c r="ER464" s="208"/>
      <c r="ES464" s="208"/>
      <c r="ET464" s="208"/>
      <c r="EU464" s="208"/>
      <c r="EV464" s="208"/>
      <c r="EW464" s="208"/>
      <c r="EX464" s="208"/>
      <c r="EY464" s="208"/>
      <c r="EZ464" s="208"/>
      <c r="FA464" s="208"/>
      <c r="FB464" s="208"/>
      <c r="FC464" s="208"/>
      <c r="FD464" s="208"/>
      <c r="FE464" s="208"/>
      <c r="FF464" s="208"/>
      <c r="FG464" s="208"/>
      <c r="FH464" s="208"/>
      <c r="FI464" s="208"/>
      <c r="FJ464" s="208"/>
      <c r="FK464" s="208"/>
      <c r="FL464" s="208"/>
      <c r="FM464" s="208"/>
      <c r="FN464" s="208"/>
      <c r="FO464" s="208"/>
      <c r="FP464" s="208"/>
      <c r="FQ464" s="208"/>
      <c r="FR464" s="208"/>
      <c r="FS464" s="208"/>
      <c r="FT464" s="208"/>
      <c r="FU464" s="208"/>
      <c r="FV464" s="208"/>
      <c r="FW464" s="208"/>
      <c r="FX464" s="208"/>
      <c r="FY464" s="208"/>
      <c r="FZ464" s="208"/>
      <c r="GA464" s="208"/>
      <c r="GB464" s="208"/>
      <c r="GC464" s="208"/>
      <c r="GD464" s="208"/>
      <c r="GE464" s="208"/>
      <c r="GF464" s="208"/>
    </row>
    <row r="465" spans="1:188" s="209" customFormat="1" ht="15" x14ac:dyDescent="0.25">
      <c r="A465" s="195" t="s">
        <v>5249</v>
      </c>
      <c r="B465" s="195" t="s">
        <v>2586</v>
      </c>
      <c r="C465" s="196" t="s">
        <v>2587</v>
      </c>
      <c r="D465" s="154" t="s">
        <v>28</v>
      </c>
      <c r="E465" s="154">
        <v>5</v>
      </c>
      <c r="F465" s="154"/>
      <c r="G465" s="197">
        <v>5</v>
      </c>
      <c r="H465" s="198">
        <f t="shared" si="62"/>
        <v>1.6666666666666666E-2</v>
      </c>
      <c r="I465" s="247">
        <v>100.44</v>
      </c>
      <c r="J465" s="152"/>
      <c r="K465" s="198"/>
      <c r="L465" s="152">
        <f t="shared" si="63"/>
        <v>8.3699999999999992</v>
      </c>
      <c r="M465" s="152">
        <f t="shared" si="64"/>
        <v>502.2</v>
      </c>
      <c r="N465" s="153"/>
      <c r="O465" s="152"/>
      <c r="Q465" s="208"/>
      <c r="R465" s="208"/>
      <c r="S465"/>
      <c r="T465" s="208"/>
      <c r="U465" s="208"/>
      <c r="V465" s="208"/>
      <c r="W465" s="208"/>
      <c r="X465" s="208"/>
      <c r="Y465" s="208"/>
      <c r="Z465" s="208"/>
      <c r="AA465" s="208"/>
      <c r="AB465" s="208"/>
      <c r="AC465" s="208"/>
      <c r="AD465" s="208"/>
      <c r="AE465" s="208"/>
      <c r="AF465" s="208"/>
      <c r="AG465" s="208"/>
      <c r="AH465" s="208"/>
      <c r="AI465" s="208"/>
      <c r="AJ465" s="208"/>
      <c r="AK465" s="208"/>
      <c r="AL465" s="208"/>
      <c r="AM465" s="208"/>
      <c r="AN465" s="208"/>
      <c r="AO465" s="208"/>
      <c r="AP465" s="208"/>
      <c r="AQ465" s="208"/>
      <c r="AR465" s="208"/>
      <c r="AS465" s="208"/>
      <c r="AT465" s="208"/>
      <c r="AU465" s="208"/>
      <c r="AV465" s="208"/>
      <c r="AW465" s="208"/>
      <c r="AX465" s="208"/>
      <c r="AY465" s="208"/>
      <c r="AZ465" s="208"/>
      <c r="BA465" s="208"/>
      <c r="BB465" s="208"/>
      <c r="BC465" s="208"/>
      <c r="BD465" s="208"/>
      <c r="BE465" s="208"/>
      <c r="BF465" s="208"/>
      <c r="BG465" s="208"/>
      <c r="BH465" s="208"/>
      <c r="BI465" s="208"/>
      <c r="BJ465" s="208"/>
      <c r="BK465" s="208"/>
      <c r="BL465" s="208"/>
      <c r="BM465" s="208"/>
      <c r="BN465" s="208"/>
      <c r="BO465" s="208"/>
      <c r="BP465" s="208"/>
      <c r="BQ465" s="208"/>
      <c r="BR465" s="208"/>
      <c r="BS465" s="208"/>
      <c r="BT465" s="208"/>
      <c r="BU465" s="208"/>
      <c r="BV465" s="208"/>
      <c r="BW465" s="208"/>
      <c r="BX465" s="208"/>
      <c r="BY465" s="208"/>
      <c r="BZ465" s="208"/>
      <c r="CA465" s="208"/>
      <c r="CB465" s="208"/>
      <c r="CC465" s="208"/>
      <c r="CD465" s="208"/>
      <c r="CE465" s="208"/>
      <c r="CF465" s="208"/>
      <c r="CG465" s="208"/>
      <c r="CH465" s="208"/>
      <c r="CI465" s="208"/>
      <c r="CJ465" s="208"/>
      <c r="CK465" s="208"/>
      <c r="CL465" s="208"/>
      <c r="CM465" s="208"/>
      <c r="CN465" s="208"/>
      <c r="CO465" s="208"/>
      <c r="CP465" s="208"/>
      <c r="CQ465" s="208"/>
      <c r="CR465" s="208"/>
      <c r="CS465" s="208"/>
      <c r="CT465" s="208"/>
      <c r="CU465" s="208"/>
      <c r="CV465" s="208"/>
      <c r="CW465" s="208"/>
      <c r="CX465" s="208"/>
      <c r="CY465" s="208"/>
      <c r="CZ465" s="208"/>
      <c r="DA465" s="208"/>
      <c r="DB465" s="208"/>
      <c r="DC465" s="208"/>
      <c r="DD465" s="208"/>
      <c r="DE465" s="208"/>
      <c r="DF465" s="208"/>
      <c r="DG465" s="208"/>
      <c r="DH465" s="208"/>
      <c r="DI465" s="208"/>
      <c r="DJ465" s="208"/>
      <c r="DK465" s="208"/>
      <c r="DL465" s="208"/>
      <c r="DM465" s="208"/>
      <c r="DN465" s="208"/>
      <c r="DO465" s="208"/>
      <c r="DP465" s="208"/>
      <c r="DQ465" s="208"/>
      <c r="DR465" s="208"/>
      <c r="DS465" s="208"/>
      <c r="DT465" s="208"/>
      <c r="DU465" s="208"/>
      <c r="DV465" s="208"/>
      <c r="DW465" s="208"/>
      <c r="DX465" s="208"/>
      <c r="DY465" s="208"/>
      <c r="DZ465" s="208"/>
      <c r="EA465" s="208"/>
      <c r="EB465" s="208"/>
      <c r="EC465" s="208"/>
      <c r="ED465" s="208"/>
      <c r="EE465" s="208"/>
      <c r="EF465" s="208"/>
      <c r="EG465" s="208"/>
      <c r="EH465" s="208"/>
      <c r="EI465" s="208"/>
      <c r="EJ465" s="208"/>
      <c r="EK465" s="208"/>
      <c r="EL465" s="208"/>
      <c r="EM465" s="208"/>
      <c r="EN465" s="208"/>
      <c r="EO465" s="208"/>
      <c r="EP465" s="208"/>
      <c r="EQ465" s="208"/>
      <c r="ER465" s="208"/>
      <c r="ES465" s="208"/>
      <c r="ET465" s="208"/>
      <c r="EU465" s="208"/>
      <c r="EV465" s="208"/>
      <c r="EW465" s="208"/>
      <c r="EX465" s="208"/>
      <c r="EY465" s="208"/>
      <c r="EZ465" s="208"/>
      <c r="FA465" s="208"/>
      <c r="FB465" s="208"/>
      <c r="FC465" s="208"/>
      <c r="FD465" s="208"/>
      <c r="FE465" s="208"/>
      <c r="FF465" s="208"/>
      <c r="FG465" s="208"/>
      <c r="FH465" s="208"/>
      <c r="FI465" s="208"/>
      <c r="FJ465" s="208"/>
      <c r="FK465" s="208"/>
      <c r="FL465" s="208"/>
      <c r="FM465" s="208"/>
      <c r="FN465" s="208"/>
      <c r="FO465" s="208"/>
      <c r="FP465" s="208"/>
      <c r="FQ465" s="208"/>
      <c r="FR465" s="208"/>
      <c r="FS465" s="208"/>
      <c r="FT465" s="208"/>
      <c r="FU465" s="208"/>
      <c r="FV465" s="208"/>
      <c r="FW465" s="208"/>
      <c r="FX465" s="208"/>
      <c r="FY465" s="208"/>
      <c r="FZ465" s="208"/>
      <c r="GA465" s="208"/>
      <c r="GB465" s="208"/>
      <c r="GC465" s="208"/>
      <c r="GD465" s="208"/>
      <c r="GE465" s="208"/>
      <c r="GF465" s="208"/>
    </row>
    <row r="466" spans="1:188" s="209" customFormat="1" ht="15" x14ac:dyDescent="0.25">
      <c r="A466" s="195" t="s">
        <v>5250</v>
      </c>
      <c r="B466" s="195" t="s">
        <v>2616</v>
      </c>
      <c r="C466" s="196" t="s">
        <v>2617</v>
      </c>
      <c r="D466" s="154" t="s">
        <v>28</v>
      </c>
      <c r="E466" s="154">
        <v>4</v>
      </c>
      <c r="F466" s="154"/>
      <c r="G466" s="197">
        <v>5</v>
      </c>
      <c r="H466" s="198">
        <f t="shared" si="62"/>
        <v>1.6666666666666666E-2</v>
      </c>
      <c r="I466" s="247">
        <v>249.04</v>
      </c>
      <c r="J466" s="152"/>
      <c r="K466" s="198"/>
      <c r="L466" s="152">
        <f t="shared" si="63"/>
        <v>16.600000000000001</v>
      </c>
      <c r="M466" s="152">
        <f t="shared" si="64"/>
        <v>996</v>
      </c>
      <c r="N466" s="153"/>
      <c r="O466" s="152"/>
      <c r="Q466" s="208"/>
      <c r="R466" s="208"/>
      <c r="S466"/>
      <c r="T466" s="208"/>
      <c r="U466" s="208"/>
      <c r="V466" s="208"/>
      <c r="W466" s="208"/>
      <c r="X466" s="208"/>
      <c r="Y466" s="208"/>
      <c r="Z466" s="208"/>
      <c r="AA466" s="208"/>
      <c r="AB466" s="208"/>
      <c r="AC466" s="208"/>
      <c r="AD466" s="208"/>
      <c r="AE466" s="208"/>
      <c r="AF466" s="208"/>
      <c r="AG466" s="208"/>
      <c r="AH466" s="208"/>
      <c r="AI466" s="208"/>
      <c r="AJ466" s="208"/>
      <c r="AK466" s="208"/>
      <c r="AL466" s="208"/>
      <c r="AM466" s="208"/>
      <c r="AN466" s="208"/>
      <c r="AO466" s="208"/>
      <c r="AP466" s="208"/>
      <c r="AQ466" s="208"/>
      <c r="AR466" s="208"/>
      <c r="AS466" s="208"/>
      <c r="AT466" s="208"/>
      <c r="AU466" s="208"/>
      <c r="AV466" s="208"/>
      <c r="AW466" s="208"/>
      <c r="AX466" s="208"/>
      <c r="AY466" s="208"/>
      <c r="AZ466" s="208"/>
      <c r="BA466" s="208"/>
      <c r="BB466" s="208"/>
      <c r="BC466" s="208"/>
      <c r="BD466" s="208"/>
      <c r="BE466" s="208"/>
      <c r="BF466" s="208"/>
      <c r="BG466" s="208"/>
      <c r="BH466" s="208"/>
      <c r="BI466" s="208"/>
      <c r="BJ466" s="208"/>
      <c r="BK466" s="208"/>
      <c r="BL466" s="208"/>
      <c r="BM466" s="208"/>
      <c r="BN466" s="208"/>
      <c r="BO466" s="208"/>
      <c r="BP466" s="208"/>
      <c r="BQ466" s="208"/>
      <c r="BR466" s="208"/>
      <c r="BS466" s="208"/>
      <c r="BT466" s="208"/>
      <c r="BU466" s="208"/>
      <c r="BV466" s="208"/>
      <c r="BW466" s="208"/>
      <c r="BX466" s="208"/>
      <c r="BY466" s="208"/>
      <c r="BZ466" s="208"/>
      <c r="CA466" s="208"/>
      <c r="CB466" s="208"/>
      <c r="CC466" s="208"/>
      <c r="CD466" s="208"/>
      <c r="CE466" s="208"/>
      <c r="CF466" s="208"/>
      <c r="CG466" s="208"/>
      <c r="CH466" s="208"/>
      <c r="CI466" s="208"/>
      <c r="CJ466" s="208"/>
      <c r="CK466" s="208"/>
      <c r="CL466" s="208"/>
      <c r="CM466" s="208"/>
      <c r="CN466" s="208"/>
      <c r="CO466" s="208"/>
      <c r="CP466" s="208"/>
      <c r="CQ466" s="208"/>
      <c r="CR466" s="208"/>
      <c r="CS466" s="208"/>
      <c r="CT466" s="208"/>
      <c r="CU466" s="208"/>
      <c r="CV466" s="208"/>
      <c r="CW466" s="208"/>
      <c r="CX466" s="208"/>
      <c r="CY466" s="208"/>
      <c r="CZ466" s="208"/>
      <c r="DA466" s="208"/>
      <c r="DB466" s="208"/>
      <c r="DC466" s="208"/>
      <c r="DD466" s="208"/>
      <c r="DE466" s="208"/>
      <c r="DF466" s="208"/>
      <c r="DG466" s="208"/>
      <c r="DH466" s="208"/>
      <c r="DI466" s="208"/>
      <c r="DJ466" s="208"/>
      <c r="DK466" s="208"/>
      <c r="DL466" s="208"/>
      <c r="DM466" s="208"/>
      <c r="DN466" s="208"/>
      <c r="DO466" s="208"/>
      <c r="DP466" s="208"/>
      <c r="DQ466" s="208"/>
      <c r="DR466" s="208"/>
      <c r="DS466" s="208"/>
      <c r="DT466" s="208"/>
      <c r="DU466" s="208"/>
      <c r="DV466" s="208"/>
      <c r="DW466" s="208"/>
      <c r="DX466" s="208"/>
      <c r="DY466" s="208"/>
      <c r="DZ466" s="208"/>
      <c r="EA466" s="208"/>
      <c r="EB466" s="208"/>
      <c r="EC466" s="208"/>
      <c r="ED466" s="208"/>
      <c r="EE466" s="208"/>
      <c r="EF466" s="208"/>
      <c r="EG466" s="208"/>
      <c r="EH466" s="208"/>
      <c r="EI466" s="208"/>
      <c r="EJ466" s="208"/>
      <c r="EK466" s="208"/>
      <c r="EL466" s="208"/>
      <c r="EM466" s="208"/>
      <c r="EN466" s="208"/>
      <c r="EO466" s="208"/>
      <c r="EP466" s="208"/>
      <c r="EQ466" s="208"/>
      <c r="ER466" s="208"/>
      <c r="ES466" s="208"/>
      <c r="ET466" s="208"/>
      <c r="EU466" s="208"/>
      <c r="EV466" s="208"/>
      <c r="EW466" s="208"/>
      <c r="EX466" s="208"/>
      <c r="EY466" s="208"/>
      <c r="EZ466" s="208"/>
      <c r="FA466" s="208"/>
      <c r="FB466" s="208"/>
      <c r="FC466" s="208"/>
      <c r="FD466" s="208"/>
      <c r="FE466" s="208"/>
      <c r="FF466" s="208"/>
      <c r="FG466" s="208"/>
      <c r="FH466" s="208"/>
      <c r="FI466" s="208"/>
      <c r="FJ466" s="208"/>
      <c r="FK466" s="208"/>
      <c r="FL466" s="208"/>
      <c r="FM466" s="208"/>
      <c r="FN466" s="208"/>
      <c r="FO466" s="208"/>
      <c r="FP466" s="208"/>
      <c r="FQ466" s="208"/>
      <c r="FR466" s="208"/>
      <c r="FS466" s="208"/>
      <c r="FT466" s="208"/>
      <c r="FU466" s="208"/>
      <c r="FV466" s="208"/>
      <c r="FW466" s="208"/>
      <c r="FX466" s="208"/>
      <c r="FY466" s="208"/>
      <c r="FZ466" s="208"/>
      <c r="GA466" s="208"/>
      <c r="GB466" s="208"/>
      <c r="GC466" s="208"/>
      <c r="GD466" s="208"/>
      <c r="GE466" s="208"/>
      <c r="GF466" s="208"/>
    </row>
    <row r="467" spans="1:188" s="209" customFormat="1" ht="15" x14ac:dyDescent="0.25">
      <c r="A467" s="195" t="s">
        <v>5251</v>
      </c>
      <c r="B467" s="195" t="s">
        <v>2805</v>
      </c>
      <c r="C467" s="196" t="s">
        <v>2806</v>
      </c>
      <c r="D467" s="154" t="s">
        <v>2623</v>
      </c>
      <c r="E467" s="154">
        <v>2</v>
      </c>
      <c r="F467" s="154"/>
      <c r="G467" s="197">
        <v>10</v>
      </c>
      <c r="H467" s="198">
        <f t="shared" si="62"/>
        <v>8.3333333333333332E-3</v>
      </c>
      <c r="I467" s="247">
        <v>689.01</v>
      </c>
      <c r="J467" s="152"/>
      <c r="K467" s="198"/>
      <c r="L467" s="152">
        <f t="shared" si="63"/>
        <v>11.48</v>
      </c>
      <c r="M467" s="152">
        <f t="shared" si="64"/>
        <v>688.8</v>
      </c>
      <c r="N467" s="153"/>
      <c r="O467" s="152"/>
      <c r="Q467" s="208"/>
      <c r="R467" s="208"/>
      <c r="S467"/>
      <c r="T467" s="208"/>
      <c r="U467" s="208"/>
      <c r="V467" s="208"/>
      <c r="W467" s="208"/>
      <c r="X467" s="208"/>
      <c r="Y467" s="208"/>
      <c r="Z467" s="208"/>
      <c r="AA467" s="208"/>
      <c r="AB467" s="208"/>
      <c r="AC467" s="208"/>
      <c r="AD467" s="208"/>
      <c r="AE467" s="208"/>
      <c r="AF467" s="208"/>
      <c r="AG467" s="208"/>
      <c r="AH467" s="208"/>
      <c r="AI467" s="208"/>
      <c r="AJ467" s="208"/>
      <c r="AK467" s="208"/>
      <c r="AL467" s="208"/>
      <c r="AM467" s="208"/>
      <c r="AN467" s="208"/>
      <c r="AO467" s="208"/>
      <c r="AP467" s="208"/>
      <c r="AQ467" s="208"/>
      <c r="AR467" s="208"/>
      <c r="AS467" s="208"/>
      <c r="AT467" s="208"/>
      <c r="AU467" s="208"/>
      <c r="AV467" s="208"/>
      <c r="AW467" s="208"/>
      <c r="AX467" s="208"/>
      <c r="AY467" s="208"/>
      <c r="AZ467" s="208"/>
      <c r="BA467" s="208"/>
      <c r="BB467" s="208"/>
      <c r="BC467" s="208"/>
      <c r="BD467" s="208"/>
      <c r="BE467" s="208"/>
      <c r="BF467" s="208"/>
      <c r="BG467" s="208"/>
      <c r="BH467" s="208"/>
      <c r="BI467" s="208"/>
      <c r="BJ467" s="208"/>
      <c r="BK467" s="208"/>
      <c r="BL467" s="208"/>
      <c r="BM467" s="208"/>
      <c r="BN467" s="208"/>
      <c r="BO467" s="208"/>
      <c r="BP467" s="208"/>
      <c r="BQ467" s="208"/>
      <c r="BR467" s="208"/>
      <c r="BS467" s="208"/>
      <c r="BT467" s="208"/>
      <c r="BU467" s="208"/>
      <c r="BV467" s="208"/>
      <c r="BW467" s="208"/>
      <c r="BX467" s="208"/>
      <c r="BY467" s="208"/>
      <c r="BZ467" s="208"/>
      <c r="CA467" s="208"/>
      <c r="CB467" s="208"/>
      <c r="CC467" s="208"/>
      <c r="CD467" s="208"/>
      <c r="CE467" s="208"/>
      <c r="CF467" s="208"/>
      <c r="CG467" s="208"/>
      <c r="CH467" s="208"/>
      <c r="CI467" s="208"/>
      <c r="CJ467" s="208"/>
      <c r="CK467" s="208"/>
      <c r="CL467" s="208"/>
      <c r="CM467" s="208"/>
      <c r="CN467" s="208"/>
      <c r="CO467" s="208"/>
      <c r="CP467" s="208"/>
      <c r="CQ467" s="208"/>
      <c r="CR467" s="208"/>
      <c r="CS467" s="208"/>
      <c r="CT467" s="208"/>
      <c r="CU467" s="208"/>
      <c r="CV467" s="208"/>
      <c r="CW467" s="208"/>
      <c r="CX467" s="208"/>
      <c r="CY467" s="208"/>
      <c r="CZ467" s="208"/>
      <c r="DA467" s="208"/>
      <c r="DB467" s="208"/>
      <c r="DC467" s="208"/>
      <c r="DD467" s="208"/>
      <c r="DE467" s="208"/>
      <c r="DF467" s="208"/>
      <c r="DG467" s="208"/>
      <c r="DH467" s="208"/>
      <c r="DI467" s="208"/>
      <c r="DJ467" s="208"/>
      <c r="DK467" s="208"/>
      <c r="DL467" s="208"/>
      <c r="DM467" s="208"/>
      <c r="DN467" s="208"/>
      <c r="DO467" s="208"/>
      <c r="DP467" s="208"/>
      <c r="DQ467" s="208"/>
      <c r="DR467" s="208"/>
      <c r="DS467" s="208"/>
      <c r="DT467" s="208"/>
      <c r="DU467" s="208"/>
      <c r="DV467" s="208"/>
      <c r="DW467" s="208"/>
      <c r="DX467" s="208"/>
      <c r="DY467" s="208"/>
      <c r="DZ467" s="208"/>
      <c r="EA467" s="208"/>
      <c r="EB467" s="208"/>
      <c r="EC467" s="208"/>
      <c r="ED467" s="208"/>
      <c r="EE467" s="208"/>
      <c r="EF467" s="208"/>
      <c r="EG467" s="208"/>
      <c r="EH467" s="208"/>
      <c r="EI467" s="208"/>
      <c r="EJ467" s="208"/>
      <c r="EK467" s="208"/>
      <c r="EL467" s="208"/>
      <c r="EM467" s="208"/>
      <c r="EN467" s="208"/>
      <c r="EO467" s="208"/>
      <c r="EP467" s="208"/>
      <c r="EQ467" s="208"/>
      <c r="ER467" s="208"/>
      <c r="ES467" s="208"/>
      <c r="ET467" s="208"/>
      <c r="EU467" s="208"/>
      <c r="EV467" s="208"/>
      <c r="EW467" s="208"/>
      <c r="EX467" s="208"/>
      <c r="EY467" s="208"/>
      <c r="EZ467" s="208"/>
      <c r="FA467" s="208"/>
      <c r="FB467" s="208"/>
      <c r="FC467" s="208"/>
      <c r="FD467" s="208"/>
      <c r="FE467" s="208"/>
      <c r="FF467" s="208"/>
      <c r="FG467" s="208"/>
      <c r="FH467" s="208"/>
      <c r="FI467" s="208"/>
      <c r="FJ467" s="208"/>
      <c r="FK467" s="208"/>
      <c r="FL467" s="208"/>
      <c r="FM467" s="208"/>
      <c r="FN467" s="208"/>
      <c r="FO467" s="208"/>
      <c r="FP467" s="208"/>
      <c r="FQ467" s="208"/>
      <c r="FR467" s="208"/>
      <c r="FS467" s="208"/>
      <c r="FT467" s="208"/>
      <c r="FU467" s="208"/>
      <c r="FV467" s="208"/>
      <c r="FW467" s="208"/>
      <c r="FX467" s="208"/>
      <c r="FY467" s="208"/>
      <c r="FZ467" s="208"/>
      <c r="GA467" s="208"/>
      <c r="GB467" s="208"/>
      <c r="GC467" s="208"/>
      <c r="GD467" s="208"/>
      <c r="GE467" s="208"/>
      <c r="GF467" s="208"/>
    </row>
    <row r="468" spans="1:188" s="209" customFormat="1" ht="15" x14ac:dyDescent="0.25">
      <c r="A468" s="195" t="s">
        <v>5252</v>
      </c>
      <c r="B468" s="195" t="s">
        <v>2588</v>
      </c>
      <c r="C468" s="196" t="s">
        <v>2589</v>
      </c>
      <c r="D468" s="154" t="s">
        <v>28</v>
      </c>
      <c r="E468" s="154">
        <v>18</v>
      </c>
      <c r="F468" s="154"/>
      <c r="G468" s="197">
        <v>5</v>
      </c>
      <c r="H468" s="198">
        <f t="shared" si="62"/>
        <v>1.6666666666666666E-2</v>
      </c>
      <c r="I468" s="247">
        <v>103.37</v>
      </c>
      <c r="J468" s="152"/>
      <c r="K468" s="198"/>
      <c r="L468" s="152">
        <f t="shared" si="63"/>
        <v>31.01</v>
      </c>
      <c r="M468" s="152">
        <f t="shared" si="64"/>
        <v>1860.6</v>
      </c>
      <c r="N468" s="153"/>
      <c r="O468" s="152"/>
      <c r="Q468" s="208"/>
      <c r="R468" s="208"/>
      <c r="S468"/>
      <c r="T468" s="208"/>
      <c r="U468" s="208"/>
      <c r="V468" s="208"/>
      <c r="W468" s="208"/>
      <c r="X468" s="208"/>
      <c r="Y468" s="208"/>
      <c r="Z468" s="208"/>
      <c r="AA468" s="208"/>
      <c r="AB468" s="208"/>
      <c r="AC468" s="208"/>
      <c r="AD468" s="208"/>
      <c r="AE468" s="208"/>
      <c r="AF468" s="208"/>
      <c r="AG468" s="208"/>
      <c r="AH468" s="208"/>
      <c r="AI468" s="208"/>
      <c r="AJ468" s="208"/>
      <c r="AK468" s="208"/>
      <c r="AL468" s="208"/>
      <c r="AM468" s="208"/>
      <c r="AN468" s="208"/>
      <c r="AO468" s="208"/>
      <c r="AP468" s="208"/>
      <c r="AQ468" s="208"/>
      <c r="AR468" s="208"/>
      <c r="AS468" s="208"/>
      <c r="AT468" s="208"/>
      <c r="AU468" s="208"/>
      <c r="AV468" s="208"/>
      <c r="AW468" s="208"/>
      <c r="AX468" s="208"/>
      <c r="AY468" s="208"/>
      <c r="AZ468" s="208"/>
      <c r="BA468" s="208"/>
      <c r="BB468" s="208"/>
      <c r="BC468" s="208"/>
      <c r="BD468" s="208"/>
      <c r="BE468" s="208"/>
      <c r="BF468" s="208"/>
      <c r="BG468" s="208"/>
      <c r="BH468" s="208"/>
      <c r="BI468" s="208"/>
      <c r="BJ468" s="208"/>
      <c r="BK468" s="208"/>
      <c r="BL468" s="208"/>
      <c r="BM468" s="208"/>
      <c r="BN468" s="208"/>
      <c r="BO468" s="208"/>
      <c r="BP468" s="208"/>
      <c r="BQ468" s="208"/>
      <c r="BR468" s="208"/>
      <c r="BS468" s="208"/>
      <c r="BT468" s="208"/>
      <c r="BU468" s="208"/>
      <c r="BV468" s="208"/>
      <c r="BW468" s="208"/>
      <c r="BX468" s="208"/>
      <c r="BY468" s="208"/>
      <c r="BZ468" s="208"/>
      <c r="CA468" s="208"/>
      <c r="CB468" s="208"/>
      <c r="CC468" s="208"/>
      <c r="CD468" s="208"/>
      <c r="CE468" s="208"/>
      <c r="CF468" s="208"/>
      <c r="CG468" s="208"/>
      <c r="CH468" s="208"/>
      <c r="CI468" s="208"/>
      <c r="CJ468" s="208"/>
      <c r="CK468" s="208"/>
      <c r="CL468" s="208"/>
      <c r="CM468" s="208"/>
      <c r="CN468" s="208"/>
      <c r="CO468" s="208"/>
      <c r="CP468" s="208"/>
      <c r="CQ468" s="208"/>
      <c r="CR468" s="208"/>
      <c r="CS468" s="208"/>
      <c r="CT468" s="208"/>
      <c r="CU468" s="208"/>
      <c r="CV468" s="208"/>
      <c r="CW468" s="208"/>
      <c r="CX468" s="208"/>
      <c r="CY468" s="208"/>
      <c r="CZ468" s="208"/>
      <c r="DA468" s="208"/>
      <c r="DB468" s="208"/>
      <c r="DC468" s="208"/>
      <c r="DD468" s="208"/>
      <c r="DE468" s="208"/>
      <c r="DF468" s="208"/>
      <c r="DG468" s="208"/>
      <c r="DH468" s="208"/>
      <c r="DI468" s="208"/>
      <c r="DJ468" s="208"/>
      <c r="DK468" s="208"/>
      <c r="DL468" s="208"/>
      <c r="DM468" s="208"/>
      <c r="DN468" s="208"/>
      <c r="DO468" s="208"/>
      <c r="DP468" s="208"/>
      <c r="DQ468" s="208"/>
      <c r="DR468" s="208"/>
      <c r="DS468" s="208"/>
      <c r="DT468" s="208"/>
      <c r="DU468" s="208"/>
      <c r="DV468" s="208"/>
      <c r="DW468" s="208"/>
      <c r="DX468" s="208"/>
      <c r="DY468" s="208"/>
      <c r="DZ468" s="208"/>
      <c r="EA468" s="208"/>
      <c r="EB468" s="208"/>
      <c r="EC468" s="208"/>
      <c r="ED468" s="208"/>
      <c r="EE468" s="208"/>
      <c r="EF468" s="208"/>
      <c r="EG468" s="208"/>
      <c r="EH468" s="208"/>
      <c r="EI468" s="208"/>
      <c r="EJ468" s="208"/>
      <c r="EK468" s="208"/>
      <c r="EL468" s="208"/>
      <c r="EM468" s="208"/>
      <c r="EN468" s="208"/>
      <c r="EO468" s="208"/>
      <c r="EP468" s="208"/>
      <c r="EQ468" s="208"/>
      <c r="ER468" s="208"/>
      <c r="ES468" s="208"/>
      <c r="ET468" s="208"/>
      <c r="EU468" s="208"/>
      <c r="EV468" s="208"/>
      <c r="EW468" s="208"/>
      <c r="EX468" s="208"/>
      <c r="EY468" s="208"/>
      <c r="EZ468" s="208"/>
      <c r="FA468" s="208"/>
      <c r="FB468" s="208"/>
      <c r="FC468" s="208"/>
      <c r="FD468" s="208"/>
      <c r="FE468" s="208"/>
      <c r="FF468" s="208"/>
      <c r="FG468" s="208"/>
      <c r="FH468" s="208"/>
      <c r="FI468" s="208"/>
      <c r="FJ468" s="208"/>
      <c r="FK468" s="208"/>
      <c r="FL468" s="208"/>
      <c r="FM468" s="208"/>
      <c r="FN468" s="208"/>
      <c r="FO468" s="208"/>
      <c r="FP468" s="208"/>
      <c r="FQ468" s="208"/>
      <c r="FR468" s="208"/>
      <c r="FS468" s="208"/>
      <c r="FT468" s="208"/>
      <c r="FU468" s="208"/>
      <c r="FV468" s="208"/>
      <c r="FW468" s="208"/>
      <c r="FX468" s="208"/>
      <c r="FY468" s="208"/>
      <c r="FZ468" s="208"/>
      <c r="GA468" s="208"/>
      <c r="GB468" s="208"/>
      <c r="GC468" s="208"/>
      <c r="GD468" s="208"/>
      <c r="GE468" s="208"/>
      <c r="GF468" s="208"/>
    </row>
    <row r="469" spans="1:188" s="209" customFormat="1" ht="15" x14ac:dyDescent="0.25">
      <c r="A469" s="182" t="s">
        <v>5253</v>
      </c>
      <c r="B469" s="183"/>
      <c r="C469" s="184" t="s">
        <v>5254</v>
      </c>
      <c r="D469" s="185"/>
      <c r="E469" s="185"/>
      <c r="F469" s="185"/>
      <c r="G469" s="199"/>
      <c r="H469" s="187"/>
      <c r="I469" s="245"/>
      <c r="J469" s="188"/>
      <c r="K469" s="185"/>
      <c r="L469" s="188"/>
      <c r="M469" s="188">
        <f>SUBTOTAL(109,M470:M474)</f>
        <v>205861.2</v>
      </c>
      <c r="N469" s="185"/>
      <c r="O469" s="188"/>
      <c r="Q469" s="208"/>
      <c r="R469" s="208"/>
      <c r="S469"/>
      <c r="T469" s="208"/>
      <c r="U469" s="208"/>
      <c r="V469" s="208"/>
      <c r="W469" s="208"/>
      <c r="X469" s="208"/>
      <c r="Y469" s="208"/>
      <c r="Z469" s="208"/>
      <c r="AA469" s="208"/>
      <c r="AB469" s="208"/>
      <c r="AC469" s="208"/>
      <c r="AD469" s="208"/>
      <c r="AE469" s="208"/>
      <c r="AF469" s="208"/>
      <c r="AG469" s="208"/>
      <c r="AH469" s="208"/>
      <c r="AI469" s="208"/>
      <c r="AJ469" s="208"/>
      <c r="AK469" s="208"/>
      <c r="AL469" s="208"/>
      <c r="AM469" s="208"/>
      <c r="AN469" s="208"/>
      <c r="AO469" s="208"/>
      <c r="AP469" s="208"/>
      <c r="AQ469" s="208"/>
      <c r="AR469" s="208"/>
      <c r="AS469" s="208"/>
      <c r="AT469" s="208"/>
      <c r="AU469" s="208"/>
      <c r="AV469" s="208"/>
      <c r="AW469" s="208"/>
      <c r="AX469" s="208"/>
      <c r="AY469" s="208"/>
      <c r="AZ469" s="208"/>
      <c r="BA469" s="208"/>
      <c r="BB469" s="208"/>
      <c r="BC469" s="208"/>
      <c r="BD469" s="208"/>
      <c r="BE469" s="208"/>
      <c r="BF469" s="208"/>
      <c r="BG469" s="208"/>
      <c r="BH469" s="208"/>
      <c r="BI469" s="208"/>
      <c r="BJ469" s="208"/>
      <c r="BK469" s="208"/>
      <c r="BL469" s="208"/>
      <c r="BM469" s="208"/>
      <c r="BN469" s="208"/>
      <c r="BO469" s="208"/>
      <c r="BP469" s="208"/>
      <c r="BQ469" s="208"/>
      <c r="BR469" s="208"/>
      <c r="BS469" s="208"/>
      <c r="BT469" s="208"/>
      <c r="BU469" s="208"/>
      <c r="BV469" s="208"/>
      <c r="BW469" s="208"/>
      <c r="BX469" s="208"/>
      <c r="BY469" s="208"/>
      <c r="BZ469" s="208"/>
      <c r="CA469" s="208"/>
      <c r="CB469" s="208"/>
      <c r="CC469" s="208"/>
      <c r="CD469" s="208"/>
      <c r="CE469" s="208"/>
      <c r="CF469" s="208"/>
      <c r="CG469" s="208"/>
      <c r="CH469" s="208"/>
      <c r="CI469" s="208"/>
      <c r="CJ469" s="208"/>
      <c r="CK469" s="208"/>
      <c r="CL469" s="208"/>
      <c r="CM469" s="208"/>
      <c r="CN469" s="208"/>
      <c r="CO469" s="208"/>
      <c r="CP469" s="208"/>
      <c r="CQ469" s="208"/>
      <c r="CR469" s="208"/>
      <c r="CS469" s="208"/>
      <c r="CT469" s="208"/>
      <c r="CU469" s="208"/>
      <c r="CV469" s="208"/>
      <c r="CW469" s="208"/>
      <c r="CX469" s="208"/>
      <c r="CY469" s="208"/>
      <c r="CZ469" s="208"/>
      <c r="DA469" s="208"/>
      <c r="DB469" s="208"/>
      <c r="DC469" s="208"/>
      <c r="DD469" s="208"/>
      <c r="DE469" s="208"/>
      <c r="DF469" s="208"/>
      <c r="DG469" s="208"/>
      <c r="DH469" s="208"/>
      <c r="DI469" s="208"/>
      <c r="DJ469" s="208"/>
      <c r="DK469" s="208"/>
      <c r="DL469" s="208"/>
      <c r="DM469" s="208"/>
      <c r="DN469" s="208"/>
      <c r="DO469" s="208"/>
      <c r="DP469" s="208"/>
      <c r="DQ469" s="208"/>
      <c r="DR469" s="208"/>
      <c r="DS469" s="208"/>
      <c r="DT469" s="208"/>
      <c r="DU469" s="208"/>
      <c r="DV469" s="208"/>
      <c r="DW469" s="208"/>
      <c r="DX469" s="208"/>
      <c r="DY469" s="208"/>
      <c r="DZ469" s="208"/>
      <c r="EA469" s="208"/>
      <c r="EB469" s="208"/>
      <c r="EC469" s="208"/>
      <c r="ED469" s="208"/>
      <c r="EE469" s="208"/>
      <c r="EF469" s="208"/>
      <c r="EG469" s="208"/>
      <c r="EH469" s="208"/>
      <c r="EI469" s="208"/>
      <c r="EJ469" s="208"/>
      <c r="EK469" s="208"/>
      <c r="EL469" s="208"/>
      <c r="EM469" s="208"/>
      <c r="EN469" s="208"/>
      <c r="EO469" s="208"/>
      <c r="EP469" s="208"/>
      <c r="EQ469" s="208"/>
      <c r="ER469" s="208"/>
      <c r="ES469" s="208"/>
      <c r="ET469" s="208"/>
      <c r="EU469" s="208"/>
      <c r="EV469" s="208"/>
      <c r="EW469" s="208"/>
      <c r="EX469" s="208"/>
      <c r="EY469" s="208"/>
      <c r="EZ469" s="208"/>
      <c r="FA469" s="208"/>
      <c r="FB469" s="208"/>
      <c r="FC469" s="208"/>
      <c r="FD469" s="208"/>
      <c r="FE469" s="208"/>
      <c r="FF469" s="208"/>
      <c r="FG469" s="208"/>
      <c r="FH469" s="208"/>
      <c r="FI469" s="208"/>
      <c r="FJ469" s="208"/>
      <c r="FK469" s="208"/>
      <c r="FL469" s="208"/>
      <c r="FM469" s="208"/>
      <c r="FN469" s="208"/>
      <c r="FO469" s="208"/>
      <c r="FP469" s="208"/>
      <c r="FQ469" s="208"/>
      <c r="FR469" s="208"/>
      <c r="FS469" s="208"/>
      <c r="FT469" s="208"/>
      <c r="FU469" s="208"/>
      <c r="FV469" s="208"/>
      <c r="FW469" s="208"/>
      <c r="FX469" s="208"/>
      <c r="FY469" s="208"/>
      <c r="FZ469" s="208"/>
      <c r="GA469" s="208"/>
      <c r="GB469" s="208"/>
      <c r="GC469" s="208"/>
      <c r="GD469" s="208"/>
      <c r="GE469" s="208"/>
      <c r="GF469" s="208"/>
    </row>
    <row r="470" spans="1:188" s="225" customFormat="1" ht="15" x14ac:dyDescent="0.25">
      <c r="A470" s="189" t="s">
        <v>5255</v>
      </c>
      <c r="B470" s="189"/>
      <c r="C470" s="190" t="s">
        <v>5254</v>
      </c>
      <c r="D470" s="191"/>
      <c r="E470" s="191"/>
      <c r="F470" s="191"/>
      <c r="G470" s="192"/>
      <c r="H470" s="193"/>
      <c r="I470" s="246"/>
      <c r="J470" s="194"/>
      <c r="K470" s="191"/>
      <c r="L470" s="191"/>
      <c r="M470" s="194">
        <f>SUBTOTAL(109,M471:M474)</f>
        <v>205861.2</v>
      </c>
      <c r="N470" s="191"/>
      <c r="O470" s="194"/>
      <c r="Q470" s="208"/>
      <c r="R470" s="208"/>
      <c r="S470"/>
      <c r="T470" s="208"/>
      <c r="U470" s="208"/>
      <c r="V470" s="208"/>
      <c r="W470" s="208"/>
      <c r="X470" s="208"/>
      <c r="Y470" s="208"/>
      <c r="Z470" s="208"/>
      <c r="AA470" s="208"/>
      <c r="AB470" s="208"/>
      <c r="AC470" s="208"/>
      <c r="AD470" s="208"/>
      <c r="AE470" s="208"/>
      <c r="AF470" s="208"/>
      <c r="AG470" s="208"/>
      <c r="AH470" s="208"/>
      <c r="AI470" s="208"/>
      <c r="AJ470" s="208"/>
      <c r="AK470" s="208"/>
      <c r="AL470" s="208"/>
      <c r="AM470" s="208"/>
      <c r="AN470" s="208"/>
      <c r="AO470" s="208"/>
      <c r="AP470" s="208"/>
      <c r="AQ470" s="208"/>
      <c r="AR470" s="208"/>
      <c r="AS470" s="208"/>
      <c r="AT470" s="208"/>
      <c r="AU470" s="208"/>
      <c r="AV470" s="208"/>
      <c r="AW470" s="208"/>
      <c r="AX470" s="208"/>
      <c r="AY470" s="208"/>
      <c r="AZ470" s="208"/>
      <c r="BA470" s="208"/>
      <c r="BB470" s="208"/>
      <c r="BC470" s="208"/>
      <c r="BD470" s="208"/>
      <c r="BE470" s="208"/>
      <c r="BF470" s="208"/>
      <c r="BG470" s="208"/>
      <c r="BH470" s="208"/>
      <c r="BI470" s="208"/>
      <c r="BJ470" s="208"/>
      <c r="BK470" s="208"/>
      <c r="BL470" s="208"/>
      <c r="BM470" s="208"/>
      <c r="BN470" s="208"/>
      <c r="BO470" s="208"/>
      <c r="BP470" s="208"/>
      <c r="BQ470" s="208"/>
      <c r="BR470" s="208"/>
      <c r="BS470" s="208"/>
      <c r="BT470" s="208"/>
      <c r="BU470" s="208"/>
      <c r="BV470" s="208"/>
      <c r="BW470" s="208"/>
      <c r="BX470" s="208"/>
      <c r="BY470" s="208"/>
      <c r="BZ470" s="208"/>
      <c r="CA470" s="208"/>
      <c r="CB470" s="208"/>
      <c r="CC470" s="208"/>
      <c r="CD470" s="208"/>
      <c r="CE470" s="208"/>
      <c r="CF470" s="208"/>
      <c r="CG470" s="208"/>
      <c r="CH470" s="208"/>
      <c r="CI470" s="208"/>
      <c r="CJ470" s="208"/>
      <c r="CK470" s="208"/>
      <c r="CL470" s="208"/>
      <c r="CM470" s="208"/>
      <c r="CN470" s="208"/>
      <c r="CO470" s="208"/>
      <c r="CP470" s="208"/>
      <c r="CQ470" s="208"/>
      <c r="CR470" s="208"/>
      <c r="CS470" s="208"/>
      <c r="CT470" s="208"/>
      <c r="CU470" s="208"/>
      <c r="CV470" s="208"/>
      <c r="CW470" s="208"/>
      <c r="CX470" s="208"/>
      <c r="CY470" s="208"/>
      <c r="CZ470" s="208"/>
      <c r="DA470" s="208"/>
      <c r="DB470" s="208"/>
      <c r="DC470" s="208"/>
      <c r="DD470" s="208"/>
      <c r="DE470" s="208"/>
      <c r="DF470" s="208"/>
      <c r="DG470" s="208"/>
      <c r="DH470" s="208"/>
      <c r="DI470" s="208"/>
      <c r="DJ470" s="208"/>
      <c r="DK470" s="208"/>
      <c r="DL470" s="208"/>
      <c r="DM470" s="208"/>
      <c r="DN470" s="208"/>
      <c r="DO470" s="208"/>
      <c r="DP470" s="208"/>
      <c r="DQ470" s="208"/>
      <c r="DR470" s="208"/>
      <c r="DS470" s="208"/>
      <c r="DT470" s="208"/>
      <c r="DU470" s="208"/>
      <c r="DV470" s="208"/>
      <c r="DW470" s="208"/>
      <c r="DX470" s="208"/>
      <c r="DY470" s="208"/>
      <c r="DZ470" s="208"/>
      <c r="EA470" s="208"/>
      <c r="EB470" s="208"/>
      <c r="EC470" s="208"/>
      <c r="ED470" s="208"/>
      <c r="EE470" s="208"/>
      <c r="EF470" s="208"/>
      <c r="EG470" s="208"/>
      <c r="EH470" s="208"/>
      <c r="EI470" s="208"/>
      <c r="EJ470" s="208"/>
      <c r="EK470" s="208"/>
      <c r="EL470" s="208"/>
      <c r="EM470" s="208"/>
      <c r="EN470" s="208"/>
      <c r="EO470" s="208"/>
      <c r="EP470" s="208"/>
      <c r="EQ470" s="208"/>
      <c r="ER470" s="208"/>
      <c r="ES470" s="208"/>
      <c r="ET470" s="208"/>
      <c r="EU470" s="208"/>
      <c r="EV470" s="208"/>
      <c r="EW470" s="208"/>
      <c r="EX470" s="208"/>
      <c r="EY470" s="208"/>
      <c r="EZ470" s="208"/>
      <c r="FA470" s="208"/>
      <c r="FB470" s="208"/>
      <c r="FC470" s="208"/>
      <c r="FD470" s="208"/>
      <c r="FE470" s="208"/>
      <c r="FF470" s="208"/>
      <c r="FG470" s="208"/>
      <c r="FH470" s="208"/>
      <c r="FI470" s="208"/>
      <c r="FJ470" s="208"/>
      <c r="FK470" s="208"/>
      <c r="FL470" s="208"/>
      <c r="FM470" s="208"/>
      <c r="FN470" s="208"/>
      <c r="FO470" s="208"/>
      <c r="FP470" s="208"/>
      <c r="FQ470" s="208"/>
      <c r="FR470" s="208"/>
      <c r="FS470" s="208"/>
      <c r="FT470" s="208"/>
      <c r="FU470" s="208"/>
      <c r="FV470" s="208"/>
      <c r="FW470" s="208"/>
      <c r="FX470" s="208"/>
      <c r="FY470" s="208"/>
      <c r="FZ470" s="208"/>
      <c r="GA470" s="208"/>
      <c r="GB470" s="208"/>
      <c r="GC470" s="208"/>
      <c r="GD470" s="208"/>
      <c r="GE470" s="208"/>
      <c r="GF470" s="208"/>
    </row>
    <row r="471" spans="1:188" s="209" customFormat="1" ht="15" x14ac:dyDescent="0.25">
      <c r="A471" s="195" t="s">
        <v>5256</v>
      </c>
      <c r="B471" s="195" t="s">
        <v>2995</v>
      </c>
      <c r="C471" s="196" t="s">
        <v>2996</v>
      </c>
      <c r="D471" s="154" t="s">
        <v>28</v>
      </c>
      <c r="E471" s="154">
        <v>1</v>
      </c>
      <c r="F471" s="154"/>
      <c r="G471" s="197">
        <v>4</v>
      </c>
      <c r="H471" s="198">
        <f t="shared" ref="H471" si="65">1/(12*G471)</f>
        <v>2.0833333333333332E-2</v>
      </c>
      <c r="I471" s="247">
        <v>46565.5</v>
      </c>
      <c r="J471" s="152"/>
      <c r="K471" s="198"/>
      <c r="L471" s="152">
        <f>IF(ISNUMBER(I471),ROUND(H471*E471*I471,2),"")</f>
        <v>970.11</v>
      </c>
      <c r="M471" s="152">
        <f>IF(ISNUMBER(I471),ROUND(L471*60,2),"")</f>
        <v>58206.6</v>
      </c>
      <c r="N471" s="153"/>
      <c r="O471" s="152"/>
      <c r="Q471" s="208"/>
      <c r="R471" s="208"/>
      <c r="S471"/>
      <c r="T471" s="208"/>
      <c r="U471" s="208"/>
      <c r="V471" s="208"/>
      <c r="W471" s="208"/>
      <c r="X471" s="208"/>
      <c r="Y471" s="208"/>
      <c r="Z471" s="208"/>
      <c r="AA471" s="208"/>
      <c r="AB471" s="208"/>
      <c r="AC471" s="208"/>
      <c r="AD471" s="208"/>
      <c r="AE471" s="208"/>
      <c r="AF471" s="208"/>
      <c r="AG471" s="208"/>
      <c r="AH471" s="208"/>
      <c r="AI471" s="208"/>
      <c r="AJ471" s="208"/>
      <c r="AK471" s="208"/>
      <c r="AL471" s="208"/>
      <c r="AM471" s="208"/>
      <c r="AN471" s="208"/>
      <c r="AO471" s="208"/>
      <c r="AP471" s="208"/>
      <c r="AQ471" s="208"/>
      <c r="AR471" s="208"/>
      <c r="AS471" s="208"/>
      <c r="AT471" s="208"/>
      <c r="AU471" s="208"/>
      <c r="AV471" s="208"/>
      <c r="AW471" s="208"/>
      <c r="AX471" s="208"/>
      <c r="AY471" s="208"/>
      <c r="AZ471" s="208"/>
      <c r="BA471" s="208"/>
      <c r="BB471" s="208"/>
      <c r="BC471" s="208"/>
      <c r="BD471" s="208"/>
      <c r="BE471" s="208"/>
      <c r="BF471" s="208"/>
      <c r="BG471" s="208"/>
      <c r="BH471" s="208"/>
      <c r="BI471" s="208"/>
      <c r="BJ471" s="208"/>
      <c r="BK471" s="208"/>
      <c r="BL471" s="208"/>
      <c r="BM471" s="208"/>
      <c r="BN471" s="208"/>
      <c r="BO471" s="208"/>
      <c r="BP471" s="208"/>
      <c r="BQ471" s="208"/>
      <c r="BR471" s="208"/>
      <c r="BS471" s="208"/>
      <c r="BT471" s="208"/>
      <c r="BU471" s="208"/>
      <c r="BV471" s="208"/>
      <c r="BW471" s="208"/>
      <c r="BX471" s="208"/>
      <c r="BY471" s="208"/>
      <c r="BZ471" s="208"/>
      <c r="CA471" s="208"/>
      <c r="CB471" s="208"/>
      <c r="CC471" s="208"/>
      <c r="CD471" s="208"/>
      <c r="CE471" s="208"/>
      <c r="CF471" s="208"/>
      <c r="CG471" s="208"/>
      <c r="CH471" s="208"/>
      <c r="CI471" s="208"/>
      <c r="CJ471" s="208"/>
      <c r="CK471" s="208"/>
      <c r="CL471" s="208"/>
      <c r="CM471" s="208"/>
      <c r="CN471" s="208"/>
      <c r="CO471" s="208"/>
      <c r="CP471" s="208"/>
      <c r="CQ471" s="208"/>
      <c r="CR471" s="208"/>
      <c r="CS471" s="208"/>
      <c r="CT471" s="208"/>
      <c r="CU471" s="208"/>
      <c r="CV471" s="208"/>
      <c r="CW471" s="208"/>
      <c r="CX471" s="208"/>
      <c r="CY471" s="208"/>
      <c r="CZ471" s="208"/>
      <c r="DA471" s="208"/>
      <c r="DB471" s="208"/>
      <c r="DC471" s="208"/>
      <c r="DD471" s="208"/>
      <c r="DE471" s="208"/>
      <c r="DF471" s="208"/>
      <c r="DG471" s="208"/>
      <c r="DH471" s="208"/>
      <c r="DI471" s="208"/>
      <c r="DJ471" s="208"/>
      <c r="DK471" s="208"/>
      <c r="DL471" s="208"/>
      <c r="DM471" s="208"/>
      <c r="DN471" s="208"/>
      <c r="DO471" s="208"/>
      <c r="DP471" s="208"/>
      <c r="DQ471" s="208"/>
      <c r="DR471" s="208"/>
      <c r="DS471" s="208"/>
      <c r="DT471" s="208"/>
      <c r="DU471" s="208"/>
      <c r="DV471" s="208"/>
      <c r="DW471" s="208"/>
      <c r="DX471" s="208"/>
      <c r="DY471" s="208"/>
      <c r="DZ471" s="208"/>
      <c r="EA471" s="208"/>
      <c r="EB471" s="208"/>
      <c r="EC471" s="208"/>
      <c r="ED471" s="208"/>
      <c r="EE471" s="208"/>
      <c r="EF471" s="208"/>
      <c r="EG471" s="208"/>
      <c r="EH471" s="208"/>
      <c r="EI471" s="208"/>
      <c r="EJ471" s="208"/>
      <c r="EK471" s="208"/>
      <c r="EL471" s="208"/>
      <c r="EM471" s="208"/>
      <c r="EN471" s="208"/>
      <c r="EO471" s="208"/>
      <c r="EP471" s="208"/>
      <c r="EQ471" s="208"/>
      <c r="ER471" s="208"/>
      <c r="ES471" s="208"/>
      <c r="ET471" s="208"/>
      <c r="EU471" s="208"/>
      <c r="EV471" s="208"/>
      <c r="EW471" s="208"/>
      <c r="EX471" s="208"/>
      <c r="EY471" s="208"/>
      <c r="EZ471" s="208"/>
      <c r="FA471" s="208"/>
      <c r="FB471" s="208"/>
      <c r="FC471" s="208"/>
      <c r="FD471" s="208"/>
      <c r="FE471" s="208"/>
      <c r="FF471" s="208"/>
      <c r="FG471" s="208"/>
      <c r="FH471" s="208"/>
      <c r="FI471" s="208"/>
      <c r="FJ471" s="208"/>
      <c r="FK471" s="208"/>
      <c r="FL471" s="208"/>
      <c r="FM471" s="208"/>
      <c r="FN471" s="208"/>
      <c r="FO471" s="208"/>
      <c r="FP471" s="208"/>
      <c r="FQ471" s="208"/>
      <c r="FR471" s="208"/>
      <c r="FS471" s="208"/>
      <c r="FT471" s="208"/>
      <c r="FU471" s="208"/>
      <c r="FV471" s="208"/>
      <c r="FW471" s="208"/>
      <c r="FX471" s="208"/>
      <c r="FY471" s="208"/>
      <c r="FZ471" s="208"/>
      <c r="GA471" s="208"/>
      <c r="GB471" s="208"/>
      <c r="GC471" s="208"/>
      <c r="GD471" s="208"/>
      <c r="GE471" s="208"/>
      <c r="GF471" s="208"/>
    </row>
    <row r="472" spans="1:188" s="209" customFormat="1" ht="15" x14ac:dyDescent="0.25">
      <c r="A472" s="195" t="s">
        <v>5257</v>
      </c>
      <c r="B472" s="195" t="s">
        <v>3268</v>
      </c>
      <c r="C472" s="196" t="s">
        <v>3269</v>
      </c>
      <c r="D472" s="154" t="s">
        <v>28</v>
      </c>
      <c r="E472" s="154">
        <v>1</v>
      </c>
      <c r="F472" s="154"/>
      <c r="G472" s="197">
        <v>5</v>
      </c>
      <c r="H472" s="198">
        <f t="shared" si="62"/>
        <v>1.6666666666666666E-2</v>
      </c>
      <c r="I472" s="247">
        <v>57373</v>
      </c>
      <c r="J472" s="152"/>
      <c r="K472" s="198"/>
      <c r="L472" s="152">
        <f>IF(ISNUMBER(I472),ROUND(H472*E472*I472,2),"")</f>
        <v>956.22</v>
      </c>
      <c r="M472" s="152">
        <f>IF(ISNUMBER(I472),ROUND(L472*60,2),"")</f>
        <v>57373.2</v>
      </c>
      <c r="N472" s="153"/>
      <c r="O472" s="152"/>
      <c r="Q472" s="208"/>
      <c r="R472" s="208"/>
      <c r="S472"/>
      <c r="T472" s="208"/>
      <c r="U472" s="208"/>
      <c r="V472" s="208"/>
      <c r="W472" s="208"/>
      <c r="X472" s="208"/>
      <c r="Y472" s="208"/>
      <c r="Z472" s="208"/>
      <c r="AA472" s="208"/>
      <c r="AB472" s="208"/>
      <c r="AC472" s="208"/>
      <c r="AD472" s="208"/>
      <c r="AE472" s="208"/>
      <c r="AF472" s="208"/>
      <c r="AG472" s="208"/>
      <c r="AH472" s="208"/>
      <c r="AI472" s="208"/>
      <c r="AJ472" s="208"/>
      <c r="AK472" s="208"/>
      <c r="AL472" s="208"/>
      <c r="AM472" s="208"/>
      <c r="AN472" s="208"/>
      <c r="AO472" s="208"/>
      <c r="AP472" s="208"/>
      <c r="AQ472" s="208"/>
      <c r="AR472" s="208"/>
      <c r="AS472" s="208"/>
      <c r="AT472" s="208"/>
      <c r="AU472" s="208"/>
      <c r="AV472" s="208"/>
      <c r="AW472" s="208"/>
      <c r="AX472" s="208"/>
      <c r="AY472" s="208"/>
      <c r="AZ472" s="208"/>
      <c r="BA472" s="208"/>
      <c r="BB472" s="208"/>
      <c r="BC472" s="208"/>
      <c r="BD472" s="208"/>
      <c r="BE472" s="208"/>
      <c r="BF472" s="208"/>
      <c r="BG472" s="208"/>
      <c r="BH472" s="208"/>
      <c r="BI472" s="208"/>
      <c r="BJ472" s="208"/>
      <c r="BK472" s="208"/>
      <c r="BL472" s="208"/>
      <c r="BM472" s="208"/>
      <c r="BN472" s="208"/>
      <c r="BO472" s="208"/>
      <c r="BP472" s="208"/>
      <c r="BQ472" s="208"/>
      <c r="BR472" s="208"/>
      <c r="BS472" s="208"/>
      <c r="BT472" s="208"/>
      <c r="BU472" s="208"/>
      <c r="BV472" s="208"/>
      <c r="BW472" s="208"/>
      <c r="BX472" s="208"/>
      <c r="BY472" s="208"/>
      <c r="BZ472" s="208"/>
      <c r="CA472" s="208"/>
      <c r="CB472" s="208"/>
      <c r="CC472" s="208"/>
      <c r="CD472" s="208"/>
      <c r="CE472" s="208"/>
      <c r="CF472" s="208"/>
      <c r="CG472" s="208"/>
      <c r="CH472" s="208"/>
      <c r="CI472" s="208"/>
      <c r="CJ472" s="208"/>
      <c r="CK472" s="208"/>
      <c r="CL472" s="208"/>
      <c r="CM472" s="208"/>
      <c r="CN472" s="208"/>
      <c r="CO472" s="208"/>
      <c r="CP472" s="208"/>
      <c r="CQ472" s="208"/>
      <c r="CR472" s="208"/>
      <c r="CS472" s="208"/>
      <c r="CT472" s="208"/>
      <c r="CU472" s="208"/>
      <c r="CV472" s="208"/>
      <c r="CW472" s="208"/>
      <c r="CX472" s="208"/>
      <c r="CY472" s="208"/>
      <c r="CZ472" s="208"/>
      <c r="DA472" s="208"/>
      <c r="DB472" s="208"/>
      <c r="DC472" s="208"/>
      <c r="DD472" s="208"/>
      <c r="DE472" s="208"/>
      <c r="DF472" s="208"/>
      <c r="DG472" s="208"/>
      <c r="DH472" s="208"/>
      <c r="DI472" s="208"/>
      <c r="DJ472" s="208"/>
      <c r="DK472" s="208"/>
      <c r="DL472" s="208"/>
      <c r="DM472" s="208"/>
      <c r="DN472" s="208"/>
      <c r="DO472" s="208"/>
      <c r="DP472" s="208"/>
      <c r="DQ472" s="208"/>
      <c r="DR472" s="208"/>
      <c r="DS472" s="208"/>
      <c r="DT472" s="208"/>
      <c r="DU472" s="208"/>
      <c r="DV472" s="208"/>
      <c r="DW472" s="208"/>
      <c r="DX472" s="208"/>
      <c r="DY472" s="208"/>
      <c r="DZ472" s="208"/>
      <c r="EA472" s="208"/>
      <c r="EB472" s="208"/>
      <c r="EC472" s="208"/>
      <c r="ED472" s="208"/>
      <c r="EE472" s="208"/>
      <c r="EF472" s="208"/>
      <c r="EG472" s="208"/>
      <c r="EH472" s="208"/>
      <c r="EI472" s="208"/>
      <c r="EJ472" s="208"/>
      <c r="EK472" s="208"/>
      <c r="EL472" s="208"/>
      <c r="EM472" s="208"/>
      <c r="EN472" s="208"/>
      <c r="EO472" s="208"/>
      <c r="EP472" s="208"/>
      <c r="EQ472" s="208"/>
      <c r="ER472" s="208"/>
      <c r="ES472" s="208"/>
      <c r="ET472" s="208"/>
      <c r="EU472" s="208"/>
      <c r="EV472" s="208"/>
      <c r="EW472" s="208"/>
      <c r="EX472" s="208"/>
      <c r="EY472" s="208"/>
      <c r="EZ472" s="208"/>
      <c r="FA472" s="208"/>
      <c r="FB472" s="208"/>
      <c r="FC472" s="208"/>
      <c r="FD472" s="208"/>
      <c r="FE472" s="208"/>
      <c r="FF472" s="208"/>
      <c r="FG472" s="208"/>
      <c r="FH472" s="208"/>
      <c r="FI472" s="208"/>
      <c r="FJ472" s="208"/>
      <c r="FK472" s="208"/>
      <c r="FL472" s="208"/>
      <c r="FM472" s="208"/>
      <c r="FN472" s="208"/>
      <c r="FO472" s="208"/>
      <c r="FP472" s="208"/>
      <c r="FQ472" s="208"/>
      <c r="FR472" s="208"/>
      <c r="FS472" s="208"/>
      <c r="FT472" s="208"/>
      <c r="FU472" s="208"/>
      <c r="FV472" s="208"/>
      <c r="FW472" s="208"/>
      <c r="FX472" s="208"/>
      <c r="FY472" s="208"/>
      <c r="FZ472" s="208"/>
      <c r="GA472" s="208"/>
      <c r="GB472" s="208"/>
      <c r="GC472" s="208"/>
      <c r="GD472" s="208"/>
      <c r="GE472" s="208"/>
      <c r="GF472" s="208"/>
    </row>
    <row r="473" spans="1:188" s="209" customFormat="1" ht="15" x14ac:dyDescent="0.25">
      <c r="A473" s="195" t="s">
        <v>5258</v>
      </c>
      <c r="B473" s="195" t="s">
        <v>2997</v>
      </c>
      <c r="C473" s="196" t="s">
        <v>2998</v>
      </c>
      <c r="D473" s="154" t="s">
        <v>28</v>
      </c>
      <c r="E473" s="154">
        <v>1</v>
      </c>
      <c r="F473" s="154"/>
      <c r="G473" s="197">
        <v>10</v>
      </c>
      <c r="H473" s="198">
        <f t="shared" si="62"/>
        <v>8.3333333333333332E-3</v>
      </c>
      <c r="I473" s="247">
        <v>108530.5</v>
      </c>
      <c r="J473" s="152"/>
      <c r="K473" s="198"/>
      <c r="L473" s="152">
        <f>IF(ISNUMBER(I473),ROUND(H473*E473*I473,2),"")</f>
        <v>904.42</v>
      </c>
      <c r="M473" s="152">
        <f>IF(ISNUMBER(I473),ROUND(L473*60,2),"")</f>
        <v>54265.2</v>
      </c>
      <c r="N473" s="153"/>
      <c r="O473" s="152"/>
      <c r="Q473" s="208"/>
      <c r="R473" s="208"/>
      <c r="S473"/>
      <c r="T473" s="208"/>
      <c r="U473" s="208"/>
      <c r="V473" s="208"/>
      <c r="W473" s="208"/>
      <c r="X473" s="208"/>
      <c r="Y473" s="208"/>
      <c r="Z473" s="208"/>
      <c r="AA473" s="208"/>
      <c r="AB473" s="208"/>
      <c r="AC473" s="208"/>
      <c r="AD473" s="208"/>
      <c r="AE473" s="208"/>
      <c r="AF473" s="208"/>
      <c r="AG473" s="208"/>
      <c r="AH473" s="208"/>
      <c r="AI473" s="208"/>
      <c r="AJ473" s="208"/>
      <c r="AK473" s="208"/>
      <c r="AL473" s="208"/>
      <c r="AM473" s="208"/>
      <c r="AN473" s="208"/>
      <c r="AO473" s="208"/>
      <c r="AP473" s="208"/>
      <c r="AQ473" s="208"/>
      <c r="AR473" s="208"/>
      <c r="AS473" s="208"/>
      <c r="AT473" s="208"/>
      <c r="AU473" s="208"/>
      <c r="AV473" s="208"/>
      <c r="AW473" s="208"/>
      <c r="AX473" s="208"/>
      <c r="AY473" s="208"/>
      <c r="AZ473" s="208"/>
      <c r="BA473" s="208"/>
      <c r="BB473" s="208"/>
      <c r="BC473" s="208"/>
      <c r="BD473" s="208"/>
      <c r="BE473" s="208"/>
      <c r="BF473" s="208"/>
      <c r="BG473" s="208"/>
      <c r="BH473" s="208"/>
      <c r="BI473" s="208"/>
      <c r="BJ473" s="208"/>
      <c r="BK473" s="208"/>
      <c r="BL473" s="208"/>
      <c r="BM473" s="208"/>
      <c r="BN473" s="208"/>
      <c r="BO473" s="208"/>
      <c r="BP473" s="208"/>
      <c r="BQ473" s="208"/>
      <c r="BR473" s="208"/>
      <c r="BS473" s="208"/>
      <c r="BT473" s="208"/>
      <c r="BU473" s="208"/>
      <c r="BV473" s="208"/>
      <c r="BW473" s="208"/>
      <c r="BX473" s="208"/>
      <c r="BY473" s="208"/>
      <c r="BZ473" s="208"/>
      <c r="CA473" s="208"/>
      <c r="CB473" s="208"/>
      <c r="CC473" s="208"/>
      <c r="CD473" s="208"/>
      <c r="CE473" s="208"/>
      <c r="CF473" s="208"/>
      <c r="CG473" s="208"/>
      <c r="CH473" s="208"/>
      <c r="CI473" s="208"/>
      <c r="CJ473" s="208"/>
      <c r="CK473" s="208"/>
      <c r="CL473" s="208"/>
      <c r="CM473" s="208"/>
      <c r="CN473" s="208"/>
      <c r="CO473" s="208"/>
      <c r="CP473" s="208"/>
      <c r="CQ473" s="208"/>
      <c r="CR473" s="208"/>
      <c r="CS473" s="208"/>
      <c r="CT473" s="208"/>
      <c r="CU473" s="208"/>
      <c r="CV473" s="208"/>
      <c r="CW473" s="208"/>
      <c r="CX473" s="208"/>
      <c r="CY473" s="208"/>
      <c r="CZ473" s="208"/>
      <c r="DA473" s="208"/>
      <c r="DB473" s="208"/>
      <c r="DC473" s="208"/>
      <c r="DD473" s="208"/>
      <c r="DE473" s="208"/>
      <c r="DF473" s="208"/>
      <c r="DG473" s="208"/>
      <c r="DH473" s="208"/>
      <c r="DI473" s="208"/>
      <c r="DJ473" s="208"/>
      <c r="DK473" s="208"/>
      <c r="DL473" s="208"/>
      <c r="DM473" s="208"/>
      <c r="DN473" s="208"/>
      <c r="DO473" s="208"/>
      <c r="DP473" s="208"/>
      <c r="DQ473" s="208"/>
      <c r="DR473" s="208"/>
      <c r="DS473" s="208"/>
      <c r="DT473" s="208"/>
      <c r="DU473" s="208"/>
      <c r="DV473" s="208"/>
      <c r="DW473" s="208"/>
      <c r="DX473" s="208"/>
      <c r="DY473" s="208"/>
      <c r="DZ473" s="208"/>
      <c r="EA473" s="208"/>
      <c r="EB473" s="208"/>
      <c r="EC473" s="208"/>
      <c r="ED473" s="208"/>
      <c r="EE473" s="208"/>
      <c r="EF473" s="208"/>
      <c r="EG473" s="208"/>
      <c r="EH473" s="208"/>
      <c r="EI473" s="208"/>
      <c r="EJ473" s="208"/>
      <c r="EK473" s="208"/>
      <c r="EL473" s="208"/>
      <c r="EM473" s="208"/>
      <c r="EN473" s="208"/>
      <c r="EO473" s="208"/>
      <c r="EP473" s="208"/>
      <c r="EQ473" s="208"/>
      <c r="ER473" s="208"/>
      <c r="ES473" s="208"/>
      <c r="ET473" s="208"/>
      <c r="EU473" s="208"/>
      <c r="EV473" s="208"/>
      <c r="EW473" s="208"/>
      <c r="EX473" s="208"/>
      <c r="EY473" s="208"/>
      <c r="EZ473" s="208"/>
      <c r="FA473" s="208"/>
      <c r="FB473" s="208"/>
      <c r="FC473" s="208"/>
      <c r="FD473" s="208"/>
      <c r="FE473" s="208"/>
      <c r="FF473" s="208"/>
      <c r="FG473" s="208"/>
      <c r="FH473" s="208"/>
      <c r="FI473" s="208"/>
      <c r="FJ473" s="208"/>
      <c r="FK473" s="208"/>
      <c r="FL473" s="208"/>
      <c r="FM473" s="208"/>
      <c r="FN473" s="208"/>
      <c r="FO473" s="208"/>
      <c r="FP473" s="208"/>
      <c r="FQ473" s="208"/>
      <c r="FR473" s="208"/>
      <c r="FS473" s="208"/>
      <c r="FT473" s="208"/>
      <c r="FU473" s="208"/>
      <c r="FV473" s="208"/>
      <c r="FW473" s="208"/>
      <c r="FX473" s="208"/>
      <c r="FY473" s="208"/>
      <c r="FZ473" s="208"/>
      <c r="GA473" s="208"/>
      <c r="GB473" s="208"/>
      <c r="GC473" s="208"/>
      <c r="GD473" s="208"/>
      <c r="GE473" s="208"/>
      <c r="GF473" s="208"/>
    </row>
    <row r="474" spans="1:188" s="209" customFormat="1" ht="15.75" thickBot="1" x14ac:dyDescent="0.3">
      <c r="A474" s="195" t="s">
        <v>5259</v>
      </c>
      <c r="B474" s="195" t="s">
        <v>2999</v>
      </c>
      <c r="C474" s="196" t="s">
        <v>3000</v>
      </c>
      <c r="D474" s="154" t="s">
        <v>28</v>
      </c>
      <c r="E474" s="154">
        <v>1</v>
      </c>
      <c r="F474" s="154"/>
      <c r="G474" s="197">
        <v>10</v>
      </c>
      <c r="H474" s="198">
        <f t="shared" si="62"/>
        <v>8.3333333333333332E-3</v>
      </c>
      <c r="I474" s="247">
        <v>72032.42</v>
      </c>
      <c r="J474" s="152"/>
      <c r="K474" s="198"/>
      <c r="L474" s="152">
        <f>IF(ISNUMBER(I474),ROUND(H474*E474*I474,2),"")</f>
        <v>600.27</v>
      </c>
      <c r="M474" s="152">
        <f>IF(ISNUMBER(I474),ROUND(L474*60,2),"")</f>
        <v>36016.199999999997</v>
      </c>
      <c r="N474" s="153"/>
      <c r="O474" s="152"/>
      <c r="Q474" s="208"/>
      <c r="R474" s="208"/>
      <c r="S474"/>
      <c r="T474" s="208"/>
      <c r="U474" s="208"/>
      <c r="V474" s="208"/>
      <c r="W474" s="208"/>
      <c r="X474" s="208"/>
      <c r="Y474" s="208"/>
      <c r="Z474" s="208"/>
      <c r="AA474" s="208"/>
      <c r="AB474" s="208"/>
      <c r="AC474" s="208"/>
      <c r="AD474" s="208"/>
      <c r="AE474" s="208"/>
      <c r="AF474" s="208"/>
      <c r="AG474" s="208"/>
      <c r="AH474" s="208"/>
      <c r="AI474" s="208"/>
      <c r="AJ474" s="208"/>
      <c r="AK474" s="208"/>
      <c r="AL474" s="208"/>
      <c r="AM474" s="208"/>
      <c r="AN474" s="208"/>
      <c r="AO474" s="208"/>
      <c r="AP474" s="208"/>
      <c r="AQ474" s="208"/>
      <c r="AR474" s="208"/>
      <c r="AS474" s="208"/>
      <c r="AT474" s="208"/>
      <c r="AU474" s="208"/>
      <c r="AV474" s="208"/>
      <c r="AW474" s="208"/>
      <c r="AX474" s="208"/>
      <c r="AY474" s="208"/>
      <c r="AZ474" s="208"/>
      <c r="BA474" s="208"/>
      <c r="BB474" s="208"/>
      <c r="BC474" s="208"/>
      <c r="BD474" s="208"/>
      <c r="BE474" s="208"/>
      <c r="BF474" s="208"/>
      <c r="BG474" s="208"/>
      <c r="BH474" s="208"/>
      <c r="BI474" s="208"/>
      <c r="BJ474" s="208"/>
      <c r="BK474" s="208"/>
      <c r="BL474" s="208"/>
      <c r="BM474" s="208"/>
      <c r="BN474" s="208"/>
      <c r="BO474" s="208"/>
      <c r="BP474" s="208"/>
      <c r="BQ474" s="208"/>
      <c r="BR474" s="208"/>
      <c r="BS474" s="208"/>
      <c r="BT474" s="208"/>
      <c r="BU474" s="208"/>
      <c r="BV474" s="208"/>
      <c r="BW474" s="208"/>
      <c r="BX474" s="208"/>
      <c r="BY474" s="208"/>
      <c r="BZ474" s="208"/>
      <c r="CA474" s="208"/>
      <c r="CB474" s="208"/>
      <c r="CC474" s="208"/>
      <c r="CD474" s="208"/>
      <c r="CE474" s="208"/>
      <c r="CF474" s="208"/>
      <c r="CG474" s="208"/>
      <c r="CH474" s="208"/>
      <c r="CI474" s="208"/>
      <c r="CJ474" s="208"/>
      <c r="CK474" s="208"/>
      <c r="CL474" s="208"/>
      <c r="CM474" s="208"/>
      <c r="CN474" s="208"/>
      <c r="CO474" s="208"/>
      <c r="CP474" s="208"/>
      <c r="CQ474" s="208"/>
      <c r="CR474" s="208"/>
      <c r="CS474" s="208"/>
      <c r="CT474" s="208"/>
      <c r="CU474" s="208"/>
      <c r="CV474" s="208"/>
      <c r="CW474" s="208"/>
      <c r="CX474" s="208"/>
      <c r="CY474" s="208"/>
      <c r="CZ474" s="208"/>
      <c r="DA474" s="208"/>
      <c r="DB474" s="208"/>
      <c r="DC474" s="208"/>
      <c r="DD474" s="208"/>
      <c r="DE474" s="208"/>
      <c r="DF474" s="208"/>
      <c r="DG474" s="208"/>
      <c r="DH474" s="208"/>
      <c r="DI474" s="208"/>
      <c r="DJ474" s="208"/>
      <c r="DK474" s="208"/>
      <c r="DL474" s="208"/>
      <c r="DM474" s="208"/>
      <c r="DN474" s="208"/>
      <c r="DO474" s="208"/>
      <c r="DP474" s="208"/>
      <c r="DQ474" s="208"/>
      <c r="DR474" s="208"/>
      <c r="DS474" s="208"/>
      <c r="DT474" s="208"/>
      <c r="DU474" s="208"/>
      <c r="DV474" s="208"/>
      <c r="DW474" s="208"/>
      <c r="DX474" s="208"/>
      <c r="DY474" s="208"/>
      <c r="DZ474" s="208"/>
      <c r="EA474" s="208"/>
      <c r="EB474" s="208"/>
      <c r="EC474" s="208"/>
      <c r="ED474" s="208"/>
      <c r="EE474" s="208"/>
      <c r="EF474" s="208"/>
      <c r="EG474" s="208"/>
      <c r="EH474" s="208"/>
      <c r="EI474" s="208"/>
      <c r="EJ474" s="208"/>
      <c r="EK474" s="208"/>
      <c r="EL474" s="208"/>
      <c r="EM474" s="208"/>
      <c r="EN474" s="208"/>
      <c r="EO474" s="208"/>
      <c r="EP474" s="208"/>
      <c r="EQ474" s="208"/>
      <c r="ER474" s="208"/>
      <c r="ES474" s="208"/>
      <c r="ET474" s="208"/>
      <c r="EU474" s="208"/>
      <c r="EV474" s="208"/>
      <c r="EW474" s="208"/>
      <c r="EX474" s="208"/>
      <c r="EY474" s="208"/>
      <c r="EZ474" s="208"/>
      <c r="FA474" s="208"/>
      <c r="FB474" s="208"/>
      <c r="FC474" s="208"/>
      <c r="FD474" s="208"/>
      <c r="FE474" s="208"/>
      <c r="FF474" s="208"/>
      <c r="FG474" s="208"/>
      <c r="FH474" s="208"/>
      <c r="FI474" s="208"/>
      <c r="FJ474" s="208"/>
      <c r="FK474" s="208"/>
      <c r="FL474" s="208"/>
      <c r="FM474" s="208"/>
      <c r="FN474" s="208"/>
      <c r="FO474" s="208"/>
      <c r="FP474" s="208"/>
      <c r="FQ474" s="208"/>
      <c r="FR474" s="208"/>
      <c r="FS474" s="208"/>
      <c r="FT474" s="208"/>
      <c r="FU474" s="208"/>
      <c r="FV474" s="208"/>
      <c r="FW474" s="208"/>
      <c r="FX474" s="208"/>
      <c r="FY474" s="208"/>
      <c r="FZ474" s="208"/>
      <c r="GA474" s="208"/>
      <c r="GB474" s="208"/>
      <c r="GC474" s="208"/>
      <c r="GD474" s="208"/>
      <c r="GE474" s="208"/>
      <c r="GF474" s="208"/>
    </row>
    <row r="475" spans="1:188" ht="16.5" thickBot="1" x14ac:dyDescent="0.3">
      <c r="A475" s="226"/>
      <c r="B475" s="227">
        <v>483</v>
      </c>
      <c r="C475" s="228"/>
      <c r="D475" s="229"/>
      <c r="E475" s="227">
        <v>5696965</v>
      </c>
      <c r="F475" s="230"/>
      <c r="G475" s="231"/>
      <c r="H475" s="232"/>
      <c r="I475" s="200"/>
      <c r="J475" s="233" t="s">
        <v>3734</v>
      </c>
      <c r="K475" s="234"/>
      <c r="L475" s="235"/>
      <c r="M475" s="234"/>
      <c r="N475" s="233"/>
      <c r="O475" s="201">
        <f>SUBTOTAL(109,J6:J474)+SUBTOTAL(109,M6:M474)</f>
        <v>19561211.170000009</v>
      </c>
      <c r="S475"/>
    </row>
    <row r="476" spans="1:188" ht="16.5" thickBot="1" x14ac:dyDescent="0.25">
      <c r="A476" s="236"/>
      <c r="B476" s="236"/>
      <c r="C476" s="237"/>
      <c r="D476" s="237"/>
      <c r="E476" s="237"/>
      <c r="F476" s="237"/>
      <c r="G476" s="238"/>
      <c r="H476" s="239"/>
      <c r="I476" s="237"/>
      <c r="J476" s="233" t="s">
        <v>19</v>
      </c>
      <c r="K476" s="234"/>
      <c r="L476" s="235"/>
      <c r="M476" s="234"/>
      <c r="N476" s="233"/>
      <c r="O476" s="201">
        <f>SUBTOTAL(109,O6:O474)+SUBTOTAL(109,M6:M474)</f>
        <v>23162012.490000013</v>
      </c>
    </row>
    <row r="482" spans="15:15" x14ac:dyDescent="0.2">
      <c r="O482" s="204"/>
    </row>
  </sheetData>
  <sheetProtection algorithmName="SHA-512" hashValue="87VUdBuDr1GjkzsmPlaisqkdBFmqjfub0ncedg4ZJlCUceA8BT0AiLW2pj3OUYSo6zVtReSPIBkIxdoo7cM1Cg==" saltValue="490eFd/WtZHTZkpQSHa23A==" spinCount="100000" sheet="1" objects="1" scenarios="1"/>
  <autoFilter ref="A5:O476"/>
  <conditionalFormatting sqref="C475 C351 C70 C354 C469 C6:C7">
    <cfRule type="duplicateValues" dxfId="41" priority="44"/>
  </conditionalFormatting>
  <conditionalFormatting sqref="C8">
    <cfRule type="duplicateValues" dxfId="40" priority="40"/>
  </conditionalFormatting>
  <conditionalFormatting sqref="C9:C21 C23:C35">
    <cfRule type="duplicateValues" dxfId="39" priority="45"/>
  </conditionalFormatting>
  <conditionalFormatting sqref="C37">
    <cfRule type="duplicateValues" dxfId="38" priority="39"/>
  </conditionalFormatting>
  <conditionalFormatting sqref="C38:C62">
    <cfRule type="duplicateValues" dxfId="37" priority="38"/>
  </conditionalFormatting>
  <conditionalFormatting sqref="C36">
    <cfRule type="duplicateValues" dxfId="36" priority="37"/>
  </conditionalFormatting>
  <conditionalFormatting sqref="C63">
    <cfRule type="duplicateValues" dxfId="35" priority="36"/>
  </conditionalFormatting>
  <conditionalFormatting sqref="C64:C69">
    <cfRule type="duplicateValues" dxfId="34" priority="35"/>
  </conditionalFormatting>
  <conditionalFormatting sqref="C71:C96">
    <cfRule type="duplicateValues" dxfId="33" priority="34"/>
  </conditionalFormatting>
  <conditionalFormatting sqref="C97">
    <cfRule type="duplicateValues" dxfId="32" priority="33"/>
  </conditionalFormatting>
  <conditionalFormatting sqref="C117">
    <cfRule type="duplicateValues" dxfId="31" priority="32"/>
  </conditionalFormatting>
  <conditionalFormatting sqref="C136">
    <cfRule type="duplicateValues" dxfId="30" priority="31"/>
  </conditionalFormatting>
  <conditionalFormatting sqref="C306">
    <cfRule type="duplicateValues" dxfId="29" priority="30"/>
  </conditionalFormatting>
  <conditionalFormatting sqref="C137:C155 C98:C100 C102:C104 C106:C116 C118:C125 C157:C163 C165:C179 C181:C188 C190:C204 C206:C215 C218:C222 C224:C228 C230:C241 C243:C249 C251:C305 C308:C350">
    <cfRule type="duplicateValues" dxfId="28" priority="46"/>
  </conditionalFormatting>
  <conditionalFormatting sqref="C353">
    <cfRule type="duplicateValues" dxfId="27" priority="29"/>
  </conditionalFormatting>
  <conditionalFormatting sqref="C356:C375 C378:C465">
    <cfRule type="duplicateValues" dxfId="26" priority="28"/>
  </conditionalFormatting>
  <conditionalFormatting sqref="C377">
    <cfRule type="duplicateValues" dxfId="25" priority="27"/>
  </conditionalFormatting>
  <conditionalFormatting sqref="C466:C468">
    <cfRule type="duplicateValues" dxfId="24" priority="47"/>
  </conditionalFormatting>
  <conditionalFormatting sqref="C472:C473">
    <cfRule type="duplicateValues" dxfId="23" priority="26"/>
  </conditionalFormatting>
  <conditionalFormatting sqref="C355">
    <cfRule type="duplicateValues" dxfId="22" priority="25"/>
  </conditionalFormatting>
  <conditionalFormatting sqref="C101">
    <cfRule type="duplicateValues" dxfId="21" priority="24"/>
  </conditionalFormatting>
  <conditionalFormatting sqref="C105">
    <cfRule type="duplicateValues" dxfId="20" priority="23"/>
  </conditionalFormatting>
  <conditionalFormatting sqref="C126">
    <cfRule type="duplicateValues" dxfId="19" priority="22"/>
  </conditionalFormatting>
  <conditionalFormatting sqref="C156">
    <cfRule type="duplicateValues" dxfId="18" priority="21"/>
  </conditionalFormatting>
  <conditionalFormatting sqref="C164">
    <cfRule type="duplicateValues" dxfId="17" priority="20"/>
  </conditionalFormatting>
  <conditionalFormatting sqref="C180">
    <cfRule type="duplicateValues" dxfId="16" priority="19"/>
  </conditionalFormatting>
  <conditionalFormatting sqref="C189">
    <cfRule type="duplicateValues" dxfId="15" priority="18"/>
  </conditionalFormatting>
  <conditionalFormatting sqref="C205">
    <cfRule type="duplicateValues" dxfId="14" priority="17"/>
  </conditionalFormatting>
  <conditionalFormatting sqref="C217">
    <cfRule type="duplicateValues" dxfId="13" priority="16"/>
  </conditionalFormatting>
  <conditionalFormatting sqref="C223">
    <cfRule type="duplicateValues" dxfId="12" priority="15"/>
  </conditionalFormatting>
  <conditionalFormatting sqref="C229">
    <cfRule type="duplicateValues" dxfId="11" priority="14"/>
  </conditionalFormatting>
  <conditionalFormatting sqref="C242">
    <cfRule type="duplicateValues" dxfId="10" priority="13"/>
  </conditionalFormatting>
  <conditionalFormatting sqref="C250">
    <cfRule type="duplicateValues" dxfId="9" priority="12"/>
  </conditionalFormatting>
  <conditionalFormatting sqref="C22">
    <cfRule type="duplicateValues" dxfId="8" priority="11"/>
  </conditionalFormatting>
  <conditionalFormatting sqref="C216">
    <cfRule type="duplicateValues" dxfId="7" priority="8"/>
  </conditionalFormatting>
  <conditionalFormatting sqref="C474">
    <cfRule type="duplicateValues" dxfId="6" priority="7"/>
  </conditionalFormatting>
  <conditionalFormatting sqref="C352">
    <cfRule type="duplicateValues" dxfId="5" priority="6"/>
  </conditionalFormatting>
  <conditionalFormatting sqref="C307">
    <cfRule type="duplicateValues" dxfId="4" priority="5"/>
  </conditionalFormatting>
  <conditionalFormatting sqref="C471">
    <cfRule type="duplicateValues" dxfId="3" priority="4"/>
  </conditionalFormatting>
  <conditionalFormatting sqref="C470">
    <cfRule type="duplicateValues" dxfId="2" priority="3"/>
  </conditionalFormatting>
  <conditionalFormatting sqref="C127:C135">
    <cfRule type="duplicateValues" dxfId="1" priority="48"/>
  </conditionalFormatting>
  <conditionalFormatting sqref="C376">
    <cfRule type="duplicateValues" dxfId="0" priority="2"/>
  </conditionalFormatting>
  <printOptions horizontalCentered="1"/>
  <pageMargins left="0.19685039370078741" right="0.19685039370078741" top="0.89" bottom="0.59055118110236227" header="0.19685039370078741" footer="0.19685039370078741"/>
  <pageSetup paperSize="9" scale="37" fitToHeight="0" orientation="landscape" r:id="rId1"/>
  <headerFooter>
    <oddHeader>&amp;C&amp;8&amp;G
&amp;"Calibri,Regular"&amp;10Secretaria de Infraestrutura
Serviço de Orçamentos&amp;R&amp;D</oddHeader>
    <oddFooter>&amp;C&amp;G
&amp;8Senado Federal | Via N2 | Bloco 14 | CEP 70165-900 | Brasília-DF
Telefones: +55 (61) 3303-4760 / 4776 / 3470 | seorc@senado.leg.br&amp;R&amp;8&amp;A 
&amp;P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E48"/>
  <sheetViews>
    <sheetView view="pageBreakPreview" zoomScale="60" zoomScaleNormal="80" workbookViewId="0">
      <selection activeCell="A2" sqref="A2"/>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55" t="s">
        <v>2026</v>
      </c>
      <c r="B1" s="149"/>
      <c r="C1" s="149"/>
      <c r="D1" s="149"/>
      <c r="E1" s="149"/>
    </row>
    <row r="2" spans="1:5" ht="24.95" customHeight="1" x14ac:dyDescent="0.25">
      <c r="A2" s="150" t="s">
        <v>3735</v>
      </c>
      <c r="B2" s="150"/>
      <c r="C2" s="150"/>
      <c r="D2" s="150"/>
      <c r="E2" s="150"/>
    </row>
    <row r="3" spans="1:5" ht="18" customHeight="1" thickBot="1" x14ac:dyDescent="0.3">
      <c r="A3" s="156"/>
      <c r="B3" s="156"/>
      <c r="C3" s="157"/>
      <c r="D3" s="156"/>
      <c r="E3" s="156"/>
    </row>
    <row r="4" spans="1:5" ht="24.95" customHeight="1" thickBot="1" x14ac:dyDescent="0.3">
      <c r="A4" s="273" t="s">
        <v>3736</v>
      </c>
      <c r="B4" s="274"/>
      <c r="C4" s="158"/>
      <c r="D4" s="273" t="s">
        <v>3737</v>
      </c>
      <c r="E4" s="274"/>
    </row>
    <row r="5" spans="1:5" ht="20.100000000000001" customHeight="1" x14ac:dyDescent="0.25">
      <c r="A5" s="270" t="s">
        <v>3738</v>
      </c>
      <c r="B5" s="170" t="s">
        <v>3739</v>
      </c>
      <c r="C5" s="159"/>
      <c r="D5" s="270" t="s">
        <v>3738</v>
      </c>
      <c r="E5" s="170" t="s">
        <v>3739</v>
      </c>
    </row>
    <row r="6" spans="1:5" ht="20.100000000000001" customHeight="1" x14ac:dyDescent="0.25">
      <c r="A6" s="271"/>
      <c r="B6" s="171" t="s">
        <v>3740</v>
      </c>
      <c r="C6" s="159"/>
      <c r="D6" s="271"/>
      <c r="E6" s="171" t="s">
        <v>3740</v>
      </c>
    </row>
    <row r="7" spans="1:5" ht="20.100000000000001" customHeight="1" x14ac:dyDescent="0.25">
      <c r="A7" s="271"/>
      <c r="B7" s="172" t="s">
        <v>3741</v>
      </c>
      <c r="C7" s="159"/>
      <c r="D7" s="271"/>
      <c r="E7" s="172" t="s">
        <v>3741</v>
      </c>
    </row>
    <row r="8" spans="1:5" ht="20.100000000000001" customHeight="1" x14ac:dyDescent="0.25">
      <c r="A8" s="168" t="s">
        <v>3742</v>
      </c>
      <c r="B8" s="173">
        <v>3.5000000000000003E-2</v>
      </c>
      <c r="C8" s="160"/>
      <c r="D8" s="168" t="s">
        <v>3742</v>
      </c>
      <c r="E8" s="173">
        <v>1.7500000000000002E-2</v>
      </c>
    </row>
    <row r="9" spans="1:5" ht="20.100000000000001" customHeight="1" x14ac:dyDescent="0.25">
      <c r="A9" s="168" t="s">
        <v>3743</v>
      </c>
      <c r="B9" s="173">
        <v>8.0000000000000002E-3</v>
      </c>
      <c r="C9" s="160"/>
      <c r="D9" s="168" t="s">
        <v>3743</v>
      </c>
      <c r="E9" s="173">
        <v>3.8999999999999998E-3</v>
      </c>
    </row>
    <row r="10" spans="1:5" ht="20.100000000000001" customHeight="1" x14ac:dyDescent="0.25">
      <c r="A10" s="168" t="s">
        <v>3744</v>
      </c>
      <c r="B10" s="173">
        <v>1.2500000000000001E-2</v>
      </c>
      <c r="C10" s="160"/>
      <c r="D10" s="168" t="s">
        <v>3744</v>
      </c>
      <c r="E10" s="173">
        <v>5.5999999999999999E-3</v>
      </c>
    </row>
    <row r="11" spans="1:5" ht="20.100000000000001" customHeight="1" x14ac:dyDescent="0.25">
      <c r="A11" s="168" t="s">
        <v>3745</v>
      </c>
      <c r="B11" s="173">
        <v>7.6E-3</v>
      </c>
      <c r="C11" s="160"/>
      <c r="D11" s="168" t="s">
        <v>3745</v>
      </c>
      <c r="E11" s="173">
        <v>8.5000000000000006E-3</v>
      </c>
    </row>
    <row r="12" spans="1:5" ht="20.100000000000001" customHeight="1" x14ac:dyDescent="0.25">
      <c r="A12" s="168" t="s">
        <v>80</v>
      </c>
      <c r="B12" s="173">
        <v>6.7799999999999999E-2</v>
      </c>
      <c r="C12" s="160"/>
      <c r="D12" s="168" t="s">
        <v>80</v>
      </c>
      <c r="E12" s="173">
        <v>3.5000000000000003E-2</v>
      </c>
    </row>
    <row r="13" spans="1:5" ht="20.100000000000001" customHeight="1" x14ac:dyDescent="0.25">
      <c r="A13" s="168" t="s">
        <v>3746</v>
      </c>
      <c r="B13" s="173">
        <v>6.4999999999999997E-3</v>
      </c>
      <c r="C13" s="160"/>
      <c r="D13" s="168" t="s">
        <v>3746</v>
      </c>
      <c r="E13" s="173">
        <v>6.4999999999999997E-3</v>
      </c>
    </row>
    <row r="14" spans="1:5" ht="20.100000000000001" customHeight="1" x14ac:dyDescent="0.25">
      <c r="A14" s="168" t="s">
        <v>3747</v>
      </c>
      <c r="B14" s="173">
        <v>0.03</v>
      </c>
      <c r="C14" s="160"/>
      <c r="D14" s="168" t="s">
        <v>3747</v>
      </c>
      <c r="E14" s="173">
        <v>0.03</v>
      </c>
    </row>
    <row r="15" spans="1:5" ht="20.100000000000001" customHeight="1" x14ac:dyDescent="0.25">
      <c r="A15" s="168" t="s">
        <v>3748</v>
      </c>
      <c r="B15" s="173">
        <v>0</v>
      </c>
      <c r="C15" s="160"/>
      <c r="D15" s="168" t="s">
        <v>3748</v>
      </c>
      <c r="E15" s="173">
        <v>0</v>
      </c>
    </row>
    <row r="16" spans="1:5" ht="20.100000000000001" customHeight="1" x14ac:dyDescent="0.25">
      <c r="A16" s="169" t="s">
        <v>3749</v>
      </c>
      <c r="B16" s="174">
        <v>0.01</v>
      </c>
      <c r="C16" s="160"/>
      <c r="D16" s="169" t="s">
        <v>3749</v>
      </c>
      <c r="E16" s="174">
        <v>0</v>
      </c>
    </row>
    <row r="17" spans="1:5" ht="24.95" customHeight="1" thickBot="1" x14ac:dyDescent="0.3">
      <c r="A17" s="175" t="s">
        <v>3736</v>
      </c>
      <c r="B17" s="176">
        <f>ROUND(((1+B8+B9+B10)*(1+B11)*(1+B12))/(1-(B13+B14+B15+B16))-1,4)</f>
        <v>0.191</v>
      </c>
      <c r="C17" s="160"/>
      <c r="D17" s="177" t="s">
        <v>3737</v>
      </c>
      <c r="E17" s="178">
        <f>ROUND(((1+E8+E9+E10)*(1+E11)*(1+E12))/(1-(E13+E14+E15+E16))-1,4)</f>
        <v>0.11260000000000001</v>
      </c>
    </row>
    <row r="18" spans="1:5" x14ac:dyDescent="0.25">
      <c r="A18" s="161"/>
      <c r="B18" s="160"/>
      <c r="C18" s="162"/>
      <c r="D18" s="167"/>
      <c r="E18" s="160"/>
    </row>
    <row r="19" spans="1:5" x14ac:dyDescent="0.25">
      <c r="A19" s="163"/>
      <c r="B19" s="164"/>
      <c r="C19" s="160"/>
      <c r="D19" s="163"/>
      <c r="E19" s="164"/>
    </row>
    <row r="20" spans="1:5" x14ac:dyDescent="0.25">
      <c r="A20" s="165"/>
      <c r="B20" s="165"/>
      <c r="C20" s="165"/>
      <c r="D20" s="166"/>
      <c r="E20" s="165"/>
    </row>
    <row r="21" spans="1:5" x14ac:dyDescent="0.25">
      <c r="A21" s="165"/>
      <c r="B21" s="165"/>
      <c r="C21" s="165"/>
      <c r="D21" s="165"/>
      <c r="E21" s="165"/>
    </row>
    <row r="22" spans="1:5" x14ac:dyDescent="0.25">
      <c r="A22" s="165"/>
      <c r="B22" s="165"/>
      <c r="C22" s="165"/>
      <c r="D22" s="165"/>
      <c r="E22" s="165"/>
    </row>
    <row r="23" spans="1:5" x14ac:dyDescent="0.25">
      <c r="A23" s="165"/>
      <c r="B23" s="165"/>
      <c r="C23" s="165"/>
      <c r="D23" s="165"/>
      <c r="E23" s="165"/>
    </row>
    <row r="24" spans="1:5" x14ac:dyDescent="0.25">
      <c r="A24" s="165"/>
      <c r="B24" s="165"/>
      <c r="C24" s="165"/>
      <c r="D24" s="165"/>
      <c r="E24" s="165"/>
    </row>
    <row r="25" spans="1:5" x14ac:dyDescent="0.25">
      <c r="A25" s="165"/>
      <c r="B25" s="165"/>
      <c r="C25" s="165"/>
      <c r="D25" s="165"/>
      <c r="E25" s="165"/>
    </row>
    <row r="26" spans="1:5" x14ac:dyDescent="0.25">
      <c r="A26" s="165"/>
      <c r="B26" s="165"/>
      <c r="C26" s="165"/>
      <c r="D26" s="165"/>
      <c r="E26" s="165"/>
    </row>
    <row r="27" spans="1:5" x14ac:dyDescent="0.25">
      <c r="A27" s="165"/>
      <c r="B27" s="165"/>
      <c r="C27" s="165"/>
      <c r="D27" s="165"/>
      <c r="E27" s="165"/>
    </row>
    <row r="28" spans="1:5" x14ac:dyDescent="0.25">
      <c r="A28" s="165"/>
      <c r="B28" s="165"/>
      <c r="C28" s="165"/>
      <c r="D28" s="165"/>
      <c r="E28" s="165"/>
    </row>
    <row r="29" spans="1:5" x14ac:dyDescent="0.25">
      <c r="A29" s="165"/>
      <c r="B29" s="165"/>
      <c r="C29" s="165"/>
      <c r="D29" s="165"/>
      <c r="E29" s="165"/>
    </row>
    <row r="30" spans="1:5" x14ac:dyDescent="0.25">
      <c r="A30" s="165"/>
      <c r="B30" s="165"/>
      <c r="C30" s="165"/>
      <c r="D30" s="165"/>
      <c r="E30" s="165"/>
    </row>
    <row r="31" spans="1:5" x14ac:dyDescent="0.25">
      <c r="A31" s="165"/>
      <c r="B31" s="165"/>
      <c r="C31" s="165"/>
      <c r="D31" s="165"/>
      <c r="E31" s="165"/>
    </row>
    <row r="32" spans="1:5" x14ac:dyDescent="0.25">
      <c r="A32" s="165"/>
      <c r="B32" s="165"/>
      <c r="C32" s="165"/>
      <c r="D32" s="165"/>
      <c r="E32" s="165"/>
    </row>
    <row r="33" spans="1:5" x14ac:dyDescent="0.25">
      <c r="A33" s="165"/>
      <c r="B33" s="165"/>
      <c r="C33" s="165"/>
      <c r="D33" s="165"/>
      <c r="E33" s="165"/>
    </row>
    <row r="34" spans="1:5" x14ac:dyDescent="0.25">
      <c r="A34" s="165"/>
      <c r="B34" s="165"/>
      <c r="C34" s="165"/>
      <c r="D34" s="165"/>
      <c r="E34" s="165"/>
    </row>
    <row r="35" spans="1:5" x14ac:dyDescent="0.25">
      <c r="A35" s="165"/>
      <c r="B35" s="165"/>
      <c r="C35" s="165"/>
      <c r="D35" s="165"/>
      <c r="E35" s="165"/>
    </row>
    <row r="36" spans="1:5" x14ac:dyDescent="0.25">
      <c r="A36" s="165"/>
      <c r="B36" s="165"/>
      <c r="C36" s="165"/>
      <c r="D36" s="165"/>
      <c r="E36" s="165"/>
    </row>
    <row r="37" spans="1:5" x14ac:dyDescent="0.25">
      <c r="A37" s="165"/>
      <c r="B37" s="165"/>
      <c r="C37" s="165"/>
      <c r="D37" s="165"/>
      <c r="E37" s="165"/>
    </row>
    <row r="38" spans="1:5" x14ac:dyDescent="0.25">
      <c r="A38" s="165"/>
      <c r="B38" s="165"/>
      <c r="C38" s="165"/>
      <c r="D38" s="165"/>
      <c r="E38" s="165"/>
    </row>
    <row r="39" spans="1:5" ht="15.75" x14ac:dyDescent="0.25">
      <c r="A39" s="272" t="s">
        <v>3750</v>
      </c>
      <c r="B39" s="272"/>
      <c r="C39" s="272"/>
      <c r="D39" s="272"/>
      <c r="E39" s="272"/>
    </row>
    <row r="40" spans="1:5" x14ac:dyDescent="0.25">
      <c r="A40" s="165"/>
      <c r="B40" s="165"/>
      <c r="C40" s="165"/>
      <c r="D40" s="165"/>
      <c r="E40" s="165"/>
    </row>
    <row r="41" spans="1:5" x14ac:dyDescent="0.25">
      <c r="A41" s="165"/>
      <c r="B41" s="165"/>
      <c r="C41" s="165"/>
      <c r="D41" s="165"/>
      <c r="E41" s="165"/>
    </row>
    <row r="42" spans="1:5" x14ac:dyDescent="0.25">
      <c r="A42" s="165"/>
      <c r="B42" s="165"/>
      <c r="C42" s="165"/>
      <c r="D42" s="165"/>
      <c r="E42" s="165"/>
    </row>
    <row r="43" spans="1:5" x14ac:dyDescent="0.25">
      <c r="A43" s="165"/>
      <c r="B43" s="165"/>
      <c r="C43" s="165"/>
      <c r="D43" s="165"/>
      <c r="E43" s="165"/>
    </row>
    <row r="44" spans="1:5" x14ac:dyDescent="0.25">
      <c r="A44" s="165"/>
      <c r="B44" s="165"/>
      <c r="C44" s="165"/>
      <c r="D44" s="165"/>
      <c r="E44" s="165"/>
    </row>
    <row r="45" spans="1:5" x14ac:dyDescent="0.25">
      <c r="A45" s="165"/>
      <c r="B45" s="165"/>
      <c r="C45" s="165"/>
      <c r="D45" s="165"/>
      <c r="E45" s="165"/>
    </row>
    <row r="46" spans="1:5" x14ac:dyDescent="0.25">
      <c r="A46" s="165"/>
      <c r="B46" s="165"/>
      <c r="C46" s="165"/>
      <c r="D46" s="165"/>
      <c r="E46" s="165"/>
    </row>
    <row r="47" spans="1:5" x14ac:dyDescent="0.25">
      <c r="A47" s="165"/>
      <c r="B47" s="165"/>
      <c r="C47" s="165"/>
      <c r="D47" s="165"/>
      <c r="E47" s="165"/>
    </row>
    <row r="48" spans="1:5" x14ac:dyDescent="0.25">
      <c r="A48" s="165"/>
      <c r="B48" s="165"/>
      <c r="C48" s="165"/>
      <c r="D48" s="165"/>
      <c r="E48" s="165"/>
    </row>
  </sheetData>
  <sheetProtection algorithmName="SHA-512" hashValue="JxmRfvTVBhE45W47Yo73w0XmfDuirGU+LRAkdnvKoh+gKj/kagXtoW7IlP8YaRXHkT3lBvRF2fY+R8JRdfoXAQ==" saltValue="lmRS9CmqVgXpPRa2ONg0lg==" spinCount="100000" sheet="1" objects="1" scenarios="1"/>
  <mergeCells count="5">
    <mergeCell ref="A5:A7"/>
    <mergeCell ref="D5:D7"/>
    <mergeCell ref="A39:E39"/>
    <mergeCell ref="A4:B4"/>
    <mergeCell ref="D4:E4"/>
  </mergeCells>
  <printOptions horizontalCentered="1"/>
  <pageMargins left="0.19685039370078741" right="0.19685039370078741" top="1.1023622047244095" bottom="0.59055118110236227" header="0.19685039370078741" footer="0.19685039370078741"/>
  <pageSetup paperSize="9" scale="55"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Composições</vt:lpstr>
      <vt:lpstr>Comp.Aux1</vt:lpstr>
      <vt:lpstr>Comp.Aux2</vt:lpstr>
      <vt:lpstr>Orçamentária-TR</vt:lpstr>
      <vt:lpstr>BDI</vt:lpstr>
      <vt:lpstr>'Orçamentária-TR'!Area_de_impressao</vt:lpstr>
      <vt:lpstr>Comp.Aux1!Titulos_de_impressao</vt:lpstr>
      <vt:lpstr>Comp.Aux2!Titulos_de_impressao</vt:lpstr>
      <vt:lpstr>Composições!Titulos_de_impressao</vt:lpstr>
      <vt:lpstr>'Orçamentária-TR'!Titulos_de_impressao</vt:lpstr>
    </vt:vector>
  </TitlesOfParts>
  <Company>Senado Federal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Iwar Fonseca Mattos Neto</dc:creator>
  <cp:lastModifiedBy>Thauler Ferreira Bispo de Souza</cp:lastModifiedBy>
  <dcterms:created xsi:type="dcterms:W3CDTF">2024-02-27T18:48:51Z</dcterms:created>
  <dcterms:modified xsi:type="dcterms:W3CDTF">2024-03-07T02:26:14Z</dcterms:modified>
</cp:coreProperties>
</file>