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mazon\Documents\1. AMAZON\1. EDITAIS\SENADO_DF\PE 90019_2026 - INFRA\8. RECURSO ADM\3AM IT\"/>
    </mc:Choice>
  </mc:AlternateContent>
  <xr:revisionPtr revIDLastSave="0" documentId="13_ncr:1_{8C59C69B-888E-42A2-9D3D-06FFA36D0CAE}" xr6:coauthVersionLast="47" xr6:coauthVersionMax="47" xr10:uidLastSave="{00000000-0000-0000-0000-000000000000}"/>
  <bookViews>
    <workbookView xWindow="-24120" yWindow="-120" windowWidth="24240" windowHeight="13740" xr2:uid="{00000000-000D-0000-FFFF-FFFF00000000}"/>
  </bookViews>
  <sheets>
    <sheet name="Resumo COATC" sheetId="28" r:id="rId1"/>
    <sheet name="Resumo Geral" sheetId="11" state="hidden" r:id="rId2"/>
    <sheet name="Item01" sheetId="1" r:id="rId3"/>
    <sheet name="Item02" sheetId="24" r:id="rId4"/>
    <sheet name="Item03" sheetId="25" r:id="rId5"/>
    <sheet name="Item04" sheetId="29" r:id="rId6"/>
    <sheet name="Item05" sheetId="26" r:id="rId7"/>
    <sheet name="Item06" sheetId="27" r:id="rId8"/>
    <sheet name="Dados" sheetId="23" state="hidden" r:id="rId9"/>
  </sheets>
  <externalReferences>
    <externalReference r:id="rId10"/>
  </externalReferences>
  <definedNames>
    <definedName name="_xlnm.Print_Area" localSheetId="2">Item01!$A$1:$D$93</definedName>
    <definedName name="_xlnm.Print_Area" localSheetId="3">Item02!$A$1:$D$93</definedName>
    <definedName name="_xlnm.Print_Area" localSheetId="4">Item03!$A$1:$D$93</definedName>
    <definedName name="_xlnm.Print_Area" localSheetId="5">Item04!$A$1:$D$93</definedName>
    <definedName name="_xlnm.Print_Area" localSheetId="6">Item05!$A$1:$D$93</definedName>
    <definedName name="_xlnm.Print_Area" localSheetId="7">Item06!$A$1:$D$93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2">Item01!$A$1:$D$94</definedName>
    <definedName name="Print_Area" localSheetId="3">Item02!$A$1:$D$94</definedName>
    <definedName name="Print_Area" localSheetId="4">Item03!$A$1:$D$94</definedName>
    <definedName name="Print_Area" localSheetId="5">Item04!$A$1:$D$94</definedName>
    <definedName name="Print_Area" localSheetId="6">Item05!$A$1:$D$94</definedName>
    <definedName name="Print_Area" localSheetId="7">Item06!$A$1:$D$94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7" l="1"/>
  <c r="C44" i="26"/>
  <c r="C44" i="29"/>
  <c r="C44" i="25"/>
  <c r="C44" i="24"/>
  <c r="D17" i="27"/>
  <c r="D17" i="26"/>
  <c r="D17" i="29"/>
  <c r="D17" i="25"/>
  <c r="D17" i="24"/>
  <c r="D17" i="1"/>
  <c r="C44" i="1"/>
  <c r="D19" i="26" l="1"/>
  <c r="D19" i="29"/>
  <c r="D19" i="25"/>
  <c r="D19" i="24"/>
  <c r="D19" i="1"/>
  <c r="D19" i="27"/>
  <c r="D16" i="24"/>
  <c r="D16" i="25"/>
  <c r="D16" i="29"/>
  <c r="D16" i="26"/>
  <c r="D16" i="27"/>
  <c r="D16" i="1"/>
  <c r="C59" i="27"/>
  <c r="C59" i="26"/>
  <c r="C59" i="29"/>
  <c r="C59" i="25"/>
  <c r="C86" i="27"/>
  <c r="C84" i="27"/>
  <c r="C83" i="27"/>
  <c r="C82" i="27" s="1"/>
  <c r="C81" i="27"/>
  <c r="C80" i="27"/>
  <c r="C86" i="26"/>
  <c r="C84" i="26"/>
  <c r="C83" i="26"/>
  <c r="C82" i="26" s="1"/>
  <c r="C81" i="26"/>
  <c r="C80" i="26"/>
  <c r="C86" i="29"/>
  <c r="C82" i="29" s="1"/>
  <c r="C84" i="29"/>
  <c r="C83" i="29"/>
  <c r="C81" i="29"/>
  <c r="C80" i="29"/>
  <c r="C86" i="25"/>
  <c r="C84" i="25"/>
  <c r="C83" i="25"/>
  <c r="C82" i="25"/>
  <c r="C81" i="25"/>
  <c r="C80" i="25"/>
  <c r="C86" i="24"/>
  <c r="C84" i="24"/>
  <c r="C83" i="24"/>
  <c r="C81" i="24"/>
  <c r="C80" i="24"/>
  <c r="C59" i="24"/>
  <c r="D4" i="28"/>
  <c r="D5" i="28"/>
  <c r="D6" i="28"/>
  <c r="D7" i="28"/>
  <c r="D8" i="28"/>
  <c r="C4" i="28"/>
  <c r="C5" i="28"/>
  <c r="C6" i="28"/>
  <c r="C7" i="28"/>
  <c r="C8" i="28"/>
  <c r="G10" i="23" l="1"/>
  <c r="C89" i="29" l="1"/>
  <c r="C64" i="29"/>
  <c r="C63" i="29"/>
  <c r="C62" i="29"/>
  <c r="C61" i="29"/>
  <c r="C60" i="29"/>
  <c r="C65" i="29" s="1"/>
  <c r="C56" i="29"/>
  <c r="G54" i="29"/>
  <c r="C54" i="29"/>
  <c r="C52" i="29"/>
  <c r="C53" i="29" s="1"/>
  <c r="C48" i="29"/>
  <c r="C43" i="29"/>
  <c r="C41" i="29"/>
  <c r="C49" i="29" s="1"/>
  <c r="D30" i="29"/>
  <c r="D14" i="29"/>
  <c r="E8" i="11" s="1"/>
  <c r="D10" i="11"/>
  <c r="G21" i="11"/>
  <c r="H20" i="11"/>
  <c r="I20" i="11" s="1"/>
  <c r="D21" i="11"/>
  <c r="G20" i="11"/>
  <c r="C50" i="29" l="1"/>
  <c r="C72" i="29" s="1"/>
  <c r="C55" i="29"/>
  <c r="D55" i="29" s="1"/>
  <c r="D62" i="29"/>
  <c r="D56" i="29"/>
  <c r="D39" i="29"/>
  <c r="D35" i="29"/>
  <c r="D37" i="29"/>
  <c r="D33" i="29"/>
  <c r="D38" i="29"/>
  <c r="D34" i="29"/>
  <c r="D63" i="29"/>
  <c r="D61" i="29"/>
  <c r="D59" i="29"/>
  <c r="D54" i="29"/>
  <c r="D52" i="29"/>
  <c r="D43" i="29"/>
  <c r="D40" i="29"/>
  <c r="D36" i="29"/>
  <c r="D49" i="29"/>
  <c r="D53" i="29"/>
  <c r="C66" i="29"/>
  <c r="D66" i="29" s="1"/>
  <c r="D65" i="29"/>
  <c r="D64" i="29"/>
  <c r="D23" i="29"/>
  <c r="D48" i="29"/>
  <c r="D60" i="29"/>
  <c r="D44" i="29"/>
  <c r="C70" i="29"/>
  <c r="C57" i="29" l="1"/>
  <c r="C73" i="29" s="1"/>
  <c r="C67" i="29"/>
  <c r="C74" i="29" s="1"/>
  <c r="D67" i="29"/>
  <c r="D74" i="29" s="1"/>
  <c r="D46" i="29"/>
  <c r="D71" i="29" s="1"/>
  <c r="D57" i="29"/>
  <c r="D73" i="29" s="1"/>
  <c r="D41" i="29"/>
  <c r="D70" i="29" s="1"/>
  <c r="D50" i="29"/>
  <c r="D72" i="29" s="1"/>
  <c r="C46" i="29"/>
  <c r="C71" i="29" s="1"/>
  <c r="C13" i="23"/>
  <c r="D3" i="28"/>
  <c r="C3" i="28"/>
  <c r="C89" i="27"/>
  <c r="C64" i="27"/>
  <c r="C63" i="27"/>
  <c r="C62" i="27"/>
  <c r="C61" i="27"/>
  <c r="C60" i="27"/>
  <c r="C65" i="27"/>
  <c r="C56" i="27"/>
  <c r="G54" i="27"/>
  <c r="C54" i="27"/>
  <c r="C52" i="27"/>
  <c r="C53" i="27" s="1"/>
  <c r="C48" i="27"/>
  <c r="C43" i="27"/>
  <c r="C41" i="27"/>
  <c r="D30" i="27"/>
  <c r="C89" i="26"/>
  <c r="C64" i="26"/>
  <c r="C63" i="26"/>
  <c r="C62" i="26"/>
  <c r="C61" i="26"/>
  <c r="C60" i="26"/>
  <c r="C65" i="26"/>
  <c r="C56" i="26"/>
  <c r="G54" i="26"/>
  <c r="C54" i="26"/>
  <c r="C52" i="26"/>
  <c r="C53" i="26" s="1"/>
  <c r="C48" i="26"/>
  <c r="C43" i="26"/>
  <c r="C41" i="26"/>
  <c r="D30" i="26"/>
  <c r="C89" i="25"/>
  <c r="C64" i="25"/>
  <c r="C63" i="25"/>
  <c r="C62" i="25"/>
  <c r="C61" i="25"/>
  <c r="C60" i="25"/>
  <c r="C65" i="25"/>
  <c r="C56" i="25"/>
  <c r="G54" i="25"/>
  <c r="C54" i="25"/>
  <c r="C52" i="25"/>
  <c r="C53" i="25" s="1"/>
  <c r="C48" i="25"/>
  <c r="C43" i="25"/>
  <c r="C41" i="25"/>
  <c r="D30" i="25"/>
  <c r="C82" i="24"/>
  <c r="C89" i="24" s="1"/>
  <c r="C64" i="24"/>
  <c r="C63" i="24"/>
  <c r="C62" i="24"/>
  <c r="C61" i="24"/>
  <c r="C60" i="24"/>
  <c r="C65" i="24"/>
  <c r="C56" i="24"/>
  <c r="G54" i="24"/>
  <c r="C54" i="24"/>
  <c r="C53" i="24"/>
  <c r="C52" i="24"/>
  <c r="C48" i="24"/>
  <c r="C43" i="24"/>
  <c r="C41" i="24"/>
  <c r="D30" i="24"/>
  <c r="D5" i="11"/>
  <c r="D6" i="11"/>
  <c r="D7" i="11"/>
  <c r="G7" i="23"/>
  <c r="G9" i="23"/>
  <c r="G8" i="23"/>
  <c r="G11" i="23"/>
  <c r="G12" i="23"/>
  <c r="B2" i="1" s="1"/>
  <c r="C75" i="29" l="1"/>
  <c r="B2" i="24"/>
  <c r="C6" i="11" s="1"/>
  <c r="B2" i="29"/>
  <c r="D75" i="29"/>
  <c r="D77" i="29" s="1"/>
  <c r="D14" i="25"/>
  <c r="D14" i="26"/>
  <c r="D14" i="24"/>
  <c r="D23" i="24"/>
  <c r="D14" i="27"/>
  <c r="D23" i="27"/>
  <c r="B2" i="26"/>
  <c r="C9" i="11" s="1"/>
  <c r="B2" i="27"/>
  <c r="C10" i="11" s="1"/>
  <c r="B2" i="25"/>
  <c r="C7" i="11" s="1"/>
  <c r="D23" i="26"/>
  <c r="D9" i="28"/>
  <c r="D23" i="25"/>
  <c r="C66" i="27"/>
  <c r="C67" i="27" s="1"/>
  <c r="C74" i="27" s="1"/>
  <c r="C46" i="27"/>
  <c r="C71" i="27" s="1"/>
  <c r="C55" i="27"/>
  <c r="C57" i="27" s="1"/>
  <c r="C73" i="27" s="1"/>
  <c r="C70" i="27"/>
  <c r="C49" i="27"/>
  <c r="C50" i="27" s="1"/>
  <c r="C72" i="27" s="1"/>
  <c r="C66" i="26"/>
  <c r="C67" i="26" s="1"/>
  <c r="C74" i="26" s="1"/>
  <c r="C55" i="26"/>
  <c r="C57" i="26" s="1"/>
  <c r="C73" i="26" s="1"/>
  <c r="C70" i="26"/>
  <c r="C49" i="26"/>
  <c r="C50" i="26" s="1"/>
  <c r="C72" i="26" s="1"/>
  <c r="C46" i="26"/>
  <c r="C71" i="26" s="1"/>
  <c r="C66" i="25"/>
  <c r="C67" i="25" s="1"/>
  <c r="C74" i="25" s="1"/>
  <c r="C55" i="25"/>
  <c r="C57" i="25" s="1"/>
  <c r="C73" i="25" s="1"/>
  <c r="C70" i="25"/>
  <c r="C49" i="25"/>
  <c r="C50" i="25" s="1"/>
  <c r="C72" i="25" s="1"/>
  <c r="C46" i="25"/>
  <c r="C71" i="25" s="1"/>
  <c r="C66" i="24"/>
  <c r="C67" i="24" s="1"/>
  <c r="C74" i="24" s="1"/>
  <c r="C46" i="24"/>
  <c r="C71" i="24" s="1"/>
  <c r="C55" i="24"/>
  <c r="C57" i="24" s="1"/>
  <c r="C73" i="24" s="1"/>
  <c r="C70" i="24"/>
  <c r="C49" i="24"/>
  <c r="C50" i="24" s="1"/>
  <c r="C72" i="24" s="1"/>
  <c r="D61" i="24" l="1"/>
  <c r="D65" i="24"/>
  <c r="D54" i="24"/>
  <c r="D49" i="24"/>
  <c r="D34" i="24"/>
  <c r="D38" i="24"/>
  <c r="D56" i="24"/>
  <c r="D44" i="24"/>
  <c r="D40" i="24"/>
  <c r="D62" i="24"/>
  <c r="D66" i="24"/>
  <c r="D55" i="24"/>
  <c r="D48" i="24"/>
  <c r="D35" i="24"/>
  <c r="D39" i="24"/>
  <c r="D60" i="24"/>
  <c r="D64" i="24"/>
  <c r="D53" i="24"/>
  <c r="D52" i="24"/>
  <c r="D43" i="24"/>
  <c r="D37" i="24"/>
  <c r="D33" i="24"/>
  <c r="D63" i="24"/>
  <c r="D59" i="24"/>
  <c r="D36" i="24"/>
  <c r="D62" i="25"/>
  <c r="D66" i="25"/>
  <c r="D54" i="25"/>
  <c r="D52" i="25"/>
  <c r="D43" i="25"/>
  <c r="D35" i="25"/>
  <c r="D39" i="25"/>
  <c r="D33" i="25"/>
  <c r="D40" i="25"/>
  <c r="D64" i="25"/>
  <c r="D37" i="25"/>
  <c r="D63" i="25"/>
  <c r="D55" i="25"/>
  <c r="D49" i="25"/>
  <c r="D36" i="25"/>
  <c r="D56" i="25"/>
  <c r="D61" i="25"/>
  <c r="D65" i="25"/>
  <c r="D59" i="25"/>
  <c r="D53" i="25"/>
  <c r="D44" i="25"/>
  <c r="D34" i="25"/>
  <c r="D38" i="25"/>
  <c r="D60" i="25"/>
  <c r="D48" i="25"/>
  <c r="E10" i="11"/>
  <c r="D60" i="27"/>
  <c r="D64" i="27"/>
  <c r="D54" i="27"/>
  <c r="D48" i="27"/>
  <c r="D37" i="27"/>
  <c r="D34" i="27"/>
  <c r="D56" i="27"/>
  <c r="D33" i="27"/>
  <c r="D61" i="27"/>
  <c r="D65" i="27"/>
  <c r="D59" i="27"/>
  <c r="D55" i="27"/>
  <c r="D44" i="27"/>
  <c r="D66" i="27"/>
  <c r="D39" i="27"/>
  <c r="D35" i="27"/>
  <c r="D63" i="27"/>
  <c r="D53" i="27"/>
  <c r="D49" i="27"/>
  <c r="D36" i="27"/>
  <c r="D40" i="27"/>
  <c r="D38" i="27"/>
  <c r="D62" i="27"/>
  <c r="D52" i="27"/>
  <c r="D43" i="27"/>
  <c r="E9" i="11"/>
  <c r="D63" i="26"/>
  <c r="D59" i="26"/>
  <c r="D54" i="26"/>
  <c r="D44" i="26"/>
  <c r="D36" i="26"/>
  <c r="D40" i="26"/>
  <c r="D33" i="26"/>
  <c r="D65" i="26"/>
  <c r="D60" i="26"/>
  <c r="D64" i="26"/>
  <c r="D55" i="26"/>
  <c r="D52" i="26"/>
  <c r="D43" i="26"/>
  <c r="D49" i="26"/>
  <c r="D34" i="26"/>
  <c r="D38" i="26"/>
  <c r="D62" i="26"/>
  <c r="D66" i="26"/>
  <c r="D53" i="26"/>
  <c r="D48" i="26"/>
  <c r="D35" i="26"/>
  <c r="D39" i="26"/>
  <c r="D37" i="26"/>
  <c r="D61" i="26"/>
  <c r="D56" i="26"/>
  <c r="D80" i="29"/>
  <c r="E6" i="11"/>
  <c r="E7" i="11"/>
  <c r="C75" i="27"/>
  <c r="C75" i="26"/>
  <c r="C75" i="25"/>
  <c r="C75" i="24"/>
  <c r="D50" i="27" l="1"/>
  <c r="D72" i="27" s="1"/>
  <c r="D46" i="25"/>
  <c r="D71" i="25" s="1"/>
  <c r="D50" i="25"/>
  <c r="D72" i="25" s="1"/>
  <c r="D67" i="24"/>
  <c r="D74" i="24" s="1"/>
  <c r="D46" i="24"/>
  <c r="D71" i="24" s="1"/>
  <c r="D46" i="26"/>
  <c r="D71" i="26" s="1"/>
  <c r="D41" i="25"/>
  <c r="D70" i="25" s="1"/>
  <c r="D50" i="26"/>
  <c r="D72" i="26" s="1"/>
  <c r="D67" i="26"/>
  <c r="D74" i="26" s="1"/>
  <c r="D57" i="27"/>
  <c r="D73" i="27" s="1"/>
  <c r="D41" i="26"/>
  <c r="D70" i="26" s="1"/>
  <c r="D57" i="26"/>
  <c r="D73" i="26" s="1"/>
  <c r="D67" i="27"/>
  <c r="D74" i="27" s="1"/>
  <c r="D41" i="27"/>
  <c r="D70" i="27" s="1"/>
  <c r="D57" i="25"/>
  <c r="D73" i="25" s="1"/>
  <c r="D50" i="24"/>
  <c r="D72" i="24" s="1"/>
  <c r="D41" i="24"/>
  <c r="D70" i="24" s="1"/>
  <c r="D81" i="29"/>
  <c r="D92" i="29" s="1"/>
  <c r="D46" i="27"/>
  <c r="D71" i="27" s="1"/>
  <c r="D57" i="24"/>
  <c r="D73" i="24" s="1"/>
  <c r="D67" i="25"/>
  <c r="D74" i="25" s="1"/>
  <c r="F8" i="11" l="1"/>
  <c r="F6" i="28" s="1"/>
  <c r="G6" i="28" s="1"/>
  <c r="H6" i="28" s="1"/>
  <c r="D87" i="29"/>
  <c r="D75" i="25"/>
  <c r="D77" i="25" s="1"/>
  <c r="D80" i="25" s="1"/>
  <c r="D81" i="25" s="1"/>
  <c r="D75" i="26"/>
  <c r="D77" i="26" s="1"/>
  <c r="D80" i="26" s="1"/>
  <c r="D81" i="26" s="1"/>
  <c r="D75" i="24"/>
  <c r="D77" i="24" s="1"/>
  <c r="D80" i="24" s="1"/>
  <c r="D81" i="24" s="1"/>
  <c r="D75" i="27"/>
  <c r="D77" i="27" s="1"/>
  <c r="D80" i="27" s="1"/>
  <c r="D81" i="27" s="1"/>
  <c r="D92" i="27" s="1"/>
  <c r="D87" i="27" s="1"/>
  <c r="D84" i="29"/>
  <c r="D83" i="29"/>
  <c r="D86" i="29"/>
  <c r="H8" i="11" l="1"/>
  <c r="I8" i="11" s="1"/>
  <c r="G8" i="11"/>
  <c r="D92" i="26"/>
  <c r="D86" i="27"/>
  <c r="D84" i="27"/>
  <c r="D83" i="27"/>
  <c r="D82" i="29"/>
  <c r="D89" i="29" s="1"/>
  <c r="F10" i="11"/>
  <c r="D92" i="25"/>
  <c r="D87" i="25" s="1"/>
  <c r="D92" i="24"/>
  <c r="D87" i="24" s="1"/>
  <c r="H10" i="11" l="1"/>
  <c r="I10" i="11" s="1"/>
  <c r="F8" i="28"/>
  <c r="G8" i="28" s="1"/>
  <c r="H8" i="28" s="1"/>
  <c r="D86" i="26"/>
  <c r="D87" i="26"/>
  <c r="D84" i="26"/>
  <c r="F9" i="11"/>
  <c r="D83" i="26"/>
  <c r="D82" i="27"/>
  <c r="D89" i="27" s="1"/>
  <c r="D83" i="25"/>
  <c r="D86" i="25"/>
  <c r="D84" i="25"/>
  <c r="D86" i="24"/>
  <c r="D84" i="24"/>
  <c r="D83" i="24"/>
  <c r="G10" i="11"/>
  <c r="F6" i="11"/>
  <c r="F7" i="11"/>
  <c r="F5" i="28" s="1"/>
  <c r="G5" i="28" s="1"/>
  <c r="H5" i="28" s="1"/>
  <c r="G9" i="11" l="1"/>
  <c r="F7" i="28"/>
  <c r="G7" i="28" s="1"/>
  <c r="H7" i="28" s="1"/>
  <c r="H6" i="11"/>
  <c r="I6" i="11" s="1"/>
  <c r="F4" i="28"/>
  <c r="G4" i="28" s="1"/>
  <c r="H4" i="28" s="1"/>
  <c r="D82" i="26"/>
  <c r="D89" i="26" s="1"/>
  <c r="H9" i="11"/>
  <c r="I9" i="11" s="1"/>
  <c r="D82" i="25"/>
  <c r="D89" i="25" s="1"/>
  <c r="D82" i="24"/>
  <c r="D89" i="24" s="1"/>
  <c r="H7" i="11"/>
  <c r="I7" i="11" s="1"/>
  <c r="G7" i="11"/>
  <c r="G6" i="11"/>
  <c r="C82" i="1" l="1"/>
  <c r="C89" i="1" s="1"/>
  <c r="C64" i="1"/>
  <c r="C63" i="1"/>
  <c r="C62" i="1"/>
  <c r="C61" i="1"/>
  <c r="C60" i="1"/>
  <c r="C65" i="1"/>
  <c r="C56" i="1"/>
  <c r="G54" i="1"/>
  <c r="C54" i="1"/>
  <c r="C52" i="1"/>
  <c r="C48" i="1"/>
  <c r="C43" i="1"/>
  <c r="C41" i="1"/>
  <c r="C49" i="1" s="1"/>
  <c r="C50" i="1" s="1"/>
  <c r="C72" i="1" s="1"/>
  <c r="D23" i="1"/>
  <c r="H19" i="11"/>
  <c r="I19" i="11" s="1"/>
  <c r="G19" i="11"/>
  <c r="H18" i="11"/>
  <c r="I18" i="11" s="1"/>
  <c r="G18" i="11"/>
  <c r="H17" i="11"/>
  <c r="I17" i="11" s="1"/>
  <c r="G17" i="11"/>
  <c r="H16" i="11"/>
  <c r="H21" i="11" s="1"/>
  <c r="G16" i="11"/>
  <c r="D11" i="11"/>
  <c r="C5" i="11"/>
  <c r="C70" i="1" l="1"/>
  <c r="C55" i="1"/>
  <c r="C46" i="1"/>
  <c r="C71" i="1" s="1"/>
  <c r="C66" i="1"/>
  <c r="C67" i="1" s="1"/>
  <c r="C74" i="1" s="1"/>
  <c r="D14" i="1"/>
  <c r="C53" i="1"/>
  <c r="I16" i="11"/>
  <c r="I21" i="11" s="1"/>
  <c r="C57" i="1" l="1"/>
  <c r="C73" i="1" s="1"/>
  <c r="C75" i="1" s="1"/>
  <c r="D61" i="1"/>
  <c r="D65" i="1"/>
  <c r="D54" i="1"/>
  <c r="D49" i="1"/>
  <c r="D34" i="1"/>
  <c r="D38" i="1"/>
  <c r="D35" i="1"/>
  <c r="D36" i="1"/>
  <c r="D40" i="1"/>
  <c r="D62" i="1"/>
  <c r="D66" i="1"/>
  <c r="D55" i="1"/>
  <c r="D48" i="1"/>
  <c r="D59" i="1"/>
  <c r="D56" i="1"/>
  <c r="D60" i="1"/>
  <c r="D64" i="1"/>
  <c r="D53" i="1"/>
  <c r="D52" i="1"/>
  <c r="D43" i="1"/>
  <c r="D37" i="1"/>
  <c r="D33" i="1"/>
  <c r="D39" i="1"/>
  <c r="D63" i="1"/>
  <c r="D44" i="1"/>
  <c r="E5" i="11"/>
  <c r="D67" i="1" l="1"/>
  <c r="D74" i="1" s="1"/>
  <c r="D46" i="1"/>
  <c r="D71" i="1" s="1"/>
  <c r="D50" i="1"/>
  <c r="D72" i="1" s="1"/>
  <c r="D41" i="1"/>
  <c r="D70" i="1" s="1"/>
  <c r="D57" i="1"/>
  <c r="D73" i="1" s="1"/>
  <c r="D75" i="1" l="1"/>
  <c r="D30" i="1"/>
  <c r="D77" i="1" l="1"/>
  <c r="D80" i="1" l="1"/>
  <c r="D81" i="1" s="1"/>
  <c r="D92" i="1" s="1"/>
  <c r="D87" i="1" s="1"/>
  <c r="D86" i="1" l="1"/>
  <c r="D84" i="1"/>
  <c r="D83" i="1"/>
  <c r="F5" i="11"/>
  <c r="H5" i="11" s="1"/>
  <c r="I5" i="11" s="1"/>
  <c r="D82" i="1" l="1"/>
  <c r="D89" i="1" s="1"/>
  <c r="G11" i="11"/>
  <c r="G5" i="11"/>
  <c r="F3" i="28"/>
  <c r="G3" i="28" s="1"/>
  <c r="I11" i="11" l="1"/>
  <c r="H11" i="11"/>
  <c r="G9" i="28"/>
  <c r="H3" i="28"/>
  <c r="H10" i="28" s="1"/>
</calcChain>
</file>

<file path=xl/sharedStrings.xml><?xml version="1.0" encoding="utf-8"?>
<sst xmlns="http://schemas.openxmlformats.org/spreadsheetml/2006/main" count="831" uniqueCount="151">
  <si>
    <t>PLANILHA DE ESTIMATIVA DE CUSTOS - LUCRO REAL
CONFORME IN nº 02/2008, atualizada até a IN nº 04/2015</t>
  </si>
  <si>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</si>
  <si>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</si>
  <si>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</si>
  <si>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</si>
  <si>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</si>
  <si>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</si>
  <si>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</si>
  <si>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</si>
  <si>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Insalubridade SM</t>
  </si>
  <si>
    <t>Adicional Noturno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</si>
  <si>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</si>
  <si>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</si>
  <si>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</si>
  <si>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</si>
  <si>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</si>
  <si>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</si>
  <si>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</si>
  <si>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</si>
  <si>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</si>
  <si>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</si>
  <si>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</si>
  <si>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</si>
  <si>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</si>
  <si>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</si>
  <si>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</si>
  <si>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</si>
  <si>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</si>
  <si>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</si>
  <si>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</si>
  <si>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</si>
  <si>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</si>
  <si>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</si>
  <si>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</si>
  <si>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</si>
  <si>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</si>
  <si>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PARÂMETROS</t>
  </si>
  <si>
    <t>4.3. AFASTAMENTO MATERNIDADE</t>
  </si>
  <si>
    <t>Afastamento maternidade</t>
  </si>
  <si>
    <t>Número de Meses de Afastamento Maternidade</t>
  </si>
  <si>
    <t>Incidência do 4.1. sobre afastamento maternidade</t>
  </si>
  <si>
    <t>Incidência anual de ocorrência de Afastamento Maternidade</t>
  </si>
  <si>
    <t>4.4. PROVISÃO P\ RESCISÃO</t>
  </si>
  <si>
    <t>Aviso Prévio Indenizado ( art. 7º, XXI, CF e 477, 487 e 491, CLT) (2)</t>
  </si>
  <si>
    <t>% dispensa com aviso prévio indenizado</t>
  </si>
  <si>
    <t xml:space="preserve">Incidência de FGTS sobre o aviso prévio indenizado </t>
  </si>
  <si>
    <t>% dispensa com aviso prévio trabalhado</t>
  </si>
  <si>
    <t>Aviso Prévio Trabalhado (art. 7º, inciso XXI, CF e 477, 487 e 491, CLT)</t>
  </si>
  <si>
    <t>TOTAL</t>
  </si>
  <si>
    <t>Incidência do 4.1. sobre o Aviso Prévio Trabalhado</t>
  </si>
  <si>
    <t>Multa do FGTS sobre os Avisos Prévios Indenizado e Trabalhado</t>
  </si>
  <si>
    <t>4.5. CUSTO DE REPOSIÇÃO DO PROFISSIONAL AUSENTE</t>
  </si>
  <si>
    <t>Terço constitucional de férias</t>
  </si>
  <si>
    <t>Auxílio doença ( arts. 59 a 64, Lei 8.213/91, art. 18, Lei nº 8.212/91 e art. 476, CLT)</t>
  </si>
  <si>
    <t>Quantidade média de faltas por doença no ano por posto</t>
  </si>
  <si>
    <t>Licença paternidade (art. 7º, inciso XIX, CF e 10, § 1º CLT)</t>
  </si>
  <si>
    <t>Quantidade média de dias de licença paternidade</t>
  </si>
  <si>
    <t>Faltas legais (art. 473 e 83, CLT)</t>
  </si>
  <si>
    <t>Incidência de Ocorrência de licença paternidade</t>
  </si>
  <si>
    <t>Acidente de Trabalho (arts. 19 a 23, Lei 8.213/91, art. 473, CLT e Lei nº 6.367/76)</t>
  </si>
  <si>
    <t>Quantidade média de ausências legais no ano por posto</t>
  </si>
  <si>
    <t xml:space="preserve">Subtotal </t>
  </si>
  <si>
    <t>Quantidade média de dias pagos em acidente de trabalho</t>
  </si>
  <si>
    <t>Incidência do 4.1. sobre o Custo da Reposição</t>
  </si>
  <si>
    <t>Percentual de Incidência de Acidentes de Trabalho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</si>
  <si>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</si>
  <si>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</si>
  <si>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</si>
  <si>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</si>
  <si>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</si>
  <si>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</si>
  <si>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</si>
  <si>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</si>
  <si>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</si>
  <si>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</si>
  <si>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</si>
  <si>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</si>
  <si>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</si>
  <si>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</si>
  <si>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</si>
  <si>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</si>
  <si>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</si>
  <si>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</si>
  <si>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</si>
  <si>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</si>
  <si>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</si>
  <si>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</si>
  <si>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</si>
  <si>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</si>
  <si>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</si>
  <si>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</si>
  <si>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</si>
  <si>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</si>
  <si>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</si>
  <si>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</si>
  <si>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</si>
  <si>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</si>
  <si>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</si>
  <si>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>Item</t>
  </si>
  <si>
    <t>Qtde</t>
  </si>
  <si>
    <t>Categorias</t>
  </si>
  <si>
    <t>Estimativa 
Unitária</t>
  </si>
  <si>
    <t>Fator K</t>
  </si>
  <si>
    <t>Custo 
Mensal</t>
  </si>
  <si>
    <t>Custo 
Anual</t>
  </si>
  <si>
    <t>Remuneração
(Sal. Base 
+ Adicionais)</t>
  </si>
  <si>
    <t>Unidade</t>
  </si>
  <si>
    <t>Uniformes</t>
  </si>
  <si>
    <t>Equipamentos, ferramentas e EPI´s</t>
  </si>
  <si>
    <t>Férias</t>
  </si>
  <si>
    <t>Categoria</t>
  </si>
  <si>
    <t>Adicional de Periculosidade</t>
  </si>
  <si>
    <t>Adicional de HE</t>
  </si>
  <si>
    <t>Gestor de Service Desk</t>
  </si>
  <si>
    <t>Jornada Diária</t>
  </si>
  <si>
    <t>Carga horária semanal</t>
  </si>
  <si>
    <t>Salário Base</t>
  </si>
  <si>
    <t>8 horas</t>
  </si>
  <si>
    <t>40 horas semanais</t>
  </si>
  <si>
    <t>CAT &amp; JORNADA</t>
  </si>
  <si>
    <t>Total Mensal</t>
  </si>
  <si>
    <t>Total Anual</t>
  </si>
  <si>
    <t>Qtde. de
Postos de
 Trabalho</t>
  </si>
  <si>
    <t>Estimativa 
Unitária
 (R$)</t>
  </si>
  <si>
    <t>Total 
Mensal
 (R$)</t>
  </si>
  <si>
    <t>Total 
Anual
 (R$)</t>
  </si>
  <si>
    <t>Total de 
Profissionais</t>
  </si>
  <si>
    <t>Analista de Infraestrutura Pleno</t>
  </si>
  <si>
    <t>Analista de Suporte Junior</t>
  </si>
  <si>
    <t>Analista de Suporte Pleno</t>
  </si>
  <si>
    <t>6 horas</t>
  </si>
  <si>
    <t>VA</t>
  </si>
  <si>
    <t>30 horas semanais</t>
  </si>
  <si>
    <t>Técnico de Atendimento Nível I - 35 horas semanais</t>
  </si>
  <si>
    <t>Técnico de Atendimento Nível II - 40 horas semanais</t>
  </si>
  <si>
    <t>Supervisor de Suporte Remoto e Presencial - 40 horas semanais</t>
  </si>
  <si>
    <t>Técnico de Suporte à Ferramenta ITSM - 40 horas semanais</t>
  </si>
  <si>
    <t>Gestor de Service Desk - 40 horas semanais</t>
  </si>
  <si>
    <t>Analista de Suporte Sênior - 40 horas semanais</t>
  </si>
  <si>
    <t>CONTRATO N° 49/2021 - PLANSUL PLANEJAMENTO E CONSULTORIA LTDA (78.533.312/0001-58) 
 10°TA  (com desoneração)</t>
  </si>
  <si>
    <t>Analista de Suporte Sênior</t>
  </si>
  <si>
    <t>Assistência Médico Hospitalar (Cláusula 16°) - 50% para salários acima de R$ 4.668,40</t>
  </si>
  <si>
    <t>Auxílio Funeral (Cláusula 17°) - valor de referência do contrato atual - n° 49/2021</t>
  </si>
  <si>
    <t>Seguro de vida (Cláusula 18°) - valor de referência do contrato atual - n° 49/2021</t>
  </si>
  <si>
    <t>CCT DF000717/2025 - SINDPD/DF x SINDESEI/DF (vigente até 30/04/2026)</t>
  </si>
  <si>
    <t>ESTIMATIVA DESONERADA</t>
  </si>
  <si>
    <t>ESTIMATIVA  DESONERADA - PROCESSO n° 00200.011888/2025-16</t>
  </si>
  <si>
    <t>Supervisor de Service Desk</t>
  </si>
  <si>
    <t>Auxilio Alimentação (R$ 48,17 por dia trabalhado - APR 13/2022)</t>
  </si>
  <si>
    <t xml:space="preserve">Auxilio Transporte ((5,50 x 2) x 22 dias - 6% SB desconto ) </t>
  </si>
  <si>
    <t>Relógio e Sistema de Registro de Ponto Biométrico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</si>
</sst>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\-yy"/>
    <numFmt numFmtId="165" formatCode="&quot;R$&quot;#,##0.00"/>
    <numFmt numFmtId="166" formatCode="_(* #,##0.00_);_(* \(#,##0.00\);_(* &quot;-&quot;??_);_(@_)"/>
    <numFmt numFmtId="167" formatCode="0.0%"/>
    <numFmt numFmtId="168" formatCode="&quot;R$&quot;\ #,##0.00"/>
    <numFmt numFmtId="169" formatCode="0.00000%"/>
    <numFmt numFmtId="170" formatCode="_(&quot;R$&quot;* #,##0.00_);_(&quot;R$&quot;* \(#,##0.00\);_(&quot;R$&quot;* &quot;-&quot;??_);_(@_)"/>
    <numFmt numFmtId="171" formatCode="_([$R$ -416]* #,##0.00_);_([$R$ -416]* \(#,##0.00\);_([$R$ -416]* &quot;-&quot;??_);_(@_)"/>
    <numFmt numFmtId="172" formatCode="_-* #,##0.000_-;\-* #,##0.000_-;_-* &quot;-&quot;??_-;_-@_-"/>
    <numFmt numFmtId="173" formatCode="[$-416]d\-mmm;@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2" fillId="0" borderId="0">
      <protection locked="0"/>
    </xf>
    <xf numFmtId="16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>
      <protection locked="0"/>
    </xf>
    <xf numFmtId="171" fontId="5" fillId="0" borderId="0"/>
    <xf numFmtId="43" fontId="2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0" fontId="6" fillId="0" borderId="0" xfId="2" applyNumberFormat="1" applyFont="1" applyAlignment="1">
      <alignment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164" fontId="9" fillId="4" borderId="1" xfId="0" applyNumberFormat="1" applyFont="1" applyFill="1" applyBorder="1" applyAlignment="1">
      <alignment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10" fontId="3" fillId="2" borderId="1" xfId="2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vertical="center"/>
    </xf>
    <xf numFmtId="10" fontId="6" fillId="0" borderId="1" xfId="2" applyNumberFormat="1" applyFont="1" applyBorder="1" applyAlignment="1">
      <alignment horizontal="right" vertical="center"/>
    </xf>
    <xf numFmtId="166" fontId="6" fillId="4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7" fontId="13" fillId="0" borderId="1" xfId="2" applyNumberFormat="1" applyFont="1" applyBorder="1" applyAlignment="1">
      <alignment vertical="center"/>
    </xf>
    <xf numFmtId="166" fontId="3" fillId="6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6" fillId="2" borderId="1" xfId="0" applyFont="1" applyFill="1" applyBorder="1" applyAlignment="1">
      <alignment vertical="center"/>
    </xf>
    <xf numFmtId="166" fontId="6" fillId="4" borderId="1" xfId="3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168" fontId="6" fillId="0" borderId="0" xfId="0" applyNumberFormat="1" applyFont="1"/>
    <xf numFmtId="0" fontId="11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vertical="center"/>
    </xf>
    <xf numFmtId="10" fontId="3" fillId="0" borderId="1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9" fontId="6" fillId="0" borderId="1" xfId="2" applyNumberFormat="1" applyFont="1" applyBorder="1" applyAlignment="1" applyProtection="1">
      <alignment vertical="center"/>
      <protection hidden="1"/>
    </xf>
    <xf numFmtId="166" fontId="6" fillId="0" borderId="1" xfId="0" applyNumberFormat="1" applyFont="1" applyBorder="1" applyAlignment="1">
      <alignment vertical="center"/>
    </xf>
    <xf numFmtId="169" fontId="6" fillId="0" borderId="1" xfId="2" applyNumberFormat="1" applyFont="1" applyBorder="1" applyAlignment="1">
      <alignment vertical="center"/>
    </xf>
    <xf numFmtId="0" fontId="12" fillId="7" borderId="1" xfId="0" applyFont="1" applyFill="1" applyBorder="1" applyAlignment="1">
      <alignment horizontal="right" vertical="center"/>
    </xf>
    <xf numFmtId="169" fontId="13" fillId="7" borderId="1" xfId="2" applyNumberFormat="1" applyFont="1" applyFill="1" applyBorder="1" applyAlignment="1" applyProtection="1">
      <alignment vertical="center"/>
      <protection hidden="1"/>
    </xf>
    <xf numFmtId="166" fontId="13" fillId="7" borderId="1" xfId="2" applyNumberFormat="1" applyFont="1" applyFill="1" applyBorder="1" applyAlignment="1" applyProtection="1">
      <alignment vertical="center"/>
      <protection hidden="1"/>
    </xf>
    <xf numFmtId="0" fontId="15" fillId="0" borderId="0" xfId="0" applyFont="1"/>
    <xf numFmtId="169" fontId="15" fillId="0" borderId="0" xfId="0" applyNumberFormat="1" applyFont="1"/>
    <xf numFmtId="10" fontId="3" fillId="0" borderId="1" xfId="2" applyNumberFormat="1" applyFont="1" applyBorder="1" applyAlignment="1" applyProtection="1">
      <alignment horizontal="center" vertical="center"/>
      <protection hidden="1"/>
    </xf>
    <xf numFmtId="166" fontId="3" fillId="0" borderId="1" xfId="0" applyNumberFormat="1" applyFont="1" applyBorder="1" applyAlignment="1" applyProtection="1">
      <alignment horizontal="center" vertical="center"/>
      <protection hidden="1"/>
    </xf>
    <xf numFmtId="169" fontId="6" fillId="4" borderId="1" xfId="2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0" fontId="6" fillId="4" borderId="1" xfId="2" applyNumberFormat="1" applyFont="1" applyFill="1" applyBorder="1" applyAlignment="1" applyProtection="1">
      <alignment vertical="center"/>
      <protection hidden="1"/>
    </xf>
    <xf numFmtId="166" fontId="6" fillId="0" borderId="1" xfId="0" applyNumberFormat="1" applyFont="1" applyBorder="1" applyAlignment="1" applyProtection="1">
      <alignment vertical="center"/>
      <protection hidden="1"/>
    </xf>
    <xf numFmtId="0" fontId="1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69" fontId="6" fillId="0" borderId="1" xfId="2" applyNumberFormat="1" applyFont="1" applyFill="1" applyBorder="1" applyAlignment="1" applyProtection="1">
      <alignment vertical="center"/>
      <protection hidden="1"/>
    </xf>
    <xf numFmtId="0" fontId="6" fillId="0" borderId="1" xfId="0" applyFont="1" applyBorder="1" applyAlignment="1">
      <alignment wrapText="1"/>
    </xf>
    <xf numFmtId="169" fontId="6" fillId="0" borderId="1" xfId="2" applyNumberFormat="1" applyFont="1" applyFill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43" fontId="6" fillId="0" borderId="0" xfId="0" applyNumberFormat="1" applyFont="1"/>
    <xf numFmtId="1" fontId="6" fillId="0" borderId="1" xfId="0" applyNumberFormat="1" applyFont="1" applyBorder="1" applyAlignment="1">
      <alignment horizontal="center" vertical="center"/>
    </xf>
    <xf numFmtId="169" fontId="3" fillId="0" borderId="1" xfId="2" applyNumberFormat="1" applyFont="1" applyFill="1" applyBorder="1" applyAlignment="1" applyProtection="1">
      <alignment vertical="center"/>
      <protection hidden="1"/>
    </xf>
    <xf numFmtId="10" fontId="13" fillId="7" borderId="1" xfId="2" applyNumberFormat="1" applyFont="1" applyFill="1" applyBorder="1" applyAlignment="1" applyProtection="1">
      <alignment vertical="center"/>
      <protection hidden="1"/>
    </xf>
    <xf numFmtId="0" fontId="11" fillId="5" borderId="1" xfId="0" applyFont="1" applyFill="1" applyBorder="1" applyAlignment="1" applyProtection="1">
      <alignment vertical="center"/>
      <protection hidden="1"/>
    </xf>
    <xf numFmtId="0" fontId="12" fillId="0" borderId="1" xfId="0" applyFont="1" applyBorder="1" applyAlignment="1">
      <alignment horizontal="center" vertical="center"/>
    </xf>
    <xf numFmtId="10" fontId="6" fillId="0" borderId="1" xfId="2" applyNumberFormat="1" applyFont="1" applyBorder="1" applyAlignment="1" applyProtection="1">
      <alignment vertical="center"/>
      <protection hidden="1"/>
    </xf>
    <xf numFmtId="0" fontId="12" fillId="0" borderId="1" xfId="0" applyFont="1" applyBorder="1" applyAlignment="1">
      <alignment horizontal="left" vertical="center"/>
    </xf>
    <xf numFmtId="10" fontId="3" fillId="6" borderId="1" xfId="2" applyNumberFormat="1" applyFont="1" applyFill="1" applyBorder="1" applyAlignment="1" applyProtection="1">
      <alignment vertical="center"/>
      <protection hidden="1"/>
    </xf>
    <xf numFmtId="166" fontId="3" fillId="6" borderId="1" xfId="2" applyNumberFormat="1" applyFont="1" applyFill="1" applyBorder="1" applyAlignment="1" applyProtection="1">
      <alignment vertical="center"/>
      <protection hidden="1"/>
    </xf>
    <xf numFmtId="10" fontId="13" fillId="6" borderId="1" xfId="2" applyNumberFormat="1" applyFont="1" applyFill="1" applyBorder="1" applyAlignment="1" applyProtection="1">
      <alignment vertical="center"/>
      <protection hidden="1"/>
    </xf>
    <xf numFmtId="166" fontId="13" fillId="6" borderId="1" xfId="2" applyNumberFormat="1" applyFont="1" applyFill="1" applyBorder="1" applyAlignment="1" applyProtection="1">
      <alignment vertical="center"/>
      <protection hidden="1"/>
    </xf>
    <xf numFmtId="0" fontId="12" fillId="0" borderId="1" xfId="0" applyFont="1" applyBorder="1" applyAlignment="1">
      <alignment horizontal="right" vertical="center"/>
    </xf>
    <xf numFmtId="10" fontId="13" fillId="0" borderId="1" xfId="2" applyNumberFormat="1" applyFont="1" applyBorder="1" applyAlignment="1" applyProtection="1">
      <alignment vertical="center"/>
      <protection hidden="1"/>
    </xf>
    <xf numFmtId="166" fontId="13" fillId="0" borderId="1" xfId="2" applyNumberFormat="1" applyFont="1" applyBorder="1" applyAlignment="1" applyProtection="1">
      <alignment vertical="center"/>
      <protection hidden="1"/>
    </xf>
    <xf numFmtId="0" fontId="12" fillId="7" borderId="1" xfId="0" applyFont="1" applyFill="1" applyBorder="1" applyAlignment="1" applyProtection="1">
      <alignment vertical="center"/>
      <protection hidden="1"/>
    </xf>
    <xf numFmtId="168" fontId="3" fillId="6" borderId="1" xfId="2" applyNumberFormat="1" applyFont="1" applyFill="1" applyBorder="1" applyAlignment="1" applyProtection="1">
      <alignment vertical="center"/>
      <protection hidden="1"/>
    </xf>
    <xf numFmtId="0" fontId="1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0" fontId="3" fillId="6" borderId="1" xfId="2" applyNumberFormat="1" applyFont="1" applyFill="1" applyBorder="1" applyAlignment="1" applyProtection="1">
      <alignment vertical="center"/>
      <protection locked="0"/>
    </xf>
    <xf numFmtId="170" fontId="6" fillId="0" borderId="0" xfId="1" applyFont="1"/>
    <xf numFmtId="0" fontId="3" fillId="0" borderId="1" xfId="0" applyFont="1" applyBorder="1"/>
    <xf numFmtId="168" fontId="6" fillId="0" borderId="0" xfId="3" applyNumberFormat="1" applyFont="1"/>
    <xf numFmtId="0" fontId="12" fillId="0" borderId="2" xfId="0" applyFont="1" applyBorder="1" applyAlignment="1">
      <alignment horizontal="center" vertical="center"/>
    </xf>
    <xf numFmtId="166" fontId="3" fillId="0" borderId="1" xfId="3" applyNumberFormat="1" applyFont="1" applyBorder="1" applyAlignment="1">
      <alignment vertical="center"/>
    </xf>
    <xf numFmtId="0" fontId="6" fillId="0" borderId="1" xfId="0" applyFont="1" applyBorder="1"/>
    <xf numFmtId="10" fontId="6" fillId="6" borderId="1" xfId="2" applyNumberFormat="1" applyFont="1" applyFill="1" applyBorder="1" applyAlignment="1" applyProtection="1">
      <alignment vertical="center"/>
      <protection hidden="1"/>
    </xf>
    <xf numFmtId="166" fontId="6" fillId="0" borderId="1" xfId="3" applyNumberFormat="1" applyFont="1" applyBorder="1" applyAlignment="1">
      <alignment vertical="center"/>
    </xf>
    <xf numFmtId="10" fontId="6" fillId="6" borderId="1" xfId="2" applyNumberFormat="1" applyFont="1" applyFill="1" applyBorder="1" applyProtection="1">
      <protection hidden="1"/>
    </xf>
    <xf numFmtId="0" fontId="13" fillId="0" borderId="1" xfId="0" applyFont="1" applyBorder="1" applyAlignment="1">
      <alignment vertical="center" wrapText="1"/>
    </xf>
    <xf numFmtId="166" fontId="13" fillId="7" borderId="1" xfId="0" applyNumberFormat="1" applyFont="1" applyFill="1" applyBorder="1" applyAlignment="1">
      <alignment vertical="center"/>
    </xf>
    <xf numFmtId="0" fontId="1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15" fillId="0" borderId="1" xfId="1" applyNumberFormat="1" applyFont="1" applyBorder="1" applyAlignment="1" applyProtection="1">
      <alignment horizontal="center" vertical="center"/>
      <protection hidden="1"/>
    </xf>
    <xf numFmtId="4" fontId="13" fillId="4" borderId="1" xfId="0" applyNumberFormat="1" applyFont="1" applyFill="1" applyBorder="1" applyAlignment="1" applyProtection="1">
      <alignment vertical="center"/>
      <protection locked="0" hidden="1"/>
    </xf>
    <xf numFmtId="10" fontId="6" fillId="0" borderId="0" xfId="2" applyNumberFormat="1" applyFont="1"/>
    <xf numFmtId="0" fontId="20" fillId="8" borderId="4" xfId="0" applyFont="1" applyFill="1" applyBorder="1" applyAlignment="1">
      <alignment horizontal="centerContinuous"/>
    </xf>
    <xf numFmtId="0" fontId="20" fillId="8" borderId="5" xfId="0" applyFont="1" applyFill="1" applyBorder="1" applyAlignment="1">
      <alignment horizontal="centerContinuous"/>
    </xf>
    <xf numFmtId="0" fontId="20" fillId="8" borderId="6" xfId="0" applyFont="1" applyFill="1" applyBorder="1" applyAlignment="1">
      <alignment horizontal="centerContinuous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44" fontId="0" fillId="0" borderId="0" xfId="0" applyNumberFormat="1"/>
    <xf numFmtId="170" fontId="22" fillId="0" borderId="1" xfId="1" applyFont="1" applyBorder="1" applyAlignment="1">
      <alignment horizontal="center" vertical="center" wrapText="1"/>
    </xf>
    <xf numFmtId="44" fontId="21" fillId="0" borderId="1" xfId="0" applyNumberFormat="1" applyFont="1" applyBorder="1" applyAlignment="1">
      <alignment horizontal="center" vertical="center" wrapText="1"/>
    </xf>
    <xf numFmtId="44" fontId="22" fillId="0" borderId="1" xfId="0" applyNumberFormat="1" applyFont="1" applyBorder="1" applyAlignment="1">
      <alignment horizontal="center" vertical="center" wrapText="1"/>
    </xf>
    <xf numFmtId="170" fontId="22" fillId="9" borderId="1" xfId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172" fontId="22" fillId="0" borderId="1" xfId="9" applyNumberFormat="1" applyFont="1" applyBorder="1" applyAlignment="1">
      <alignment horizontal="center"/>
    </xf>
    <xf numFmtId="172" fontId="21" fillId="0" borderId="1" xfId="9" applyNumberFormat="1" applyFont="1" applyBorder="1" applyAlignment="1">
      <alignment horizontal="center" vertical="center"/>
    </xf>
    <xf numFmtId="172" fontId="22" fillId="0" borderId="1" xfId="0" applyNumberFormat="1" applyFont="1" applyBorder="1" applyAlignment="1">
      <alignment horizontal="center"/>
    </xf>
    <xf numFmtId="0" fontId="19" fillId="0" borderId="0" xfId="0" applyFont="1"/>
    <xf numFmtId="9" fontId="0" fillId="0" borderId="0" xfId="2" applyFont="1"/>
    <xf numFmtId="173" fontId="8" fillId="3" borderId="1" xfId="0" applyNumberFormat="1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Continuous" wrapText="1"/>
    </xf>
    <xf numFmtId="0" fontId="2" fillId="0" borderId="0" xfId="0" applyFont="1"/>
    <xf numFmtId="43" fontId="0" fillId="0" borderId="0" xfId="9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0" fillId="0" borderId="1" xfId="9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10" borderId="1" xfId="0" applyFill="1" applyBorder="1" applyAlignment="1">
      <alignment horizontal="centerContinuous"/>
    </xf>
    <xf numFmtId="0" fontId="19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0" fillId="10" borderId="2" xfId="0" applyFill="1" applyBorder="1"/>
    <xf numFmtId="0" fontId="19" fillId="10" borderId="1" xfId="0" applyFont="1" applyFill="1" applyBorder="1" applyAlignment="1">
      <alignment horizontal="centerContinuous" wrapText="1"/>
    </xf>
    <xf numFmtId="0" fontId="19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43" fontId="19" fillId="0" borderId="2" xfId="0" applyNumberFormat="1" applyFont="1" applyBorder="1" applyAlignment="1">
      <alignment horizontal="centerContinuous" vertical="center"/>
    </xf>
    <xf numFmtId="43" fontId="19" fillId="0" borderId="6" xfId="0" applyNumberFormat="1" applyFont="1" applyBorder="1" applyAlignment="1">
      <alignment horizontal="centerContinuous" vertical="center"/>
    </xf>
    <xf numFmtId="0" fontId="19" fillId="10" borderId="1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"/>
    </xf>
    <xf numFmtId="169" fontId="6" fillId="11" borderId="1" xfId="2" applyNumberFormat="1" applyFont="1" applyFill="1" applyBorder="1" applyAlignment="1" applyProtection="1">
      <alignment vertical="center"/>
      <protection hidden="1"/>
    </xf>
    <xf numFmtId="166" fontId="6" fillId="11" borderId="1" xfId="0" applyNumberFormat="1" applyFont="1" applyFill="1" applyBorder="1" applyAlignment="1">
      <alignment vertical="center"/>
    </xf>
    <xf numFmtId="169" fontId="6" fillId="3" borderId="1" xfId="2" applyNumberFormat="1" applyFont="1" applyFill="1" applyBorder="1" applyAlignment="1" applyProtection="1">
      <alignment vertical="center"/>
      <protection hidden="1"/>
    </xf>
    <xf numFmtId="166" fontId="6" fillId="3" borderId="1" xfId="0" applyNumberFormat="1" applyFont="1" applyFill="1" applyBorder="1" applyAlignment="1">
      <alignment vertical="center"/>
    </xf>
    <xf numFmtId="10" fontId="6" fillId="3" borderId="1" xfId="2" applyNumberFormat="1" applyFont="1" applyFill="1" applyBorder="1" applyAlignment="1" applyProtection="1">
      <alignment vertical="center"/>
      <protection hidden="1"/>
    </xf>
    <xf numFmtId="166" fontId="6" fillId="3" borderId="1" xfId="3" applyNumberFormat="1" applyFont="1" applyFill="1" applyBorder="1" applyAlignment="1">
      <alignment vertical="center"/>
    </xf>
    <xf numFmtId="169" fontId="3" fillId="3" borderId="1" xfId="2" applyNumberFormat="1" applyFont="1" applyFill="1" applyBorder="1" applyAlignment="1" applyProtection="1">
      <alignment horizontal="right" vertical="center"/>
      <protection locked="0"/>
    </xf>
    <xf numFmtId="169" fontId="6" fillId="12" borderId="1" xfId="2" applyNumberFormat="1" applyFont="1" applyFill="1" applyBorder="1" applyAlignment="1" applyProtection="1">
      <alignment vertical="center"/>
      <protection hidden="1"/>
    </xf>
    <xf numFmtId="169" fontId="6" fillId="12" borderId="1" xfId="2" applyNumberFormat="1" applyFont="1" applyFill="1" applyBorder="1" applyAlignment="1">
      <alignment horizontal="right" vertical="center"/>
    </xf>
    <xf numFmtId="9" fontId="6" fillId="12" borderId="1" xfId="0" applyNumberFormat="1" applyFont="1" applyFill="1" applyBorder="1" applyAlignment="1">
      <alignment horizontal="center" vertical="center"/>
    </xf>
    <xf numFmtId="166" fontId="6" fillId="12" borderId="1" xfId="0" applyNumberFormat="1" applyFont="1" applyFill="1" applyBorder="1" applyAlignment="1" applyProtection="1">
      <alignment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1">
    <cellStyle name="Hiperlink 2" xfId="7" xr:uid="{00000000-0005-0000-0000-000000000000}"/>
    <cellStyle name="Moeda" xfId="1" builtinId="4"/>
    <cellStyle name="Moeda 4" xfId="6" xr:uid="{00000000-0005-0000-0000-000002000000}"/>
    <cellStyle name="Normal" xfId="0" builtinId="0"/>
    <cellStyle name="Normal 2" xfId="3" xr:uid="{00000000-0005-0000-0000-000004000000}"/>
    <cellStyle name="Normal 2 2 2" xfId="8" xr:uid="{00000000-0005-0000-0000-000005000000}"/>
    <cellStyle name="Normal 3" xfId="4" xr:uid="{00000000-0005-0000-0000-000006000000}"/>
    <cellStyle name="Normal 4" xfId="10" xr:uid="{00000000-0005-0000-0000-000007000000}"/>
    <cellStyle name="Porcentagem" xfId="2" builtinId="5"/>
    <cellStyle name="Vírgula" xfId="9" builtinId="3"/>
    <cellStyle name="Vírgula 2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AF19-3943-4686-9994-E33996B5DBC1}">
  <dimension ref="B1:H10"/>
  <sheetViews>
    <sheetView showGridLines="0" tabSelected="1" workbookViewId="0">
      <selection activeCell="H10" sqref="H10"/>
    </sheetView>
  </sheetViews>
  <sheetFormatPr defaultRowHeight="12.75" x14ac:dyDescent="0.2"/>
  <cols>
    <col min="1" max="1" width="2.7109375" customWidth="1"/>
    <col min="2" max="2" width="9.140625" customWidth="1"/>
    <col min="3" max="3" width="14.5703125" bestFit="1" customWidth="1"/>
    <col min="4" max="4" width="9.42578125" bestFit="1" customWidth="1"/>
    <col min="6" max="6" width="14.140625" customWidth="1"/>
    <col min="7" max="7" width="12.85546875" bestFit="1" customWidth="1"/>
    <col min="8" max="8" width="14" bestFit="1" customWidth="1"/>
  </cols>
  <sheetData>
    <row r="1" spans="2:8" x14ac:dyDescent="0.2">
      <c r="B1" s="116" t="s">
        <v>145</v>
      </c>
    </row>
    <row r="2" spans="2:8" ht="63.75" x14ac:dyDescent="0.2">
      <c r="B2" s="128" t="s">
        <v>98</v>
      </c>
      <c r="C2" s="128" t="s">
        <v>110</v>
      </c>
      <c r="D2" s="129" t="s">
        <v>122</v>
      </c>
      <c r="E2" s="128" t="s">
        <v>106</v>
      </c>
      <c r="F2" s="129" t="s">
        <v>123</v>
      </c>
      <c r="G2" s="129" t="s">
        <v>124</v>
      </c>
      <c r="H2" s="129" t="s">
        <v>125</v>
      </c>
    </row>
    <row r="3" spans="2:8" ht="25.5" x14ac:dyDescent="0.2">
      <c r="B3" s="122">
        <v>1</v>
      </c>
      <c r="C3" s="123" t="str">
        <f>Dados!B7</f>
        <v>Gestor de Service Desk</v>
      </c>
      <c r="D3" s="122">
        <f>Dados!C7</f>
        <v>2</v>
      </c>
      <c r="E3" s="124" t="s">
        <v>106</v>
      </c>
      <c r="F3" s="125">
        <f>'Resumo Geral'!F5</f>
        <v>28991.48</v>
      </c>
      <c r="G3" s="126">
        <f>F3*D3</f>
        <v>57982.96</v>
      </c>
      <c r="H3" s="126">
        <f>G3*12</f>
        <v>695795.52</v>
      </c>
    </row>
    <row r="4" spans="2:8" ht="25.5" x14ac:dyDescent="0.2">
      <c r="B4" s="122">
        <v>2</v>
      </c>
      <c r="C4" s="123" t="str">
        <f>Dados!B8</f>
        <v>Supervisor de Service Desk</v>
      </c>
      <c r="D4" s="122">
        <f>Dados!C8</f>
        <v>12</v>
      </c>
      <c r="E4" s="124" t="s">
        <v>106</v>
      </c>
      <c r="F4" s="125">
        <f>'Resumo Geral'!F6</f>
        <v>21560.36</v>
      </c>
      <c r="G4" s="126">
        <f t="shared" ref="G4:G8" si="0">F4*D4</f>
        <v>258724.32</v>
      </c>
      <c r="H4" s="126">
        <f t="shared" ref="H4:H8" si="1">G4*12</f>
        <v>3104691.84</v>
      </c>
    </row>
    <row r="5" spans="2:8" ht="38.25" x14ac:dyDescent="0.2">
      <c r="B5" s="122">
        <v>3</v>
      </c>
      <c r="C5" s="123" t="str">
        <f>Dados!B9</f>
        <v>Analista de Infraestrutura Pleno</v>
      </c>
      <c r="D5" s="122">
        <f>Dados!C9</f>
        <v>1</v>
      </c>
      <c r="E5" s="124" t="s">
        <v>106</v>
      </c>
      <c r="F5" s="125">
        <f>'Resumo Geral'!F7</f>
        <v>20093.73</v>
      </c>
      <c r="G5" s="126">
        <f t="shared" si="0"/>
        <v>20093.73</v>
      </c>
      <c r="H5" s="126">
        <f t="shared" si="1"/>
        <v>241124.76</v>
      </c>
    </row>
    <row r="6" spans="2:8" ht="25.5" x14ac:dyDescent="0.2">
      <c r="B6" s="122">
        <v>4</v>
      </c>
      <c r="C6" s="123" t="str">
        <f>Dados!B10</f>
        <v>Analista de Suporte Sênior</v>
      </c>
      <c r="D6" s="122">
        <f>Dados!C10</f>
        <v>10</v>
      </c>
      <c r="E6" s="124" t="s">
        <v>106</v>
      </c>
      <c r="F6" s="125">
        <f>'Resumo Geral'!F8</f>
        <v>14129.22</v>
      </c>
      <c r="G6" s="126">
        <f t="shared" si="0"/>
        <v>141292.19999999998</v>
      </c>
      <c r="H6" s="126">
        <f t="shared" si="1"/>
        <v>1695506.4</v>
      </c>
    </row>
    <row r="7" spans="2:8" ht="31.5" customHeight="1" x14ac:dyDescent="0.2">
      <c r="B7" s="122">
        <v>5</v>
      </c>
      <c r="C7" s="123" t="str">
        <f>Dados!B11</f>
        <v>Analista de Suporte Pleno</v>
      </c>
      <c r="D7" s="122">
        <f>Dados!C11</f>
        <v>45</v>
      </c>
      <c r="E7" s="124" t="s">
        <v>106</v>
      </c>
      <c r="F7" s="125">
        <f>'Resumo Geral'!F9</f>
        <v>10157.790000000001</v>
      </c>
      <c r="G7" s="126">
        <f t="shared" si="0"/>
        <v>457100.55000000005</v>
      </c>
      <c r="H7" s="126">
        <f t="shared" si="1"/>
        <v>5485206.6000000006</v>
      </c>
    </row>
    <row r="8" spans="2:8" ht="25.5" x14ac:dyDescent="0.2">
      <c r="B8" s="122">
        <v>6</v>
      </c>
      <c r="C8" s="123" t="str">
        <f>Dados!B12</f>
        <v>Analista de Suporte Junior</v>
      </c>
      <c r="D8" s="122">
        <f>Dados!C12</f>
        <v>39</v>
      </c>
      <c r="E8" s="124" t="s">
        <v>106</v>
      </c>
      <c r="F8" s="125">
        <f>'Resumo Geral'!F10</f>
        <v>7890.33</v>
      </c>
      <c r="G8" s="126">
        <f t="shared" si="0"/>
        <v>307722.87</v>
      </c>
      <c r="H8" s="126">
        <f t="shared" si="1"/>
        <v>3692674.44</v>
      </c>
    </row>
    <row r="9" spans="2:8" ht="25.5" x14ac:dyDescent="0.2">
      <c r="B9" s="131" t="s">
        <v>126</v>
      </c>
      <c r="C9" s="127"/>
      <c r="D9" s="132">
        <f>SUM(D3:D8)</f>
        <v>109</v>
      </c>
      <c r="E9" s="133"/>
      <c r="F9" s="128" t="s">
        <v>120</v>
      </c>
      <c r="G9" s="134">
        <f>SUM(G3:G8)</f>
        <v>1242916.6299999999</v>
      </c>
      <c r="H9" s="130"/>
    </row>
    <row r="10" spans="2:8" ht="27" customHeight="1" x14ac:dyDescent="0.2">
      <c r="B10" s="136" t="s">
        <v>121</v>
      </c>
      <c r="C10" s="127"/>
      <c r="D10" s="127"/>
      <c r="E10" s="127"/>
      <c r="F10" s="127"/>
      <c r="G10" s="127"/>
      <c r="H10" s="135">
        <f>SUM(H3:H9)</f>
        <v>14914999.560000001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4"/>
  <sheetViews>
    <sheetView showGridLines="0" workbookViewId="0">
      <selection activeCell="F26" sqref="F26"/>
    </sheetView>
  </sheetViews>
  <sheetFormatPr defaultColWidth="53.28515625" defaultRowHeight="12.75" x14ac:dyDescent="0.2"/>
  <cols>
    <col min="1" max="1" width="2" customWidth="1"/>
    <col min="2" max="2" width="6" bestFit="1" customWidth="1"/>
    <col min="3" max="3" width="63" bestFit="1" customWidth="1"/>
    <col min="4" max="4" width="6.5703125" bestFit="1" customWidth="1"/>
    <col min="5" max="5" width="16.7109375" bestFit="1" customWidth="1"/>
    <col min="6" max="6" width="15.85546875" customWidth="1"/>
    <col min="7" max="7" width="9.85546875" bestFit="1" customWidth="1"/>
    <col min="8" max="8" width="20" bestFit="1" customWidth="1"/>
    <col min="9" max="9" width="18.85546875" bestFit="1" customWidth="1"/>
    <col min="10" max="10" width="0.85546875" customWidth="1"/>
  </cols>
  <sheetData>
    <row r="2" spans="2:11" ht="16.5" x14ac:dyDescent="0.25">
      <c r="B2" s="96" t="s">
        <v>146</v>
      </c>
      <c r="C2" s="97"/>
      <c r="D2" s="97"/>
      <c r="E2" s="97"/>
      <c r="F2" s="97"/>
      <c r="G2" s="97"/>
      <c r="H2" s="97"/>
      <c r="I2" s="98"/>
    </row>
    <row r="3" spans="2:11" ht="3" customHeight="1" x14ac:dyDescent="0.2"/>
    <row r="4" spans="2:11" ht="45" x14ac:dyDescent="0.2">
      <c r="B4" s="99" t="s">
        <v>98</v>
      </c>
      <c r="C4" s="100" t="s">
        <v>100</v>
      </c>
      <c r="D4" s="100" t="s">
        <v>99</v>
      </c>
      <c r="E4" s="101" t="s">
        <v>105</v>
      </c>
      <c r="F4" s="101" t="s">
        <v>101</v>
      </c>
      <c r="G4" s="99" t="s">
        <v>102</v>
      </c>
      <c r="H4" s="101" t="s">
        <v>103</v>
      </c>
      <c r="I4" s="101" t="s">
        <v>104</v>
      </c>
    </row>
    <row r="5" spans="2:11" ht="14.25" x14ac:dyDescent="0.2">
      <c r="B5" s="108">
        <v>1</v>
      </c>
      <c r="C5" s="109" t="str">
        <f>Item01!$B$2</f>
        <v>Gestor de Service Desk - 40 horas semanais</v>
      </c>
      <c r="D5" s="108">
        <f>Dados!C7</f>
        <v>2</v>
      </c>
      <c r="E5" s="103">
        <f>Item01!$D$14</f>
        <v>16240.54</v>
      </c>
      <c r="F5" s="103">
        <f>ROUND(Item01!$D$92,2)</f>
        <v>28991.48</v>
      </c>
      <c r="G5" s="113">
        <f>F5/E5</f>
        <v>1.785130297391589</v>
      </c>
      <c r="H5" s="105">
        <f>F5*D5</f>
        <v>57982.96</v>
      </c>
      <c r="I5" s="105">
        <f>ROUND(H5*12,2)</f>
        <v>695795.52</v>
      </c>
      <c r="K5" s="102"/>
    </row>
    <row r="6" spans="2:11" ht="14.25" x14ac:dyDescent="0.2">
      <c r="B6" s="108">
        <v>2</v>
      </c>
      <c r="C6" s="109" t="str">
        <f>Item02!$B$2</f>
        <v>Supervisor de Service Desk - 40 horas semanais</v>
      </c>
      <c r="D6" s="108">
        <f>Dados!C8</f>
        <v>12</v>
      </c>
      <c r="E6" s="103">
        <f>Item02!$D$14</f>
        <v>11863.8</v>
      </c>
      <c r="F6" s="103">
        <f>ROUND(Item02!$D$92,2)</f>
        <v>21560.36</v>
      </c>
      <c r="G6" s="113">
        <f t="shared" ref="G6:G10" si="0">F6/E6</f>
        <v>1.8173232859623394</v>
      </c>
      <c r="H6" s="105">
        <f t="shared" ref="H6:H10" si="1">F6*D6</f>
        <v>258724.32</v>
      </c>
      <c r="I6" s="105">
        <f t="shared" ref="I6:I10" si="2">ROUND(H6*12,2)</f>
        <v>3104691.84</v>
      </c>
      <c r="K6" s="102"/>
    </row>
    <row r="7" spans="2:11" ht="14.25" x14ac:dyDescent="0.2">
      <c r="B7" s="108">
        <v>3</v>
      </c>
      <c r="C7" s="109" t="str">
        <f>Item03!$B$2</f>
        <v>Analista de Infraestrutura Pleno - 40 horas semanais</v>
      </c>
      <c r="D7" s="108">
        <f>Dados!C9</f>
        <v>1</v>
      </c>
      <c r="E7" s="103">
        <f>Item03!$D$14</f>
        <v>11000</v>
      </c>
      <c r="F7" s="103">
        <f>ROUND(Item03!$D$92,2)</f>
        <v>20093.73</v>
      </c>
      <c r="G7" s="113">
        <f t="shared" si="0"/>
        <v>1.8267027272727272</v>
      </c>
      <c r="H7" s="105">
        <f t="shared" si="1"/>
        <v>20093.73</v>
      </c>
      <c r="I7" s="105">
        <f t="shared" si="2"/>
        <v>241124.76</v>
      </c>
      <c r="K7" s="102"/>
    </row>
    <row r="8" spans="2:11" ht="14.25" x14ac:dyDescent="0.2">
      <c r="B8" s="108">
        <v>4</v>
      </c>
      <c r="C8" s="109" t="s">
        <v>138</v>
      </c>
      <c r="D8" s="108">
        <v>10</v>
      </c>
      <c r="E8" s="103">
        <f>Item04!$D$14</f>
        <v>7487.05</v>
      </c>
      <c r="F8" s="103">
        <f>ROUND(Item04!$D$92,2)</f>
        <v>14129.22</v>
      </c>
      <c r="G8" s="113">
        <f t="shared" si="0"/>
        <v>1.8871544867471166</v>
      </c>
      <c r="H8" s="105">
        <f t="shared" si="1"/>
        <v>141292.19999999998</v>
      </c>
      <c r="I8" s="105">
        <f t="shared" si="2"/>
        <v>1695506.4</v>
      </c>
      <c r="K8" s="102"/>
    </row>
    <row r="9" spans="2:11" ht="14.25" x14ac:dyDescent="0.2">
      <c r="B9" s="108">
        <v>5</v>
      </c>
      <c r="C9" s="109" t="str">
        <f>Item05!$B$2</f>
        <v>Analista de Suporte Pleno - 40 horas semanais</v>
      </c>
      <c r="D9" s="108">
        <v>45</v>
      </c>
      <c r="E9" s="103">
        <f>Item05!$D$14</f>
        <v>5147.97</v>
      </c>
      <c r="F9" s="103">
        <f>ROUND(Item05!$D$92,2)</f>
        <v>10157.790000000001</v>
      </c>
      <c r="G9" s="113">
        <f t="shared" si="0"/>
        <v>1.973164179278434</v>
      </c>
      <c r="H9" s="105">
        <f t="shared" si="1"/>
        <v>457100.55000000005</v>
      </c>
      <c r="I9" s="105">
        <f t="shared" si="2"/>
        <v>5485206.5999999996</v>
      </c>
      <c r="K9" s="102"/>
    </row>
    <row r="10" spans="2:11" ht="14.25" x14ac:dyDescent="0.2">
      <c r="B10" s="108">
        <v>6</v>
      </c>
      <c r="C10" s="109" t="str">
        <f>Item06!$B$2</f>
        <v>Analista de Suporte Junior - 30 horas semanais</v>
      </c>
      <c r="D10" s="108">
        <f>Dados!C12</f>
        <v>39</v>
      </c>
      <c r="E10" s="103">
        <f>Item06!$D$14</f>
        <v>3781.48</v>
      </c>
      <c r="F10" s="103">
        <f>ROUND(Item06!$D$92,2)</f>
        <v>7890.33</v>
      </c>
      <c r="G10" s="113">
        <f t="shared" si="0"/>
        <v>2.0865719242201464</v>
      </c>
      <c r="H10" s="105">
        <f t="shared" si="1"/>
        <v>307722.87</v>
      </c>
      <c r="I10" s="105">
        <f t="shared" si="2"/>
        <v>3692674.44</v>
      </c>
      <c r="K10" s="102"/>
    </row>
    <row r="11" spans="2:11" ht="15" x14ac:dyDescent="0.25">
      <c r="B11" s="108"/>
      <c r="C11" s="110" t="s">
        <v>48</v>
      </c>
      <c r="D11" s="111">
        <f>SUM(D5:D10)</f>
        <v>109</v>
      </c>
      <c r="E11" s="106"/>
      <c r="F11" s="107"/>
      <c r="G11" s="114">
        <f>SUMPRODUCT($F$5:$F$10,D5:$D$10)/SUMPRODUCT($E$5:$E$10,$D$5:$D$10)</f>
        <v>1.9425017334044639</v>
      </c>
      <c r="H11" s="104">
        <f>SUM(H5:H10)</f>
        <v>1242916.6299999999</v>
      </c>
      <c r="I11" s="104">
        <f>SUM(I5:I10)</f>
        <v>14914999.559999999</v>
      </c>
    </row>
    <row r="13" spans="2:11" ht="33" x14ac:dyDescent="0.25">
      <c r="B13" s="119" t="s">
        <v>139</v>
      </c>
      <c r="C13" s="97"/>
      <c r="D13" s="97"/>
      <c r="E13" s="97"/>
      <c r="F13" s="97"/>
      <c r="G13" s="97"/>
      <c r="H13" s="97"/>
      <c r="I13" s="98"/>
    </row>
    <row r="14" spans="2:11" ht="7.5" customHeight="1" x14ac:dyDescent="0.2"/>
    <row r="15" spans="2:11" ht="45" x14ac:dyDescent="0.2">
      <c r="B15" s="99" t="s">
        <v>98</v>
      </c>
      <c r="C15" s="100" t="s">
        <v>100</v>
      </c>
      <c r="D15" s="100" t="s">
        <v>99</v>
      </c>
      <c r="E15" s="101" t="s">
        <v>105</v>
      </c>
      <c r="F15" s="101" t="s">
        <v>101</v>
      </c>
      <c r="G15" s="99" t="s">
        <v>102</v>
      </c>
      <c r="H15" s="101" t="s">
        <v>103</v>
      </c>
      <c r="I15" s="101" t="s">
        <v>104</v>
      </c>
    </row>
    <row r="16" spans="2:11" ht="14.25" x14ac:dyDescent="0.2">
      <c r="B16" s="108">
        <v>1</v>
      </c>
      <c r="C16" s="109" t="s">
        <v>133</v>
      </c>
      <c r="D16" s="108">
        <v>35</v>
      </c>
      <c r="E16" s="103">
        <v>2642.95</v>
      </c>
      <c r="F16" s="103">
        <v>5799.65</v>
      </c>
      <c r="G16" s="115">
        <f>F16/E16</f>
        <v>2.1943850621464653</v>
      </c>
      <c r="H16" s="105">
        <f>D16*F16</f>
        <v>202987.75</v>
      </c>
      <c r="I16" s="105">
        <f>H16*12</f>
        <v>2435853</v>
      </c>
    </row>
    <row r="17" spans="2:9" ht="14.25" x14ac:dyDescent="0.2">
      <c r="B17" s="108">
        <v>2</v>
      </c>
      <c r="C17" s="109" t="s">
        <v>134</v>
      </c>
      <c r="D17" s="108">
        <v>55</v>
      </c>
      <c r="E17" s="103">
        <v>3621.75</v>
      </c>
      <c r="F17" s="103">
        <v>7311.55</v>
      </c>
      <c r="G17" s="115">
        <f>F17/E17</f>
        <v>2.0187892593359562</v>
      </c>
      <c r="H17" s="105">
        <f>D17*F17</f>
        <v>402135.25</v>
      </c>
      <c r="I17" s="105">
        <f>H17*12</f>
        <v>4825623</v>
      </c>
    </row>
    <row r="18" spans="2:9" ht="14.25" x14ac:dyDescent="0.2">
      <c r="B18" s="108">
        <v>3</v>
      </c>
      <c r="C18" s="109" t="s">
        <v>135</v>
      </c>
      <c r="D18" s="108">
        <v>12</v>
      </c>
      <c r="E18" s="103">
        <v>5933.5</v>
      </c>
      <c r="F18" s="103">
        <v>10976.21</v>
      </c>
      <c r="G18" s="115">
        <f>F18/E18</f>
        <v>1.8498710710373303</v>
      </c>
      <c r="H18" s="105">
        <f>D18*F18</f>
        <v>131714.51999999999</v>
      </c>
      <c r="I18" s="105">
        <f>H18*12</f>
        <v>1580574.2399999998</v>
      </c>
    </row>
    <row r="19" spans="2:9" ht="14.25" x14ac:dyDescent="0.2">
      <c r="B19" s="108">
        <v>4</v>
      </c>
      <c r="C19" s="109" t="s">
        <v>136</v>
      </c>
      <c r="D19" s="108">
        <v>1</v>
      </c>
      <c r="E19" s="103">
        <v>8111.87</v>
      </c>
      <c r="F19" s="103">
        <v>14530.23</v>
      </c>
      <c r="G19" s="115">
        <f>F19/E19</f>
        <v>1.7912306286959727</v>
      </c>
      <c r="H19" s="105">
        <f>D19*F19</f>
        <v>14530.23</v>
      </c>
      <c r="I19" s="105">
        <f>H19*12</f>
        <v>174362.76</v>
      </c>
    </row>
    <row r="20" spans="2:9" ht="14.25" x14ac:dyDescent="0.2">
      <c r="B20" s="108">
        <v>5</v>
      </c>
      <c r="C20" s="109" t="s">
        <v>137</v>
      </c>
      <c r="D20" s="108">
        <v>2</v>
      </c>
      <c r="E20" s="103">
        <v>9690.98</v>
      </c>
      <c r="F20" s="103">
        <v>17107.05</v>
      </c>
      <c r="G20" s="115">
        <f>F20/E20</f>
        <v>1.7652549071404544</v>
      </c>
      <c r="H20" s="105">
        <f>D20*F20</f>
        <v>34214.1</v>
      </c>
      <c r="I20" s="105">
        <f>H20*12</f>
        <v>410569.19999999995</v>
      </c>
    </row>
    <row r="21" spans="2:9" ht="15" x14ac:dyDescent="0.25">
      <c r="B21" s="108"/>
      <c r="C21" s="110" t="s">
        <v>48</v>
      </c>
      <c r="D21" s="111">
        <f>SUM(D16:D20)</f>
        <v>105</v>
      </c>
      <c r="E21" s="106"/>
      <c r="F21" s="107"/>
      <c r="G21" s="114">
        <f>SUMPRODUCT(F16:F20,D16:D20)/SUMPRODUCT(E16:E20,D16:D20)</f>
        <v>2.012272662175544</v>
      </c>
      <c r="H21" s="104">
        <f>SUM(H16:H20)</f>
        <v>785581.85</v>
      </c>
      <c r="I21" s="104">
        <f>SUM(I16:I20)</f>
        <v>9426982.1999999993</v>
      </c>
    </row>
    <row r="22" spans="2:9" ht="3.75" customHeight="1" x14ac:dyDescent="0.2">
      <c r="E22" s="102"/>
    </row>
    <row r="23" spans="2:9" x14ac:dyDescent="0.2">
      <c r="I23" s="117"/>
    </row>
    <row r="24" spans="2:9" x14ac:dyDescent="0.2">
      <c r="E24" s="102"/>
    </row>
  </sheetData>
  <pageMargins left="0.51181102362204722" right="0.51181102362204722" top="0.78740157480314965" bottom="0.78740157480314965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H94"/>
  <sheetViews>
    <sheetView workbookViewId="0"/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5" customWidth="1"/>
    <col min="4" max="4" width="18.85546875" style="4" customWidth="1"/>
    <col min="5" max="5" width="2.7109375" style="4" customWidth="1"/>
    <col min="6" max="6" width="43.85546875" style="4" customWidth="1"/>
    <col min="7" max="7" width="5.5703125" style="4" bestFit="1" customWidth="1"/>
    <col min="8" max="8" width="20.140625" style="4" bestFit="1" customWidth="1"/>
    <col min="9" max="16384" width="11.42578125" style="4"/>
  </cols>
  <sheetData>
    <row r="1" spans="1:4" ht="33.75" customHeight="1" x14ac:dyDescent="0.2">
      <c r="A1" s="1">
        <v>1</v>
      </c>
      <c r="B1" s="2" t="s">
        <v>0</v>
      </c>
      <c r="C1" s="3"/>
    </row>
    <row r="2" spans="1:4" ht="21" customHeight="1" x14ac:dyDescent="0.2">
      <c r="A2" s="5" t="s">
        <v>1</v>
      </c>
      <c r="B2" s="6" t="str">
        <f>VLOOKUP($A$1,Dados!$A$6:$G$12,7,0)</f>
        <v>Gestor de Service Desk - 40 horas semanais</v>
      </c>
      <c r="C2" s="6"/>
      <c r="D2" s="6"/>
    </row>
    <row r="3" spans="1:4" ht="21" customHeight="1" x14ac:dyDescent="0.2">
      <c r="A3" s="5" t="s">
        <v>2</v>
      </c>
      <c r="B3" s="7" t="s">
        <v>144</v>
      </c>
      <c r="C3" s="5" t="s">
        <v>3</v>
      </c>
      <c r="D3" s="118">
        <v>46143</v>
      </c>
    </row>
    <row r="4" spans="1:4" s="11" customFormat="1" ht="21.75" customHeight="1" x14ac:dyDescent="0.2">
      <c r="A4" s="8"/>
      <c r="B4" s="9"/>
      <c r="C4" s="9"/>
      <c r="D4" s="10" t="s">
        <v>4</v>
      </c>
    </row>
    <row r="5" spans="1:4" s="14" customFormat="1" x14ac:dyDescent="0.2">
      <c r="A5" s="153" t="s">
        <v>5</v>
      </c>
      <c r="B5" s="153"/>
      <c r="C5" s="12" t="s">
        <v>6</v>
      </c>
      <c r="D5" s="13" t="s">
        <v>7</v>
      </c>
    </row>
    <row r="6" spans="1:4" s="14" customFormat="1" ht="11.45" customHeight="1" x14ac:dyDescent="0.2">
      <c r="A6" s="152"/>
      <c r="B6" s="15" t="s">
        <v>8</v>
      </c>
      <c r="C6" s="16"/>
      <c r="D6" s="17">
        <v>16240.54</v>
      </c>
    </row>
    <row r="7" spans="1:4" s="14" customFormat="1" x14ac:dyDescent="0.2">
      <c r="A7" s="152"/>
      <c r="B7" s="18" t="s">
        <v>111</v>
      </c>
      <c r="C7" s="16"/>
      <c r="D7" s="17"/>
    </row>
    <row r="8" spans="1:4" s="14" customFormat="1" ht="11.45" customHeight="1" x14ac:dyDescent="0.2">
      <c r="A8" s="152"/>
      <c r="B8" s="15" t="s">
        <v>9</v>
      </c>
      <c r="C8" s="19"/>
      <c r="D8" s="17"/>
    </row>
    <row r="9" spans="1:4" s="14" customFormat="1" ht="11.45" customHeight="1" x14ac:dyDescent="0.2">
      <c r="A9" s="152"/>
      <c r="B9" s="15" t="s">
        <v>10</v>
      </c>
      <c r="C9" s="19"/>
      <c r="D9" s="17"/>
    </row>
    <row r="10" spans="1:4" s="14" customFormat="1" ht="11.45" customHeight="1" x14ac:dyDescent="0.2">
      <c r="A10" s="152"/>
      <c r="B10" s="15" t="s">
        <v>112</v>
      </c>
      <c r="C10" s="19"/>
      <c r="D10" s="17"/>
    </row>
    <row r="11" spans="1:4" s="14" customFormat="1" ht="11.45" customHeight="1" x14ac:dyDescent="0.2">
      <c r="A11" s="152"/>
      <c r="B11" s="15" t="s">
        <v>11</v>
      </c>
      <c r="C11" s="19"/>
      <c r="D11" s="17"/>
    </row>
    <row r="12" spans="1:4" s="14" customFormat="1" ht="11.45" customHeight="1" x14ac:dyDescent="0.2">
      <c r="A12" s="152"/>
      <c r="B12" s="15" t="s">
        <v>12</v>
      </c>
      <c r="C12" s="19"/>
      <c r="D12" s="17"/>
    </row>
    <row r="13" spans="1:4" s="14" customFormat="1" ht="11.45" customHeight="1" x14ac:dyDescent="0.2">
      <c r="A13" s="152"/>
      <c r="B13" s="15" t="s">
        <v>13</v>
      </c>
      <c r="C13" s="19"/>
      <c r="D13" s="17"/>
    </row>
    <row r="14" spans="1:4" s="23" customFormat="1" x14ac:dyDescent="0.2">
      <c r="A14" s="152"/>
      <c r="B14" s="20" t="s">
        <v>14</v>
      </c>
      <c r="C14" s="21"/>
      <c r="D14" s="22">
        <f>ROUND(SUM(D6:D13),2)</f>
        <v>16240.54</v>
      </c>
    </row>
    <row r="15" spans="1:4" ht="13.5" customHeight="1" x14ac:dyDescent="0.2">
      <c r="A15" s="153" t="s">
        <v>15</v>
      </c>
      <c r="B15" s="153"/>
      <c r="C15" s="24"/>
      <c r="D15" s="24"/>
    </row>
    <row r="16" spans="1:4" ht="13.5" customHeight="1" x14ac:dyDescent="0.2">
      <c r="A16" s="154"/>
      <c r="B16" s="15" t="s">
        <v>149</v>
      </c>
      <c r="C16" s="16"/>
      <c r="D16" s="25">
        <f>IF(((5.5*2)*22) &lt; (D6*6%), 0, ((5.5*2)*22)-(D6*6%))</f>
        <v>0</v>
      </c>
    </row>
    <row r="17" spans="1:8" ht="13.5" customHeight="1" x14ac:dyDescent="0.2">
      <c r="A17" s="154"/>
      <c r="B17" s="15" t="s">
        <v>148</v>
      </c>
      <c r="C17" s="16"/>
      <c r="D17" s="148">
        <f>48.17*22</f>
        <v>1059.74</v>
      </c>
      <c r="F17" s="55"/>
    </row>
    <row r="18" spans="1:8" ht="13.5" hidden="1" customHeight="1" x14ac:dyDescent="0.2">
      <c r="A18" s="154"/>
      <c r="B18" s="15" t="s">
        <v>16</v>
      </c>
      <c r="C18" s="16"/>
      <c r="D18" s="17"/>
    </row>
    <row r="19" spans="1:8" ht="13.5" customHeight="1" x14ac:dyDescent="0.2">
      <c r="A19" s="154"/>
      <c r="B19" s="15" t="s">
        <v>141</v>
      </c>
      <c r="C19" s="16"/>
      <c r="D19" s="17">
        <f>IF(D6&lt;2800.22,304.68*70%,IF(D6&lt;4668.4,304.68*60%,304.68*50%))</f>
        <v>152.34</v>
      </c>
      <c r="F19" s="55"/>
    </row>
    <row r="20" spans="1:8" ht="13.5" customHeight="1" x14ac:dyDescent="0.2">
      <c r="A20" s="154"/>
      <c r="B20" s="15" t="s">
        <v>142</v>
      </c>
      <c r="C20" s="16"/>
      <c r="D20" s="17">
        <v>2.9</v>
      </c>
    </row>
    <row r="21" spans="1:8" ht="13.5" customHeight="1" x14ac:dyDescent="0.2">
      <c r="A21" s="154"/>
      <c r="B21" s="15" t="s">
        <v>143</v>
      </c>
      <c r="C21" s="16"/>
      <c r="D21" s="17">
        <v>3.77</v>
      </c>
    </row>
    <row r="22" spans="1:8" ht="13.5" hidden="1" customHeight="1" x14ac:dyDescent="0.2">
      <c r="A22" s="154"/>
      <c r="B22" s="15"/>
      <c r="C22" s="16"/>
      <c r="D22" s="17"/>
    </row>
    <row r="23" spans="1:8" ht="13.5" customHeight="1" x14ac:dyDescent="0.2">
      <c r="A23" s="154"/>
      <c r="B23" s="20" t="s">
        <v>17</v>
      </c>
      <c r="C23" s="16"/>
      <c r="D23" s="22">
        <f>ROUND(SUM(D16:D22),2)</f>
        <v>1218.75</v>
      </c>
    </row>
    <row r="24" spans="1:8" ht="13.5" customHeight="1" x14ac:dyDescent="0.2">
      <c r="A24" s="153" t="s">
        <v>18</v>
      </c>
      <c r="B24" s="153"/>
      <c r="C24" s="26"/>
      <c r="D24" s="24"/>
      <c r="G24" s="27"/>
    </row>
    <row r="25" spans="1:8" ht="13.5" customHeight="1" x14ac:dyDescent="0.2">
      <c r="A25" s="28"/>
      <c r="B25" s="29" t="s">
        <v>19</v>
      </c>
      <c r="C25" s="16"/>
      <c r="D25" s="30"/>
      <c r="G25" s="27"/>
      <c r="H25" s="27"/>
    </row>
    <row r="26" spans="1:8" ht="13.5" customHeight="1" x14ac:dyDescent="0.2">
      <c r="A26" s="155"/>
      <c r="B26" s="15" t="s">
        <v>107</v>
      </c>
      <c r="C26" s="16"/>
      <c r="D26" s="17">
        <v>0</v>
      </c>
    </row>
    <row r="27" spans="1:8" ht="13.5" customHeight="1" x14ac:dyDescent="0.2">
      <c r="A27" s="155"/>
      <c r="B27" s="15" t="s">
        <v>108</v>
      </c>
      <c r="C27" s="16"/>
      <c r="D27" s="17">
        <v>0</v>
      </c>
    </row>
    <row r="28" spans="1:8" ht="13.5" customHeight="1" x14ac:dyDescent="0.2">
      <c r="A28" s="155"/>
      <c r="B28" s="15" t="s">
        <v>150</v>
      </c>
      <c r="C28" s="16"/>
      <c r="D28" s="17">
        <v>6.88</v>
      </c>
    </row>
    <row r="29" spans="1:8" ht="13.5" customHeight="1" x14ac:dyDescent="0.2">
      <c r="A29" s="155"/>
      <c r="B29" s="15"/>
      <c r="C29" s="16"/>
      <c r="D29" s="17"/>
    </row>
    <row r="30" spans="1:8" ht="13.5" customHeight="1" x14ac:dyDescent="0.2">
      <c r="A30" s="155"/>
      <c r="B30" s="20" t="s">
        <v>20</v>
      </c>
      <c r="C30" s="16"/>
      <c r="D30" s="22">
        <f>SUM(D26:D29)</f>
        <v>6.88</v>
      </c>
    </row>
    <row r="31" spans="1:8" ht="13.5" customHeight="1" x14ac:dyDescent="0.2">
      <c r="A31" s="153" t="s">
        <v>21</v>
      </c>
      <c r="B31" s="153"/>
      <c r="C31" s="26"/>
      <c r="D31" s="24"/>
    </row>
    <row r="32" spans="1:8" x14ac:dyDescent="0.2">
      <c r="A32" s="151" t="s">
        <v>22</v>
      </c>
      <c r="B32" s="151"/>
      <c r="C32" s="31" t="s">
        <v>6</v>
      </c>
      <c r="D32" s="32" t="s">
        <v>23</v>
      </c>
    </row>
    <row r="33" spans="1:7" ht="11.45" customHeight="1" x14ac:dyDescent="0.2">
      <c r="A33" s="152"/>
      <c r="B33" s="15" t="s">
        <v>24</v>
      </c>
      <c r="C33" s="140">
        <v>0.1</v>
      </c>
      <c r="D33" s="141">
        <f>ROUND(C33*D$14,2)</f>
        <v>1624.05</v>
      </c>
    </row>
    <row r="34" spans="1:7" ht="11.45" customHeight="1" x14ac:dyDescent="0.2">
      <c r="A34" s="152"/>
      <c r="B34" s="15" t="s">
        <v>25</v>
      </c>
      <c r="C34" s="33">
        <v>1.4999999999999999E-2</v>
      </c>
      <c r="D34" s="34">
        <f t="shared" ref="D34:D40" si="0">ROUND(C34*D$14,2)</f>
        <v>243.61</v>
      </c>
    </row>
    <row r="35" spans="1:7" ht="11.45" customHeight="1" x14ac:dyDescent="0.2">
      <c r="A35" s="152"/>
      <c r="B35" s="15" t="s">
        <v>26</v>
      </c>
      <c r="C35" s="33">
        <v>0.01</v>
      </c>
      <c r="D35" s="34">
        <f t="shared" si="0"/>
        <v>162.41</v>
      </c>
    </row>
    <row r="36" spans="1:7" ht="11.45" customHeight="1" x14ac:dyDescent="0.2">
      <c r="A36" s="152"/>
      <c r="B36" s="15" t="s">
        <v>27</v>
      </c>
      <c r="C36" s="33">
        <v>2E-3</v>
      </c>
      <c r="D36" s="34">
        <f t="shared" si="0"/>
        <v>32.479999999999997</v>
      </c>
    </row>
    <row r="37" spans="1:7" ht="11.45" customHeight="1" x14ac:dyDescent="0.2">
      <c r="A37" s="152"/>
      <c r="B37" s="15" t="s">
        <v>28</v>
      </c>
      <c r="C37" s="33">
        <v>2.5000000000000001E-2</v>
      </c>
      <c r="D37" s="34">
        <f t="shared" si="0"/>
        <v>406.01</v>
      </c>
    </row>
    <row r="38" spans="1:7" ht="11.45" customHeight="1" x14ac:dyDescent="0.2">
      <c r="A38" s="152"/>
      <c r="B38" s="15" t="s">
        <v>29</v>
      </c>
      <c r="C38" s="33">
        <v>0.08</v>
      </c>
      <c r="D38" s="34">
        <f t="shared" si="0"/>
        <v>1299.24</v>
      </c>
    </row>
    <row r="39" spans="1:7" x14ac:dyDescent="0.2">
      <c r="A39" s="152"/>
      <c r="B39" s="18" t="s">
        <v>30</v>
      </c>
      <c r="C39" s="144">
        <v>1.2489E-2</v>
      </c>
      <c r="D39" s="141">
        <f t="shared" si="0"/>
        <v>202.83</v>
      </c>
    </row>
    <row r="40" spans="1:7" ht="12" customHeight="1" x14ac:dyDescent="0.2">
      <c r="A40" s="152"/>
      <c r="B40" s="15" t="s">
        <v>31</v>
      </c>
      <c r="C40" s="35">
        <v>6.0000000000000001E-3</v>
      </c>
      <c r="D40" s="34">
        <f t="shared" si="0"/>
        <v>97.44</v>
      </c>
    </row>
    <row r="41" spans="1:7" s="39" customFormat="1" ht="13.9" customHeight="1" x14ac:dyDescent="0.2">
      <c r="A41" s="152"/>
      <c r="B41" s="36" t="s">
        <v>32</v>
      </c>
      <c r="C41" s="37">
        <f>SUM(C33:C40)</f>
        <v>0.25048899999999996</v>
      </c>
      <c r="D41" s="38">
        <f>ROUND(SUM(D33:D40),2)</f>
        <v>4068.07</v>
      </c>
      <c r="F41" s="40"/>
    </row>
    <row r="42" spans="1:7" x14ac:dyDescent="0.2">
      <c r="A42" s="151" t="s">
        <v>33</v>
      </c>
      <c r="B42" s="151"/>
      <c r="C42" s="41" t="s">
        <v>6</v>
      </c>
      <c r="D42" s="42" t="s">
        <v>23</v>
      </c>
    </row>
    <row r="43" spans="1:7" ht="11.45" customHeight="1" x14ac:dyDescent="0.2">
      <c r="A43" s="152"/>
      <c r="B43" s="15" t="s">
        <v>34</v>
      </c>
      <c r="C43" s="43">
        <f>ROUND(1/12,7)</f>
        <v>8.3333299999999999E-2</v>
      </c>
      <c r="D43" s="34">
        <f>ROUND(C43*D$14,2)</f>
        <v>1353.38</v>
      </c>
    </row>
    <row r="44" spans="1:7" ht="13.5" customHeight="1" x14ac:dyDescent="0.2">
      <c r="A44" s="152"/>
      <c r="B44" s="44" t="s">
        <v>35</v>
      </c>
      <c r="C44" s="145">
        <f>ROUND(($C$41-C33)*C$43,7)</f>
        <v>1.25407E-2</v>
      </c>
      <c r="D44" s="34">
        <f>ROUND(C44*D$14,2)</f>
        <v>203.67</v>
      </c>
      <c r="F44" s="45" t="s">
        <v>36</v>
      </c>
    </row>
    <row r="45" spans="1:7" ht="11.45" customHeight="1" x14ac:dyDescent="0.2">
      <c r="A45" s="152"/>
      <c r="B45" s="44"/>
      <c r="C45" s="46"/>
      <c r="D45" s="47"/>
    </row>
    <row r="46" spans="1:7" ht="11.45" customHeight="1" x14ac:dyDescent="0.2">
      <c r="A46" s="152"/>
      <c r="B46" s="36" t="s">
        <v>32</v>
      </c>
      <c r="C46" s="37">
        <f>SUM(C43:C45)</f>
        <v>9.5874000000000001E-2</v>
      </c>
      <c r="D46" s="38">
        <f>ROUND(SUM(D43:D44),2)</f>
        <v>1557.05</v>
      </c>
    </row>
    <row r="47" spans="1:7" ht="11.45" customHeight="1" x14ac:dyDescent="0.2">
      <c r="A47" s="151" t="s">
        <v>37</v>
      </c>
      <c r="B47" s="151"/>
      <c r="C47" s="41" t="s">
        <v>6</v>
      </c>
      <c r="D47" s="42" t="s">
        <v>23</v>
      </c>
    </row>
    <row r="48" spans="1:7" ht="12" customHeight="1" x14ac:dyDescent="0.2">
      <c r="A48" s="48"/>
      <c r="B48" s="49" t="s">
        <v>38</v>
      </c>
      <c r="C48" s="50">
        <f>ROUND((((1+1/3)*(G48/12)/12)*G49),7)</f>
        <v>3.704E-4</v>
      </c>
      <c r="D48" s="34">
        <f>ROUND(C48*D$14,2)</f>
        <v>6.02</v>
      </c>
      <c r="F48" s="51" t="s">
        <v>39</v>
      </c>
      <c r="G48" s="1">
        <v>4</v>
      </c>
    </row>
    <row r="49" spans="1:7" ht="11.45" customHeight="1" x14ac:dyDescent="0.2">
      <c r="A49" s="48"/>
      <c r="B49" s="44" t="s">
        <v>40</v>
      </c>
      <c r="C49" s="52">
        <f>ROUND(C41*C48,7)</f>
        <v>9.2800000000000006E-5</v>
      </c>
      <c r="D49" s="34">
        <f>ROUND(C49*D$14,2)</f>
        <v>1.51</v>
      </c>
      <c r="F49" s="51" t="s">
        <v>41</v>
      </c>
      <c r="G49" s="53">
        <v>0.01</v>
      </c>
    </row>
    <row r="50" spans="1:7" ht="11.45" customHeight="1" x14ac:dyDescent="0.2">
      <c r="A50" s="48"/>
      <c r="B50" s="36" t="s">
        <v>32</v>
      </c>
      <c r="C50" s="37">
        <f>SUM(C48:C49)</f>
        <v>4.6319999999999998E-4</v>
      </c>
      <c r="D50" s="38">
        <f>ROUND(SUM(D48:D49),2)</f>
        <v>7.53</v>
      </c>
    </row>
    <row r="51" spans="1:7" ht="11.45" customHeight="1" x14ac:dyDescent="0.2">
      <c r="A51" s="151" t="s">
        <v>42</v>
      </c>
      <c r="B51" s="151"/>
      <c r="C51" s="41" t="s">
        <v>6</v>
      </c>
      <c r="D51" s="42" t="s">
        <v>23</v>
      </c>
    </row>
    <row r="52" spans="1:7" ht="11.45" customHeight="1" x14ac:dyDescent="0.2">
      <c r="A52" s="152"/>
      <c r="B52" s="15" t="s">
        <v>43</v>
      </c>
      <c r="C52" s="146">
        <f>ROUND(((1/12)*G52),7)</f>
        <v>1.66667E-2</v>
      </c>
      <c r="D52" s="47">
        <f>ROUND(C52*D$14,2)</f>
        <v>270.68</v>
      </c>
      <c r="F52" s="51" t="s">
        <v>44</v>
      </c>
      <c r="G52" s="147">
        <v>0.2</v>
      </c>
    </row>
    <row r="53" spans="1:7" ht="11.45" customHeight="1" x14ac:dyDescent="0.2">
      <c r="A53" s="152"/>
      <c r="B53" s="44" t="s">
        <v>45</v>
      </c>
      <c r="C53" s="35">
        <f>ROUND(C$38*C$52,7)</f>
        <v>1.3332999999999999E-3</v>
      </c>
      <c r="D53" s="47">
        <f t="shared" ref="D53:D56" si="1">ROUND(C53*D$14,2)</f>
        <v>21.65</v>
      </c>
      <c r="F53" s="51" t="s">
        <v>46</v>
      </c>
      <c r="G53" s="54">
        <v>0.8</v>
      </c>
    </row>
    <row r="54" spans="1:7" ht="11.45" customHeight="1" x14ac:dyDescent="0.2">
      <c r="A54" s="152"/>
      <c r="B54" s="15" t="s">
        <v>47</v>
      </c>
      <c r="C54" s="52">
        <f>ROUND((7/30/12*(G53)),7)</f>
        <v>1.5555599999999999E-2</v>
      </c>
      <c r="D54" s="47">
        <f t="shared" si="1"/>
        <v>252.63</v>
      </c>
      <c r="F54" s="51" t="s">
        <v>48</v>
      </c>
      <c r="G54" s="147">
        <f>SUM(G52:G53)</f>
        <v>1</v>
      </c>
    </row>
    <row r="55" spans="1:7" ht="11.45" customHeight="1" x14ac:dyDescent="0.2">
      <c r="A55" s="152"/>
      <c r="B55" s="44" t="s">
        <v>49</v>
      </c>
      <c r="C55" s="52">
        <f>ROUND(C$54*C$41,7)</f>
        <v>3.8964999999999998E-3</v>
      </c>
      <c r="D55" s="47">
        <f t="shared" si="1"/>
        <v>63.28</v>
      </c>
    </row>
    <row r="56" spans="1:7" ht="11.45" customHeight="1" x14ac:dyDescent="0.2">
      <c r="A56" s="152"/>
      <c r="B56" s="49" t="s">
        <v>50</v>
      </c>
      <c r="C56" s="52">
        <f>ROUND((((1+(1/12)+(1/12)+(1/3*1/12))*0.4)*0.08)*1,7)</f>
        <v>3.8222199999999998E-2</v>
      </c>
      <c r="D56" s="47">
        <f t="shared" si="1"/>
        <v>620.75</v>
      </c>
    </row>
    <row r="57" spans="1:7" ht="11.45" customHeight="1" x14ac:dyDescent="0.2">
      <c r="A57" s="152"/>
      <c r="B57" s="36" t="s">
        <v>32</v>
      </c>
      <c r="C57" s="37">
        <f>SUM(C52:C56)</f>
        <v>7.56743E-2</v>
      </c>
      <c r="D57" s="38">
        <f>ROUND(SUM(D52:D56),2)</f>
        <v>1228.99</v>
      </c>
    </row>
    <row r="58" spans="1:7" ht="11.45" customHeight="1" x14ac:dyDescent="0.2">
      <c r="A58" s="151" t="s">
        <v>51</v>
      </c>
      <c r="B58" s="151"/>
      <c r="C58" s="41" t="s">
        <v>6</v>
      </c>
      <c r="D58" s="42" t="s">
        <v>23</v>
      </c>
      <c r="F58" s="55"/>
    </row>
    <row r="59" spans="1:7" ht="11.45" customHeight="1" x14ac:dyDescent="0.2">
      <c r="A59" s="152"/>
      <c r="B59" s="112" t="s">
        <v>109</v>
      </c>
      <c r="C59" s="138">
        <v>0</v>
      </c>
      <c r="D59" s="139">
        <f>ROUND(C59*D$14,2)</f>
        <v>0</v>
      </c>
    </row>
    <row r="60" spans="1:7" ht="11.45" customHeight="1" x14ac:dyDescent="0.2">
      <c r="A60" s="152"/>
      <c r="B60" s="15" t="s">
        <v>52</v>
      </c>
      <c r="C60" s="43">
        <f>ROUND(1/3*1/12,7)</f>
        <v>2.7777799999999998E-2</v>
      </c>
      <c r="D60" s="34">
        <f t="shared" ref="D60:D66" si="2">ROUND(C60*D$14,2)</f>
        <v>451.13</v>
      </c>
    </row>
    <row r="61" spans="1:7" ht="11.45" customHeight="1" x14ac:dyDescent="0.2">
      <c r="A61" s="152"/>
      <c r="B61" s="15" t="s">
        <v>53</v>
      </c>
      <c r="C61" s="43">
        <f>ROUND($G$61/30/12,7)</f>
        <v>5.5555999999999999E-3</v>
      </c>
      <c r="D61" s="34">
        <f t="shared" si="2"/>
        <v>90.23</v>
      </c>
      <c r="F61" s="51" t="s">
        <v>54</v>
      </c>
      <c r="G61" s="56">
        <v>2</v>
      </c>
    </row>
    <row r="62" spans="1:7" ht="11.45" customHeight="1" x14ac:dyDescent="0.2">
      <c r="A62" s="152"/>
      <c r="B62" s="15" t="s">
        <v>55</v>
      </c>
      <c r="C62" s="43">
        <f>ROUND((1/30/12*$G$62)*$G$63,7)</f>
        <v>1.3889999999999999E-4</v>
      </c>
      <c r="D62" s="34">
        <f t="shared" si="2"/>
        <v>2.2599999999999998</v>
      </c>
      <c r="F62" s="51" t="s">
        <v>56</v>
      </c>
      <c r="G62" s="56">
        <v>5</v>
      </c>
    </row>
    <row r="63" spans="1:7" ht="11.45" customHeight="1" x14ac:dyDescent="0.2">
      <c r="A63" s="152"/>
      <c r="B63" s="15" t="s">
        <v>57</v>
      </c>
      <c r="C63" s="43">
        <f>ROUND((1/30/12)*$G$64,7)</f>
        <v>2.7778E-3</v>
      </c>
      <c r="D63" s="34">
        <f t="shared" si="2"/>
        <v>45.11</v>
      </c>
      <c r="F63" s="51" t="s">
        <v>58</v>
      </c>
      <c r="G63" s="54">
        <v>0.01</v>
      </c>
    </row>
    <row r="64" spans="1:7" ht="11.45" customHeight="1" x14ac:dyDescent="0.2">
      <c r="A64" s="152"/>
      <c r="B64" s="15" t="s">
        <v>59</v>
      </c>
      <c r="C64" s="43">
        <f>ROUND((((1/30)/12)*$G$65)*$G$66,7)</f>
        <v>4.1669999999999999E-4</v>
      </c>
      <c r="D64" s="34">
        <f t="shared" si="2"/>
        <v>6.77</v>
      </c>
      <c r="F64" s="51" t="s">
        <v>60</v>
      </c>
      <c r="G64" s="56">
        <v>1</v>
      </c>
    </row>
    <row r="65" spans="1:7" ht="11.45" customHeight="1" x14ac:dyDescent="0.2">
      <c r="A65" s="152"/>
      <c r="B65" s="20" t="s">
        <v>61</v>
      </c>
      <c r="C65" s="57">
        <f>SUM(C59:C64)</f>
        <v>3.6666799999999992E-2</v>
      </c>
      <c r="D65" s="30">
        <f t="shared" si="2"/>
        <v>595.49</v>
      </c>
      <c r="F65" s="51" t="s">
        <v>62</v>
      </c>
      <c r="G65" s="56">
        <v>15</v>
      </c>
    </row>
    <row r="66" spans="1:7" ht="11.45" customHeight="1" x14ac:dyDescent="0.2">
      <c r="A66" s="152"/>
      <c r="B66" s="44" t="s">
        <v>63</v>
      </c>
      <c r="C66" s="57">
        <f>ROUND(C65*C41,7)</f>
        <v>9.1845999999999994E-3</v>
      </c>
      <c r="D66" s="34">
        <f t="shared" si="2"/>
        <v>149.16</v>
      </c>
      <c r="F66" s="51" t="s">
        <v>64</v>
      </c>
      <c r="G66" s="54">
        <v>0.01</v>
      </c>
    </row>
    <row r="67" spans="1:7" ht="11.45" customHeight="1" x14ac:dyDescent="0.2">
      <c r="A67" s="152"/>
      <c r="B67" s="36" t="s">
        <v>32</v>
      </c>
      <c r="C67" s="58">
        <f>C65+C66</f>
        <v>4.5851399999999994E-2</v>
      </c>
      <c r="D67" s="38">
        <f>ROUND(D65+D66,2)</f>
        <v>744.65</v>
      </c>
    </row>
    <row r="68" spans="1:7" ht="21" customHeight="1" x14ac:dyDescent="0.2">
      <c r="A68" s="153" t="s">
        <v>65</v>
      </c>
      <c r="B68" s="153"/>
      <c r="C68" s="59"/>
      <c r="D68" s="59"/>
    </row>
    <row r="69" spans="1:7" ht="11.45" customHeight="1" x14ac:dyDescent="0.2">
      <c r="A69" s="60">
        <v>4</v>
      </c>
      <c r="B69" s="1" t="s">
        <v>66</v>
      </c>
      <c r="C69" s="61"/>
      <c r="D69" s="47"/>
    </row>
    <row r="70" spans="1:7" ht="11.45" customHeight="1" x14ac:dyDescent="0.2">
      <c r="A70" s="60" t="s">
        <v>67</v>
      </c>
      <c r="B70" s="62" t="s">
        <v>68</v>
      </c>
      <c r="C70" s="63">
        <f>C41</f>
        <v>0.25048899999999996</v>
      </c>
      <c r="D70" s="64">
        <f>D41</f>
        <v>4068.07</v>
      </c>
    </row>
    <row r="71" spans="1:7" ht="11.45" customHeight="1" x14ac:dyDescent="0.2">
      <c r="A71" s="60" t="s">
        <v>69</v>
      </c>
      <c r="B71" s="48" t="s">
        <v>70</v>
      </c>
      <c r="C71" s="63">
        <f>C46</f>
        <v>9.5874000000000001E-2</v>
      </c>
      <c r="D71" s="64">
        <f>D46</f>
        <v>1557.05</v>
      </c>
    </row>
    <row r="72" spans="1:7" ht="11.45" customHeight="1" x14ac:dyDescent="0.2">
      <c r="A72" s="60" t="s">
        <v>71</v>
      </c>
      <c r="B72" s="48" t="s">
        <v>72</v>
      </c>
      <c r="C72" s="63">
        <f>C50</f>
        <v>4.6319999999999998E-4</v>
      </c>
      <c r="D72" s="64">
        <f>D50</f>
        <v>7.53</v>
      </c>
    </row>
    <row r="73" spans="1:7" ht="11.45" customHeight="1" x14ac:dyDescent="0.2">
      <c r="A73" s="60" t="s">
        <v>73</v>
      </c>
      <c r="B73" s="48" t="s">
        <v>74</v>
      </c>
      <c r="C73" s="63">
        <f>C57</f>
        <v>7.56743E-2</v>
      </c>
      <c r="D73" s="64">
        <f>D57</f>
        <v>1228.99</v>
      </c>
    </row>
    <row r="74" spans="1:7" ht="11.45" customHeight="1" x14ac:dyDescent="0.2">
      <c r="A74" s="60" t="s">
        <v>75</v>
      </c>
      <c r="B74" s="48" t="s">
        <v>76</v>
      </c>
      <c r="C74" s="63">
        <f>C67</f>
        <v>4.5851399999999994E-2</v>
      </c>
      <c r="D74" s="64">
        <f>D67</f>
        <v>744.65</v>
      </c>
    </row>
    <row r="75" spans="1:7" ht="11.45" customHeight="1" x14ac:dyDescent="0.2">
      <c r="A75" s="48"/>
      <c r="B75" s="36" t="s">
        <v>32</v>
      </c>
      <c r="C75" s="65">
        <f>SUM(C70:C74)</f>
        <v>0.46835189999999993</v>
      </c>
      <c r="D75" s="66">
        <f>SUM(D70:D74)</f>
        <v>7606.2899999999991</v>
      </c>
    </row>
    <row r="76" spans="1:7" ht="11.45" customHeight="1" x14ac:dyDescent="0.2">
      <c r="A76" s="48"/>
      <c r="B76" s="67"/>
      <c r="C76" s="68"/>
      <c r="D76" s="69"/>
    </row>
    <row r="77" spans="1:7" ht="11.45" customHeight="1" x14ac:dyDescent="0.2">
      <c r="A77" s="48"/>
      <c r="B77" s="36" t="s">
        <v>77</v>
      </c>
      <c r="C77" s="70"/>
      <c r="D77" s="71">
        <f>ROUND(D14+D23+D30+D75,2)</f>
        <v>25072.46</v>
      </c>
    </row>
    <row r="78" spans="1:7" ht="14.45" customHeight="1" x14ac:dyDescent="0.2">
      <c r="A78" s="153" t="s">
        <v>78</v>
      </c>
      <c r="B78" s="153"/>
      <c r="C78" s="72"/>
      <c r="D78" s="72"/>
    </row>
    <row r="79" spans="1:7" ht="11.45" customHeight="1" x14ac:dyDescent="0.2">
      <c r="A79" s="60">
        <v>5</v>
      </c>
      <c r="B79" s="44"/>
      <c r="C79" s="31" t="s">
        <v>6</v>
      </c>
      <c r="D79" s="32" t="s">
        <v>23</v>
      </c>
    </row>
    <row r="80" spans="1:7" ht="11.45" customHeight="1" x14ac:dyDescent="0.2">
      <c r="A80" s="60" t="s">
        <v>79</v>
      </c>
      <c r="B80" s="73" t="s">
        <v>80</v>
      </c>
      <c r="C80" s="74">
        <v>5.0000000000000001E-3</v>
      </c>
      <c r="D80" s="34">
        <f>ROUND(C80*$D$77,2)</f>
        <v>125.36</v>
      </c>
      <c r="E80" s="75"/>
    </row>
    <row r="81" spans="1:7" ht="11.45" customHeight="1" x14ac:dyDescent="0.2">
      <c r="A81" s="60" t="s">
        <v>81</v>
      </c>
      <c r="B81" s="76" t="s">
        <v>82</v>
      </c>
      <c r="C81" s="63">
        <v>1.9967059751955753E-2</v>
      </c>
      <c r="D81" s="34">
        <f>ROUND((D$77+D$80)*C$81,2)</f>
        <v>503.13</v>
      </c>
      <c r="E81" s="77"/>
    </row>
    <row r="82" spans="1:7" ht="11.45" customHeight="1" x14ac:dyDescent="0.2">
      <c r="A82" s="78" t="s">
        <v>83</v>
      </c>
      <c r="B82" s="76" t="s">
        <v>84</v>
      </c>
      <c r="C82" s="63">
        <f>SUM(C83:C88)</f>
        <v>0.11349999999999999</v>
      </c>
      <c r="D82" s="79">
        <f>SUM(D83:D88)</f>
        <v>3290.52</v>
      </c>
      <c r="E82" s="75"/>
    </row>
    <row r="83" spans="1:7" ht="11.45" customHeight="1" x14ac:dyDescent="0.2">
      <c r="A83" s="149" t="s">
        <v>85</v>
      </c>
      <c r="B83" s="80" t="s">
        <v>86</v>
      </c>
      <c r="C83" s="81">
        <v>6.4999999999999997E-3</v>
      </c>
      <c r="D83" s="82">
        <f>ROUND(C83*D92,2)</f>
        <v>188.44</v>
      </c>
      <c r="E83" s="75"/>
    </row>
    <row r="84" spans="1:7" ht="11.45" customHeight="1" x14ac:dyDescent="0.2">
      <c r="A84" s="150"/>
      <c r="B84" s="80" t="s">
        <v>87</v>
      </c>
      <c r="C84" s="83">
        <v>0.03</v>
      </c>
      <c r="D84" s="82">
        <f>ROUND(C84*D92,2)</f>
        <v>869.74</v>
      </c>
      <c r="E84" s="75"/>
    </row>
    <row r="85" spans="1:7" ht="11.45" customHeight="1" x14ac:dyDescent="0.2">
      <c r="A85" s="60" t="s">
        <v>88</v>
      </c>
      <c r="B85" s="15" t="s">
        <v>89</v>
      </c>
      <c r="C85" s="81"/>
      <c r="D85" s="82"/>
      <c r="E85" s="75"/>
    </row>
    <row r="86" spans="1:7" x14ac:dyDescent="0.2">
      <c r="A86" s="60" t="s">
        <v>90</v>
      </c>
      <c r="B86" s="15" t="s">
        <v>91</v>
      </c>
      <c r="C86" s="81">
        <v>0.05</v>
      </c>
      <c r="D86" s="82">
        <f>ROUND(C86*D92,2)</f>
        <v>1449.57</v>
      </c>
    </row>
    <row r="87" spans="1:7" x14ac:dyDescent="0.2">
      <c r="A87" s="60" t="s">
        <v>92</v>
      </c>
      <c r="B87" s="49" t="s">
        <v>93</v>
      </c>
      <c r="C87" s="142">
        <v>2.7E-2</v>
      </c>
      <c r="D87" s="143">
        <f>ROUND(C87*D92,2)</f>
        <v>782.77</v>
      </c>
    </row>
    <row r="88" spans="1:7" x14ac:dyDescent="0.2">
      <c r="A88" s="60"/>
      <c r="B88" s="73"/>
      <c r="C88" s="74"/>
      <c r="D88" s="34"/>
      <c r="E88" s="75"/>
    </row>
    <row r="89" spans="1:7" s="86" customFormat="1" ht="15" x14ac:dyDescent="0.2">
      <c r="A89" s="84"/>
      <c r="B89" s="36" t="s">
        <v>94</v>
      </c>
      <c r="C89" s="58">
        <f>SUM(C80:C88)</f>
        <v>0.25196705975195577</v>
      </c>
      <c r="D89" s="85">
        <f>ROUND(SUM(D80:D82),2)</f>
        <v>3919.01</v>
      </c>
    </row>
    <row r="90" spans="1:7" s="86" customFormat="1" ht="13.15" customHeight="1" x14ac:dyDescent="0.2">
      <c r="A90" s="87"/>
      <c r="B90" s="87"/>
      <c r="C90" s="88"/>
      <c r="D90" s="88"/>
    </row>
    <row r="91" spans="1:7" ht="18" customHeight="1" x14ac:dyDescent="0.2">
      <c r="A91" s="89" t="s">
        <v>95</v>
      </c>
      <c r="B91" s="90"/>
      <c r="C91" s="41" t="s">
        <v>96</v>
      </c>
      <c r="D91" s="42" t="s">
        <v>23</v>
      </c>
      <c r="F91" s="55"/>
    </row>
    <row r="92" spans="1:7" ht="16.5" customHeight="1" x14ac:dyDescent="0.2">
      <c r="A92" s="91"/>
      <c r="B92" s="92" t="s">
        <v>97</v>
      </c>
      <c r="C92" s="93">
        <v>1</v>
      </c>
      <c r="D92" s="94">
        <f>ROUND(($D$77+$D$80+$D$81)/(1-$C$82),2)</f>
        <v>28991.48</v>
      </c>
      <c r="G92" s="27"/>
    </row>
    <row r="94" spans="1:7" x14ac:dyDescent="0.2">
      <c r="D94" s="55"/>
    </row>
  </sheetData>
  <mergeCells count="19"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  <mergeCell ref="A83:A84"/>
    <mergeCell ref="A51:B51"/>
    <mergeCell ref="A52:A57"/>
    <mergeCell ref="A58:B58"/>
    <mergeCell ref="A59:A67"/>
    <mergeCell ref="A68:B68"/>
    <mergeCell ref="A78:B78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  <ignoredErrors>
    <ignoredError sqref="D9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F6D6B-E07D-44DE-9F7C-BC0E65E16852}">
  <sheetPr>
    <tabColor theme="3" tint="0.59999389629810485"/>
    <pageSetUpPr fitToPage="1"/>
  </sheetPr>
  <dimension ref="A1:H94"/>
  <sheetViews>
    <sheetView workbookViewId="0"/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5" customWidth="1"/>
    <col min="4" max="4" width="18.85546875" style="4" customWidth="1"/>
    <col min="5" max="5" width="2.7109375" style="4" customWidth="1"/>
    <col min="6" max="6" width="43.85546875" style="4" customWidth="1"/>
    <col min="7" max="7" width="5.5703125" style="4" bestFit="1" customWidth="1"/>
    <col min="8" max="16384" width="11.42578125" style="4"/>
  </cols>
  <sheetData>
    <row r="1" spans="1:4" ht="33.75" customHeight="1" x14ac:dyDescent="0.2">
      <c r="A1" s="1">
        <v>2</v>
      </c>
      <c r="B1" s="2" t="s">
        <v>0</v>
      </c>
      <c r="C1" s="3"/>
    </row>
    <row r="2" spans="1:4" ht="21" customHeight="1" x14ac:dyDescent="0.2">
      <c r="A2" s="5" t="s">
        <v>1</v>
      </c>
      <c r="B2" s="6" t="str">
        <f>VLOOKUP($A$1,Dados!$A$6:$G$12,7,0)</f>
        <v>Supervisor de Service Desk - 40 horas semanais</v>
      </c>
      <c r="C2" s="6"/>
      <c r="D2" s="6"/>
    </row>
    <row r="3" spans="1:4" ht="21" customHeight="1" x14ac:dyDescent="0.2">
      <c r="A3" s="5" t="s">
        <v>2</v>
      </c>
      <c r="B3" s="7" t="s">
        <v>144</v>
      </c>
      <c r="C3" s="5" t="s">
        <v>3</v>
      </c>
      <c r="D3" s="118">
        <v>46143</v>
      </c>
    </row>
    <row r="4" spans="1:4" s="11" customFormat="1" ht="21.75" customHeight="1" x14ac:dyDescent="0.2">
      <c r="A4" s="8"/>
      <c r="B4" s="9"/>
      <c r="C4" s="9"/>
      <c r="D4" s="10" t="s">
        <v>4</v>
      </c>
    </row>
    <row r="5" spans="1:4" s="14" customFormat="1" x14ac:dyDescent="0.2">
      <c r="A5" s="153" t="s">
        <v>5</v>
      </c>
      <c r="B5" s="153"/>
      <c r="C5" s="12" t="s">
        <v>6</v>
      </c>
      <c r="D5" s="13" t="s">
        <v>7</v>
      </c>
    </row>
    <row r="6" spans="1:4" s="14" customFormat="1" ht="11.45" customHeight="1" x14ac:dyDescent="0.2">
      <c r="A6" s="152"/>
      <c r="B6" s="15" t="s">
        <v>8</v>
      </c>
      <c r="C6" s="16"/>
      <c r="D6" s="17">
        <v>11863.8</v>
      </c>
    </row>
    <row r="7" spans="1:4" s="14" customFormat="1" x14ac:dyDescent="0.2">
      <c r="A7" s="152"/>
      <c r="B7" s="18" t="s">
        <v>111</v>
      </c>
      <c r="C7" s="16"/>
      <c r="D7" s="17"/>
    </row>
    <row r="8" spans="1:4" s="14" customFormat="1" ht="11.45" customHeight="1" x14ac:dyDescent="0.2">
      <c r="A8" s="152"/>
      <c r="B8" s="15" t="s">
        <v>9</v>
      </c>
      <c r="C8" s="19"/>
      <c r="D8" s="17"/>
    </row>
    <row r="9" spans="1:4" s="14" customFormat="1" ht="11.45" customHeight="1" x14ac:dyDescent="0.2">
      <c r="A9" s="152"/>
      <c r="B9" s="15" t="s">
        <v>10</v>
      </c>
      <c r="C9" s="19"/>
      <c r="D9" s="17"/>
    </row>
    <row r="10" spans="1:4" s="14" customFormat="1" ht="11.45" customHeight="1" x14ac:dyDescent="0.2">
      <c r="A10" s="152"/>
      <c r="B10" s="15" t="s">
        <v>112</v>
      </c>
      <c r="C10" s="19"/>
      <c r="D10" s="17"/>
    </row>
    <row r="11" spans="1:4" s="14" customFormat="1" ht="11.45" customHeight="1" x14ac:dyDescent="0.2">
      <c r="A11" s="152"/>
      <c r="B11" s="15" t="s">
        <v>11</v>
      </c>
      <c r="C11" s="19"/>
      <c r="D11" s="17"/>
    </row>
    <row r="12" spans="1:4" s="14" customFormat="1" ht="11.45" customHeight="1" x14ac:dyDescent="0.2">
      <c r="A12" s="152"/>
      <c r="B12" s="15" t="s">
        <v>12</v>
      </c>
      <c r="C12" s="19"/>
      <c r="D12" s="17"/>
    </row>
    <row r="13" spans="1:4" s="14" customFormat="1" ht="11.45" customHeight="1" x14ac:dyDescent="0.2">
      <c r="A13" s="152"/>
      <c r="B13" s="15" t="s">
        <v>13</v>
      </c>
      <c r="C13" s="19"/>
      <c r="D13" s="17"/>
    </row>
    <row r="14" spans="1:4" s="23" customFormat="1" x14ac:dyDescent="0.2">
      <c r="A14" s="152"/>
      <c r="B14" s="20" t="s">
        <v>14</v>
      </c>
      <c r="C14" s="21"/>
      <c r="D14" s="22">
        <f>ROUND(SUM(D6:D13),2)</f>
        <v>11863.8</v>
      </c>
    </row>
    <row r="15" spans="1:4" ht="13.5" customHeight="1" x14ac:dyDescent="0.2">
      <c r="A15" s="153" t="s">
        <v>15</v>
      </c>
      <c r="B15" s="153"/>
      <c r="C15" s="24"/>
      <c r="D15" s="24"/>
    </row>
    <row r="16" spans="1:4" ht="13.5" customHeight="1" x14ac:dyDescent="0.2">
      <c r="A16" s="154"/>
      <c r="B16" s="15" t="s">
        <v>149</v>
      </c>
      <c r="C16" s="16"/>
      <c r="D16" s="25">
        <f>IF(((5.5*2)*22) &lt; (D6*6%), 0, ((5.5*2)*22)-(D6*6%))</f>
        <v>0</v>
      </c>
    </row>
    <row r="17" spans="1:8" ht="13.5" customHeight="1" x14ac:dyDescent="0.2">
      <c r="A17" s="154"/>
      <c r="B17" s="15" t="s">
        <v>148</v>
      </c>
      <c r="C17" s="16"/>
      <c r="D17" s="148">
        <f>48.17*22</f>
        <v>1059.74</v>
      </c>
    </row>
    <row r="18" spans="1:8" ht="13.5" hidden="1" customHeight="1" x14ac:dyDescent="0.2">
      <c r="A18" s="154"/>
      <c r="B18" s="15" t="s">
        <v>16</v>
      </c>
      <c r="C18" s="16"/>
      <c r="D18" s="17"/>
    </row>
    <row r="19" spans="1:8" ht="13.5" customHeight="1" x14ac:dyDescent="0.2">
      <c r="A19" s="154"/>
      <c r="B19" s="15" t="s">
        <v>141</v>
      </c>
      <c r="C19" s="16"/>
      <c r="D19" s="17">
        <f>IF(D6&lt;2800.22,304.68*70%,IF(D6&lt;4668.4,304.68*60%,304.68*50%))</f>
        <v>152.34</v>
      </c>
      <c r="F19" s="55"/>
    </row>
    <row r="20" spans="1:8" ht="13.5" customHeight="1" x14ac:dyDescent="0.2">
      <c r="A20" s="154"/>
      <c r="B20" s="15" t="s">
        <v>142</v>
      </c>
      <c r="C20" s="16"/>
      <c r="D20" s="17">
        <v>2.9</v>
      </c>
    </row>
    <row r="21" spans="1:8" ht="13.5" customHeight="1" x14ac:dyDescent="0.2">
      <c r="A21" s="154"/>
      <c r="B21" s="15" t="s">
        <v>143</v>
      </c>
      <c r="C21" s="16"/>
      <c r="D21" s="17">
        <v>3.77</v>
      </c>
    </row>
    <row r="22" spans="1:8" ht="13.5" hidden="1" customHeight="1" x14ac:dyDescent="0.2">
      <c r="A22" s="154"/>
      <c r="B22" s="15"/>
      <c r="C22" s="16"/>
      <c r="D22" s="17"/>
    </row>
    <row r="23" spans="1:8" ht="13.5" customHeight="1" x14ac:dyDescent="0.2">
      <c r="A23" s="154"/>
      <c r="B23" s="20" t="s">
        <v>17</v>
      </c>
      <c r="C23" s="16"/>
      <c r="D23" s="22">
        <f>ROUND(SUM(D16:D22),2)</f>
        <v>1218.75</v>
      </c>
    </row>
    <row r="24" spans="1:8" ht="13.5" customHeight="1" x14ac:dyDescent="0.2">
      <c r="A24" s="153" t="s">
        <v>18</v>
      </c>
      <c r="B24" s="153"/>
      <c r="C24" s="26"/>
      <c r="D24" s="24"/>
      <c r="G24" s="27"/>
    </row>
    <row r="25" spans="1:8" ht="13.5" customHeight="1" x14ac:dyDescent="0.2">
      <c r="A25" s="28"/>
      <c r="B25" s="29" t="s">
        <v>19</v>
      </c>
      <c r="C25" s="16"/>
      <c r="D25" s="30"/>
      <c r="G25" s="27"/>
      <c r="H25" s="27"/>
    </row>
    <row r="26" spans="1:8" ht="13.5" customHeight="1" x14ac:dyDescent="0.2">
      <c r="A26" s="155"/>
      <c r="B26" s="15" t="s">
        <v>107</v>
      </c>
      <c r="C26" s="16"/>
      <c r="D26" s="17">
        <v>0</v>
      </c>
    </row>
    <row r="27" spans="1:8" ht="13.5" customHeight="1" x14ac:dyDescent="0.2">
      <c r="A27" s="155"/>
      <c r="B27" s="15" t="s">
        <v>108</v>
      </c>
      <c r="C27" s="16"/>
      <c r="D27" s="17">
        <v>0</v>
      </c>
    </row>
    <row r="28" spans="1:8" ht="13.5" customHeight="1" x14ac:dyDescent="0.2">
      <c r="A28" s="155"/>
      <c r="B28" s="15" t="s">
        <v>150</v>
      </c>
      <c r="C28" s="16"/>
      <c r="D28" s="17">
        <v>6.88</v>
      </c>
    </row>
    <row r="29" spans="1:8" ht="13.5" customHeight="1" x14ac:dyDescent="0.2">
      <c r="A29" s="155"/>
      <c r="B29" s="15"/>
      <c r="C29" s="16"/>
      <c r="D29" s="17"/>
    </row>
    <row r="30" spans="1:8" ht="13.5" customHeight="1" x14ac:dyDescent="0.2">
      <c r="A30" s="155"/>
      <c r="B30" s="20" t="s">
        <v>20</v>
      </c>
      <c r="C30" s="16"/>
      <c r="D30" s="22">
        <f>SUM(D26:D29)</f>
        <v>6.88</v>
      </c>
    </row>
    <row r="31" spans="1:8" ht="13.5" customHeight="1" x14ac:dyDescent="0.2">
      <c r="A31" s="153" t="s">
        <v>21</v>
      </c>
      <c r="B31" s="153"/>
      <c r="C31" s="26"/>
      <c r="D31" s="24"/>
    </row>
    <row r="32" spans="1:8" x14ac:dyDescent="0.2">
      <c r="A32" s="151" t="s">
        <v>22</v>
      </c>
      <c r="B32" s="151"/>
      <c r="C32" s="31" t="s">
        <v>6</v>
      </c>
      <c r="D32" s="32" t="s">
        <v>23</v>
      </c>
    </row>
    <row r="33" spans="1:7" ht="11.45" customHeight="1" x14ac:dyDescent="0.2">
      <c r="A33" s="152"/>
      <c r="B33" s="15" t="s">
        <v>24</v>
      </c>
      <c r="C33" s="140">
        <v>0.1</v>
      </c>
      <c r="D33" s="141">
        <f>ROUND(C33*D$14,2)</f>
        <v>1186.3800000000001</v>
      </c>
    </row>
    <row r="34" spans="1:7" ht="11.45" customHeight="1" x14ac:dyDescent="0.2">
      <c r="A34" s="152"/>
      <c r="B34" s="15" t="s">
        <v>25</v>
      </c>
      <c r="C34" s="33">
        <v>1.4999999999999999E-2</v>
      </c>
      <c r="D34" s="34">
        <f t="shared" ref="D34:D40" si="0">ROUND(C34*D$14,2)</f>
        <v>177.96</v>
      </c>
    </row>
    <row r="35" spans="1:7" ht="11.45" customHeight="1" x14ac:dyDescent="0.2">
      <c r="A35" s="152"/>
      <c r="B35" s="15" t="s">
        <v>26</v>
      </c>
      <c r="C35" s="33">
        <v>0.01</v>
      </c>
      <c r="D35" s="34">
        <f t="shared" si="0"/>
        <v>118.64</v>
      </c>
    </row>
    <row r="36" spans="1:7" ht="11.45" customHeight="1" x14ac:dyDescent="0.2">
      <c r="A36" s="152"/>
      <c r="B36" s="15" t="s">
        <v>27</v>
      </c>
      <c r="C36" s="33">
        <v>2E-3</v>
      </c>
      <c r="D36" s="34">
        <f t="shared" si="0"/>
        <v>23.73</v>
      </c>
    </row>
    <row r="37" spans="1:7" ht="11.45" customHeight="1" x14ac:dyDescent="0.2">
      <c r="A37" s="152"/>
      <c r="B37" s="15" t="s">
        <v>28</v>
      </c>
      <c r="C37" s="33">
        <v>2.5000000000000001E-2</v>
      </c>
      <c r="D37" s="34">
        <f t="shared" si="0"/>
        <v>296.60000000000002</v>
      </c>
    </row>
    <row r="38" spans="1:7" ht="11.45" customHeight="1" x14ac:dyDescent="0.2">
      <c r="A38" s="152"/>
      <c r="B38" s="15" t="s">
        <v>29</v>
      </c>
      <c r="C38" s="33">
        <v>0.08</v>
      </c>
      <c r="D38" s="34">
        <f t="shared" si="0"/>
        <v>949.1</v>
      </c>
    </row>
    <row r="39" spans="1:7" x14ac:dyDescent="0.2">
      <c r="A39" s="152"/>
      <c r="B39" s="18" t="s">
        <v>30</v>
      </c>
      <c r="C39" s="144">
        <v>1.2489E-2</v>
      </c>
      <c r="D39" s="141">
        <f t="shared" si="0"/>
        <v>148.16999999999999</v>
      </c>
    </row>
    <row r="40" spans="1:7" ht="12" customHeight="1" x14ac:dyDescent="0.2">
      <c r="A40" s="152"/>
      <c r="B40" s="15" t="s">
        <v>31</v>
      </c>
      <c r="C40" s="35">
        <v>6.0000000000000001E-3</v>
      </c>
      <c r="D40" s="34">
        <f t="shared" si="0"/>
        <v>71.180000000000007</v>
      </c>
    </row>
    <row r="41" spans="1:7" s="39" customFormat="1" ht="13.9" customHeight="1" x14ac:dyDescent="0.2">
      <c r="A41" s="152"/>
      <c r="B41" s="36" t="s">
        <v>32</v>
      </c>
      <c r="C41" s="37">
        <f>SUM(C33:C40)</f>
        <v>0.25048899999999996</v>
      </c>
      <c r="D41" s="38">
        <f>ROUND(SUM(D33:D40),2)</f>
        <v>2971.76</v>
      </c>
      <c r="F41" s="40"/>
    </row>
    <row r="42" spans="1:7" x14ac:dyDescent="0.2">
      <c r="A42" s="151" t="s">
        <v>33</v>
      </c>
      <c r="B42" s="151"/>
      <c r="C42" s="41" t="s">
        <v>6</v>
      </c>
      <c r="D42" s="42" t="s">
        <v>23</v>
      </c>
    </row>
    <row r="43" spans="1:7" ht="11.45" customHeight="1" x14ac:dyDescent="0.2">
      <c r="A43" s="152"/>
      <c r="B43" s="15" t="s">
        <v>34</v>
      </c>
      <c r="C43" s="43">
        <f>ROUND(1/12,7)</f>
        <v>8.3333299999999999E-2</v>
      </c>
      <c r="D43" s="34">
        <f>ROUND(C43*D$14,2)</f>
        <v>988.65</v>
      </c>
    </row>
    <row r="44" spans="1:7" ht="13.5" customHeight="1" x14ac:dyDescent="0.2">
      <c r="A44" s="152"/>
      <c r="B44" s="44" t="s">
        <v>35</v>
      </c>
      <c r="C44" s="145">
        <f>ROUND(($C$41-C33)*C$43,7)</f>
        <v>1.25407E-2</v>
      </c>
      <c r="D44" s="34">
        <f>ROUND(C44*D$14,2)</f>
        <v>148.78</v>
      </c>
      <c r="F44" s="45" t="s">
        <v>36</v>
      </c>
    </row>
    <row r="45" spans="1:7" ht="11.45" customHeight="1" x14ac:dyDescent="0.2">
      <c r="A45" s="152"/>
      <c r="B45" s="44"/>
      <c r="C45" s="46"/>
      <c r="D45" s="47"/>
    </row>
    <row r="46" spans="1:7" ht="11.45" customHeight="1" x14ac:dyDescent="0.2">
      <c r="A46" s="152"/>
      <c r="B46" s="36" t="s">
        <v>32</v>
      </c>
      <c r="C46" s="37">
        <f>SUM(C43:C45)</f>
        <v>9.5874000000000001E-2</v>
      </c>
      <c r="D46" s="38">
        <f>ROUND(SUM(D43:D44),2)</f>
        <v>1137.43</v>
      </c>
    </row>
    <row r="47" spans="1:7" ht="11.45" customHeight="1" x14ac:dyDescent="0.2">
      <c r="A47" s="151" t="s">
        <v>37</v>
      </c>
      <c r="B47" s="151"/>
      <c r="C47" s="41" t="s">
        <v>6</v>
      </c>
      <c r="D47" s="42" t="s">
        <v>23</v>
      </c>
    </row>
    <row r="48" spans="1:7" ht="12" customHeight="1" x14ac:dyDescent="0.2">
      <c r="A48" s="48"/>
      <c r="B48" s="49" t="s">
        <v>38</v>
      </c>
      <c r="C48" s="50">
        <f>ROUND((((1+1/3)*(G48/12)/12)*G49),7)</f>
        <v>3.704E-4</v>
      </c>
      <c r="D48" s="34">
        <f>ROUND(C48*D$14,2)</f>
        <v>4.3899999999999997</v>
      </c>
      <c r="F48" s="51" t="s">
        <v>39</v>
      </c>
      <c r="G48" s="1">
        <v>4</v>
      </c>
    </row>
    <row r="49" spans="1:7" ht="11.45" customHeight="1" x14ac:dyDescent="0.2">
      <c r="A49" s="48"/>
      <c r="B49" s="44" t="s">
        <v>40</v>
      </c>
      <c r="C49" s="52">
        <f>ROUND(C41*C48,7)</f>
        <v>9.2800000000000006E-5</v>
      </c>
      <c r="D49" s="34">
        <f>ROUND(C49*D$14,2)</f>
        <v>1.1000000000000001</v>
      </c>
      <c r="F49" s="51" t="s">
        <v>41</v>
      </c>
      <c r="G49" s="53">
        <v>0.01</v>
      </c>
    </row>
    <row r="50" spans="1:7" ht="11.45" customHeight="1" x14ac:dyDescent="0.2">
      <c r="A50" s="48"/>
      <c r="B50" s="36" t="s">
        <v>32</v>
      </c>
      <c r="C50" s="37">
        <f>SUM(C48:C49)</f>
        <v>4.6319999999999998E-4</v>
      </c>
      <c r="D50" s="38">
        <f>ROUND(SUM(D48:D49),2)</f>
        <v>5.49</v>
      </c>
    </row>
    <row r="51" spans="1:7" ht="11.45" customHeight="1" x14ac:dyDescent="0.2">
      <c r="A51" s="151" t="s">
        <v>42</v>
      </c>
      <c r="B51" s="151"/>
      <c r="C51" s="41" t="s">
        <v>6</v>
      </c>
      <c r="D51" s="42" t="s">
        <v>23</v>
      </c>
    </row>
    <row r="52" spans="1:7" ht="11.45" customHeight="1" x14ac:dyDescent="0.2">
      <c r="A52" s="152"/>
      <c r="B52" s="15" t="s">
        <v>43</v>
      </c>
      <c r="C52" s="146">
        <f>ROUND(((1/12)*G52),7)</f>
        <v>1.66667E-2</v>
      </c>
      <c r="D52" s="47">
        <f>ROUND(C52*D$14,2)</f>
        <v>197.73</v>
      </c>
      <c r="F52" s="51" t="s">
        <v>44</v>
      </c>
      <c r="G52" s="147">
        <v>0.2</v>
      </c>
    </row>
    <row r="53" spans="1:7" ht="11.45" customHeight="1" x14ac:dyDescent="0.2">
      <c r="A53" s="152"/>
      <c r="B53" s="44" t="s">
        <v>45</v>
      </c>
      <c r="C53" s="35">
        <f>ROUND(C$38*C$52,7)</f>
        <v>1.3332999999999999E-3</v>
      </c>
      <c r="D53" s="47">
        <f t="shared" ref="D53:D56" si="1">ROUND(C53*D$14,2)</f>
        <v>15.82</v>
      </c>
      <c r="F53" s="51" t="s">
        <v>46</v>
      </c>
      <c r="G53" s="54">
        <v>0.8</v>
      </c>
    </row>
    <row r="54" spans="1:7" ht="11.45" customHeight="1" x14ac:dyDescent="0.2">
      <c r="A54" s="152"/>
      <c r="B54" s="15" t="s">
        <v>47</v>
      </c>
      <c r="C54" s="52">
        <f>ROUND((7/30/12*(G53)),7)</f>
        <v>1.5555599999999999E-2</v>
      </c>
      <c r="D54" s="47">
        <f t="shared" si="1"/>
        <v>184.55</v>
      </c>
      <c r="F54" s="51" t="s">
        <v>48</v>
      </c>
      <c r="G54" s="147">
        <f>SUM(G52:G53)</f>
        <v>1</v>
      </c>
    </row>
    <row r="55" spans="1:7" ht="11.45" customHeight="1" x14ac:dyDescent="0.2">
      <c r="A55" s="152"/>
      <c r="B55" s="44" t="s">
        <v>49</v>
      </c>
      <c r="C55" s="52">
        <f>ROUND(C$54*C$41,7)</f>
        <v>3.8964999999999998E-3</v>
      </c>
      <c r="D55" s="47">
        <f t="shared" si="1"/>
        <v>46.23</v>
      </c>
    </row>
    <row r="56" spans="1:7" ht="11.45" customHeight="1" x14ac:dyDescent="0.2">
      <c r="A56" s="152"/>
      <c r="B56" s="49" t="s">
        <v>50</v>
      </c>
      <c r="C56" s="52">
        <f>ROUND((((1+(1/12)+(1/12)+(1/3*1/12))*0.4)*0.08)*1,7)</f>
        <v>3.8222199999999998E-2</v>
      </c>
      <c r="D56" s="47">
        <f t="shared" si="1"/>
        <v>453.46</v>
      </c>
    </row>
    <row r="57" spans="1:7" ht="11.45" customHeight="1" x14ac:dyDescent="0.2">
      <c r="A57" s="152"/>
      <c r="B57" s="36" t="s">
        <v>32</v>
      </c>
      <c r="C57" s="37">
        <f>SUM(C52:C56)</f>
        <v>7.56743E-2</v>
      </c>
      <c r="D57" s="38">
        <f>ROUND(SUM(D52:D56),2)</f>
        <v>897.79</v>
      </c>
    </row>
    <row r="58" spans="1:7" ht="11.45" customHeight="1" x14ac:dyDescent="0.2">
      <c r="A58" s="151" t="s">
        <v>51</v>
      </c>
      <c r="B58" s="151"/>
      <c r="C58" s="41" t="s">
        <v>6</v>
      </c>
      <c r="D58" s="42" t="s">
        <v>23</v>
      </c>
      <c r="F58" s="55"/>
    </row>
    <row r="59" spans="1:7" ht="11.45" customHeight="1" x14ac:dyDescent="0.2">
      <c r="A59" s="152"/>
      <c r="B59" s="112" t="s">
        <v>109</v>
      </c>
      <c r="C59" s="138">
        <f>Item01!C59</f>
        <v>0</v>
      </c>
      <c r="D59" s="139">
        <f>ROUND(C59*D$14,2)</f>
        <v>0</v>
      </c>
    </row>
    <row r="60" spans="1:7" ht="11.45" customHeight="1" x14ac:dyDescent="0.2">
      <c r="A60" s="152"/>
      <c r="B60" s="15" t="s">
        <v>52</v>
      </c>
      <c r="C60" s="43">
        <f>ROUND(1/3*1/12,7)</f>
        <v>2.7777799999999998E-2</v>
      </c>
      <c r="D60" s="34">
        <f t="shared" ref="D60:D66" si="2">ROUND(C60*D$14,2)</f>
        <v>329.55</v>
      </c>
    </row>
    <row r="61" spans="1:7" ht="11.45" customHeight="1" x14ac:dyDescent="0.2">
      <c r="A61" s="152"/>
      <c r="B61" s="15" t="s">
        <v>53</v>
      </c>
      <c r="C61" s="43">
        <f>ROUND($G$61/30/12,7)</f>
        <v>5.5555999999999999E-3</v>
      </c>
      <c r="D61" s="34">
        <f t="shared" si="2"/>
        <v>65.91</v>
      </c>
      <c r="F61" s="51" t="s">
        <v>54</v>
      </c>
      <c r="G61" s="56">
        <v>2</v>
      </c>
    </row>
    <row r="62" spans="1:7" ht="11.45" customHeight="1" x14ac:dyDescent="0.2">
      <c r="A62" s="152"/>
      <c r="B62" s="15" t="s">
        <v>55</v>
      </c>
      <c r="C62" s="43">
        <f>ROUND((1/30/12*$G$62)*$G$63,7)</f>
        <v>1.3889999999999999E-4</v>
      </c>
      <c r="D62" s="34">
        <f t="shared" si="2"/>
        <v>1.65</v>
      </c>
      <c r="F62" s="51" t="s">
        <v>56</v>
      </c>
      <c r="G62" s="56">
        <v>5</v>
      </c>
    </row>
    <row r="63" spans="1:7" ht="11.45" customHeight="1" x14ac:dyDescent="0.2">
      <c r="A63" s="152"/>
      <c r="B63" s="15" t="s">
        <v>57</v>
      </c>
      <c r="C63" s="43">
        <f>ROUND((1/30/12)*$G$64,7)</f>
        <v>2.7778E-3</v>
      </c>
      <c r="D63" s="34">
        <f t="shared" si="2"/>
        <v>32.96</v>
      </c>
      <c r="F63" s="51" t="s">
        <v>58</v>
      </c>
      <c r="G63" s="54">
        <v>0.01</v>
      </c>
    </row>
    <row r="64" spans="1:7" ht="11.45" customHeight="1" x14ac:dyDescent="0.2">
      <c r="A64" s="152"/>
      <c r="B64" s="15" t="s">
        <v>59</v>
      </c>
      <c r="C64" s="43">
        <f>ROUND((((1/30)/12)*$G$65)*$G$66,7)</f>
        <v>4.1669999999999999E-4</v>
      </c>
      <c r="D64" s="34">
        <f t="shared" si="2"/>
        <v>4.9400000000000004</v>
      </c>
      <c r="F64" s="51" t="s">
        <v>60</v>
      </c>
      <c r="G64" s="56">
        <v>1</v>
      </c>
    </row>
    <row r="65" spans="1:7" ht="11.45" customHeight="1" x14ac:dyDescent="0.2">
      <c r="A65" s="152"/>
      <c r="B65" s="20" t="s">
        <v>61</v>
      </c>
      <c r="C65" s="57">
        <f>SUM(C59:C64)</f>
        <v>3.6666799999999992E-2</v>
      </c>
      <c r="D65" s="30">
        <f t="shared" si="2"/>
        <v>435.01</v>
      </c>
      <c r="F65" s="51" t="s">
        <v>62</v>
      </c>
      <c r="G65" s="56">
        <v>15</v>
      </c>
    </row>
    <row r="66" spans="1:7" ht="11.45" customHeight="1" x14ac:dyDescent="0.2">
      <c r="A66" s="152"/>
      <c r="B66" s="44" t="s">
        <v>63</v>
      </c>
      <c r="C66" s="57">
        <f>ROUND(C65*C41,7)</f>
        <v>9.1845999999999994E-3</v>
      </c>
      <c r="D66" s="34">
        <f t="shared" si="2"/>
        <v>108.96</v>
      </c>
      <c r="F66" s="51" t="s">
        <v>64</v>
      </c>
      <c r="G66" s="54">
        <v>0.01</v>
      </c>
    </row>
    <row r="67" spans="1:7" ht="11.45" customHeight="1" x14ac:dyDescent="0.2">
      <c r="A67" s="152"/>
      <c r="B67" s="36" t="s">
        <v>32</v>
      </c>
      <c r="C67" s="58">
        <f>C65+C66</f>
        <v>4.5851399999999994E-2</v>
      </c>
      <c r="D67" s="38">
        <f>ROUND(D65+D66,2)</f>
        <v>543.97</v>
      </c>
    </row>
    <row r="68" spans="1:7" ht="21" customHeight="1" x14ac:dyDescent="0.2">
      <c r="A68" s="153" t="s">
        <v>65</v>
      </c>
      <c r="B68" s="153"/>
      <c r="C68" s="59"/>
      <c r="D68" s="59"/>
    </row>
    <row r="69" spans="1:7" ht="11.45" customHeight="1" x14ac:dyDescent="0.2">
      <c r="A69" s="60">
        <v>4</v>
      </c>
      <c r="B69" s="1" t="s">
        <v>66</v>
      </c>
      <c r="C69" s="61"/>
      <c r="D69" s="47"/>
    </row>
    <row r="70" spans="1:7" ht="11.45" customHeight="1" x14ac:dyDescent="0.2">
      <c r="A70" s="60" t="s">
        <v>67</v>
      </c>
      <c r="B70" s="62" t="s">
        <v>68</v>
      </c>
      <c r="C70" s="63">
        <f>C41</f>
        <v>0.25048899999999996</v>
      </c>
      <c r="D70" s="64">
        <f>D41</f>
        <v>2971.76</v>
      </c>
    </row>
    <row r="71" spans="1:7" ht="11.45" customHeight="1" x14ac:dyDescent="0.2">
      <c r="A71" s="60" t="s">
        <v>69</v>
      </c>
      <c r="B71" s="48" t="s">
        <v>70</v>
      </c>
      <c r="C71" s="63">
        <f>C46</f>
        <v>9.5874000000000001E-2</v>
      </c>
      <c r="D71" s="64">
        <f>D46</f>
        <v>1137.43</v>
      </c>
    </row>
    <row r="72" spans="1:7" ht="11.45" customHeight="1" x14ac:dyDescent="0.2">
      <c r="A72" s="60" t="s">
        <v>71</v>
      </c>
      <c r="B72" s="48" t="s">
        <v>72</v>
      </c>
      <c r="C72" s="63">
        <f>C50</f>
        <v>4.6319999999999998E-4</v>
      </c>
      <c r="D72" s="64">
        <f>D50</f>
        <v>5.49</v>
      </c>
    </row>
    <row r="73" spans="1:7" ht="11.45" customHeight="1" x14ac:dyDescent="0.2">
      <c r="A73" s="60" t="s">
        <v>73</v>
      </c>
      <c r="B73" s="48" t="s">
        <v>74</v>
      </c>
      <c r="C73" s="63">
        <f>C57</f>
        <v>7.56743E-2</v>
      </c>
      <c r="D73" s="64">
        <f>D57</f>
        <v>897.79</v>
      </c>
    </row>
    <row r="74" spans="1:7" ht="11.45" customHeight="1" x14ac:dyDescent="0.2">
      <c r="A74" s="60" t="s">
        <v>75</v>
      </c>
      <c r="B74" s="48" t="s">
        <v>76</v>
      </c>
      <c r="C74" s="63">
        <f>C67</f>
        <v>4.5851399999999994E-2</v>
      </c>
      <c r="D74" s="64">
        <f>D67</f>
        <v>543.97</v>
      </c>
    </row>
    <row r="75" spans="1:7" ht="11.45" customHeight="1" x14ac:dyDescent="0.2">
      <c r="A75" s="48"/>
      <c r="B75" s="36" t="s">
        <v>32</v>
      </c>
      <c r="C75" s="65">
        <f>SUM(C70:C74)</f>
        <v>0.46835189999999993</v>
      </c>
      <c r="D75" s="66">
        <f>SUM(D70:D74)</f>
        <v>5556.4400000000005</v>
      </c>
    </row>
    <row r="76" spans="1:7" ht="11.45" customHeight="1" x14ac:dyDescent="0.2">
      <c r="A76" s="48"/>
      <c r="B76" s="67"/>
      <c r="C76" s="68"/>
      <c r="D76" s="69"/>
    </row>
    <row r="77" spans="1:7" ht="11.45" customHeight="1" x14ac:dyDescent="0.2">
      <c r="A77" s="48"/>
      <c r="B77" s="36" t="s">
        <v>77</v>
      </c>
      <c r="C77" s="70"/>
      <c r="D77" s="71">
        <f>ROUND(D14+D23+D30+D75,2)</f>
        <v>18645.87</v>
      </c>
    </row>
    <row r="78" spans="1:7" ht="14.45" customHeight="1" x14ac:dyDescent="0.2">
      <c r="A78" s="153" t="s">
        <v>78</v>
      </c>
      <c r="B78" s="153"/>
      <c r="C78" s="72"/>
      <c r="D78" s="72"/>
    </row>
    <row r="79" spans="1:7" ht="11.45" customHeight="1" x14ac:dyDescent="0.2">
      <c r="A79" s="60">
        <v>5</v>
      </c>
      <c r="B79" s="44"/>
      <c r="C79" s="31" t="s">
        <v>6</v>
      </c>
      <c r="D79" s="32" t="s">
        <v>23</v>
      </c>
    </row>
    <row r="80" spans="1:7" ht="11.45" customHeight="1" x14ac:dyDescent="0.2">
      <c r="A80" s="60" t="s">
        <v>79</v>
      </c>
      <c r="B80" s="73" t="s">
        <v>80</v>
      </c>
      <c r="C80" s="74">
        <f>Item01!C80</f>
        <v>5.0000000000000001E-3</v>
      </c>
      <c r="D80" s="34">
        <f>ROUND(C80*$D$77,2)</f>
        <v>93.23</v>
      </c>
      <c r="E80" s="75"/>
    </row>
    <row r="81" spans="1:7" ht="11.45" customHeight="1" x14ac:dyDescent="0.2">
      <c r="A81" s="60" t="s">
        <v>81</v>
      </c>
      <c r="B81" s="76" t="s">
        <v>82</v>
      </c>
      <c r="C81" s="63">
        <f>Item01!C81</f>
        <v>1.9967059751955753E-2</v>
      </c>
      <c r="D81" s="34">
        <f>ROUND((D$77+D$80)*C$81,2)</f>
        <v>374.16</v>
      </c>
      <c r="E81" s="77"/>
    </row>
    <row r="82" spans="1:7" ht="11.45" customHeight="1" x14ac:dyDescent="0.2">
      <c r="A82" s="78" t="s">
        <v>83</v>
      </c>
      <c r="B82" s="76" t="s">
        <v>84</v>
      </c>
      <c r="C82" s="63">
        <f>SUM(C83:C88)</f>
        <v>0.11349999999999999</v>
      </c>
      <c r="D82" s="79">
        <f>SUM(D83:D88)</f>
        <v>2447.1</v>
      </c>
      <c r="E82" s="75"/>
    </row>
    <row r="83" spans="1:7" ht="11.45" customHeight="1" x14ac:dyDescent="0.2">
      <c r="A83" s="149" t="s">
        <v>85</v>
      </c>
      <c r="B83" s="80" t="s">
        <v>86</v>
      </c>
      <c r="C83" s="81">
        <f>Item01!C83</f>
        <v>6.4999999999999997E-3</v>
      </c>
      <c r="D83" s="82">
        <f>ROUND(C83*D92,2)</f>
        <v>140.13999999999999</v>
      </c>
      <c r="E83" s="75"/>
    </row>
    <row r="84" spans="1:7" ht="11.45" customHeight="1" x14ac:dyDescent="0.2">
      <c r="A84" s="150"/>
      <c r="B84" s="80" t="s">
        <v>87</v>
      </c>
      <c r="C84" s="83">
        <f>Item01!C84</f>
        <v>0.03</v>
      </c>
      <c r="D84" s="82">
        <f>ROUND(C84*D92,2)</f>
        <v>646.80999999999995</v>
      </c>
      <c r="E84" s="75"/>
    </row>
    <row r="85" spans="1:7" ht="11.45" customHeight="1" x14ac:dyDescent="0.2">
      <c r="A85" s="60" t="s">
        <v>88</v>
      </c>
      <c r="B85" s="15" t="s">
        <v>89</v>
      </c>
      <c r="C85" s="81"/>
      <c r="D85" s="82"/>
      <c r="E85" s="75"/>
    </row>
    <row r="86" spans="1:7" x14ac:dyDescent="0.2">
      <c r="A86" s="60" t="s">
        <v>90</v>
      </c>
      <c r="B86" s="15" t="s">
        <v>91</v>
      </c>
      <c r="C86" s="81">
        <f>Item01!C86</f>
        <v>0.05</v>
      </c>
      <c r="D86" s="82">
        <f>ROUND(C86*D92,2)</f>
        <v>1078.02</v>
      </c>
    </row>
    <row r="87" spans="1:7" x14ac:dyDescent="0.2">
      <c r="A87" s="60" t="s">
        <v>92</v>
      </c>
      <c r="B87" s="49" t="s">
        <v>93</v>
      </c>
      <c r="C87" s="142">
        <v>2.7E-2</v>
      </c>
      <c r="D87" s="143">
        <f>ROUND(C87*D92,2)</f>
        <v>582.13</v>
      </c>
    </row>
    <row r="88" spans="1:7" x14ac:dyDescent="0.2">
      <c r="A88" s="60"/>
      <c r="B88" s="73"/>
      <c r="C88" s="74"/>
      <c r="D88" s="34"/>
      <c r="E88" s="75"/>
    </row>
    <row r="89" spans="1:7" s="86" customFormat="1" ht="15" x14ac:dyDescent="0.2">
      <c r="A89" s="84"/>
      <c r="B89" s="36" t="s">
        <v>94</v>
      </c>
      <c r="C89" s="58">
        <f>SUM(C80:C88)</f>
        <v>0.25196705975195577</v>
      </c>
      <c r="D89" s="85">
        <f>ROUND(SUM(D80:D82),2)</f>
        <v>2914.49</v>
      </c>
    </row>
    <row r="90" spans="1:7" s="86" customFormat="1" ht="13.15" customHeight="1" x14ac:dyDescent="0.2">
      <c r="A90" s="87"/>
      <c r="B90" s="87"/>
      <c r="C90" s="88"/>
      <c r="D90" s="88"/>
    </row>
    <row r="91" spans="1:7" ht="18" customHeight="1" x14ac:dyDescent="0.2">
      <c r="A91" s="89" t="s">
        <v>95</v>
      </c>
      <c r="B91" s="90"/>
      <c r="C91" s="41" t="s">
        <v>96</v>
      </c>
      <c r="D91" s="42" t="s">
        <v>23</v>
      </c>
      <c r="F91" s="55"/>
    </row>
    <row r="92" spans="1:7" ht="16.5" customHeight="1" x14ac:dyDescent="0.2">
      <c r="A92" s="91"/>
      <c r="B92" s="92" t="s">
        <v>97</v>
      </c>
      <c r="C92" s="93">
        <v>1</v>
      </c>
      <c r="D92" s="94">
        <f>ROUND(($D$77+$D$80+$D$81)/(1-$C$82),2)</f>
        <v>21560.36</v>
      </c>
      <c r="G92" s="27"/>
    </row>
    <row r="94" spans="1:7" x14ac:dyDescent="0.2">
      <c r="D94" s="55"/>
    </row>
  </sheetData>
  <mergeCells count="19"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  <mergeCell ref="A83:A84"/>
    <mergeCell ref="A51:B51"/>
    <mergeCell ref="A52:A57"/>
    <mergeCell ref="A58:B58"/>
    <mergeCell ref="A59:A67"/>
    <mergeCell ref="A68:B68"/>
    <mergeCell ref="A78:B78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78B6-A06E-4256-8082-BA813369BDCF}">
  <sheetPr>
    <tabColor theme="3" tint="0.59999389629810485"/>
    <pageSetUpPr fitToPage="1"/>
  </sheetPr>
  <dimension ref="A1:H94"/>
  <sheetViews>
    <sheetView workbookViewId="0"/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5" customWidth="1"/>
    <col min="4" max="4" width="18.85546875" style="4" customWidth="1"/>
    <col min="5" max="5" width="2.7109375" style="4" customWidth="1"/>
    <col min="6" max="6" width="43.85546875" style="4" customWidth="1"/>
    <col min="7" max="7" width="5.5703125" style="4" bestFit="1" customWidth="1"/>
    <col min="8" max="16384" width="11.42578125" style="4"/>
  </cols>
  <sheetData>
    <row r="1" spans="1:4" ht="33.75" customHeight="1" x14ac:dyDescent="0.2">
      <c r="A1" s="1">
        <v>3</v>
      </c>
      <c r="B1" s="2" t="s">
        <v>0</v>
      </c>
      <c r="C1" s="3"/>
    </row>
    <row r="2" spans="1:4" ht="21" customHeight="1" x14ac:dyDescent="0.2">
      <c r="A2" s="5" t="s">
        <v>1</v>
      </c>
      <c r="B2" s="6" t="str">
        <f>VLOOKUP($A$1,Dados!$A$6:$G$12,7,0)</f>
        <v>Analista de Infraestrutura Pleno - 40 horas semanais</v>
      </c>
      <c r="C2" s="6"/>
      <c r="D2" s="6"/>
    </row>
    <row r="3" spans="1:4" ht="21" customHeight="1" x14ac:dyDescent="0.2">
      <c r="A3" s="5" t="s">
        <v>2</v>
      </c>
      <c r="B3" s="7" t="s">
        <v>144</v>
      </c>
      <c r="C3" s="5" t="s">
        <v>3</v>
      </c>
      <c r="D3" s="118">
        <v>46143</v>
      </c>
    </row>
    <row r="4" spans="1:4" s="11" customFormat="1" ht="21.75" customHeight="1" x14ac:dyDescent="0.2">
      <c r="A4" s="8"/>
      <c r="B4" s="9"/>
      <c r="C4" s="9"/>
      <c r="D4" s="10" t="s">
        <v>4</v>
      </c>
    </row>
    <row r="5" spans="1:4" s="14" customFormat="1" x14ac:dyDescent="0.2">
      <c r="A5" s="153" t="s">
        <v>5</v>
      </c>
      <c r="B5" s="153"/>
      <c r="C5" s="12" t="s">
        <v>6</v>
      </c>
      <c r="D5" s="13" t="s">
        <v>7</v>
      </c>
    </row>
    <row r="6" spans="1:4" s="14" customFormat="1" ht="11.45" customHeight="1" x14ac:dyDescent="0.2">
      <c r="A6" s="152"/>
      <c r="B6" s="15" t="s">
        <v>8</v>
      </c>
      <c r="C6" s="16"/>
      <c r="D6" s="17">
        <v>11000</v>
      </c>
    </row>
    <row r="7" spans="1:4" s="14" customFormat="1" x14ac:dyDescent="0.2">
      <c r="A7" s="152"/>
      <c r="B7" s="18" t="s">
        <v>111</v>
      </c>
      <c r="C7" s="16"/>
      <c r="D7" s="17"/>
    </row>
    <row r="8" spans="1:4" s="14" customFormat="1" ht="11.45" customHeight="1" x14ac:dyDescent="0.2">
      <c r="A8" s="152"/>
      <c r="B8" s="15" t="s">
        <v>9</v>
      </c>
      <c r="C8" s="19"/>
      <c r="D8" s="17"/>
    </row>
    <row r="9" spans="1:4" s="14" customFormat="1" ht="11.45" customHeight="1" x14ac:dyDescent="0.2">
      <c r="A9" s="152"/>
      <c r="B9" s="15" t="s">
        <v>10</v>
      </c>
      <c r="C9" s="19"/>
      <c r="D9" s="17"/>
    </row>
    <row r="10" spans="1:4" s="14" customFormat="1" ht="11.45" customHeight="1" x14ac:dyDescent="0.2">
      <c r="A10" s="152"/>
      <c r="B10" s="15" t="s">
        <v>112</v>
      </c>
      <c r="C10" s="19"/>
      <c r="D10" s="17"/>
    </row>
    <row r="11" spans="1:4" s="14" customFormat="1" ht="11.45" customHeight="1" x14ac:dyDescent="0.2">
      <c r="A11" s="152"/>
      <c r="B11" s="15" t="s">
        <v>11</v>
      </c>
      <c r="C11" s="19"/>
      <c r="D11" s="17"/>
    </row>
    <row r="12" spans="1:4" s="14" customFormat="1" ht="11.45" customHeight="1" x14ac:dyDescent="0.2">
      <c r="A12" s="152"/>
      <c r="B12" s="15" t="s">
        <v>12</v>
      </c>
      <c r="C12" s="19"/>
      <c r="D12" s="17"/>
    </row>
    <row r="13" spans="1:4" s="14" customFormat="1" ht="11.45" customHeight="1" x14ac:dyDescent="0.2">
      <c r="A13" s="152"/>
      <c r="B13" s="15" t="s">
        <v>13</v>
      </c>
      <c r="C13" s="19"/>
      <c r="D13" s="17"/>
    </row>
    <row r="14" spans="1:4" s="23" customFormat="1" x14ac:dyDescent="0.2">
      <c r="A14" s="152"/>
      <c r="B14" s="20" t="s">
        <v>14</v>
      </c>
      <c r="C14" s="21"/>
      <c r="D14" s="22">
        <f>ROUND(SUM(D6:D13),2)</f>
        <v>11000</v>
      </c>
    </row>
    <row r="15" spans="1:4" ht="13.5" customHeight="1" x14ac:dyDescent="0.2">
      <c r="A15" s="153" t="s">
        <v>15</v>
      </c>
      <c r="B15" s="153"/>
      <c r="C15" s="24"/>
      <c r="D15" s="24"/>
    </row>
    <row r="16" spans="1:4" ht="13.5" customHeight="1" x14ac:dyDescent="0.2">
      <c r="A16" s="154"/>
      <c r="B16" s="15" t="s">
        <v>149</v>
      </c>
      <c r="C16" s="16"/>
      <c r="D16" s="25">
        <f>IF(((5.5*2)*22) &lt; (D6*6%), 0, ((5.5*2)*22)-(D6*6%))</f>
        <v>0</v>
      </c>
    </row>
    <row r="17" spans="1:8" ht="13.5" customHeight="1" x14ac:dyDescent="0.2">
      <c r="A17" s="154"/>
      <c r="B17" s="15" t="s">
        <v>148</v>
      </c>
      <c r="C17" s="16"/>
      <c r="D17" s="148">
        <f>48.17*22</f>
        <v>1059.74</v>
      </c>
    </row>
    <row r="18" spans="1:8" ht="13.5" hidden="1" customHeight="1" x14ac:dyDescent="0.2">
      <c r="A18" s="154"/>
      <c r="B18" s="15" t="s">
        <v>16</v>
      </c>
      <c r="C18" s="16"/>
      <c r="D18" s="17"/>
    </row>
    <row r="19" spans="1:8" ht="13.5" customHeight="1" x14ac:dyDescent="0.2">
      <c r="A19" s="154"/>
      <c r="B19" s="15" t="s">
        <v>141</v>
      </c>
      <c r="C19" s="16"/>
      <c r="D19" s="17">
        <f>IF(D6&lt;2800.22,304.68*70%,IF(D6&lt;4668.4,304.68*60%,304.68*50%))</f>
        <v>152.34</v>
      </c>
    </row>
    <row r="20" spans="1:8" ht="13.5" customHeight="1" x14ac:dyDescent="0.2">
      <c r="A20" s="154"/>
      <c r="B20" s="15" t="s">
        <v>142</v>
      </c>
      <c r="C20" s="16"/>
      <c r="D20" s="17">
        <v>2.9</v>
      </c>
    </row>
    <row r="21" spans="1:8" ht="13.5" customHeight="1" x14ac:dyDescent="0.2">
      <c r="A21" s="154"/>
      <c r="B21" s="15" t="s">
        <v>143</v>
      </c>
      <c r="C21" s="16"/>
      <c r="D21" s="17">
        <v>3.77</v>
      </c>
    </row>
    <row r="22" spans="1:8" ht="13.5" hidden="1" customHeight="1" x14ac:dyDescent="0.2">
      <c r="A22" s="154"/>
      <c r="B22" s="15"/>
      <c r="C22" s="16"/>
      <c r="D22" s="17"/>
    </row>
    <row r="23" spans="1:8" ht="13.5" customHeight="1" x14ac:dyDescent="0.2">
      <c r="A23" s="154"/>
      <c r="B23" s="20" t="s">
        <v>17</v>
      </c>
      <c r="C23" s="16"/>
      <c r="D23" s="22">
        <f>ROUND(SUM(D16:D22),2)</f>
        <v>1218.75</v>
      </c>
    </row>
    <row r="24" spans="1:8" ht="13.5" customHeight="1" x14ac:dyDescent="0.2">
      <c r="A24" s="153" t="s">
        <v>18</v>
      </c>
      <c r="B24" s="153"/>
      <c r="C24" s="26"/>
      <c r="D24" s="24"/>
      <c r="G24" s="27"/>
    </row>
    <row r="25" spans="1:8" ht="13.5" customHeight="1" x14ac:dyDescent="0.2">
      <c r="A25" s="28"/>
      <c r="B25" s="29" t="s">
        <v>19</v>
      </c>
      <c r="C25" s="16"/>
      <c r="D25" s="30"/>
      <c r="G25" s="27"/>
      <c r="H25" s="27"/>
    </row>
    <row r="26" spans="1:8" ht="13.5" customHeight="1" x14ac:dyDescent="0.2">
      <c r="A26" s="155"/>
      <c r="B26" s="15" t="s">
        <v>107</v>
      </c>
      <c r="C26" s="16"/>
      <c r="D26" s="17">
        <v>0</v>
      </c>
    </row>
    <row r="27" spans="1:8" ht="13.5" customHeight="1" x14ac:dyDescent="0.2">
      <c r="A27" s="155"/>
      <c r="B27" s="15" t="s">
        <v>108</v>
      </c>
      <c r="C27" s="16"/>
      <c r="D27" s="17">
        <v>0</v>
      </c>
    </row>
    <row r="28" spans="1:8" ht="13.5" customHeight="1" x14ac:dyDescent="0.2">
      <c r="A28" s="155"/>
      <c r="B28" s="15" t="s">
        <v>150</v>
      </c>
      <c r="C28" s="16"/>
      <c r="D28" s="17">
        <v>6.88</v>
      </c>
    </row>
    <row r="29" spans="1:8" ht="13.5" customHeight="1" x14ac:dyDescent="0.2">
      <c r="A29" s="155"/>
      <c r="B29" s="15"/>
      <c r="C29" s="16"/>
      <c r="D29" s="17"/>
    </row>
    <row r="30" spans="1:8" ht="13.5" customHeight="1" x14ac:dyDescent="0.2">
      <c r="A30" s="155"/>
      <c r="B30" s="20" t="s">
        <v>20</v>
      </c>
      <c r="C30" s="16"/>
      <c r="D30" s="22">
        <f>SUM(D26:D29)</f>
        <v>6.88</v>
      </c>
    </row>
    <row r="31" spans="1:8" ht="13.5" customHeight="1" x14ac:dyDescent="0.2">
      <c r="A31" s="153" t="s">
        <v>21</v>
      </c>
      <c r="B31" s="153"/>
      <c r="C31" s="26"/>
      <c r="D31" s="24"/>
    </row>
    <row r="32" spans="1:8" x14ac:dyDescent="0.2">
      <c r="A32" s="151" t="s">
        <v>22</v>
      </c>
      <c r="B32" s="151"/>
      <c r="C32" s="31" t="s">
        <v>6</v>
      </c>
      <c r="D32" s="32" t="s">
        <v>23</v>
      </c>
    </row>
    <row r="33" spans="1:7" ht="11.45" customHeight="1" x14ac:dyDescent="0.2">
      <c r="A33" s="152"/>
      <c r="B33" s="15" t="s">
        <v>24</v>
      </c>
      <c r="C33" s="140">
        <v>0.1</v>
      </c>
      <c r="D33" s="141">
        <f>ROUND(C33*D$14,2)</f>
        <v>1100</v>
      </c>
    </row>
    <row r="34" spans="1:7" ht="11.45" customHeight="1" x14ac:dyDescent="0.2">
      <c r="A34" s="152"/>
      <c r="B34" s="15" t="s">
        <v>25</v>
      </c>
      <c r="C34" s="33">
        <v>1.4999999999999999E-2</v>
      </c>
      <c r="D34" s="34">
        <f t="shared" ref="D34:D40" si="0">ROUND(C34*D$14,2)</f>
        <v>165</v>
      </c>
    </row>
    <row r="35" spans="1:7" ht="11.45" customHeight="1" x14ac:dyDescent="0.2">
      <c r="A35" s="152"/>
      <c r="B35" s="15" t="s">
        <v>26</v>
      </c>
      <c r="C35" s="33">
        <v>0.01</v>
      </c>
      <c r="D35" s="34">
        <f t="shared" si="0"/>
        <v>110</v>
      </c>
    </row>
    <row r="36" spans="1:7" ht="11.45" customHeight="1" x14ac:dyDescent="0.2">
      <c r="A36" s="152"/>
      <c r="B36" s="15" t="s">
        <v>27</v>
      </c>
      <c r="C36" s="33">
        <v>2E-3</v>
      </c>
      <c r="D36" s="34">
        <f t="shared" si="0"/>
        <v>22</v>
      </c>
    </row>
    <row r="37" spans="1:7" ht="11.45" customHeight="1" x14ac:dyDescent="0.2">
      <c r="A37" s="152"/>
      <c r="B37" s="15" t="s">
        <v>28</v>
      </c>
      <c r="C37" s="33">
        <v>2.5000000000000001E-2</v>
      </c>
      <c r="D37" s="34">
        <f t="shared" si="0"/>
        <v>275</v>
      </c>
    </row>
    <row r="38" spans="1:7" ht="11.45" customHeight="1" x14ac:dyDescent="0.2">
      <c r="A38" s="152"/>
      <c r="B38" s="15" t="s">
        <v>29</v>
      </c>
      <c r="C38" s="33">
        <v>0.08</v>
      </c>
      <c r="D38" s="34">
        <f t="shared" si="0"/>
        <v>880</v>
      </c>
    </row>
    <row r="39" spans="1:7" x14ac:dyDescent="0.2">
      <c r="A39" s="152"/>
      <c r="B39" s="18" t="s">
        <v>30</v>
      </c>
      <c r="C39" s="144">
        <v>1.2489E-2</v>
      </c>
      <c r="D39" s="141">
        <f t="shared" si="0"/>
        <v>137.38</v>
      </c>
    </row>
    <row r="40" spans="1:7" ht="12" customHeight="1" x14ac:dyDescent="0.2">
      <c r="A40" s="152"/>
      <c r="B40" s="15" t="s">
        <v>31</v>
      </c>
      <c r="C40" s="35">
        <v>6.0000000000000001E-3</v>
      </c>
      <c r="D40" s="34">
        <f t="shared" si="0"/>
        <v>66</v>
      </c>
    </row>
    <row r="41" spans="1:7" s="39" customFormat="1" ht="13.9" customHeight="1" x14ac:dyDescent="0.2">
      <c r="A41" s="152"/>
      <c r="B41" s="36" t="s">
        <v>32</v>
      </c>
      <c r="C41" s="37">
        <f>SUM(C33:C40)</f>
        <v>0.25048899999999996</v>
      </c>
      <c r="D41" s="38">
        <f>ROUND(SUM(D33:D40),2)</f>
        <v>2755.38</v>
      </c>
      <c r="F41" s="40"/>
    </row>
    <row r="42" spans="1:7" x14ac:dyDescent="0.2">
      <c r="A42" s="151" t="s">
        <v>33</v>
      </c>
      <c r="B42" s="151"/>
      <c r="C42" s="41" t="s">
        <v>6</v>
      </c>
      <c r="D42" s="42" t="s">
        <v>23</v>
      </c>
    </row>
    <row r="43" spans="1:7" ht="11.45" customHeight="1" x14ac:dyDescent="0.2">
      <c r="A43" s="152"/>
      <c r="B43" s="15" t="s">
        <v>34</v>
      </c>
      <c r="C43" s="43">
        <f>ROUND(1/12,7)</f>
        <v>8.3333299999999999E-2</v>
      </c>
      <c r="D43" s="34">
        <f>ROUND(C43*D$14,2)</f>
        <v>916.67</v>
      </c>
    </row>
    <row r="44" spans="1:7" ht="13.5" customHeight="1" x14ac:dyDescent="0.2">
      <c r="A44" s="152"/>
      <c r="B44" s="44" t="s">
        <v>35</v>
      </c>
      <c r="C44" s="145">
        <f>ROUND(($C$41-C33)*C$43,7)</f>
        <v>1.25407E-2</v>
      </c>
      <c r="D44" s="34">
        <f>ROUND(C44*D$14,2)</f>
        <v>137.94999999999999</v>
      </c>
      <c r="F44" s="45" t="s">
        <v>36</v>
      </c>
    </row>
    <row r="45" spans="1:7" ht="11.45" customHeight="1" x14ac:dyDescent="0.2">
      <c r="A45" s="152"/>
      <c r="B45" s="44"/>
      <c r="C45" s="46"/>
      <c r="D45" s="47"/>
    </row>
    <row r="46" spans="1:7" ht="11.45" customHeight="1" x14ac:dyDescent="0.2">
      <c r="A46" s="152"/>
      <c r="B46" s="36" t="s">
        <v>32</v>
      </c>
      <c r="C46" s="37">
        <f>SUM(C43:C45)</f>
        <v>9.5874000000000001E-2</v>
      </c>
      <c r="D46" s="38">
        <f>ROUND(SUM(D43:D44),2)</f>
        <v>1054.6199999999999</v>
      </c>
    </row>
    <row r="47" spans="1:7" ht="11.45" customHeight="1" x14ac:dyDescent="0.2">
      <c r="A47" s="151" t="s">
        <v>37</v>
      </c>
      <c r="B47" s="151"/>
      <c r="C47" s="41" t="s">
        <v>6</v>
      </c>
      <c r="D47" s="42" t="s">
        <v>23</v>
      </c>
    </row>
    <row r="48" spans="1:7" ht="12" customHeight="1" x14ac:dyDescent="0.2">
      <c r="A48" s="48"/>
      <c r="B48" s="49" t="s">
        <v>38</v>
      </c>
      <c r="C48" s="50">
        <f>ROUND((((1+1/3)*(G48/12)/12)*G49),7)</f>
        <v>3.704E-4</v>
      </c>
      <c r="D48" s="34">
        <f>ROUND(C48*D$14,2)</f>
        <v>4.07</v>
      </c>
      <c r="F48" s="51" t="s">
        <v>39</v>
      </c>
      <c r="G48" s="1">
        <v>4</v>
      </c>
    </row>
    <row r="49" spans="1:7" ht="11.45" customHeight="1" x14ac:dyDescent="0.2">
      <c r="A49" s="48"/>
      <c r="B49" s="44" t="s">
        <v>40</v>
      </c>
      <c r="C49" s="52">
        <f>ROUND(C41*C48,7)</f>
        <v>9.2800000000000006E-5</v>
      </c>
      <c r="D49" s="34">
        <f>ROUND(C49*D$14,2)</f>
        <v>1.02</v>
      </c>
      <c r="F49" s="51" t="s">
        <v>41</v>
      </c>
      <c r="G49" s="53">
        <v>0.01</v>
      </c>
    </row>
    <row r="50" spans="1:7" ht="11.45" customHeight="1" x14ac:dyDescent="0.2">
      <c r="A50" s="48"/>
      <c r="B50" s="36" t="s">
        <v>32</v>
      </c>
      <c r="C50" s="37">
        <f>SUM(C48:C49)</f>
        <v>4.6319999999999998E-4</v>
      </c>
      <c r="D50" s="38">
        <f>ROUND(SUM(D48:D49),2)</f>
        <v>5.09</v>
      </c>
    </row>
    <row r="51" spans="1:7" ht="11.45" customHeight="1" x14ac:dyDescent="0.2">
      <c r="A51" s="151" t="s">
        <v>42</v>
      </c>
      <c r="B51" s="151"/>
      <c r="C51" s="41" t="s">
        <v>6</v>
      </c>
      <c r="D51" s="42" t="s">
        <v>23</v>
      </c>
    </row>
    <row r="52" spans="1:7" ht="11.45" customHeight="1" x14ac:dyDescent="0.2">
      <c r="A52" s="152"/>
      <c r="B52" s="15" t="s">
        <v>43</v>
      </c>
      <c r="C52" s="146">
        <f>ROUND(((1/12)*G52),7)</f>
        <v>1.66667E-2</v>
      </c>
      <c r="D52" s="47">
        <f>ROUND(C52*D$14,2)</f>
        <v>183.33</v>
      </c>
      <c r="F52" s="51" t="s">
        <v>44</v>
      </c>
      <c r="G52" s="147">
        <v>0.2</v>
      </c>
    </row>
    <row r="53" spans="1:7" ht="11.45" customHeight="1" x14ac:dyDescent="0.2">
      <c r="A53" s="152"/>
      <c r="B53" s="44" t="s">
        <v>45</v>
      </c>
      <c r="C53" s="35">
        <f>ROUND(C$38*C$52,7)</f>
        <v>1.3332999999999999E-3</v>
      </c>
      <c r="D53" s="47">
        <f t="shared" ref="D53:D56" si="1">ROUND(C53*D$14,2)</f>
        <v>14.67</v>
      </c>
      <c r="F53" s="51" t="s">
        <v>46</v>
      </c>
      <c r="G53" s="54">
        <v>0.8</v>
      </c>
    </row>
    <row r="54" spans="1:7" ht="11.45" customHeight="1" x14ac:dyDescent="0.2">
      <c r="A54" s="152"/>
      <c r="B54" s="15" t="s">
        <v>47</v>
      </c>
      <c r="C54" s="52">
        <f>ROUND((7/30/12*(G53)),7)</f>
        <v>1.5555599999999999E-2</v>
      </c>
      <c r="D54" s="47">
        <f t="shared" si="1"/>
        <v>171.11</v>
      </c>
      <c r="F54" s="51" t="s">
        <v>48</v>
      </c>
      <c r="G54" s="147">
        <f>SUM(G52:G53)</f>
        <v>1</v>
      </c>
    </row>
    <row r="55" spans="1:7" ht="11.45" customHeight="1" x14ac:dyDescent="0.2">
      <c r="A55" s="152"/>
      <c r="B55" s="44" t="s">
        <v>49</v>
      </c>
      <c r="C55" s="52">
        <f>ROUND(C$54*C$41,7)</f>
        <v>3.8964999999999998E-3</v>
      </c>
      <c r="D55" s="47">
        <f t="shared" si="1"/>
        <v>42.86</v>
      </c>
    </row>
    <row r="56" spans="1:7" ht="11.45" customHeight="1" x14ac:dyDescent="0.2">
      <c r="A56" s="152"/>
      <c r="B56" s="49" t="s">
        <v>50</v>
      </c>
      <c r="C56" s="52">
        <f>ROUND((((1+(1/12)+(1/12)+(1/3*1/12))*0.4)*0.08)*1,7)</f>
        <v>3.8222199999999998E-2</v>
      </c>
      <c r="D56" s="47">
        <f t="shared" si="1"/>
        <v>420.44</v>
      </c>
    </row>
    <row r="57" spans="1:7" ht="11.45" customHeight="1" x14ac:dyDescent="0.2">
      <c r="A57" s="152"/>
      <c r="B57" s="36" t="s">
        <v>32</v>
      </c>
      <c r="C57" s="37">
        <f>SUM(C52:C56)</f>
        <v>7.56743E-2</v>
      </c>
      <c r="D57" s="38">
        <f>ROUND(SUM(D52:D56),2)</f>
        <v>832.41</v>
      </c>
    </row>
    <row r="58" spans="1:7" ht="11.45" customHeight="1" x14ac:dyDescent="0.2">
      <c r="A58" s="151" t="s">
        <v>51</v>
      </c>
      <c r="B58" s="151"/>
      <c r="C58" s="41" t="s">
        <v>6</v>
      </c>
      <c r="D58" s="42" t="s">
        <v>23</v>
      </c>
      <c r="F58" s="55"/>
    </row>
    <row r="59" spans="1:7" ht="11.45" customHeight="1" x14ac:dyDescent="0.2">
      <c r="A59" s="152"/>
      <c r="B59" s="112" t="s">
        <v>109</v>
      </c>
      <c r="C59" s="138">
        <f>Item01!C59</f>
        <v>0</v>
      </c>
      <c r="D59" s="139">
        <f>ROUND(C59*D$14,2)</f>
        <v>0</v>
      </c>
    </row>
    <row r="60" spans="1:7" ht="11.45" customHeight="1" x14ac:dyDescent="0.2">
      <c r="A60" s="152"/>
      <c r="B60" s="15" t="s">
        <v>52</v>
      </c>
      <c r="C60" s="43">
        <f>ROUND(1/3*1/12,7)</f>
        <v>2.7777799999999998E-2</v>
      </c>
      <c r="D60" s="34">
        <f t="shared" ref="D60:D66" si="2">ROUND(C60*D$14,2)</f>
        <v>305.56</v>
      </c>
    </row>
    <row r="61" spans="1:7" ht="11.45" customHeight="1" x14ac:dyDescent="0.2">
      <c r="A61" s="152"/>
      <c r="B61" s="15" t="s">
        <v>53</v>
      </c>
      <c r="C61" s="43">
        <f>ROUND($G$61/30/12,7)</f>
        <v>5.5555999999999999E-3</v>
      </c>
      <c r="D61" s="34">
        <f t="shared" si="2"/>
        <v>61.11</v>
      </c>
      <c r="F61" s="51" t="s">
        <v>54</v>
      </c>
      <c r="G61" s="56">
        <v>2</v>
      </c>
    </row>
    <row r="62" spans="1:7" ht="11.45" customHeight="1" x14ac:dyDescent="0.2">
      <c r="A62" s="152"/>
      <c r="B62" s="15" t="s">
        <v>55</v>
      </c>
      <c r="C62" s="43">
        <f>ROUND((1/30/12*$G$62)*$G$63,7)</f>
        <v>1.3889999999999999E-4</v>
      </c>
      <c r="D62" s="34">
        <f t="shared" si="2"/>
        <v>1.53</v>
      </c>
      <c r="F62" s="51" t="s">
        <v>56</v>
      </c>
      <c r="G62" s="56">
        <v>5</v>
      </c>
    </row>
    <row r="63" spans="1:7" ht="11.45" customHeight="1" x14ac:dyDescent="0.2">
      <c r="A63" s="152"/>
      <c r="B63" s="15" t="s">
        <v>57</v>
      </c>
      <c r="C63" s="43">
        <f>ROUND((1/30/12)*$G$64,7)</f>
        <v>2.7778E-3</v>
      </c>
      <c r="D63" s="34">
        <f t="shared" si="2"/>
        <v>30.56</v>
      </c>
      <c r="F63" s="51" t="s">
        <v>58</v>
      </c>
      <c r="G63" s="54">
        <v>0.01</v>
      </c>
    </row>
    <row r="64" spans="1:7" ht="11.45" customHeight="1" x14ac:dyDescent="0.2">
      <c r="A64" s="152"/>
      <c r="B64" s="15" t="s">
        <v>59</v>
      </c>
      <c r="C64" s="43">
        <f>ROUND((((1/30)/12)*$G$65)*$G$66,7)</f>
        <v>4.1669999999999999E-4</v>
      </c>
      <c r="D64" s="34">
        <f t="shared" si="2"/>
        <v>4.58</v>
      </c>
      <c r="F64" s="51" t="s">
        <v>60</v>
      </c>
      <c r="G64" s="56">
        <v>1</v>
      </c>
    </row>
    <row r="65" spans="1:7" ht="11.45" customHeight="1" x14ac:dyDescent="0.2">
      <c r="A65" s="152"/>
      <c r="B65" s="20" t="s">
        <v>61</v>
      </c>
      <c r="C65" s="57">
        <f>SUM(C59:C64)</f>
        <v>3.6666799999999992E-2</v>
      </c>
      <c r="D65" s="30">
        <f t="shared" si="2"/>
        <v>403.33</v>
      </c>
      <c r="F65" s="51" t="s">
        <v>62</v>
      </c>
      <c r="G65" s="56">
        <v>15</v>
      </c>
    </row>
    <row r="66" spans="1:7" ht="11.45" customHeight="1" x14ac:dyDescent="0.2">
      <c r="A66" s="152"/>
      <c r="B66" s="44" t="s">
        <v>63</v>
      </c>
      <c r="C66" s="57">
        <f>ROUND(C65*C41,7)</f>
        <v>9.1845999999999994E-3</v>
      </c>
      <c r="D66" s="34">
        <f t="shared" si="2"/>
        <v>101.03</v>
      </c>
      <c r="F66" s="51" t="s">
        <v>64</v>
      </c>
      <c r="G66" s="54">
        <v>0.01</v>
      </c>
    </row>
    <row r="67" spans="1:7" ht="11.45" customHeight="1" x14ac:dyDescent="0.2">
      <c r="A67" s="152"/>
      <c r="B67" s="36" t="s">
        <v>32</v>
      </c>
      <c r="C67" s="58">
        <f>C65+C66</f>
        <v>4.5851399999999994E-2</v>
      </c>
      <c r="D67" s="38">
        <f>ROUND(D65+D66,2)</f>
        <v>504.36</v>
      </c>
    </row>
    <row r="68" spans="1:7" ht="21" customHeight="1" x14ac:dyDescent="0.2">
      <c r="A68" s="153" t="s">
        <v>65</v>
      </c>
      <c r="B68" s="153"/>
      <c r="C68" s="59"/>
      <c r="D68" s="59"/>
    </row>
    <row r="69" spans="1:7" ht="11.45" customHeight="1" x14ac:dyDescent="0.2">
      <c r="A69" s="60">
        <v>4</v>
      </c>
      <c r="B69" s="1" t="s">
        <v>66</v>
      </c>
      <c r="C69" s="61"/>
      <c r="D69" s="47"/>
    </row>
    <row r="70" spans="1:7" ht="11.45" customHeight="1" x14ac:dyDescent="0.2">
      <c r="A70" s="60" t="s">
        <v>67</v>
      </c>
      <c r="B70" s="62" t="s">
        <v>68</v>
      </c>
      <c r="C70" s="63">
        <f>C41</f>
        <v>0.25048899999999996</v>
      </c>
      <c r="D70" s="64">
        <f>D41</f>
        <v>2755.38</v>
      </c>
    </row>
    <row r="71" spans="1:7" ht="11.45" customHeight="1" x14ac:dyDescent="0.2">
      <c r="A71" s="60" t="s">
        <v>69</v>
      </c>
      <c r="B71" s="48" t="s">
        <v>70</v>
      </c>
      <c r="C71" s="63">
        <f>C46</f>
        <v>9.5874000000000001E-2</v>
      </c>
      <c r="D71" s="64">
        <f>D46</f>
        <v>1054.6199999999999</v>
      </c>
    </row>
    <row r="72" spans="1:7" ht="11.45" customHeight="1" x14ac:dyDescent="0.2">
      <c r="A72" s="60" t="s">
        <v>71</v>
      </c>
      <c r="B72" s="48" t="s">
        <v>72</v>
      </c>
      <c r="C72" s="63">
        <f>C50</f>
        <v>4.6319999999999998E-4</v>
      </c>
      <c r="D72" s="64">
        <f>D50</f>
        <v>5.09</v>
      </c>
    </row>
    <row r="73" spans="1:7" ht="11.45" customHeight="1" x14ac:dyDescent="0.2">
      <c r="A73" s="60" t="s">
        <v>73</v>
      </c>
      <c r="B73" s="48" t="s">
        <v>74</v>
      </c>
      <c r="C73" s="63">
        <f>C57</f>
        <v>7.56743E-2</v>
      </c>
      <c r="D73" s="64">
        <f>D57</f>
        <v>832.41</v>
      </c>
    </row>
    <row r="74" spans="1:7" ht="11.45" customHeight="1" x14ac:dyDescent="0.2">
      <c r="A74" s="60" t="s">
        <v>75</v>
      </c>
      <c r="B74" s="48" t="s">
        <v>76</v>
      </c>
      <c r="C74" s="63">
        <f>C67</f>
        <v>4.5851399999999994E-2</v>
      </c>
      <c r="D74" s="64">
        <f>D67</f>
        <v>504.36</v>
      </c>
    </row>
    <row r="75" spans="1:7" ht="11.45" customHeight="1" x14ac:dyDescent="0.2">
      <c r="A75" s="48"/>
      <c r="B75" s="36" t="s">
        <v>32</v>
      </c>
      <c r="C75" s="65">
        <f>SUM(C70:C74)</f>
        <v>0.46835189999999993</v>
      </c>
      <c r="D75" s="66">
        <f>SUM(D70:D74)</f>
        <v>5151.8599999999997</v>
      </c>
    </row>
    <row r="76" spans="1:7" ht="11.45" customHeight="1" x14ac:dyDescent="0.2">
      <c r="A76" s="48"/>
      <c r="B76" s="67"/>
      <c r="C76" s="68"/>
      <c r="D76" s="69"/>
    </row>
    <row r="77" spans="1:7" ht="11.45" customHeight="1" x14ac:dyDescent="0.2">
      <c r="A77" s="48"/>
      <c r="B77" s="36" t="s">
        <v>77</v>
      </c>
      <c r="C77" s="70"/>
      <c r="D77" s="71">
        <f>ROUND(D14+D23+D30+D75,2)</f>
        <v>17377.490000000002</v>
      </c>
    </row>
    <row r="78" spans="1:7" ht="14.45" customHeight="1" x14ac:dyDescent="0.2">
      <c r="A78" s="153" t="s">
        <v>78</v>
      </c>
      <c r="B78" s="153"/>
      <c r="C78" s="72"/>
      <c r="D78" s="72"/>
    </row>
    <row r="79" spans="1:7" ht="11.45" customHeight="1" x14ac:dyDescent="0.2">
      <c r="A79" s="60">
        <v>5</v>
      </c>
      <c r="B79" s="44"/>
      <c r="C79" s="31" t="s">
        <v>6</v>
      </c>
      <c r="D79" s="32" t="s">
        <v>23</v>
      </c>
    </row>
    <row r="80" spans="1:7" ht="11.45" customHeight="1" x14ac:dyDescent="0.2">
      <c r="A80" s="60" t="s">
        <v>79</v>
      </c>
      <c r="B80" s="73" t="s">
        <v>80</v>
      </c>
      <c r="C80" s="74">
        <f>Item01!C80</f>
        <v>5.0000000000000001E-3</v>
      </c>
      <c r="D80" s="34">
        <f>ROUND(C80*$D$77,2)</f>
        <v>86.89</v>
      </c>
      <c r="E80" s="75"/>
    </row>
    <row r="81" spans="1:7" ht="11.45" customHeight="1" x14ac:dyDescent="0.2">
      <c r="A81" s="60" t="s">
        <v>81</v>
      </c>
      <c r="B81" s="76" t="s">
        <v>82</v>
      </c>
      <c r="C81" s="63">
        <f>Item01!C81</f>
        <v>1.9967059751955753E-2</v>
      </c>
      <c r="D81" s="34">
        <f>ROUND((D$77+D$80)*C$81,2)</f>
        <v>348.71</v>
      </c>
      <c r="E81" s="77"/>
    </row>
    <row r="82" spans="1:7" ht="11.45" customHeight="1" x14ac:dyDescent="0.2">
      <c r="A82" s="78" t="s">
        <v>83</v>
      </c>
      <c r="B82" s="76" t="s">
        <v>84</v>
      </c>
      <c r="C82" s="63">
        <f>SUM(C83:C88)</f>
        <v>0.11349999999999999</v>
      </c>
      <c r="D82" s="79">
        <f>SUM(D83:D88)</f>
        <v>2280.6400000000003</v>
      </c>
      <c r="E82" s="75"/>
    </row>
    <row r="83" spans="1:7" ht="11.45" customHeight="1" x14ac:dyDescent="0.2">
      <c r="A83" s="149" t="s">
        <v>85</v>
      </c>
      <c r="B83" s="80" t="s">
        <v>86</v>
      </c>
      <c r="C83" s="81">
        <f>Item01!C83</f>
        <v>6.4999999999999997E-3</v>
      </c>
      <c r="D83" s="82">
        <f>ROUND(C83*D92,2)</f>
        <v>130.61000000000001</v>
      </c>
      <c r="E83" s="75"/>
    </row>
    <row r="84" spans="1:7" ht="11.45" customHeight="1" x14ac:dyDescent="0.2">
      <c r="A84" s="150"/>
      <c r="B84" s="80" t="s">
        <v>87</v>
      </c>
      <c r="C84" s="83">
        <f>Item01!C84</f>
        <v>0.03</v>
      </c>
      <c r="D84" s="82">
        <f>ROUND(C84*D92,2)</f>
        <v>602.80999999999995</v>
      </c>
      <c r="E84" s="75"/>
    </row>
    <row r="85" spans="1:7" ht="11.45" customHeight="1" x14ac:dyDescent="0.2">
      <c r="A85" s="60" t="s">
        <v>88</v>
      </c>
      <c r="B85" s="15" t="s">
        <v>89</v>
      </c>
      <c r="C85" s="81"/>
      <c r="D85" s="82"/>
      <c r="E85" s="75"/>
    </row>
    <row r="86" spans="1:7" x14ac:dyDescent="0.2">
      <c r="A86" s="60" t="s">
        <v>90</v>
      </c>
      <c r="B86" s="15" t="s">
        <v>91</v>
      </c>
      <c r="C86" s="81">
        <f>Item01!C86</f>
        <v>0.05</v>
      </c>
      <c r="D86" s="82">
        <f>ROUND(C86*D92,2)</f>
        <v>1004.69</v>
      </c>
    </row>
    <row r="87" spans="1:7" x14ac:dyDescent="0.2">
      <c r="A87" s="60" t="s">
        <v>92</v>
      </c>
      <c r="B87" s="49" t="s">
        <v>93</v>
      </c>
      <c r="C87" s="142">
        <v>2.7E-2</v>
      </c>
      <c r="D87" s="143">
        <f>ROUND(C87*D92,2)</f>
        <v>542.53</v>
      </c>
    </row>
    <row r="88" spans="1:7" x14ac:dyDescent="0.2">
      <c r="A88" s="60"/>
      <c r="B88" s="73"/>
      <c r="C88" s="74"/>
      <c r="D88" s="34"/>
      <c r="E88" s="75"/>
    </row>
    <row r="89" spans="1:7" s="86" customFormat="1" ht="15" x14ac:dyDescent="0.2">
      <c r="A89" s="84"/>
      <c r="B89" s="36" t="s">
        <v>94</v>
      </c>
      <c r="C89" s="58">
        <f>SUM(C80:C88)</f>
        <v>0.25196705975195577</v>
      </c>
      <c r="D89" s="85">
        <f>ROUND(SUM(D80:D82),2)</f>
        <v>2716.24</v>
      </c>
    </row>
    <row r="90" spans="1:7" s="86" customFormat="1" ht="13.15" customHeight="1" x14ac:dyDescent="0.2">
      <c r="A90" s="87"/>
      <c r="B90" s="87"/>
      <c r="C90" s="88"/>
      <c r="D90" s="88"/>
    </row>
    <row r="91" spans="1:7" ht="18" customHeight="1" x14ac:dyDescent="0.2">
      <c r="A91" s="89" t="s">
        <v>95</v>
      </c>
      <c r="B91" s="90"/>
      <c r="C91" s="41" t="s">
        <v>96</v>
      </c>
      <c r="D91" s="42" t="s">
        <v>23</v>
      </c>
      <c r="F91" s="55"/>
    </row>
    <row r="92" spans="1:7" ht="16.5" customHeight="1" x14ac:dyDescent="0.2">
      <c r="A92" s="91"/>
      <c r="B92" s="92" t="s">
        <v>97</v>
      </c>
      <c r="C92" s="93">
        <v>1</v>
      </c>
      <c r="D92" s="94">
        <f>ROUND(($D$77+$D$80+$D$81)/(1-$C$82),2)</f>
        <v>20093.73</v>
      </c>
      <c r="G92" s="27"/>
    </row>
    <row r="94" spans="1:7" x14ac:dyDescent="0.2">
      <c r="D94" s="55"/>
    </row>
  </sheetData>
  <mergeCells count="19"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  <mergeCell ref="A83:A84"/>
    <mergeCell ref="A51:B51"/>
    <mergeCell ref="A52:A57"/>
    <mergeCell ref="A58:B58"/>
    <mergeCell ref="A59:A67"/>
    <mergeCell ref="A68:B68"/>
    <mergeCell ref="A78:B78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EE7C-D7C2-42D4-AF82-50870E84950C}">
  <sheetPr>
    <tabColor theme="3" tint="0.59999389629810485"/>
    <pageSetUpPr fitToPage="1"/>
  </sheetPr>
  <dimension ref="A1:H94"/>
  <sheetViews>
    <sheetView workbookViewId="0"/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5" customWidth="1"/>
    <col min="4" max="4" width="18.85546875" style="4" customWidth="1"/>
    <col min="5" max="5" width="2.7109375" style="4" customWidth="1"/>
    <col min="6" max="6" width="43.85546875" style="4" customWidth="1"/>
    <col min="7" max="7" width="5.5703125" style="4" bestFit="1" customWidth="1"/>
    <col min="8" max="16384" width="11.42578125" style="4"/>
  </cols>
  <sheetData>
    <row r="1" spans="1:4" ht="33.75" customHeight="1" x14ac:dyDescent="0.2">
      <c r="A1" s="1">
        <v>4</v>
      </c>
      <c r="B1" s="2" t="s">
        <v>0</v>
      </c>
      <c r="C1" s="3"/>
    </row>
    <row r="2" spans="1:4" ht="21" customHeight="1" x14ac:dyDescent="0.2">
      <c r="A2" s="5" t="s">
        <v>1</v>
      </c>
      <c r="B2" s="6" t="str">
        <f>VLOOKUP($A$1,Dados!$A$6:$G$12,7,0)</f>
        <v>Analista de Suporte Sênior - 40 horas semanais</v>
      </c>
      <c r="C2" s="6"/>
      <c r="D2" s="6"/>
    </row>
    <row r="3" spans="1:4" ht="21" customHeight="1" x14ac:dyDescent="0.2">
      <c r="A3" s="5" t="s">
        <v>2</v>
      </c>
      <c r="B3" s="7" t="s">
        <v>144</v>
      </c>
      <c r="C3" s="5" t="s">
        <v>3</v>
      </c>
      <c r="D3" s="118">
        <v>46143</v>
      </c>
    </row>
    <row r="4" spans="1:4" s="11" customFormat="1" ht="21.75" customHeight="1" x14ac:dyDescent="0.2">
      <c r="A4" s="8"/>
      <c r="B4" s="9"/>
      <c r="C4" s="9"/>
      <c r="D4" s="10" t="s">
        <v>4</v>
      </c>
    </row>
    <row r="5" spans="1:4" s="14" customFormat="1" x14ac:dyDescent="0.2">
      <c r="A5" s="153" t="s">
        <v>5</v>
      </c>
      <c r="B5" s="153"/>
      <c r="C5" s="12" t="s">
        <v>6</v>
      </c>
      <c r="D5" s="13" t="s">
        <v>7</v>
      </c>
    </row>
    <row r="6" spans="1:4" s="14" customFormat="1" ht="11.45" customHeight="1" x14ac:dyDescent="0.2">
      <c r="A6" s="152"/>
      <c r="B6" s="15" t="s">
        <v>8</v>
      </c>
      <c r="C6" s="16"/>
      <c r="D6" s="17">
        <v>7487.05</v>
      </c>
    </row>
    <row r="7" spans="1:4" s="14" customFormat="1" x14ac:dyDescent="0.2">
      <c r="A7" s="152"/>
      <c r="B7" s="18" t="s">
        <v>111</v>
      </c>
      <c r="C7" s="16"/>
      <c r="D7" s="17"/>
    </row>
    <row r="8" spans="1:4" s="14" customFormat="1" ht="11.45" customHeight="1" x14ac:dyDescent="0.2">
      <c r="A8" s="152"/>
      <c r="B8" s="15" t="s">
        <v>9</v>
      </c>
      <c r="C8" s="19"/>
      <c r="D8" s="17"/>
    </row>
    <row r="9" spans="1:4" s="14" customFormat="1" ht="11.45" customHeight="1" x14ac:dyDescent="0.2">
      <c r="A9" s="152"/>
      <c r="B9" s="15" t="s">
        <v>10</v>
      </c>
      <c r="C9" s="19"/>
      <c r="D9" s="17"/>
    </row>
    <row r="10" spans="1:4" s="14" customFormat="1" ht="11.45" customHeight="1" x14ac:dyDescent="0.2">
      <c r="A10" s="152"/>
      <c r="B10" s="15" t="s">
        <v>112</v>
      </c>
      <c r="C10" s="19"/>
      <c r="D10" s="17"/>
    </row>
    <row r="11" spans="1:4" s="14" customFormat="1" ht="11.45" customHeight="1" x14ac:dyDescent="0.2">
      <c r="A11" s="152"/>
      <c r="B11" s="15" t="s">
        <v>11</v>
      </c>
      <c r="C11" s="19"/>
      <c r="D11" s="17"/>
    </row>
    <row r="12" spans="1:4" s="14" customFormat="1" ht="11.45" customHeight="1" x14ac:dyDescent="0.2">
      <c r="A12" s="152"/>
      <c r="B12" s="15" t="s">
        <v>12</v>
      </c>
      <c r="C12" s="19"/>
      <c r="D12" s="17"/>
    </row>
    <row r="13" spans="1:4" s="14" customFormat="1" ht="11.45" customHeight="1" x14ac:dyDescent="0.2">
      <c r="A13" s="152"/>
      <c r="B13" s="15" t="s">
        <v>13</v>
      </c>
      <c r="C13" s="19"/>
      <c r="D13" s="17"/>
    </row>
    <row r="14" spans="1:4" s="23" customFormat="1" x14ac:dyDescent="0.2">
      <c r="A14" s="152"/>
      <c r="B14" s="20" t="s">
        <v>14</v>
      </c>
      <c r="C14" s="21"/>
      <c r="D14" s="22">
        <f>ROUND(SUM(D6:D13),2)</f>
        <v>7487.05</v>
      </c>
    </row>
    <row r="15" spans="1:4" ht="13.5" customHeight="1" x14ac:dyDescent="0.2">
      <c r="A15" s="153" t="s">
        <v>15</v>
      </c>
      <c r="B15" s="153"/>
      <c r="C15" s="24"/>
      <c r="D15" s="24"/>
    </row>
    <row r="16" spans="1:4" ht="13.5" customHeight="1" x14ac:dyDescent="0.2">
      <c r="A16" s="154"/>
      <c r="B16" s="15" t="s">
        <v>149</v>
      </c>
      <c r="C16" s="16"/>
      <c r="D16" s="25">
        <f>IF(((5.5*2)*22) &lt; (D6*6%), 0, ((5.5*2)*22)-(D6*6%))</f>
        <v>0</v>
      </c>
    </row>
    <row r="17" spans="1:8" ht="13.5" customHeight="1" x14ac:dyDescent="0.2">
      <c r="A17" s="154"/>
      <c r="B17" s="15" t="s">
        <v>148</v>
      </c>
      <c r="C17" s="16"/>
      <c r="D17" s="148">
        <f>48.17*22</f>
        <v>1059.74</v>
      </c>
    </row>
    <row r="18" spans="1:8" ht="13.5" hidden="1" customHeight="1" x14ac:dyDescent="0.2">
      <c r="A18" s="154"/>
      <c r="B18" s="15" t="s">
        <v>16</v>
      </c>
      <c r="C18" s="16"/>
      <c r="D18" s="17"/>
    </row>
    <row r="19" spans="1:8" ht="13.5" customHeight="1" x14ac:dyDescent="0.2">
      <c r="A19" s="154"/>
      <c r="B19" s="15" t="s">
        <v>141</v>
      </c>
      <c r="C19" s="16"/>
      <c r="D19" s="17">
        <f>IF(D6&lt;2800.22,304.68*70%,IF(D6&lt;4668.4,304.68*60%,304.68*50%))</f>
        <v>152.34</v>
      </c>
    </row>
    <row r="20" spans="1:8" ht="13.5" customHeight="1" x14ac:dyDescent="0.2">
      <c r="A20" s="154"/>
      <c r="B20" s="15" t="s">
        <v>142</v>
      </c>
      <c r="C20" s="16"/>
      <c r="D20" s="17">
        <v>2.9</v>
      </c>
    </row>
    <row r="21" spans="1:8" ht="13.5" customHeight="1" x14ac:dyDescent="0.2">
      <c r="A21" s="154"/>
      <c r="B21" s="15" t="s">
        <v>143</v>
      </c>
      <c r="C21" s="16"/>
      <c r="D21" s="17">
        <v>3.77</v>
      </c>
    </row>
    <row r="22" spans="1:8" ht="13.5" hidden="1" customHeight="1" x14ac:dyDescent="0.2">
      <c r="A22" s="154"/>
      <c r="B22" s="15"/>
      <c r="C22" s="16"/>
      <c r="D22" s="17"/>
    </row>
    <row r="23" spans="1:8" ht="13.5" customHeight="1" x14ac:dyDescent="0.2">
      <c r="A23" s="154"/>
      <c r="B23" s="20" t="s">
        <v>17</v>
      </c>
      <c r="C23" s="16"/>
      <c r="D23" s="22">
        <f>ROUND(SUM(D16:D22),2)</f>
        <v>1218.75</v>
      </c>
    </row>
    <row r="24" spans="1:8" ht="13.5" customHeight="1" x14ac:dyDescent="0.2">
      <c r="A24" s="153" t="s">
        <v>18</v>
      </c>
      <c r="B24" s="153"/>
      <c r="C24" s="26"/>
      <c r="D24" s="24"/>
      <c r="G24" s="27"/>
    </row>
    <row r="25" spans="1:8" ht="13.5" customHeight="1" x14ac:dyDescent="0.2">
      <c r="A25" s="28"/>
      <c r="B25" s="29" t="s">
        <v>19</v>
      </c>
      <c r="C25" s="16"/>
      <c r="D25" s="30"/>
      <c r="G25" s="27"/>
      <c r="H25" s="27"/>
    </row>
    <row r="26" spans="1:8" ht="13.5" customHeight="1" x14ac:dyDescent="0.2">
      <c r="A26" s="155"/>
      <c r="B26" s="15" t="s">
        <v>107</v>
      </c>
      <c r="C26" s="16"/>
      <c r="D26" s="17">
        <v>0</v>
      </c>
    </row>
    <row r="27" spans="1:8" ht="13.5" customHeight="1" x14ac:dyDescent="0.2">
      <c r="A27" s="155"/>
      <c r="B27" s="15" t="s">
        <v>108</v>
      </c>
      <c r="C27" s="16"/>
      <c r="D27" s="17">
        <v>0</v>
      </c>
    </row>
    <row r="28" spans="1:8" ht="13.5" customHeight="1" x14ac:dyDescent="0.2">
      <c r="A28" s="155"/>
      <c r="B28" s="15" t="s">
        <v>150</v>
      </c>
      <c r="C28" s="16"/>
      <c r="D28" s="17">
        <v>6.88</v>
      </c>
    </row>
    <row r="29" spans="1:8" ht="13.5" customHeight="1" x14ac:dyDescent="0.2">
      <c r="A29" s="155"/>
      <c r="B29" s="15"/>
      <c r="C29" s="16"/>
      <c r="D29" s="17"/>
    </row>
    <row r="30" spans="1:8" ht="13.5" customHeight="1" x14ac:dyDescent="0.2">
      <c r="A30" s="155"/>
      <c r="B30" s="20" t="s">
        <v>20</v>
      </c>
      <c r="C30" s="16"/>
      <c r="D30" s="22">
        <f>SUM(D26:D29)</f>
        <v>6.88</v>
      </c>
    </row>
    <row r="31" spans="1:8" ht="13.5" customHeight="1" x14ac:dyDescent="0.2">
      <c r="A31" s="153" t="s">
        <v>21</v>
      </c>
      <c r="B31" s="153"/>
      <c r="C31" s="26"/>
      <c r="D31" s="24"/>
    </row>
    <row r="32" spans="1:8" x14ac:dyDescent="0.2">
      <c r="A32" s="151" t="s">
        <v>22</v>
      </c>
      <c r="B32" s="151"/>
      <c r="C32" s="31" t="s">
        <v>6</v>
      </c>
      <c r="D32" s="32" t="s">
        <v>23</v>
      </c>
    </row>
    <row r="33" spans="1:7" ht="11.45" customHeight="1" x14ac:dyDescent="0.2">
      <c r="A33" s="152"/>
      <c r="B33" s="15" t="s">
        <v>24</v>
      </c>
      <c r="C33" s="140">
        <v>0.1</v>
      </c>
      <c r="D33" s="141">
        <f>ROUND(C33*D$14,2)</f>
        <v>748.71</v>
      </c>
    </row>
    <row r="34" spans="1:7" ht="11.45" customHeight="1" x14ac:dyDescent="0.2">
      <c r="A34" s="152"/>
      <c r="B34" s="15" t="s">
        <v>25</v>
      </c>
      <c r="C34" s="33">
        <v>1.4999999999999999E-2</v>
      </c>
      <c r="D34" s="34">
        <f t="shared" ref="D34:D40" si="0">ROUND(C34*D$14,2)</f>
        <v>112.31</v>
      </c>
    </row>
    <row r="35" spans="1:7" ht="11.45" customHeight="1" x14ac:dyDescent="0.2">
      <c r="A35" s="152"/>
      <c r="B35" s="15" t="s">
        <v>26</v>
      </c>
      <c r="C35" s="33">
        <v>0.01</v>
      </c>
      <c r="D35" s="34">
        <f t="shared" si="0"/>
        <v>74.87</v>
      </c>
    </row>
    <row r="36" spans="1:7" ht="11.45" customHeight="1" x14ac:dyDescent="0.2">
      <c r="A36" s="152"/>
      <c r="B36" s="15" t="s">
        <v>27</v>
      </c>
      <c r="C36" s="33">
        <v>2E-3</v>
      </c>
      <c r="D36" s="34">
        <f t="shared" si="0"/>
        <v>14.97</v>
      </c>
    </row>
    <row r="37" spans="1:7" ht="11.45" customHeight="1" x14ac:dyDescent="0.2">
      <c r="A37" s="152"/>
      <c r="B37" s="15" t="s">
        <v>28</v>
      </c>
      <c r="C37" s="33">
        <v>2.5000000000000001E-2</v>
      </c>
      <c r="D37" s="34">
        <f t="shared" si="0"/>
        <v>187.18</v>
      </c>
    </row>
    <row r="38" spans="1:7" ht="11.45" customHeight="1" x14ac:dyDescent="0.2">
      <c r="A38" s="152"/>
      <c r="B38" s="15" t="s">
        <v>29</v>
      </c>
      <c r="C38" s="33">
        <v>0.08</v>
      </c>
      <c r="D38" s="34">
        <f t="shared" si="0"/>
        <v>598.96</v>
      </c>
    </row>
    <row r="39" spans="1:7" x14ac:dyDescent="0.2">
      <c r="A39" s="152"/>
      <c r="B39" s="18" t="s">
        <v>30</v>
      </c>
      <c r="C39" s="144">
        <v>1.2489E-2</v>
      </c>
      <c r="D39" s="141">
        <f t="shared" si="0"/>
        <v>93.51</v>
      </c>
    </row>
    <row r="40" spans="1:7" ht="12" customHeight="1" x14ac:dyDescent="0.2">
      <c r="A40" s="152"/>
      <c r="B40" s="15" t="s">
        <v>31</v>
      </c>
      <c r="C40" s="35">
        <v>6.0000000000000001E-3</v>
      </c>
      <c r="D40" s="34">
        <f t="shared" si="0"/>
        <v>44.92</v>
      </c>
    </row>
    <row r="41" spans="1:7" s="39" customFormat="1" ht="13.9" customHeight="1" x14ac:dyDescent="0.2">
      <c r="A41" s="152"/>
      <c r="B41" s="36" t="s">
        <v>32</v>
      </c>
      <c r="C41" s="37">
        <f>SUM(C33:C40)</f>
        <v>0.25048899999999996</v>
      </c>
      <c r="D41" s="38">
        <f>ROUND(SUM(D33:D40),2)</f>
        <v>1875.43</v>
      </c>
      <c r="F41" s="40"/>
    </row>
    <row r="42" spans="1:7" x14ac:dyDescent="0.2">
      <c r="A42" s="151" t="s">
        <v>33</v>
      </c>
      <c r="B42" s="151"/>
      <c r="C42" s="41" t="s">
        <v>6</v>
      </c>
      <c r="D42" s="42" t="s">
        <v>23</v>
      </c>
    </row>
    <row r="43" spans="1:7" ht="11.45" customHeight="1" x14ac:dyDescent="0.2">
      <c r="A43" s="152"/>
      <c r="B43" s="15" t="s">
        <v>34</v>
      </c>
      <c r="C43" s="43">
        <f>ROUND(1/12,7)</f>
        <v>8.3333299999999999E-2</v>
      </c>
      <c r="D43" s="34">
        <f>ROUND(C43*D$14,2)</f>
        <v>623.91999999999996</v>
      </c>
    </row>
    <row r="44" spans="1:7" ht="13.5" customHeight="1" x14ac:dyDescent="0.2">
      <c r="A44" s="152"/>
      <c r="B44" s="44" t="s">
        <v>35</v>
      </c>
      <c r="C44" s="145">
        <f>ROUND(($C$41-C33)*C$43,7)</f>
        <v>1.25407E-2</v>
      </c>
      <c r="D44" s="34">
        <f>ROUND(C44*D$14,2)</f>
        <v>93.89</v>
      </c>
      <c r="F44" s="45" t="s">
        <v>36</v>
      </c>
    </row>
    <row r="45" spans="1:7" ht="11.45" customHeight="1" x14ac:dyDescent="0.2">
      <c r="A45" s="152"/>
      <c r="B45" s="44"/>
      <c r="C45" s="46"/>
      <c r="D45" s="47"/>
    </row>
    <row r="46" spans="1:7" ht="11.45" customHeight="1" x14ac:dyDescent="0.2">
      <c r="A46" s="152"/>
      <c r="B46" s="36" t="s">
        <v>32</v>
      </c>
      <c r="C46" s="37">
        <f>SUM(C43:C45)</f>
        <v>9.5874000000000001E-2</v>
      </c>
      <c r="D46" s="38">
        <f>ROUND(SUM(D43:D44),2)</f>
        <v>717.81</v>
      </c>
    </row>
    <row r="47" spans="1:7" ht="11.45" customHeight="1" x14ac:dyDescent="0.2">
      <c r="A47" s="151" t="s">
        <v>37</v>
      </c>
      <c r="B47" s="151"/>
      <c r="C47" s="41" t="s">
        <v>6</v>
      </c>
      <c r="D47" s="42" t="s">
        <v>23</v>
      </c>
    </row>
    <row r="48" spans="1:7" ht="12" customHeight="1" x14ac:dyDescent="0.2">
      <c r="A48" s="48"/>
      <c r="B48" s="49" t="s">
        <v>38</v>
      </c>
      <c r="C48" s="50">
        <f>ROUND((((1+1/3)*(G48/12)/12)*G49),7)</f>
        <v>3.704E-4</v>
      </c>
      <c r="D48" s="34">
        <f>ROUND(C48*D$14,2)</f>
        <v>2.77</v>
      </c>
      <c r="F48" s="51" t="s">
        <v>39</v>
      </c>
      <c r="G48" s="1">
        <v>4</v>
      </c>
    </row>
    <row r="49" spans="1:7" ht="11.45" customHeight="1" x14ac:dyDescent="0.2">
      <c r="A49" s="48"/>
      <c r="B49" s="44" t="s">
        <v>40</v>
      </c>
      <c r="C49" s="52">
        <f>ROUND(C41*C48,7)</f>
        <v>9.2800000000000006E-5</v>
      </c>
      <c r="D49" s="34">
        <f>ROUND(C49*D$14,2)</f>
        <v>0.69</v>
      </c>
      <c r="F49" s="51" t="s">
        <v>41</v>
      </c>
      <c r="G49" s="53">
        <v>0.01</v>
      </c>
    </row>
    <row r="50" spans="1:7" ht="11.45" customHeight="1" x14ac:dyDescent="0.2">
      <c r="A50" s="48"/>
      <c r="B50" s="36" t="s">
        <v>32</v>
      </c>
      <c r="C50" s="37">
        <f>SUM(C48:C49)</f>
        <v>4.6319999999999998E-4</v>
      </c>
      <c r="D50" s="38">
        <f>ROUND(SUM(D48:D49),2)</f>
        <v>3.46</v>
      </c>
    </row>
    <row r="51" spans="1:7" ht="11.45" customHeight="1" x14ac:dyDescent="0.2">
      <c r="A51" s="151" t="s">
        <v>42</v>
      </c>
      <c r="B51" s="151"/>
      <c r="C51" s="41" t="s">
        <v>6</v>
      </c>
      <c r="D51" s="42" t="s">
        <v>23</v>
      </c>
    </row>
    <row r="52" spans="1:7" ht="11.45" customHeight="1" x14ac:dyDescent="0.2">
      <c r="A52" s="152"/>
      <c r="B52" s="15" t="s">
        <v>43</v>
      </c>
      <c r="C52" s="146">
        <f>ROUND(((1/12)*G52),7)</f>
        <v>1.66667E-2</v>
      </c>
      <c r="D52" s="47">
        <f>ROUND(C52*D$14,2)</f>
        <v>124.78</v>
      </c>
      <c r="F52" s="51" t="s">
        <v>44</v>
      </c>
      <c r="G52" s="147">
        <v>0.2</v>
      </c>
    </row>
    <row r="53" spans="1:7" ht="11.45" customHeight="1" x14ac:dyDescent="0.2">
      <c r="A53" s="152"/>
      <c r="B53" s="44" t="s">
        <v>45</v>
      </c>
      <c r="C53" s="35">
        <f>ROUND(C$38*C$52,7)</f>
        <v>1.3332999999999999E-3</v>
      </c>
      <c r="D53" s="47">
        <f t="shared" ref="D53:D56" si="1">ROUND(C53*D$14,2)</f>
        <v>9.98</v>
      </c>
      <c r="F53" s="51" t="s">
        <v>46</v>
      </c>
      <c r="G53" s="54">
        <v>0.8</v>
      </c>
    </row>
    <row r="54" spans="1:7" ht="11.45" customHeight="1" x14ac:dyDescent="0.2">
      <c r="A54" s="152"/>
      <c r="B54" s="15" t="s">
        <v>47</v>
      </c>
      <c r="C54" s="52">
        <f>ROUND((7/30/12*(G53)),7)</f>
        <v>1.5555599999999999E-2</v>
      </c>
      <c r="D54" s="47">
        <f t="shared" si="1"/>
        <v>116.47</v>
      </c>
      <c r="F54" s="51" t="s">
        <v>48</v>
      </c>
      <c r="G54" s="147">
        <f>SUM(G52:G53)</f>
        <v>1</v>
      </c>
    </row>
    <row r="55" spans="1:7" ht="11.45" customHeight="1" x14ac:dyDescent="0.2">
      <c r="A55" s="152"/>
      <c r="B55" s="44" t="s">
        <v>49</v>
      </c>
      <c r="C55" s="52">
        <f>ROUND(C$54*C$41,7)</f>
        <v>3.8964999999999998E-3</v>
      </c>
      <c r="D55" s="47">
        <f t="shared" si="1"/>
        <v>29.17</v>
      </c>
    </row>
    <row r="56" spans="1:7" ht="11.45" customHeight="1" x14ac:dyDescent="0.2">
      <c r="A56" s="152"/>
      <c r="B56" s="49" t="s">
        <v>50</v>
      </c>
      <c r="C56" s="52">
        <f>ROUND((((1+(1/12)+(1/12)+(1/3*1/12))*0.4)*0.08)*1,7)</f>
        <v>3.8222199999999998E-2</v>
      </c>
      <c r="D56" s="47">
        <f t="shared" si="1"/>
        <v>286.17</v>
      </c>
    </row>
    <row r="57" spans="1:7" ht="11.45" customHeight="1" x14ac:dyDescent="0.2">
      <c r="A57" s="152"/>
      <c r="B57" s="36" t="s">
        <v>32</v>
      </c>
      <c r="C57" s="37">
        <f>SUM(C52:C56)</f>
        <v>7.56743E-2</v>
      </c>
      <c r="D57" s="38">
        <f>ROUND(SUM(D52:D56),2)</f>
        <v>566.57000000000005</v>
      </c>
    </row>
    <row r="58" spans="1:7" ht="11.45" customHeight="1" x14ac:dyDescent="0.2">
      <c r="A58" s="151" t="s">
        <v>51</v>
      </c>
      <c r="B58" s="151"/>
      <c r="C58" s="41" t="s">
        <v>6</v>
      </c>
      <c r="D58" s="42" t="s">
        <v>23</v>
      </c>
      <c r="F58" s="55"/>
    </row>
    <row r="59" spans="1:7" ht="11.45" customHeight="1" x14ac:dyDescent="0.2">
      <c r="A59" s="152"/>
      <c r="B59" s="112" t="s">
        <v>109</v>
      </c>
      <c r="C59" s="138">
        <f>Item01!C59</f>
        <v>0</v>
      </c>
      <c r="D59" s="139">
        <f>ROUND(C59*D$14,2)</f>
        <v>0</v>
      </c>
    </row>
    <row r="60" spans="1:7" ht="11.45" customHeight="1" x14ac:dyDescent="0.2">
      <c r="A60" s="152"/>
      <c r="B60" s="15" t="s">
        <v>52</v>
      </c>
      <c r="C60" s="43">
        <f>ROUND(1/3*1/12,7)</f>
        <v>2.7777799999999998E-2</v>
      </c>
      <c r="D60" s="34">
        <f t="shared" ref="D60:D66" si="2">ROUND(C60*D$14,2)</f>
        <v>207.97</v>
      </c>
    </row>
    <row r="61" spans="1:7" ht="11.45" customHeight="1" x14ac:dyDescent="0.2">
      <c r="A61" s="152"/>
      <c r="B61" s="15" t="s">
        <v>53</v>
      </c>
      <c r="C61" s="43">
        <f>ROUND($G$61/30/12,7)</f>
        <v>5.5555999999999999E-3</v>
      </c>
      <c r="D61" s="34">
        <f t="shared" si="2"/>
        <v>41.6</v>
      </c>
      <c r="F61" s="51" t="s">
        <v>54</v>
      </c>
      <c r="G61" s="56">
        <v>2</v>
      </c>
    </row>
    <row r="62" spans="1:7" ht="11.45" customHeight="1" x14ac:dyDescent="0.2">
      <c r="A62" s="152"/>
      <c r="B62" s="15" t="s">
        <v>55</v>
      </c>
      <c r="C62" s="43">
        <f>ROUND((1/30/12*$G$62)*$G$63,7)</f>
        <v>1.3889999999999999E-4</v>
      </c>
      <c r="D62" s="34">
        <f t="shared" si="2"/>
        <v>1.04</v>
      </c>
      <c r="F62" s="51" t="s">
        <v>56</v>
      </c>
      <c r="G62" s="56">
        <v>5</v>
      </c>
    </row>
    <row r="63" spans="1:7" ht="11.45" customHeight="1" x14ac:dyDescent="0.2">
      <c r="A63" s="152"/>
      <c r="B63" s="15" t="s">
        <v>57</v>
      </c>
      <c r="C63" s="43">
        <f>ROUND((1/30/12)*$G$64,7)</f>
        <v>2.7778E-3</v>
      </c>
      <c r="D63" s="34">
        <f t="shared" si="2"/>
        <v>20.8</v>
      </c>
      <c r="F63" s="51" t="s">
        <v>58</v>
      </c>
      <c r="G63" s="54">
        <v>0.01</v>
      </c>
    </row>
    <row r="64" spans="1:7" ht="11.45" customHeight="1" x14ac:dyDescent="0.2">
      <c r="A64" s="152"/>
      <c r="B64" s="15" t="s">
        <v>59</v>
      </c>
      <c r="C64" s="43">
        <f>ROUND((((1/30)/12)*$G$65)*$G$66,7)</f>
        <v>4.1669999999999999E-4</v>
      </c>
      <c r="D64" s="34">
        <f t="shared" si="2"/>
        <v>3.12</v>
      </c>
      <c r="F64" s="51" t="s">
        <v>60</v>
      </c>
      <c r="G64" s="56">
        <v>1</v>
      </c>
    </row>
    <row r="65" spans="1:7" ht="11.45" customHeight="1" x14ac:dyDescent="0.2">
      <c r="A65" s="152"/>
      <c r="B65" s="20" t="s">
        <v>61</v>
      </c>
      <c r="C65" s="57">
        <f>SUM(C59:C64)</f>
        <v>3.6666799999999992E-2</v>
      </c>
      <c r="D65" s="30">
        <f t="shared" si="2"/>
        <v>274.52999999999997</v>
      </c>
      <c r="F65" s="51" t="s">
        <v>62</v>
      </c>
      <c r="G65" s="56">
        <v>15</v>
      </c>
    </row>
    <row r="66" spans="1:7" ht="11.45" customHeight="1" x14ac:dyDescent="0.2">
      <c r="A66" s="152"/>
      <c r="B66" s="44" t="s">
        <v>63</v>
      </c>
      <c r="C66" s="57">
        <f>ROUND(C65*C41,7)</f>
        <v>9.1845999999999994E-3</v>
      </c>
      <c r="D66" s="34">
        <f t="shared" si="2"/>
        <v>68.77</v>
      </c>
      <c r="F66" s="51" t="s">
        <v>64</v>
      </c>
      <c r="G66" s="54">
        <v>0.01</v>
      </c>
    </row>
    <row r="67" spans="1:7" ht="11.45" customHeight="1" x14ac:dyDescent="0.2">
      <c r="A67" s="152"/>
      <c r="B67" s="36" t="s">
        <v>32</v>
      </c>
      <c r="C67" s="58">
        <f>C65+C66</f>
        <v>4.5851399999999994E-2</v>
      </c>
      <c r="D67" s="38">
        <f>ROUND(D65+D66,2)</f>
        <v>343.3</v>
      </c>
    </row>
    <row r="68" spans="1:7" ht="21" customHeight="1" x14ac:dyDescent="0.2">
      <c r="A68" s="153" t="s">
        <v>65</v>
      </c>
      <c r="B68" s="153"/>
      <c r="C68" s="59"/>
      <c r="D68" s="59"/>
    </row>
    <row r="69" spans="1:7" ht="11.45" customHeight="1" x14ac:dyDescent="0.2">
      <c r="A69" s="60">
        <v>4</v>
      </c>
      <c r="B69" s="1" t="s">
        <v>66</v>
      </c>
      <c r="C69" s="61"/>
      <c r="D69" s="47"/>
    </row>
    <row r="70" spans="1:7" ht="11.45" customHeight="1" x14ac:dyDescent="0.2">
      <c r="A70" s="60" t="s">
        <v>67</v>
      </c>
      <c r="B70" s="62" t="s">
        <v>68</v>
      </c>
      <c r="C70" s="63">
        <f>C41</f>
        <v>0.25048899999999996</v>
      </c>
      <c r="D70" s="64">
        <f>D41</f>
        <v>1875.43</v>
      </c>
    </row>
    <row r="71" spans="1:7" ht="11.45" customHeight="1" x14ac:dyDescent="0.2">
      <c r="A71" s="60" t="s">
        <v>69</v>
      </c>
      <c r="B71" s="48" t="s">
        <v>70</v>
      </c>
      <c r="C71" s="63">
        <f>C46</f>
        <v>9.5874000000000001E-2</v>
      </c>
      <c r="D71" s="64">
        <f>D46</f>
        <v>717.81</v>
      </c>
    </row>
    <row r="72" spans="1:7" ht="11.45" customHeight="1" x14ac:dyDescent="0.2">
      <c r="A72" s="60" t="s">
        <v>71</v>
      </c>
      <c r="B72" s="48" t="s">
        <v>72</v>
      </c>
      <c r="C72" s="63">
        <f>C50</f>
        <v>4.6319999999999998E-4</v>
      </c>
      <c r="D72" s="64">
        <f>D50</f>
        <v>3.46</v>
      </c>
    </row>
    <row r="73" spans="1:7" ht="11.45" customHeight="1" x14ac:dyDescent="0.2">
      <c r="A73" s="60" t="s">
        <v>73</v>
      </c>
      <c r="B73" s="48" t="s">
        <v>74</v>
      </c>
      <c r="C73" s="63">
        <f>C57</f>
        <v>7.56743E-2</v>
      </c>
      <c r="D73" s="64">
        <f>D57</f>
        <v>566.57000000000005</v>
      </c>
    </row>
    <row r="74" spans="1:7" ht="11.45" customHeight="1" x14ac:dyDescent="0.2">
      <c r="A74" s="60" t="s">
        <v>75</v>
      </c>
      <c r="B74" s="48" t="s">
        <v>76</v>
      </c>
      <c r="C74" s="63">
        <f>C67</f>
        <v>4.5851399999999994E-2</v>
      </c>
      <c r="D74" s="64">
        <f>D67</f>
        <v>343.3</v>
      </c>
    </row>
    <row r="75" spans="1:7" ht="11.45" customHeight="1" x14ac:dyDescent="0.2">
      <c r="A75" s="48"/>
      <c r="B75" s="36" t="s">
        <v>32</v>
      </c>
      <c r="C75" s="65">
        <f>SUM(C70:C74)</f>
        <v>0.46835189999999993</v>
      </c>
      <c r="D75" s="66">
        <f>SUM(D70:D74)</f>
        <v>3506.57</v>
      </c>
    </row>
    <row r="76" spans="1:7" ht="11.45" customHeight="1" x14ac:dyDescent="0.2">
      <c r="A76" s="48"/>
      <c r="B76" s="67"/>
      <c r="C76" s="68"/>
      <c r="D76" s="69"/>
    </row>
    <row r="77" spans="1:7" ht="11.45" customHeight="1" x14ac:dyDescent="0.2">
      <c r="A77" s="48"/>
      <c r="B77" s="36" t="s">
        <v>77</v>
      </c>
      <c r="C77" s="70"/>
      <c r="D77" s="71">
        <f>ROUND(D14+D23+D30+D75,2)</f>
        <v>12219.25</v>
      </c>
    </row>
    <row r="78" spans="1:7" ht="14.45" customHeight="1" x14ac:dyDescent="0.2">
      <c r="A78" s="153" t="s">
        <v>78</v>
      </c>
      <c r="B78" s="153"/>
      <c r="C78" s="72"/>
      <c r="D78" s="72"/>
    </row>
    <row r="79" spans="1:7" ht="11.45" customHeight="1" x14ac:dyDescent="0.2">
      <c r="A79" s="60">
        <v>5</v>
      </c>
      <c r="B79" s="44"/>
      <c r="C79" s="31" t="s">
        <v>6</v>
      </c>
      <c r="D79" s="32" t="s">
        <v>23</v>
      </c>
    </row>
    <row r="80" spans="1:7" ht="11.45" customHeight="1" x14ac:dyDescent="0.2">
      <c r="A80" s="60" t="s">
        <v>79</v>
      </c>
      <c r="B80" s="73" t="s">
        <v>80</v>
      </c>
      <c r="C80" s="74">
        <f>Item01!C80</f>
        <v>5.0000000000000001E-3</v>
      </c>
      <c r="D80" s="34">
        <f>ROUND(C80*$D$77,2)</f>
        <v>61.1</v>
      </c>
      <c r="E80" s="75"/>
    </row>
    <row r="81" spans="1:7" ht="11.45" customHeight="1" x14ac:dyDescent="0.2">
      <c r="A81" s="60" t="s">
        <v>81</v>
      </c>
      <c r="B81" s="76" t="s">
        <v>82</v>
      </c>
      <c r="C81" s="63">
        <f>Item01!C81</f>
        <v>1.9967059751955753E-2</v>
      </c>
      <c r="D81" s="34">
        <f>ROUND((D$77+D$80)*C$81,2)</f>
        <v>245.2</v>
      </c>
      <c r="E81" s="77"/>
    </row>
    <row r="82" spans="1:7" ht="11.45" customHeight="1" x14ac:dyDescent="0.2">
      <c r="A82" s="78" t="s">
        <v>83</v>
      </c>
      <c r="B82" s="76" t="s">
        <v>84</v>
      </c>
      <c r="C82" s="63">
        <f>SUM(C83:C88)</f>
        <v>0.11349999999999999</v>
      </c>
      <c r="D82" s="79">
        <f>SUM(D83:D88)</f>
        <v>1603.67</v>
      </c>
      <c r="E82" s="75"/>
    </row>
    <row r="83" spans="1:7" ht="11.45" customHeight="1" x14ac:dyDescent="0.2">
      <c r="A83" s="149" t="s">
        <v>85</v>
      </c>
      <c r="B83" s="80" t="s">
        <v>86</v>
      </c>
      <c r="C83" s="81">
        <f>Item01!C83</f>
        <v>6.4999999999999997E-3</v>
      </c>
      <c r="D83" s="82">
        <f>ROUND(C83*D92,2)</f>
        <v>91.84</v>
      </c>
      <c r="E83" s="75"/>
    </row>
    <row r="84" spans="1:7" ht="11.45" customHeight="1" x14ac:dyDescent="0.2">
      <c r="A84" s="150"/>
      <c r="B84" s="80" t="s">
        <v>87</v>
      </c>
      <c r="C84" s="83">
        <f>Item01!C84</f>
        <v>0.03</v>
      </c>
      <c r="D84" s="82">
        <f>ROUND(C84*D92,2)</f>
        <v>423.88</v>
      </c>
      <c r="E84" s="75"/>
    </row>
    <row r="85" spans="1:7" ht="11.45" customHeight="1" x14ac:dyDescent="0.2">
      <c r="A85" s="60" t="s">
        <v>88</v>
      </c>
      <c r="B85" s="15" t="s">
        <v>89</v>
      </c>
      <c r="C85" s="81"/>
      <c r="D85" s="82"/>
      <c r="E85" s="75"/>
    </row>
    <row r="86" spans="1:7" x14ac:dyDescent="0.2">
      <c r="A86" s="60" t="s">
        <v>90</v>
      </c>
      <c r="B86" s="15" t="s">
        <v>91</v>
      </c>
      <c r="C86" s="81">
        <f>Item01!C86</f>
        <v>0.05</v>
      </c>
      <c r="D86" s="82">
        <f>ROUND(C86*D92,2)</f>
        <v>706.46</v>
      </c>
    </row>
    <row r="87" spans="1:7" x14ac:dyDescent="0.2">
      <c r="A87" s="60" t="s">
        <v>92</v>
      </c>
      <c r="B87" s="49" t="s">
        <v>93</v>
      </c>
      <c r="C87" s="142">
        <v>2.7E-2</v>
      </c>
      <c r="D87" s="143">
        <f>ROUND(C87*D92,2)</f>
        <v>381.49</v>
      </c>
    </row>
    <row r="88" spans="1:7" x14ac:dyDescent="0.2">
      <c r="A88" s="60"/>
      <c r="B88" s="73"/>
      <c r="C88" s="74"/>
      <c r="D88" s="34"/>
      <c r="E88" s="75"/>
    </row>
    <row r="89" spans="1:7" s="86" customFormat="1" ht="15" x14ac:dyDescent="0.2">
      <c r="A89" s="84"/>
      <c r="B89" s="36" t="s">
        <v>94</v>
      </c>
      <c r="C89" s="58">
        <f>SUM(C80:C88)</f>
        <v>0.25196705975195577</v>
      </c>
      <c r="D89" s="85">
        <f>ROUND(SUM(D80:D82),2)</f>
        <v>1909.97</v>
      </c>
    </row>
    <row r="90" spans="1:7" s="86" customFormat="1" ht="13.15" customHeight="1" x14ac:dyDescent="0.2">
      <c r="A90" s="87"/>
      <c r="B90" s="87"/>
      <c r="C90" s="88"/>
      <c r="D90" s="88"/>
    </row>
    <row r="91" spans="1:7" ht="18" customHeight="1" x14ac:dyDescent="0.2">
      <c r="A91" s="89" t="s">
        <v>95</v>
      </c>
      <c r="B91" s="90"/>
      <c r="C91" s="41" t="s">
        <v>96</v>
      </c>
      <c r="D91" s="42" t="s">
        <v>23</v>
      </c>
      <c r="F91" s="55"/>
    </row>
    <row r="92" spans="1:7" ht="16.5" customHeight="1" x14ac:dyDescent="0.2">
      <c r="A92" s="91"/>
      <c r="B92" s="92" t="s">
        <v>97</v>
      </c>
      <c r="C92" s="93">
        <v>1</v>
      </c>
      <c r="D92" s="94">
        <f>ROUND(($D$77+$D$80+$D$81)/(1-$C$82),2)</f>
        <v>14129.22</v>
      </c>
      <c r="G92" s="27"/>
    </row>
    <row r="94" spans="1:7" x14ac:dyDescent="0.2">
      <c r="D94" s="55"/>
    </row>
  </sheetData>
  <mergeCells count="19"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  <mergeCell ref="A83:A84"/>
    <mergeCell ref="A51:B51"/>
    <mergeCell ref="A52:A57"/>
    <mergeCell ref="A58:B58"/>
    <mergeCell ref="A59:A67"/>
    <mergeCell ref="A68:B68"/>
    <mergeCell ref="A78:B78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DAA7-55CD-490C-9D01-EF121A4DA3DE}">
  <sheetPr>
    <tabColor theme="3" tint="0.59999389629810485"/>
    <pageSetUpPr fitToPage="1"/>
  </sheetPr>
  <dimension ref="A1:H94"/>
  <sheetViews>
    <sheetView workbookViewId="0"/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5" customWidth="1"/>
    <col min="4" max="4" width="18.85546875" style="4" customWidth="1"/>
    <col min="5" max="5" width="2.7109375" style="4" customWidth="1"/>
    <col min="6" max="6" width="43.85546875" style="4" customWidth="1"/>
    <col min="7" max="7" width="5.5703125" style="4" bestFit="1" customWidth="1"/>
    <col min="8" max="16384" width="11.42578125" style="4"/>
  </cols>
  <sheetData>
    <row r="1" spans="1:4" ht="33.75" customHeight="1" x14ac:dyDescent="0.2">
      <c r="A1" s="1">
        <v>5</v>
      </c>
      <c r="B1" s="2" t="s">
        <v>0</v>
      </c>
      <c r="C1" s="3"/>
    </row>
    <row r="2" spans="1:4" ht="21" customHeight="1" x14ac:dyDescent="0.2">
      <c r="A2" s="5" t="s">
        <v>1</v>
      </c>
      <c r="B2" s="6" t="str">
        <f>VLOOKUP($A$1,Dados!$A$6:$G$12,7,0)</f>
        <v>Analista de Suporte Pleno - 40 horas semanais</v>
      </c>
      <c r="C2" s="6"/>
      <c r="D2" s="6"/>
    </row>
    <row r="3" spans="1:4" ht="21" customHeight="1" x14ac:dyDescent="0.2">
      <c r="A3" s="5" t="s">
        <v>2</v>
      </c>
      <c r="B3" s="7" t="s">
        <v>144</v>
      </c>
      <c r="C3" s="5" t="s">
        <v>3</v>
      </c>
      <c r="D3" s="118">
        <v>46143</v>
      </c>
    </row>
    <row r="4" spans="1:4" s="11" customFormat="1" ht="21.75" customHeight="1" x14ac:dyDescent="0.2">
      <c r="A4" s="8"/>
      <c r="B4" s="9"/>
      <c r="C4" s="9"/>
      <c r="D4" s="10" t="s">
        <v>4</v>
      </c>
    </row>
    <row r="5" spans="1:4" s="14" customFormat="1" x14ac:dyDescent="0.2">
      <c r="A5" s="153" t="s">
        <v>5</v>
      </c>
      <c r="B5" s="153"/>
      <c r="C5" s="12" t="s">
        <v>6</v>
      </c>
      <c r="D5" s="13" t="s">
        <v>7</v>
      </c>
    </row>
    <row r="6" spans="1:4" s="14" customFormat="1" ht="11.45" customHeight="1" x14ac:dyDescent="0.2">
      <c r="A6" s="152"/>
      <c r="B6" s="15" t="s">
        <v>8</v>
      </c>
      <c r="C6" s="16"/>
      <c r="D6" s="17">
        <v>5147.97</v>
      </c>
    </row>
    <row r="7" spans="1:4" s="14" customFormat="1" x14ac:dyDescent="0.2">
      <c r="A7" s="152"/>
      <c r="B7" s="18" t="s">
        <v>111</v>
      </c>
      <c r="C7" s="16"/>
      <c r="D7" s="17"/>
    </row>
    <row r="8" spans="1:4" s="14" customFormat="1" ht="11.45" customHeight="1" x14ac:dyDescent="0.2">
      <c r="A8" s="152"/>
      <c r="B8" s="15" t="s">
        <v>9</v>
      </c>
      <c r="C8" s="19"/>
      <c r="D8" s="17"/>
    </row>
    <row r="9" spans="1:4" s="14" customFormat="1" ht="11.45" customHeight="1" x14ac:dyDescent="0.2">
      <c r="A9" s="152"/>
      <c r="B9" s="15" t="s">
        <v>10</v>
      </c>
      <c r="C9" s="19"/>
      <c r="D9" s="17"/>
    </row>
    <row r="10" spans="1:4" s="14" customFormat="1" ht="11.45" customHeight="1" x14ac:dyDescent="0.2">
      <c r="A10" s="152"/>
      <c r="B10" s="15" t="s">
        <v>112</v>
      </c>
      <c r="C10" s="19"/>
      <c r="D10" s="17"/>
    </row>
    <row r="11" spans="1:4" s="14" customFormat="1" ht="11.45" customHeight="1" x14ac:dyDescent="0.2">
      <c r="A11" s="152"/>
      <c r="B11" s="15" t="s">
        <v>11</v>
      </c>
      <c r="C11" s="19"/>
      <c r="D11" s="17"/>
    </row>
    <row r="12" spans="1:4" s="14" customFormat="1" ht="11.45" customHeight="1" x14ac:dyDescent="0.2">
      <c r="A12" s="152"/>
      <c r="B12" s="15" t="s">
        <v>12</v>
      </c>
      <c r="C12" s="19"/>
      <c r="D12" s="17"/>
    </row>
    <row r="13" spans="1:4" s="14" customFormat="1" ht="11.45" customHeight="1" x14ac:dyDescent="0.2">
      <c r="A13" s="152"/>
      <c r="B13" s="15" t="s">
        <v>13</v>
      </c>
      <c r="C13" s="19"/>
      <c r="D13" s="17"/>
    </row>
    <row r="14" spans="1:4" s="23" customFormat="1" x14ac:dyDescent="0.2">
      <c r="A14" s="152"/>
      <c r="B14" s="20" t="s">
        <v>14</v>
      </c>
      <c r="C14" s="21"/>
      <c r="D14" s="22">
        <f>ROUND(SUM(D6:D13),2)</f>
        <v>5147.97</v>
      </c>
    </row>
    <row r="15" spans="1:4" ht="13.5" customHeight="1" x14ac:dyDescent="0.2">
      <c r="A15" s="153" t="s">
        <v>15</v>
      </c>
      <c r="B15" s="153"/>
      <c r="C15" s="24"/>
      <c r="D15" s="24"/>
    </row>
    <row r="16" spans="1:4" ht="13.5" customHeight="1" x14ac:dyDescent="0.2">
      <c r="A16" s="154"/>
      <c r="B16" s="15" t="s">
        <v>149</v>
      </c>
      <c r="C16" s="16"/>
      <c r="D16" s="25">
        <f>IF(((5.5*2)*22) &lt; (D6*6%), 0, ((5.5*2)*22)-(D6*6%))</f>
        <v>0</v>
      </c>
    </row>
    <row r="17" spans="1:8" ht="13.5" customHeight="1" x14ac:dyDescent="0.2">
      <c r="A17" s="154"/>
      <c r="B17" s="15" t="s">
        <v>148</v>
      </c>
      <c r="C17" s="16"/>
      <c r="D17" s="148">
        <f>48.17*22</f>
        <v>1059.74</v>
      </c>
    </row>
    <row r="18" spans="1:8" ht="13.5" hidden="1" customHeight="1" x14ac:dyDescent="0.2">
      <c r="A18" s="154"/>
      <c r="B18" s="15" t="s">
        <v>16</v>
      </c>
      <c r="C18" s="16"/>
      <c r="D18" s="17"/>
    </row>
    <row r="19" spans="1:8" ht="13.5" customHeight="1" x14ac:dyDescent="0.2">
      <c r="A19" s="154"/>
      <c r="B19" s="15" t="s">
        <v>141</v>
      </c>
      <c r="C19" s="16"/>
      <c r="D19" s="17">
        <f>IF(D6&lt;2800.22,304.68*70%,IF(D6&lt;4668.4,304.68*60%,304.68*50%))</f>
        <v>152.34</v>
      </c>
      <c r="F19" s="55"/>
    </row>
    <row r="20" spans="1:8" ht="13.5" customHeight="1" x14ac:dyDescent="0.2">
      <c r="A20" s="154"/>
      <c r="B20" s="15" t="s">
        <v>142</v>
      </c>
      <c r="C20" s="16"/>
      <c r="D20" s="17">
        <v>2.9</v>
      </c>
    </row>
    <row r="21" spans="1:8" ht="13.5" customHeight="1" x14ac:dyDescent="0.2">
      <c r="A21" s="154"/>
      <c r="B21" s="15" t="s">
        <v>143</v>
      </c>
      <c r="C21" s="16"/>
      <c r="D21" s="17">
        <v>3.77</v>
      </c>
    </row>
    <row r="22" spans="1:8" ht="13.5" hidden="1" customHeight="1" x14ac:dyDescent="0.2">
      <c r="A22" s="154"/>
      <c r="B22" s="15"/>
      <c r="C22" s="16"/>
      <c r="D22" s="17"/>
    </row>
    <row r="23" spans="1:8" ht="13.5" customHeight="1" x14ac:dyDescent="0.2">
      <c r="A23" s="154"/>
      <c r="B23" s="20" t="s">
        <v>17</v>
      </c>
      <c r="C23" s="16"/>
      <c r="D23" s="22">
        <f>ROUND(SUM(D16:D22),2)</f>
        <v>1218.75</v>
      </c>
    </row>
    <row r="24" spans="1:8" ht="13.5" customHeight="1" x14ac:dyDescent="0.2">
      <c r="A24" s="153" t="s">
        <v>18</v>
      </c>
      <c r="B24" s="153"/>
      <c r="C24" s="26"/>
      <c r="D24" s="24"/>
      <c r="G24" s="27"/>
    </row>
    <row r="25" spans="1:8" ht="13.5" customHeight="1" x14ac:dyDescent="0.2">
      <c r="A25" s="28"/>
      <c r="B25" s="29" t="s">
        <v>19</v>
      </c>
      <c r="C25" s="16"/>
      <c r="D25" s="30"/>
      <c r="G25" s="27"/>
      <c r="H25" s="27"/>
    </row>
    <row r="26" spans="1:8" ht="13.5" customHeight="1" x14ac:dyDescent="0.2">
      <c r="A26" s="155"/>
      <c r="B26" s="15" t="s">
        <v>107</v>
      </c>
      <c r="C26" s="16"/>
      <c r="D26" s="17">
        <v>0</v>
      </c>
    </row>
    <row r="27" spans="1:8" ht="13.5" customHeight="1" x14ac:dyDescent="0.2">
      <c r="A27" s="155"/>
      <c r="B27" s="15" t="s">
        <v>108</v>
      </c>
      <c r="C27" s="16"/>
      <c r="D27" s="17">
        <v>0</v>
      </c>
    </row>
    <row r="28" spans="1:8" ht="13.5" customHeight="1" x14ac:dyDescent="0.2">
      <c r="A28" s="155"/>
      <c r="B28" s="15" t="s">
        <v>150</v>
      </c>
      <c r="C28" s="16"/>
      <c r="D28" s="17">
        <v>6.88</v>
      </c>
    </row>
    <row r="29" spans="1:8" ht="13.5" customHeight="1" x14ac:dyDescent="0.2">
      <c r="A29" s="155"/>
      <c r="B29" s="15"/>
      <c r="C29" s="16"/>
      <c r="D29" s="17"/>
    </row>
    <row r="30" spans="1:8" ht="13.5" customHeight="1" x14ac:dyDescent="0.2">
      <c r="A30" s="155"/>
      <c r="B30" s="20" t="s">
        <v>20</v>
      </c>
      <c r="C30" s="16"/>
      <c r="D30" s="22">
        <f>SUM(D26:D29)</f>
        <v>6.88</v>
      </c>
    </row>
    <row r="31" spans="1:8" ht="13.5" customHeight="1" x14ac:dyDescent="0.2">
      <c r="A31" s="153" t="s">
        <v>21</v>
      </c>
      <c r="B31" s="153"/>
      <c r="C31" s="26"/>
      <c r="D31" s="24"/>
    </row>
    <row r="32" spans="1:8" x14ac:dyDescent="0.2">
      <c r="A32" s="151" t="s">
        <v>22</v>
      </c>
      <c r="B32" s="151"/>
      <c r="C32" s="31" t="s">
        <v>6</v>
      </c>
      <c r="D32" s="32" t="s">
        <v>23</v>
      </c>
    </row>
    <row r="33" spans="1:7" ht="11.45" customHeight="1" x14ac:dyDescent="0.2">
      <c r="A33" s="152"/>
      <c r="B33" s="15" t="s">
        <v>24</v>
      </c>
      <c r="C33" s="140">
        <v>0.1</v>
      </c>
      <c r="D33" s="141">
        <f>ROUND(C33*D$14,2)</f>
        <v>514.79999999999995</v>
      </c>
    </row>
    <row r="34" spans="1:7" ht="11.45" customHeight="1" x14ac:dyDescent="0.2">
      <c r="A34" s="152"/>
      <c r="B34" s="15" t="s">
        <v>25</v>
      </c>
      <c r="C34" s="33">
        <v>1.4999999999999999E-2</v>
      </c>
      <c r="D34" s="34">
        <f t="shared" ref="D34:D40" si="0">ROUND(C34*D$14,2)</f>
        <v>77.22</v>
      </c>
    </row>
    <row r="35" spans="1:7" ht="11.45" customHeight="1" x14ac:dyDescent="0.2">
      <c r="A35" s="152"/>
      <c r="B35" s="15" t="s">
        <v>26</v>
      </c>
      <c r="C35" s="33">
        <v>0.01</v>
      </c>
      <c r="D35" s="34">
        <f t="shared" si="0"/>
        <v>51.48</v>
      </c>
    </row>
    <row r="36" spans="1:7" ht="11.45" customHeight="1" x14ac:dyDescent="0.2">
      <c r="A36" s="152"/>
      <c r="B36" s="15" t="s">
        <v>27</v>
      </c>
      <c r="C36" s="33">
        <v>2E-3</v>
      </c>
      <c r="D36" s="34">
        <f t="shared" si="0"/>
        <v>10.3</v>
      </c>
    </row>
    <row r="37" spans="1:7" ht="11.45" customHeight="1" x14ac:dyDescent="0.2">
      <c r="A37" s="152"/>
      <c r="B37" s="15" t="s">
        <v>28</v>
      </c>
      <c r="C37" s="33">
        <v>2.5000000000000001E-2</v>
      </c>
      <c r="D37" s="34">
        <f t="shared" si="0"/>
        <v>128.69999999999999</v>
      </c>
    </row>
    <row r="38" spans="1:7" ht="11.45" customHeight="1" x14ac:dyDescent="0.2">
      <c r="A38" s="152"/>
      <c r="B38" s="15" t="s">
        <v>29</v>
      </c>
      <c r="C38" s="33">
        <v>0.08</v>
      </c>
      <c r="D38" s="34">
        <f t="shared" si="0"/>
        <v>411.84</v>
      </c>
    </row>
    <row r="39" spans="1:7" x14ac:dyDescent="0.2">
      <c r="A39" s="152"/>
      <c r="B39" s="18" t="s">
        <v>30</v>
      </c>
      <c r="C39" s="144">
        <v>1.2489E-2</v>
      </c>
      <c r="D39" s="141">
        <f t="shared" si="0"/>
        <v>64.290000000000006</v>
      </c>
    </row>
    <row r="40" spans="1:7" ht="12" customHeight="1" x14ac:dyDescent="0.2">
      <c r="A40" s="152"/>
      <c r="B40" s="15" t="s">
        <v>31</v>
      </c>
      <c r="C40" s="35">
        <v>6.0000000000000001E-3</v>
      </c>
      <c r="D40" s="34">
        <f t="shared" si="0"/>
        <v>30.89</v>
      </c>
    </row>
    <row r="41" spans="1:7" s="39" customFormat="1" ht="13.9" customHeight="1" x14ac:dyDescent="0.2">
      <c r="A41" s="152"/>
      <c r="B41" s="36" t="s">
        <v>32</v>
      </c>
      <c r="C41" s="37">
        <f>SUM(C33:C40)</f>
        <v>0.25048899999999996</v>
      </c>
      <c r="D41" s="38">
        <f>ROUND(SUM(D33:D40),2)</f>
        <v>1289.52</v>
      </c>
      <c r="F41" s="40"/>
    </row>
    <row r="42" spans="1:7" x14ac:dyDescent="0.2">
      <c r="A42" s="151" t="s">
        <v>33</v>
      </c>
      <c r="B42" s="151"/>
      <c r="C42" s="41" t="s">
        <v>6</v>
      </c>
      <c r="D42" s="42" t="s">
        <v>23</v>
      </c>
    </row>
    <row r="43" spans="1:7" ht="11.45" customHeight="1" x14ac:dyDescent="0.2">
      <c r="A43" s="152"/>
      <c r="B43" s="15" t="s">
        <v>34</v>
      </c>
      <c r="C43" s="43">
        <f>ROUND(1/12,7)</f>
        <v>8.3333299999999999E-2</v>
      </c>
      <c r="D43" s="34">
        <f>ROUND(C43*D$14,2)</f>
        <v>429</v>
      </c>
    </row>
    <row r="44" spans="1:7" ht="13.5" customHeight="1" x14ac:dyDescent="0.2">
      <c r="A44" s="152"/>
      <c r="B44" s="44" t="s">
        <v>35</v>
      </c>
      <c r="C44" s="145">
        <f>ROUND(($C$41-C33)*C$43,7)</f>
        <v>1.25407E-2</v>
      </c>
      <c r="D44" s="34">
        <f>ROUND(C44*D$14,2)</f>
        <v>64.56</v>
      </c>
      <c r="F44" s="45" t="s">
        <v>36</v>
      </c>
    </row>
    <row r="45" spans="1:7" ht="11.45" customHeight="1" x14ac:dyDescent="0.2">
      <c r="A45" s="152"/>
      <c r="B45" s="44"/>
      <c r="C45" s="46"/>
      <c r="D45" s="47"/>
    </row>
    <row r="46" spans="1:7" ht="11.45" customHeight="1" x14ac:dyDescent="0.2">
      <c r="A46" s="152"/>
      <c r="B46" s="36" t="s">
        <v>32</v>
      </c>
      <c r="C46" s="37">
        <f>SUM(C43:C45)</f>
        <v>9.5874000000000001E-2</v>
      </c>
      <c r="D46" s="38">
        <f>ROUND(SUM(D43:D44),2)</f>
        <v>493.56</v>
      </c>
    </row>
    <row r="47" spans="1:7" ht="11.45" customHeight="1" x14ac:dyDescent="0.2">
      <c r="A47" s="151" t="s">
        <v>37</v>
      </c>
      <c r="B47" s="151"/>
      <c r="C47" s="41" t="s">
        <v>6</v>
      </c>
      <c r="D47" s="42" t="s">
        <v>23</v>
      </c>
    </row>
    <row r="48" spans="1:7" ht="12" customHeight="1" x14ac:dyDescent="0.2">
      <c r="A48" s="48"/>
      <c r="B48" s="49" t="s">
        <v>38</v>
      </c>
      <c r="C48" s="50">
        <f>ROUND((((1+1/3)*(G48/12)/12)*G49),7)</f>
        <v>3.704E-4</v>
      </c>
      <c r="D48" s="34">
        <f>ROUND(C48*D$14,2)</f>
        <v>1.91</v>
      </c>
      <c r="F48" s="51" t="s">
        <v>39</v>
      </c>
      <c r="G48" s="1">
        <v>4</v>
      </c>
    </row>
    <row r="49" spans="1:7" ht="11.45" customHeight="1" x14ac:dyDescent="0.2">
      <c r="A49" s="48"/>
      <c r="B49" s="44" t="s">
        <v>40</v>
      </c>
      <c r="C49" s="52">
        <f>ROUND(C41*C48,7)</f>
        <v>9.2800000000000006E-5</v>
      </c>
      <c r="D49" s="34">
        <f>ROUND(C49*D$14,2)</f>
        <v>0.48</v>
      </c>
      <c r="F49" s="51" t="s">
        <v>41</v>
      </c>
      <c r="G49" s="53">
        <v>0.01</v>
      </c>
    </row>
    <row r="50" spans="1:7" ht="11.45" customHeight="1" x14ac:dyDescent="0.2">
      <c r="A50" s="48"/>
      <c r="B50" s="36" t="s">
        <v>32</v>
      </c>
      <c r="C50" s="37">
        <f>SUM(C48:C49)</f>
        <v>4.6319999999999998E-4</v>
      </c>
      <c r="D50" s="38">
        <f>ROUND(SUM(D48:D49),2)</f>
        <v>2.39</v>
      </c>
    </row>
    <row r="51" spans="1:7" ht="11.45" customHeight="1" x14ac:dyDescent="0.2">
      <c r="A51" s="151" t="s">
        <v>42</v>
      </c>
      <c r="B51" s="151"/>
      <c r="C51" s="41" t="s">
        <v>6</v>
      </c>
      <c r="D51" s="42" t="s">
        <v>23</v>
      </c>
    </row>
    <row r="52" spans="1:7" ht="11.45" customHeight="1" x14ac:dyDescent="0.2">
      <c r="A52" s="152"/>
      <c r="B52" s="15" t="s">
        <v>43</v>
      </c>
      <c r="C52" s="146">
        <f>ROUND(((1/12)*G52),7)</f>
        <v>1.66667E-2</v>
      </c>
      <c r="D52" s="47">
        <f>ROUND(C52*D$14,2)</f>
        <v>85.8</v>
      </c>
      <c r="F52" s="51" t="s">
        <v>44</v>
      </c>
      <c r="G52" s="147">
        <v>0.2</v>
      </c>
    </row>
    <row r="53" spans="1:7" ht="11.45" customHeight="1" x14ac:dyDescent="0.2">
      <c r="A53" s="152"/>
      <c r="B53" s="44" t="s">
        <v>45</v>
      </c>
      <c r="C53" s="35">
        <f>ROUND(C$38*C$52,7)</f>
        <v>1.3332999999999999E-3</v>
      </c>
      <c r="D53" s="47">
        <f t="shared" ref="D53:D56" si="1">ROUND(C53*D$14,2)</f>
        <v>6.86</v>
      </c>
      <c r="F53" s="51" t="s">
        <v>46</v>
      </c>
      <c r="G53" s="54">
        <v>0.8</v>
      </c>
    </row>
    <row r="54" spans="1:7" ht="11.45" customHeight="1" x14ac:dyDescent="0.2">
      <c r="A54" s="152"/>
      <c r="B54" s="15" t="s">
        <v>47</v>
      </c>
      <c r="C54" s="52">
        <f>ROUND((7/30/12*(G53)),7)</f>
        <v>1.5555599999999999E-2</v>
      </c>
      <c r="D54" s="47">
        <f t="shared" si="1"/>
        <v>80.08</v>
      </c>
      <c r="F54" s="51" t="s">
        <v>48</v>
      </c>
      <c r="G54" s="147">
        <f>SUM(G52:G53)</f>
        <v>1</v>
      </c>
    </row>
    <row r="55" spans="1:7" ht="11.45" customHeight="1" x14ac:dyDescent="0.2">
      <c r="A55" s="152"/>
      <c r="B55" s="44" t="s">
        <v>49</v>
      </c>
      <c r="C55" s="52">
        <f>ROUND(C$54*C$41,7)</f>
        <v>3.8964999999999998E-3</v>
      </c>
      <c r="D55" s="47">
        <f t="shared" si="1"/>
        <v>20.059999999999999</v>
      </c>
    </row>
    <row r="56" spans="1:7" ht="11.45" customHeight="1" x14ac:dyDescent="0.2">
      <c r="A56" s="152"/>
      <c r="B56" s="49" t="s">
        <v>50</v>
      </c>
      <c r="C56" s="52">
        <f>ROUND((((1+(1/12)+(1/12)+(1/3*1/12))*0.4)*0.08)*1,7)</f>
        <v>3.8222199999999998E-2</v>
      </c>
      <c r="D56" s="47">
        <f t="shared" si="1"/>
        <v>196.77</v>
      </c>
    </row>
    <row r="57" spans="1:7" ht="11.45" customHeight="1" x14ac:dyDescent="0.2">
      <c r="A57" s="152"/>
      <c r="B57" s="36" t="s">
        <v>32</v>
      </c>
      <c r="C57" s="37">
        <f>SUM(C52:C56)</f>
        <v>7.56743E-2</v>
      </c>
      <c r="D57" s="38">
        <f>ROUND(SUM(D52:D56),2)</f>
        <v>389.57</v>
      </c>
    </row>
    <row r="58" spans="1:7" ht="11.45" customHeight="1" x14ac:dyDescent="0.2">
      <c r="A58" s="151" t="s">
        <v>51</v>
      </c>
      <c r="B58" s="151"/>
      <c r="C58" s="41" t="s">
        <v>6</v>
      </c>
      <c r="D58" s="42" t="s">
        <v>23</v>
      </c>
      <c r="F58" s="55"/>
    </row>
    <row r="59" spans="1:7" ht="11.45" customHeight="1" x14ac:dyDescent="0.2">
      <c r="A59" s="152"/>
      <c r="B59" s="112" t="s">
        <v>109</v>
      </c>
      <c r="C59" s="138">
        <f>Item01!C59</f>
        <v>0</v>
      </c>
      <c r="D59" s="139">
        <f>ROUND(C59*D$14,2)</f>
        <v>0</v>
      </c>
    </row>
    <row r="60" spans="1:7" ht="11.45" customHeight="1" x14ac:dyDescent="0.2">
      <c r="A60" s="152"/>
      <c r="B60" s="15" t="s">
        <v>52</v>
      </c>
      <c r="C60" s="43">
        <f>ROUND(1/3*1/12,7)</f>
        <v>2.7777799999999998E-2</v>
      </c>
      <c r="D60" s="34">
        <f t="shared" ref="D60:D66" si="2">ROUND(C60*D$14,2)</f>
        <v>143</v>
      </c>
    </row>
    <row r="61" spans="1:7" ht="11.45" customHeight="1" x14ac:dyDescent="0.2">
      <c r="A61" s="152"/>
      <c r="B61" s="15" t="s">
        <v>53</v>
      </c>
      <c r="C61" s="43">
        <f>ROUND($G$61/30/12,7)</f>
        <v>5.5555999999999999E-3</v>
      </c>
      <c r="D61" s="34">
        <f t="shared" si="2"/>
        <v>28.6</v>
      </c>
      <c r="F61" s="51" t="s">
        <v>54</v>
      </c>
      <c r="G61" s="56">
        <v>2</v>
      </c>
    </row>
    <row r="62" spans="1:7" ht="11.45" customHeight="1" x14ac:dyDescent="0.2">
      <c r="A62" s="152"/>
      <c r="B62" s="15" t="s">
        <v>55</v>
      </c>
      <c r="C62" s="43">
        <f>ROUND((1/30/12*$G$62)*$G$63,7)</f>
        <v>1.3889999999999999E-4</v>
      </c>
      <c r="D62" s="34">
        <f t="shared" si="2"/>
        <v>0.72</v>
      </c>
      <c r="F62" s="51" t="s">
        <v>56</v>
      </c>
      <c r="G62" s="56">
        <v>5</v>
      </c>
    </row>
    <row r="63" spans="1:7" ht="11.45" customHeight="1" x14ac:dyDescent="0.2">
      <c r="A63" s="152"/>
      <c r="B63" s="15" t="s">
        <v>57</v>
      </c>
      <c r="C63" s="43">
        <f>ROUND((1/30/12)*$G$64,7)</f>
        <v>2.7778E-3</v>
      </c>
      <c r="D63" s="34">
        <f t="shared" si="2"/>
        <v>14.3</v>
      </c>
      <c r="F63" s="51" t="s">
        <v>58</v>
      </c>
      <c r="G63" s="54">
        <v>0.01</v>
      </c>
    </row>
    <row r="64" spans="1:7" ht="11.45" customHeight="1" x14ac:dyDescent="0.2">
      <c r="A64" s="152"/>
      <c r="B64" s="15" t="s">
        <v>59</v>
      </c>
      <c r="C64" s="43">
        <f>ROUND((((1/30)/12)*$G$65)*$G$66,7)</f>
        <v>4.1669999999999999E-4</v>
      </c>
      <c r="D64" s="34">
        <f t="shared" si="2"/>
        <v>2.15</v>
      </c>
      <c r="F64" s="51" t="s">
        <v>60</v>
      </c>
      <c r="G64" s="56">
        <v>1</v>
      </c>
    </row>
    <row r="65" spans="1:7" ht="11.45" customHeight="1" x14ac:dyDescent="0.2">
      <c r="A65" s="152"/>
      <c r="B65" s="20" t="s">
        <v>61</v>
      </c>
      <c r="C65" s="57">
        <f>SUM(C59:C64)</f>
        <v>3.6666799999999992E-2</v>
      </c>
      <c r="D65" s="30">
        <f t="shared" si="2"/>
        <v>188.76</v>
      </c>
      <c r="F65" s="51" t="s">
        <v>62</v>
      </c>
      <c r="G65" s="56">
        <v>15</v>
      </c>
    </row>
    <row r="66" spans="1:7" ht="11.45" customHeight="1" x14ac:dyDescent="0.2">
      <c r="A66" s="152"/>
      <c r="B66" s="44" t="s">
        <v>63</v>
      </c>
      <c r="C66" s="57">
        <f>ROUND(C65*C41,7)</f>
        <v>9.1845999999999994E-3</v>
      </c>
      <c r="D66" s="34">
        <f t="shared" si="2"/>
        <v>47.28</v>
      </c>
      <c r="F66" s="51" t="s">
        <v>64</v>
      </c>
      <c r="G66" s="54">
        <v>0.01</v>
      </c>
    </row>
    <row r="67" spans="1:7" ht="11.45" customHeight="1" x14ac:dyDescent="0.2">
      <c r="A67" s="152"/>
      <c r="B67" s="36" t="s">
        <v>32</v>
      </c>
      <c r="C67" s="58">
        <f>C65+C66</f>
        <v>4.5851399999999994E-2</v>
      </c>
      <c r="D67" s="38">
        <f>ROUND(D65+D66,2)</f>
        <v>236.04</v>
      </c>
    </row>
    <row r="68" spans="1:7" ht="21" customHeight="1" x14ac:dyDescent="0.2">
      <c r="A68" s="153" t="s">
        <v>65</v>
      </c>
      <c r="B68" s="153"/>
      <c r="C68" s="59"/>
      <c r="D68" s="59"/>
    </row>
    <row r="69" spans="1:7" ht="11.45" customHeight="1" x14ac:dyDescent="0.2">
      <c r="A69" s="60">
        <v>4</v>
      </c>
      <c r="B69" s="1" t="s">
        <v>66</v>
      </c>
      <c r="C69" s="61"/>
      <c r="D69" s="47"/>
    </row>
    <row r="70" spans="1:7" ht="11.45" customHeight="1" x14ac:dyDescent="0.2">
      <c r="A70" s="60" t="s">
        <v>67</v>
      </c>
      <c r="B70" s="62" t="s">
        <v>68</v>
      </c>
      <c r="C70" s="63">
        <f>C41</f>
        <v>0.25048899999999996</v>
      </c>
      <c r="D70" s="64">
        <f>D41</f>
        <v>1289.52</v>
      </c>
    </row>
    <row r="71" spans="1:7" ht="11.45" customHeight="1" x14ac:dyDescent="0.2">
      <c r="A71" s="60" t="s">
        <v>69</v>
      </c>
      <c r="B71" s="48" t="s">
        <v>70</v>
      </c>
      <c r="C71" s="63">
        <f>C46</f>
        <v>9.5874000000000001E-2</v>
      </c>
      <c r="D71" s="64">
        <f>D46</f>
        <v>493.56</v>
      </c>
    </row>
    <row r="72" spans="1:7" ht="11.45" customHeight="1" x14ac:dyDescent="0.2">
      <c r="A72" s="60" t="s">
        <v>71</v>
      </c>
      <c r="B72" s="48" t="s">
        <v>72</v>
      </c>
      <c r="C72" s="63">
        <f>C50</f>
        <v>4.6319999999999998E-4</v>
      </c>
      <c r="D72" s="64">
        <f>D50</f>
        <v>2.39</v>
      </c>
    </row>
    <row r="73" spans="1:7" ht="11.45" customHeight="1" x14ac:dyDescent="0.2">
      <c r="A73" s="60" t="s">
        <v>73</v>
      </c>
      <c r="B73" s="48" t="s">
        <v>74</v>
      </c>
      <c r="C73" s="63">
        <f>C57</f>
        <v>7.56743E-2</v>
      </c>
      <c r="D73" s="64">
        <f>D57</f>
        <v>389.57</v>
      </c>
    </row>
    <row r="74" spans="1:7" ht="11.45" customHeight="1" x14ac:dyDescent="0.2">
      <c r="A74" s="60" t="s">
        <v>75</v>
      </c>
      <c r="B74" s="48" t="s">
        <v>76</v>
      </c>
      <c r="C74" s="63">
        <f>C67</f>
        <v>4.5851399999999994E-2</v>
      </c>
      <c r="D74" s="64">
        <f>D67</f>
        <v>236.04</v>
      </c>
    </row>
    <row r="75" spans="1:7" ht="11.45" customHeight="1" x14ac:dyDescent="0.2">
      <c r="A75" s="48"/>
      <c r="B75" s="36" t="s">
        <v>32</v>
      </c>
      <c r="C75" s="65">
        <f>SUM(C70:C74)</f>
        <v>0.46835189999999993</v>
      </c>
      <c r="D75" s="66">
        <f>SUM(D70:D74)</f>
        <v>2411.08</v>
      </c>
    </row>
    <row r="76" spans="1:7" ht="11.45" customHeight="1" x14ac:dyDescent="0.2">
      <c r="A76" s="48"/>
      <c r="B76" s="67"/>
      <c r="C76" s="68"/>
      <c r="D76" s="69"/>
    </row>
    <row r="77" spans="1:7" ht="11.45" customHeight="1" x14ac:dyDescent="0.2">
      <c r="A77" s="48"/>
      <c r="B77" s="36" t="s">
        <v>77</v>
      </c>
      <c r="C77" s="70"/>
      <c r="D77" s="71">
        <f>ROUND(D14+D23+D30+D75,2)</f>
        <v>8784.68</v>
      </c>
    </row>
    <row r="78" spans="1:7" ht="14.45" customHeight="1" x14ac:dyDescent="0.2">
      <c r="A78" s="153" t="s">
        <v>78</v>
      </c>
      <c r="B78" s="153"/>
      <c r="C78" s="72"/>
      <c r="D78" s="72"/>
    </row>
    <row r="79" spans="1:7" ht="11.45" customHeight="1" x14ac:dyDescent="0.2">
      <c r="A79" s="60">
        <v>5</v>
      </c>
      <c r="B79" s="44"/>
      <c r="C79" s="31" t="s">
        <v>6</v>
      </c>
      <c r="D79" s="32" t="s">
        <v>23</v>
      </c>
    </row>
    <row r="80" spans="1:7" ht="11.45" customHeight="1" x14ac:dyDescent="0.2">
      <c r="A80" s="60" t="s">
        <v>79</v>
      </c>
      <c r="B80" s="73" t="s">
        <v>80</v>
      </c>
      <c r="C80" s="74">
        <f>Item01!C80</f>
        <v>5.0000000000000001E-3</v>
      </c>
      <c r="D80" s="34">
        <f>ROUND(C80*$D$77,2)</f>
        <v>43.92</v>
      </c>
      <c r="E80" s="75"/>
    </row>
    <row r="81" spans="1:7" ht="11.45" customHeight="1" x14ac:dyDescent="0.2">
      <c r="A81" s="60" t="s">
        <v>81</v>
      </c>
      <c r="B81" s="76" t="s">
        <v>82</v>
      </c>
      <c r="C81" s="63">
        <f>Item01!C81</f>
        <v>1.9967059751955753E-2</v>
      </c>
      <c r="D81" s="34">
        <f>ROUND((D$77+D$80)*C$81,2)</f>
        <v>176.28</v>
      </c>
      <c r="E81" s="77"/>
    </row>
    <row r="82" spans="1:7" ht="11.45" customHeight="1" x14ac:dyDescent="0.2">
      <c r="A82" s="78" t="s">
        <v>83</v>
      </c>
      <c r="B82" s="76" t="s">
        <v>84</v>
      </c>
      <c r="C82" s="63">
        <f>SUM(C83:C88)</f>
        <v>0.11349999999999999</v>
      </c>
      <c r="D82" s="79">
        <f>SUM(D83:D88)</f>
        <v>1152.9099999999999</v>
      </c>
      <c r="E82" s="75"/>
    </row>
    <row r="83" spans="1:7" ht="11.45" customHeight="1" x14ac:dyDescent="0.2">
      <c r="A83" s="149" t="s">
        <v>85</v>
      </c>
      <c r="B83" s="80" t="s">
        <v>86</v>
      </c>
      <c r="C83" s="81">
        <f>Item01!C83</f>
        <v>6.4999999999999997E-3</v>
      </c>
      <c r="D83" s="82">
        <f>ROUND(C83*D92,2)</f>
        <v>66.03</v>
      </c>
      <c r="E83" s="75"/>
    </row>
    <row r="84" spans="1:7" ht="11.45" customHeight="1" x14ac:dyDescent="0.2">
      <c r="A84" s="150"/>
      <c r="B84" s="80" t="s">
        <v>87</v>
      </c>
      <c r="C84" s="83">
        <f>Item01!C84</f>
        <v>0.03</v>
      </c>
      <c r="D84" s="82">
        <f>ROUND(C84*D92,2)</f>
        <v>304.73</v>
      </c>
      <c r="E84" s="75"/>
    </row>
    <row r="85" spans="1:7" ht="11.45" customHeight="1" x14ac:dyDescent="0.2">
      <c r="A85" s="60" t="s">
        <v>88</v>
      </c>
      <c r="B85" s="15" t="s">
        <v>89</v>
      </c>
      <c r="C85" s="81"/>
      <c r="D85" s="82"/>
      <c r="E85" s="75"/>
    </row>
    <row r="86" spans="1:7" x14ac:dyDescent="0.2">
      <c r="A86" s="60" t="s">
        <v>90</v>
      </c>
      <c r="B86" s="15" t="s">
        <v>91</v>
      </c>
      <c r="C86" s="81">
        <f>Item01!C86</f>
        <v>0.05</v>
      </c>
      <c r="D86" s="82">
        <f>ROUND(C86*D92,2)</f>
        <v>507.89</v>
      </c>
    </row>
    <row r="87" spans="1:7" x14ac:dyDescent="0.2">
      <c r="A87" s="60" t="s">
        <v>92</v>
      </c>
      <c r="B87" s="49" t="s">
        <v>93</v>
      </c>
      <c r="C87" s="142">
        <v>2.7E-2</v>
      </c>
      <c r="D87" s="143">
        <f>ROUND(C87*D92,2)</f>
        <v>274.26</v>
      </c>
    </row>
    <row r="88" spans="1:7" x14ac:dyDescent="0.2">
      <c r="A88" s="60"/>
      <c r="B88" s="73"/>
      <c r="C88" s="74"/>
      <c r="D88" s="34"/>
      <c r="E88" s="75"/>
    </row>
    <row r="89" spans="1:7" s="86" customFormat="1" ht="15" x14ac:dyDescent="0.2">
      <c r="A89" s="84"/>
      <c r="B89" s="36" t="s">
        <v>94</v>
      </c>
      <c r="C89" s="58">
        <f>SUM(C80:C88)</f>
        <v>0.25196705975195577</v>
      </c>
      <c r="D89" s="85">
        <f>ROUND(SUM(D80:D82),2)</f>
        <v>1373.11</v>
      </c>
    </row>
    <row r="90" spans="1:7" s="86" customFormat="1" ht="13.15" customHeight="1" x14ac:dyDescent="0.2">
      <c r="A90" s="87"/>
      <c r="B90" s="87"/>
      <c r="C90" s="88"/>
      <c r="D90" s="88"/>
    </row>
    <row r="91" spans="1:7" ht="18" customHeight="1" x14ac:dyDescent="0.2">
      <c r="A91" s="89" t="s">
        <v>95</v>
      </c>
      <c r="B91" s="90"/>
      <c r="C91" s="41" t="s">
        <v>96</v>
      </c>
      <c r="D91" s="42" t="s">
        <v>23</v>
      </c>
      <c r="F91" s="55"/>
    </row>
    <row r="92" spans="1:7" ht="16.5" customHeight="1" x14ac:dyDescent="0.2">
      <c r="A92" s="91"/>
      <c r="B92" s="92" t="s">
        <v>97</v>
      </c>
      <c r="C92" s="93">
        <v>1</v>
      </c>
      <c r="D92" s="94">
        <f>ROUND(($D$77+$D$80+$D$81)/(1-$C$82),2)</f>
        <v>10157.790000000001</v>
      </c>
      <c r="G92" s="27"/>
    </row>
    <row r="94" spans="1:7" x14ac:dyDescent="0.2">
      <c r="D94" s="55"/>
    </row>
  </sheetData>
  <mergeCells count="19"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  <mergeCell ref="A83:A84"/>
    <mergeCell ref="A51:B51"/>
    <mergeCell ref="A52:A57"/>
    <mergeCell ref="A58:B58"/>
    <mergeCell ref="A59:A67"/>
    <mergeCell ref="A68:B68"/>
    <mergeCell ref="A78:B78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3F45-190D-41CD-A9D9-A0AC04B6AC6B}">
  <sheetPr>
    <tabColor theme="3" tint="0.59999389629810485"/>
    <pageSetUpPr fitToPage="1"/>
  </sheetPr>
  <dimension ref="A1:H94"/>
  <sheetViews>
    <sheetView workbookViewId="0"/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5" customWidth="1"/>
    <col min="4" max="4" width="18.85546875" style="4" customWidth="1"/>
    <col min="5" max="5" width="2.7109375" style="4" customWidth="1"/>
    <col min="6" max="6" width="43.85546875" style="4" customWidth="1"/>
    <col min="7" max="7" width="5.5703125" style="4" bestFit="1" customWidth="1"/>
    <col min="8" max="16384" width="11.42578125" style="4"/>
  </cols>
  <sheetData>
    <row r="1" spans="1:4" ht="33.75" customHeight="1" x14ac:dyDescent="0.2">
      <c r="A1" s="1">
        <v>6</v>
      </c>
      <c r="B1" s="2" t="s">
        <v>0</v>
      </c>
      <c r="C1" s="3"/>
    </row>
    <row r="2" spans="1:4" ht="21" customHeight="1" x14ac:dyDescent="0.2">
      <c r="A2" s="5" t="s">
        <v>1</v>
      </c>
      <c r="B2" s="6" t="str">
        <f>VLOOKUP($A$1,Dados!$A$6:$G$12,7,0)</f>
        <v>Analista de Suporte Junior - 30 horas semanais</v>
      </c>
      <c r="C2" s="6"/>
      <c r="D2" s="6"/>
    </row>
    <row r="3" spans="1:4" ht="21" customHeight="1" x14ac:dyDescent="0.2">
      <c r="A3" s="5" t="s">
        <v>2</v>
      </c>
      <c r="B3" s="7" t="s">
        <v>144</v>
      </c>
      <c r="C3" s="5" t="s">
        <v>3</v>
      </c>
      <c r="D3" s="118">
        <v>46143</v>
      </c>
    </row>
    <row r="4" spans="1:4" s="11" customFormat="1" ht="21.75" customHeight="1" x14ac:dyDescent="0.2">
      <c r="A4" s="8"/>
      <c r="B4" s="9"/>
      <c r="C4" s="9"/>
      <c r="D4" s="10" t="s">
        <v>4</v>
      </c>
    </row>
    <row r="5" spans="1:4" s="14" customFormat="1" x14ac:dyDescent="0.2">
      <c r="A5" s="153" t="s">
        <v>5</v>
      </c>
      <c r="B5" s="153"/>
      <c r="C5" s="12" t="s">
        <v>6</v>
      </c>
      <c r="D5" s="13" t="s">
        <v>7</v>
      </c>
    </row>
    <row r="6" spans="1:4" s="14" customFormat="1" ht="11.45" customHeight="1" x14ac:dyDescent="0.2">
      <c r="A6" s="152"/>
      <c r="B6" s="15" t="s">
        <v>8</v>
      </c>
      <c r="C6" s="16"/>
      <c r="D6" s="17">
        <v>3781.48</v>
      </c>
    </row>
    <row r="7" spans="1:4" s="14" customFormat="1" x14ac:dyDescent="0.2">
      <c r="A7" s="152"/>
      <c r="B7" s="18" t="s">
        <v>111</v>
      </c>
      <c r="C7" s="16"/>
      <c r="D7" s="17"/>
    </row>
    <row r="8" spans="1:4" s="14" customFormat="1" ht="11.45" customHeight="1" x14ac:dyDescent="0.2">
      <c r="A8" s="152"/>
      <c r="B8" s="15" t="s">
        <v>9</v>
      </c>
      <c r="C8" s="19"/>
      <c r="D8" s="17"/>
    </row>
    <row r="9" spans="1:4" s="14" customFormat="1" ht="11.45" customHeight="1" x14ac:dyDescent="0.2">
      <c r="A9" s="152"/>
      <c r="B9" s="15" t="s">
        <v>10</v>
      </c>
      <c r="C9" s="19"/>
      <c r="D9" s="17"/>
    </row>
    <row r="10" spans="1:4" s="14" customFormat="1" ht="11.45" customHeight="1" x14ac:dyDescent="0.2">
      <c r="A10" s="152"/>
      <c r="B10" s="15" t="s">
        <v>112</v>
      </c>
      <c r="C10" s="19"/>
      <c r="D10" s="17"/>
    </row>
    <row r="11" spans="1:4" s="14" customFormat="1" ht="11.45" customHeight="1" x14ac:dyDescent="0.2">
      <c r="A11" s="152"/>
      <c r="B11" s="15" t="s">
        <v>11</v>
      </c>
      <c r="C11" s="19"/>
      <c r="D11" s="17"/>
    </row>
    <row r="12" spans="1:4" s="14" customFormat="1" ht="11.45" customHeight="1" x14ac:dyDescent="0.2">
      <c r="A12" s="152"/>
      <c r="B12" s="15" t="s">
        <v>12</v>
      </c>
      <c r="C12" s="19"/>
      <c r="D12" s="17"/>
    </row>
    <row r="13" spans="1:4" s="14" customFormat="1" ht="11.45" customHeight="1" x14ac:dyDescent="0.2">
      <c r="A13" s="152"/>
      <c r="B13" s="15" t="s">
        <v>13</v>
      </c>
      <c r="C13" s="19"/>
      <c r="D13" s="17"/>
    </row>
    <row r="14" spans="1:4" s="23" customFormat="1" x14ac:dyDescent="0.2">
      <c r="A14" s="152"/>
      <c r="B14" s="20" t="s">
        <v>14</v>
      </c>
      <c r="C14" s="21"/>
      <c r="D14" s="22">
        <f>ROUND(SUM(D6:D13),2)</f>
        <v>3781.48</v>
      </c>
    </row>
    <row r="15" spans="1:4" ht="13.5" customHeight="1" x14ac:dyDescent="0.2">
      <c r="A15" s="153" t="s">
        <v>15</v>
      </c>
      <c r="B15" s="153"/>
      <c r="C15" s="24"/>
      <c r="D15" s="24"/>
    </row>
    <row r="16" spans="1:4" ht="13.5" customHeight="1" x14ac:dyDescent="0.2">
      <c r="A16" s="154"/>
      <c r="B16" s="15" t="s">
        <v>149</v>
      </c>
      <c r="C16" s="16"/>
      <c r="D16" s="25">
        <f>IF(((5.5*2)*22) &lt; (D6*6%), 0, ((5.5*2)*22)-(D6*6%))</f>
        <v>15.111199999999997</v>
      </c>
    </row>
    <row r="17" spans="1:8" ht="13.5" customHeight="1" x14ac:dyDescent="0.2">
      <c r="A17" s="154"/>
      <c r="B17" s="15" t="s">
        <v>148</v>
      </c>
      <c r="C17" s="16"/>
      <c r="D17" s="148">
        <f>48.17*22</f>
        <v>1059.74</v>
      </c>
    </row>
    <row r="18" spans="1:8" ht="13.5" hidden="1" customHeight="1" x14ac:dyDescent="0.2">
      <c r="A18" s="154"/>
      <c r="B18" s="15" t="s">
        <v>16</v>
      </c>
      <c r="C18" s="16"/>
      <c r="D18" s="17"/>
    </row>
    <row r="19" spans="1:8" ht="13.5" customHeight="1" x14ac:dyDescent="0.2">
      <c r="A19" s="154"/>
      <c r="B19" s="15" t="s">
        <v>141</v>
      </c>
      <c r="C19" s="16"/>
      <c r="D19" s="17">
        <f>IF(D6&lt;2800.22,304.68*70%,IF(D6&lt;4668.4,304.68*60%,304.68*50%))</f>
        <v>182.80799999999999</v>
      </c>
      <c r="F19" s="55"/>
    </row>
    <row r="20" spans="1:8" ht="13.5" customHeight="1" x14ac:dyDescent="0.2">
      <c r="A20" s="154"/>
      <c r="B20" s="15" t="s">
        <v>142</v>
      </c>
      <c r="C20" s="16"/>
      <c r="D20" s="17">
        <v>2.9</v>
      </c>
    </row>
    <row r="21" spans="1:8" ht="13.5" customHeight="1" x14ac:dyDescent="0.2">
      <c r="A21" s="154"/>
      <c r="B21" s="15" t="s">
        <v>143</v>
      </c>
      <c r="C21" s="16"/>
      <c r="D21" s="17">
        <v>3.77</v>
      </c>
    </row>
    <row r="22" spans="1:8" ht="13.5" hidden="1" customHeight="1" x14ac:dyDescent="0.2">
      <c r="A22" s="154"/>
      <c r="B22" s="15"/>
      <c r="C22" s="16"/>
      <c r="D22" s="17"/>
    </row>
    <row r="23" spans="1:8" ht="13.5" customHeight="1" x14ac:dyDescent="0.2">
      <c r="A23" s="154"/>
      <c r="B23" s="20" t="s">
        <v>17</v>
      </c>
      <c r="C23" s="16"/>
      <c r="D23" s="22">
        <f>ROUND(SUM(D16:D22),2)</f>
        <v>1264.33</v>
      </c>
    </row>
    <row r="24" spans="1:8" ht="13.5" customHeight="1" x14ac:dyDescent="0.2">
      <c r="A24" s="153" t="s">
        <v>18</v>
      </c>
      <c r="B24" s="153"/>
      <c r="C24" s="26"/>
      <c r="D24" s="24"/>
      <c r="G24" s="27"/>
    </row>
    <row r="25" spans="1:8" ht="13.5" customHeight="1" x14ac:dyDescent="0.2">
      <c r="A25" s="28"/>
      <c r="B25" s="29" t="s">
        <v>19</v>
      </c>
      <c r="C25" s="16"/>
      <c r="D25" s="30"/>
      <c r="G25" s="27"/>
      <c r="H25" s="27"/>
    </row>
    <row r="26" spans="1:8" ht="13.5" customHeight="1" x14ac:dyDescent="0.2">
      <c r="A26" s="155"/>
      <c r="B26" s="15" t="s">
        <v>107</v>
      </c>
      <c r="C26" s="16"/>
      <c r="D26" s="17">
        <v>0</v>
      </c>
    </row>
    <row r="27" spans="1:8" ht="13.5" customHeight="1" x14ac:dyDescent="0.2">
      <c r="A27" s="155"/>
      <c r="B27" s="15" t="s">
        <v>108</v>
      </c>
      <c r="C27" s="16"/>
      <c r="D27" s="17">
        <v>0</v>
      </c>
    </row>
    <row r="28" spans="1:8" ht="13.5" customHeight="1" x14ac:dyDescent="0.2">
      <c r="A28" s="155"/>
      <c r="B28" s="15" t="s">
        <v>150</v>
      </c>
      <c r="C28" s="16"/>
      <c r="D28" s="17">
        <v>6.88</v>
      </c>
    </row>
    <row r="29" spans="1:8" ht="13.5" customHeight="1" x14ac:dyDescent="0.2">
      <c r="A29" s="155"/>
      <c r="B29" s="15"/>
      <c r="C29" s="16"/>
      <c r="D29" s="17"/>
    </row>
    <row r="30" spans="1:8" ht="13.5" customHeight="1" x14ac:dyDescent="0.2">
      <c r="A30" s="155"/>
      <c r="B30" s="20" t="s">
        <v>20</v>
      </c>
      <c r="C30" s="16"/>
      <c r="D30" s="22">
        <f>SUM(D26:D29)</f>
        <v>6.88</v>
      </c>
    </row>
    <row r="31" spans="1:8" ht="13.5" customHeight="1" x14ac:dyDescent="0.2">
      <c r="A31" s="153" t="s">
        <v>21</v>
      </c>
      <c r="B31" s="153"/>
      <c r="C31" s="26"/>
      <c r="D31" s="24"/>
    </row>
    <row r="32" spans="1:8" x14ac:dyDescent="0.2">
      <c r="A32" s="151" t="s">
        <v>22</v>
      </c>
      <c r="B32" s="151"/>
      <c r="C32" s="31" t="s">
        <v>6</v>
      </c>
      <c r="D32" s="32" t="s">
        <v>23</v>
      </c>
    </row>
    <row r="33" spans="1:7" ht="11.45" customHeight="1" x14ac:dyDescent="0.2">
      <c r="A33" s="152"/>
      <c r="B33" s="15" t="s">
        <v>24</v>
      </c>
      <c r="C33" s="140">
        <v>0.1</v>
      </c>
      <c r="D33" s="141">
        <f>ROUND(C33*D$14,2)</f>
        <v>378.15</v>
      </c>
    </row>
    <row r="34" spans="1:7" ht="11.45" customHeight="1" x14ac:dyDescent="0.2">
      <c r="A34" s="152"/>
      <c r="B34" s="15" t="s">
        <v>25</v>
      </c>
      <c r="C34" s="33">
        <v>1.4999999999999999E-2</v>
      </c>
      <c r="D34" s="34">
        <f t="shared" ref="D34:D40" si="0">ROUND(C34*D$14,2)</f>
        <v>56.72</v>
      </c>
    </row>
    <row r="35" spans="1:7" ht="11.45" customHeight="1" x14ac:dyDescent="0.2">
      <c r="A35" s="152"/>
      <c r="B35" s="15" t="s">
        <v>26</v>
      </c>
      <c r="C35" s="33">
        <v>0.01</v>
      </c>
      <c r="D35" s="34">
        <f t="shared" si="0"/>
        <v>37.81</v>
      </c>
    </row>
    <row r="36" spans="1:7" ht="11.45" customHeight="1" x14ac:dyDescent="0.2">
      <c r="A36" s="152"/>
      <c r="B36" s="15" t="s">
        <v>27</v>
      </c>
      <c r="C36" s="33">
        <v>2E-3</v>
      </c>
      <c r="D36" s="34">
        <f t="shared" si="0"/>
        <v>7.56</v>
      </c>
    </row>
    <row r="37" spans="1:7" ht="11.45" customHeight="1" x14ac:dyDescent="0.2">
      <c r="A37" s="152"/>
      <c r="B37" s="15" t="s">
        <v>28</v>
      </c>
      <c r="C37" s="33">
        <v>2.5000000000000001E-2</v>
      </c>
      <c r="D37" s="34">
        <f t="shared" si="0"/>
        <v>94.54</v>
      </c>
    </row>
    <row r="38" spans="1:7" ht="11.45" customHeight="1" x14ac:dyDescent="0.2">
      <c r="A38" s="152"/>
      <c r="B38" s="15" t="s">
        <v>29</v>
      </c>
      <c r="C38" s="33">
        <v>0.08</v>
      </c>
      <c r="D38" s="34">
        <f t="shared" si="0"/>
        <v>302.52</v>
      </c>
    </row>
    <row r="39" spans="1:7" x14ac:dyDescent="0.2">
      <c r="A39" s="152"/>
      <c r="B39" s="18" t="s">
        <v>30</v>
      </c>
      <c r="C39" s="144">
        <v>1.2489E-2</v>
      </c>
      <c r="D39" s="141">
        <f t="shared" si="0"/>
        <v>47.23</v>
      </c>
    </row>
    <row r="40" spans="1:7" ht="12" customHeight="1" x14ac:dyDescent="0.2">
      <c r="A40" s="152"/>
      <c r="B40" s="15" t="s">
        <v>31</v>
      </c>
      <c r="C40" s="35">
        <v>6.0000000000000001E-3</v>
      </c>
      <c r="D40" s="34">
        <f t="shared" si="0"/>
        <v>22.69</v>
      </c>
    </row>
    <row r="41" spans="1:7" s="39" customFormat="1" ht="13.9" customHeight="1" x14ac:dyDescent="0.2">
      <c r="A41" s="152"/>
      <c r="B41" s="36" t="s">
        <v>32</v>
      </c>
      <c r="C41" s="37">
        <f>SUM(C33:C40)</f>
        <v>0.25048899999999996</v>
      </c>
      <c r="D41" s="38">
        <f>ROUND(SUM(D33:D40),2)</f>
        <v>947.22</v>
      </c>
      <c r="F41" s="40"/>
    </row>
    <row r="42" spans="1:7" x14ac:dyDescent="0.2">
      <c r="A42" s="151" t="s">
        <v>33</v>
      </c>
      <c r="B42" s="151"/>
      <c r="C42" s="41" t="s">
        <v>6</v>
      </c>
      <c r="D42" s="42" t="s">
        <v>23</v>
      </c>
    </row>
    <row r="43" spans="1:7" ht="11.45" customHeight="1" x14ac:dyDescent="0.2">
      <c r="A43" s="152"/>
      <c r="B43" s="15" t="s">
        <v>34</v>
      </c>
      <c r="C43" s="43">
        <f>ROUND(1/12,7)</f>
        <v>8.3333299999999999E-2</v>
      </c>
      <c r="D43" s="34">
        <f>ROUND(C43*D$14,2)</f>
        <v>315.12</v>
      </c>
    </row>
    <row r="44" spans="1:7" ht="13.5" customHeight="1" x14ac:dyDescent="0.2">
      <c r="A44" s="152"/>
      <c r="B44" s="44" t="s">
        <v>35</v>
      </c>
      <c r="C44" s="145">
        <f>ROUND(($C$41-C33)*C$43,7)</f>
        <v>1.25407E-2</v>
      </c>
      <c r="D44" s="34">
        <f>ROUND(C44*D$14,2)</f>
        <v>47.42</v>
      </c>
      <c r="F44" s="45" t="s">
        <v>36</v>
      </c>
    </row>
    <row r="45" spans="1:7" ht="11.45" customHeight="1" x14ac:dyDescent="0.2">
      <c r="A45" s="152"/>
      <c r="B45" s="44"/>
      <c r="C45" s="46"/>
      <c r="D45" s="47"/>
    </row>
    <row r="46" spans="1:7" ht="11.45" customHeight="1" x14ac:dyDescent="0.2">
      <c r="A46" s="152"/>
      <c r="B46" s="36" t="s">
        <v>32</v>
      </c>
      <c r="C46" s="37">
        <f>SUM(C43:C45)</f>
        <v>9.5874000000000001E-2</v>
      </c>
      <c r="D46" s="38">
        <f>ROUND(SUM(D43:D44),2)</f>
        <v>362.54</v>
      </c>
    </row>
    <row r="47" spans="1:7" ht="11.45" customHeight="1" x14ac:dyDescent="0.2">
      <c r="A47" s="151" t="s">
        <v>37</v>
      </c>
      <c r="B47" s="151"/>
      <c r="C47" s="41" t="s">
        <v>6</v>
      </c>
      <c r="D47" s="42" t="s">
        <v>23</v>
      </c>
    </row>
    <row r="48" spans="1:7" ht="12" customHeight="1" x14ac:dyDescent="0.2">
      <c r="A48" s="48"/>
      <c r="B48" s="49" t="s">
        <v>38</v>
      </c>
      <c r="C48" s="50">
        <f>ROUND((((1+1/3)*(G48/12)/12)*G49),7)</f>
        <v>3.704E-4</v>
      </c>
      <c r="D48" s="34">
        <f>ROUND(C48*D$14,2)</f>
        <v>1.4</v>
      </c>
      <c r="F48" s="51" t="s">
        <v>39</v>
      </c>
      <c r="G48" s="1">
        <v>4</v>
      </c>
    </row>
    <row r="49" spans="1:7" ht="11.45" customHeight="1" x14ac:dyDescent="0.2">
      <c r="A49" s="48"/>
      <c r="B49" s="44" t="s">
        <v>40</v>
      </c>
      <c r="C49" s="52">
        <f>ROUND(C41*C48,7)</f>
        <v>9.2800000000000006E-5</v>
      </c>
      <c r="D49" s="34">
        <f>ROUND(C49*D$14,2)</f>
        <v>0.35</v>
      </c>
      <c r="F49" s="51" t="s">
        <v>41</v>
      </c>
      <c r="G49" s="53">
        <v>0.01</v>
      </c>
    </row>
    <row r="50" spans="1:7" ht="11.45" customHeight="1" x14ac:dyDescent="0.2">
      <c r="A50" s="48"/>
      <c r="B50" s="36" t="s">
        <v>32</v>
      </c>
      <c r="C50" s="37">
        <f>SUM(C48:C49)</f>
        <v>4.6319999999999998E-4</v>
      </c>
      <c r="D50" s="38">
        <f>ROUND(SUM(D48:D49),2)</f>
        <v>1.75</v>
      </c>
    </row>
    <row r="51" spans="1:7" ht="11.45" customHeight="1" x14ac:dyDescent="0.2">
      <c r="A51" s="151" t="s">
        <v>42</v>
      </c>
      <c r="B51" s="151"/>
      <c r="C51" s="41" t="s">
        <v>6</v>
      </c>
      <c r="D51" s="42" t="s">
        <v>23</v>
      </c>
    </row>
    <row r="52" spans="1:7" ht="11.45" customHeight="1" x14ac:dyDescent="0.2">
      <c r="A52" s="152"/>
      <c r="B52" s="15" t="s">
        <v>43</v>
      </c>
      <c r="C52" s="146">
        <f>ROUND(((1/12)*G52),7)</f>
        <v>1.66667E-2</v>
      </c>
      <c r="D52" s="47">
        <f>ROUND(C52*D$14,2)</f>
        <v>63.02</v>
      </c>
      <c r="F52" s="51" t="s">
        <v>44</v>
      </c>
      <c r="G52" s="147">
        <v>0.2</v>
      </c>
    </row>
    <row r="53" spans="1:7" ht="11.45" customHeight="1" x14ac:dyDescent="0.2">
      <c r="A53" s="152"/>
      <c r="B53" s="44" t="s">
        <v>45</v>
      </c>
      <c r="C53" s="35">
        <f>ROUND(C$38*C$52,7)</f>
        <v>1.3332999999999999E-3</v>
      </c>
      <c r="D53" s="47">
        <f t="shared" ref="D53:D56" si="1">ROUND(C53*D$14,2)</f>
        <v>5.04</v>
      </c>
      <c r="F53" s="51" t="s">
        <v>46</v>
      </c>
      <c r="G53" s="54">
        <v>0.8</v>
      </c>
    </row>
    <row r="54" spans="1:7" ht="11.45" customHeight="1" x14ac:dyDescent="0.2">
      <c r="A54" s="152"/>
      <c r="B54" s="15" t="s">
        <v>47</v>
      </c>
      <c r="C54" s="52">
        <f>ROUND((7/30/12*(G53)),7)</f>
        <v>1.5555599999999999E-2</v>
      </c>
      <c r="D54" s="47">
        <f t="shared" si="1"/>
        <v>58.82</v>
      </c>
      <c r="F54" s="51" t="s">
        <v>48</v>
      </c>
      <c r="G54" s="147">
        <f>SUM(G52:G53)</f>
        <v>1</v>
      </c>
    </row>
    <row r="55" spans="1:7" ht="11.45" customHeight="1" x14ac:dyDescent="0.2">
      <c r="A55" s="152"/>
      <c r="B55" s="44" t="s">
        <v>49</v>
      </c>
      <c r="C55" s="52">
        <f>ROUND(C$54*C$41,7)</f>
        <v>3.8964999999999998E-3</v>
      </c>
      <c r="D55" s="47">
        <f t="shared" si="1"/>
        <v>14.73</v>
      </c>
    </row>
    <row r="56" spans="1:7" ht="11.45" customHeight="1" x14ac:dyDescent="0.2">
      <c r="A56" s="152"/>
      <c r="B56" s="49" t="s">
        <v>50</v>
      </c>
      <c r="C56" s="52">
        <f>ROUND((((1+(1/12)+(1/12)+(1/3*1/12))*0.4)*0.08)*1,7)</f>
        <v>3.8222199999999998E-2</v>
      </c>
      <c r="D56" s="47">
        <f t="shared" si="1"/>
        <v>144.54</v>
      </c>
    </row>
    <row r="57" spans="1:7" ht="11.45" customHeight="1" x14ac:dyDescent="0.2">
      <c r="A57" s="152"/>
      <c r="B57" s="36" t="s">
        <v>32</v>
      </c>
      <c r="C57" s="37">
        <f>SUM(C52:C56)</f>
        <v>7.56743E-2</v>
      </c>
      <c r="D57" s="38">
        <f>ROUND(SUM(D52:D56),2)</f>
        <v>286.14999999999998</v>
      </c>
    </row>
    <row r="58" spans="1:7" ht="11.45" customHeight="1" x14ac:dyDescent="0.2">
      <c r="A58" s="151" t="s">
        <v>51</v>
      </c>
      <c r="B58" s="151"/>
      <c r="C58" s="41" t="s">
        <v>6</v>
      </c>
      <c r="D58" s="42" t="s">
        <v>23</v>
      </c>
      <c r="F58" s="55"/>
    </row>
    <row r="59" spans="1:7" ht="11.45" customHeight="1" x14ac:dyDescent="0.2">
      <c r="A59" s="152"/>
      <c r="B59" s="112" t="s">
        <v>109</v>
      </c>
      <c r="C59" s="138">
        <f>Item01!C59</f>
        <v>0</v>
      </c>
      <c r="D59" s="139">
        <f>ROUND(C59*D$14,2)</f>
        <v>0</v>
      </c>
    </row>
    <row r="60" spans="1:7" ht="11.45" customHeight="1" x14ac:dyDescent="0.2">
      <c r="A60" s="152"/>
      <c r="B60" s="15" t="s">
        <v>52</v>
      </c>
      <c r="C60" s="43">
        <f>ROUND(1/3*1/12,7)</f>
        <v>2.7777799999999998E-2</v>
      </c>
      <c r="D60" s="34">
        <f t="shared" ref="D60:D66" si="2">ROUND(C60*D$14,2)</f>
        <v>105.04</v>
      </c>
    </row>
    <row r="61" spans="1:7" ht="11.45" customHeight="1" x14ac:dyDescent="0.2">
      <c r="A61" s="152"/>
      <c r="B61" s="15" t="s">
        <v>53</v>
      </c>
      <c r="C61" s="43">
        <f>ROUND($G$61/30/12,7)</f>
        <v>5.5555999999999999E-3</v>
      </c>
      <c r="D61" s="34">
        <f t="shared" si="2"/>
        <v>21.01</v>
      </c>
      <c r="F61" s="51" t="s">
        <v>54</v>
      </c>
      <c r="G61" s="56">
        <v>2</v>
      </c>
    </row>
    <row r="62" spans="1:7" ht="11.45" customHeight="1" x14ac:dyDescent="0.2">
      <c r="A62" s="152"/>
      <c r="B62" s="15" t="s">
        <v>55</v>
      </c>
      <c r="C62" s="43">
        <f>ROUND((1/30/12*$G$62)*$G$63,7)</f>
        <v>1.3889999999999999E-4</v>
      </c>
      <c r="D62" s="34">
        <f t="shared" si="2"/>
        <v>0.53</v>
      </c>
      <c r="F62" s="51" t="s">
        <v>56</v>
      </c>
      <c r="G62" s="56">
        <v>5</v>
      </c>
    </row>
    <row r="63" spans="1:7" ht="11.45" customHeight="1" x14ac:dyDescent="0.2">
      <c r="A63" s="152"/>
      <c r="B63" s="15" t="s">
        <v>57</v>
      </c>
      <c r="C63" s="43">
        <f>ROUND((1/30/12)*$G$64,7)</f>
        <v>2.7778E-3</v>
      </c>
      <c r="D63" s="34">
        <f t="shared" si="2"/>
        <v>10.5</v>
      </c>
      <c r="F63" s="51" t="s">
        <v>58</v>
      </c>
      <c r="G63" s="54">
        <v>0.01</v>
      </c>
    </row>
    <row r="64" spans="1:7" ht="11.45" customHeight="1" x14ac:dyDescent="0.2">
      <c r="A64" s="152"/>
      <c r="B64" s="15" t="s">
        <v>59</v>
      </c>
      <c r="C64" s="43">
        <f>ROUND((((1/30)/12)*$G$65)*$G$66,7)</f>
        <v>4.1669999999999999E-4</v>
      </c>
      <c r="D64" s="34">
        <f t="shared" si="2"/>
        <v>1.58</v>
      </c>
      <c r="F64" s="51" t="s">
        <v>60</v>
      </c>
      <c r="G64" s="56">
        <v>1</v>
      </c>
    </row>
    <row r="65" spans="1:7" ht="11.45" customHeight="1" x14ac:dyDescent="0.2">
      <c r="A65" s="152"/>
      <c r="B65" s="20" t="s">
        <v>61</v>
      </c>
      <c r="C65" s="57">
        <f>SUM(C59:C64)</f>
        <v>3.6666799999999992E-2</v>
      </c>
      <c r="D65" s="30">
        <f t="shared" si="2"/>
        <v>138.65</v>
      </c>
      <c r="F65" s="51" t="s">
        <v>62</v>
      </c>
      <c r="G65" s="56">
        <v>15</v>
      </c>
    </row>
    <row r="66" spans="1:7" ht="11.45" customHeight="1" x14ac:dyDescent="0.2">
      <c r="A66" s="152"/>
      <c r="B66" s="44" t="s">
        <v>63</v>
      </c>
      <c r="C66" s="57">
        <f>ROUND(C65*C41,7)</f>
        <v>9.1845999999999994E-3</v>
      </c>
      <c r="D66" s="34">
        <f t="shared" si="2"/>
        <v>34.729999999999997</v>
      </c>
      <c r="F66" s="51" t="s">
        <v>64</v>
      </c>
      <c r="G66" s="54">
        <v>0.01</v>
      </c>
    </row>
    <row r="67" spans="1:7" ht="11.45" customHeight="1" x14ac:dyDescent="0.2">
      <c r="A67" s="152"/>
      <c r="B67" s="36" t="s">
        <v>32</v>
      </c>
      <c r="C67" s="58">
        <f>C65+C66</f>
        <v>4.5851399999999994E-2</v>
      </c>
      <c r="D67" s="38">
        <f>ROUND(D65+D66,2)</f>
        <v>173.38</v>
      </c>
    </row>
    <row r="68" spans="1:7" ht="21" customHeight="1" x14ac:dyDescent="0.2">
      <c r="A68" s="153" t="s">
        <v>65</v>
      </c>
      <c r="B68" s="153"/>
      <c r="C68" s="59"/>
      <c r="D68" s="59"/>
    </row>
    <row r="69" spans="1:7" ht="11.45" customHeight="1" x14ac:dyDescent="0.2">
      <c r="A69" s="60">
        <v>4</v>
      </c>
      <c r="B69" s="1" t="s">
        <v>66</v>
      </c>
      <c r="C69" s="61"/>
      <c r="D69" s="47"/>
    </row>
    <row r="70" spans="1:7" ht="11.45" customHeight="1" x14ac:dyDescent="0.2">
      <c r="A70" s="60" t="s">
        <v>67</v>
      </c>
      <c r="B70" s="62" t="s">
        <v>68</v>
      </c>
      <c r="C70" s="63">
        <f>C41</f>
        <v>0.25048899999999996</v>
      </c>
      <c r="D70" s="64">
        <f>D41</f>
        <v>947.22</v>
      </c>
    </row>
    <row r="71" spans="1:7" ht="11.45" customHeight="1" x14ac:dyDescent="0.2">
      <c r="A71" s="60" t="s">
        <v>69</v>
      </c>
      <c r="B71" s="48" t="s">
        <v>70</v>
      </c>
      <c r="C71" s="63">
        <f>C46</f>
        <v>9.5874000000000001E-2</v>
      </c>
      <c r="D71" s="64">
        <f>D46</f>
        <v>362.54</v>
      </c>
    </row>
    <row r="72" spans="1:7" ht="11.45" customHeight="1" x14ac:dyDescent="0.2">
      <c r="A72" s="60" t="s">
        <v>71</v>
      </c>
      <c r="B72" s="48" t="s">
        <v>72</v>
      </c>
      <c r="C72" s="63">
        <f>C50</f>
        <v>4.6319999999999998E-4</v>
      </c>
      <c r="D72" s="64">
        <f>D50</f>
        <v>1.75</v>
      </c>
    </row>
    <row r="73" spans="1:7" ht="11.45" customHeight="1" x14ac:dyDescent="0.2">
      <c r="A73" s="60" t="s">
        <v>73</v>
      </c>
      <c r="B73" s="48" t="s">
        <v>74</v>
      </c>
      <c r="C73" s="63">
        <f>C57</f>
        <v>7.56743E-2</v>
      </c>
      <c r="D73" s="64">
        <f>D57</f>
        <v>286.14999999999998</v>
      </c>
    </row>
    <row r="74" spans="1:7" ht="11.45" customHeight="1" x14ac:dyDescent="0.2">
      <c r="A74" s="60" t="s">
        <v>75</v>
      </c>
      <c r="B74" s="48" t="s">
        <v>76</v>
      </c>
      <c r="C74" s="63">
        <f>C67</f>
        <v>4.5851399999999994E-2</v>
      </c>
      <c r="D74" s="64">
        <f>D67</f>
        <v>173.38</v>
      </c>
    </row>
    <row r="75" spans="1:7" ht="11.45" customHeight="1" x14ac:dyDescent="0.2">
      <c r="A75" s="48"/>
      <c r="B75" s="36" t="s">
        <v>32</v>
      </c>
      <c r="C75" s="65">
        <f>SUM(C70:C74)</f>
        <v>0.46835189999999993</v>
      </c>
      <c r="D75" s="66">
        <f>SUM(D70:D74)</f>
        <v>1771.04</v>
      </c>
    </row>
    <row r="76" spans="1:7" ht="11.45" customHeight="1" x14ac:dyDescent="0.2">
      <c r="A76" s="48"/>
      <c r="B76" s="67"/>
      <c r="C76" s="68"/>
      <c r="D76" s="69"/>
    </row>
    <row r="77" spans="1:7" ht="11.45" customHeight="1" x14ac:dyDescent="0.2">
      <c r="A77" s="48"/>
      <c r="B77" s="36" t="s">
        <v>77</v>
      </c>
      <c r="C77" s="70"/>
      <c r="D77" s="71">
        <f>ROUND(D14+D23+D30+D75,2)</f>
        <v>6823.73</v>
      </c>
    </row>
    <row r="78" spans="1:7" ht="14.45" customHeight="1" x14ac:dyDescent="0.2">
      <c r="A78" s="153" t="s">
        <v>78</v>
      </c>
      <c r="B78" s="153"/>
      <c r="C78" s="72"/>
      <c r="D78" s="72"/>
    </row>
    <row r="79" spans="1:7" ht="11.45" customHeight="1" x14ac:dyDescent="0.2">
      <c r="A79" s="60">
        <v>5</v>
      </c>
      <c r="B79" s="44"/>
      <c r="C79" s="31" t="s">
        <v>6</v>
      </c>
      <c r="D79" s="32" t="s">
        <v>23</v>
      </c>
    </row>
    <row r="80" spans="1:7" ht="11.45" customHeight="1" x14ac:dyDescent="0.2">
      <c r="A80" s="60" t="s">
        <v>79</v>
      </c>
      <c r="B80" s="73" t="s">
        <v>80</v>
      </c>
      <c r="C80" s="74">
        <f>Item01!C80</f>
        <v>5.0000000000000001E-3</v>
      </c>
      <c r="D80" s="34">
        <f>ROUND(C80*$D$77,2)</f>
        <v>34.119999999999997</v>
      </c>
      <c r="E80" s="75"/>
    </row>
    <row r="81" spans="1:7" ht="11.45" customHeight="1" x14ac:dyDescent="0.2">
      <c r="A81" s="60" t="s">
        <v>81</v>
      </c>
      <c r="B81" s="76" t="s">
        <v>82</v>
      </c>
      <c r="C81" s="63">
        <f>Item01!C81</f>
        <v>1.9967059751955753E-2</v>
      </c>
      <c r="D81" s="34">
        <f>ROUND((D$77+D$80)*C$81,2)</f>
        <v>136.93</v>
      </c>
      <c r="E81" s="77"/>
    </row>
    <row r="82" spans="1:7" ht="11.45" customHeight="1" x14ac:dyDescent="0.2">
      <c r="A82" s="78" t="s">
        <v>83</v>
      </c>
      <c r="B82" s="76" t="s">
        <v>84</v>
      </c>
      <c r="C82" s="63">
        <f>SUM(C83:C88)</f>
        <v>0.11349999999999999</v>
      </c>
      <c r="D82" s="79">
        <f>SUM(D83:D88)</f>
        <v>895.56</v>
      </c>
      <c r="E82" s="75"/>
    </row>
    <row r="83" spans="1:7" ht="11.45" customHeight="1" x14ac:dyDescent="0.2">
      <c r="A83" s="149" t="s">
        <v>85</v>
      </c>
      <c r="B83" s="80" t="s">
        <v>86</v>
      </c>
      <c r="C83" s="81">
        <f>Item01!C83</f>
        <v>6.4999999999999997E-3</v>
      </c>
      <c r="D83" s="82">
        <f>ROUND(C83*D92,2)</f>
        <v>51.29</v>
      </c>
      <c r="E83" s="75"/>
    </row>
    <row r="84" spans="1:7" ht="11.45" customHeight="1" x14ac:dyDescent="0.2">
      <c r="A84" s="150"/>
      <c r="B84" s="80" t="s">
        <v>87</v>
      </c>
      <c r="C84" s="83">
        <f>Item01!C84</f>
        <v>0.03</v>
      </c>
      <c r="D84" s="82">
        <f>ROUND(C84*D92,2)</f>
        <v>236.71</v>
      </c>
      <c r="E84" s="75"/>
    </row>
    <row r="85" spans="1:7" ht="11.45" customHeight="1" x14ac:dyDescent="0.2">
      <c r="A85" s="60" t="s">
        <v>88</v>
      </c>
      <c r="B85" s="15" t="s">
        <v>89</v>
      </c>
      <c r="C85" s="81"/>
      <c r="D85" s="82"/>
      <c r="E85" s="75"/>
    </row>
    <row r="86" spans="1:7" x14ac:dyDescent="0.2">
      <c r="A86" s="60" t="s">
        <v>90</v>
      </c>
      <c r="B86" s="15" t="s">
        <v>91</v>
      </c>
      <c r="C86" s="81">
        <f>Item01!C86</f>
        <v>0.05</v>
      </c>
      <c r="D86" s="82">
        <f>ROUND(C86*D92,2)</f>
        <v>394.52</v>
      </c>
    </row>
    <row r="87" spans="1:7" x14ac:dyDescent="0.2">
      <c r="A87" s="60" t="s">
        <v>92</v>
      </c>
      <c r="B87" s="49" t="s">
        <v>93</v>
      </c>
      <c r="C87" s="142">
        <v>2.7E-2</v>
      </c>
      <c r="D87" s="143">
        <f>ROUND(C87*D92,2)</f>
        <v>213.04</v>
      </c>
    </row>
    <row r="88" spans="1:7" x14ac:dyDescent="0.2">
      <c r="A88" s="60"/>
      <c r="B88" s="73"/>
      <c r="C88" s="74"/>
      <c r="D88" s="34"/>
      <c r="E88" s="75"/>
    </row>
    <row r="89" spans="1:7" s="86" customFormat="1" ht="15" x14ac:dyDescent="0.2">
      <c r="A89" s="84"/>
      <c r="B89" s="36" t="s">
        <v>94</v>
      </c>
      <c r="C89" s="58">
        <f>SUM(C80:C88)</f>
        <v>0.25196705975195577</v>
      </c>
      <c r="D89" s="85">
        <f>ROUND(SUM(D80:D82),2)</f>
        <v>1066.6099999999999</v>
      </c>
    </row>
    <row r="90" spans="1:7" s="86" customFormat="1" ht="13.15" customHeight="1" x14ac:dyDescent="0.2">
      <c r="A90" s="87"/>
      <c r="B90" s="87"/>
      <c r="C90" s="88"/>
      <c r="D90" s="88"/>
    </row>
    <row r="91" spans="1:7" ht="18" customHeight="1" x14ac:dyDescent="0.2">
      <c r="A91" s="89" t="s">
        <v>95</v>
      </c>
      <c r="B91" s="90"/>
      <c r="C91" s="41" t="s">
        <v>96</v>
      </c>
      <c r="D91" s="42" t="s">
        <v>23</v>
      </c>
      <c r="F91" s="55"/>
    </row>
    <row r="92" spans="1:7" ht="16.5" customHeight="1" x14ac:dyDescent="0.2">
      <c r="A92" s="91"/>
      <c r="B92" s="92" t="s">
        <v>97</v>
      </c>
      <c r="C92" s="93">
        <v>1</v>
      </c>
      <c r="D92" s="94">
        <f>ROUND(($D$77+$D$80+$D$81)/(1-$C$82),2)</f>
        <v>7890.33</v>
      </c>
      <c r="G92" s="27"/>
    </row>
    <row r="94" spans="1:7" x14ac:dyDescent="0.2">
      <c r="D94" s="55"/>
    </row>
  </sheetData>
  <mergeCells count="19"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  <mergeCell ref="A83:A84"/>
    <mergeCell ref="A51:B51"/>
    <mergeCell ref="A52:A57"/>
    <mergeCell ref="A58:B58"/>
    <mergeCell ref="A59:A67"/>
    <mergeCell ref="A68:B68"/>
    <mergeCell ref="A78:B78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012A-F42C-42A3-A3DE-EB872CE4E4E1}">
  <dimension ref="A6:H15"/>
  <sheetViews>
    <sheetView workbookViewId="0">
      <selection activeCell="H7" sqref="H7:H12"/>
    </sheetView>
  </sheetViews>
  <sheetFormatPr defaultRowHeight="12.75" x14ac:dyDescent="0.2"/>
  <cols>
    <col min="1" max="1" width="12" bestFit="1" customWidth="1"/>
    <col min="2" max="2" width="38" bestFit="1" customWidth="1"/>
    <col min="3" max="3" width="5" bestFit="1" customWidth="1"/>
    <col min="4" max="4" width="12.7109375" bestFit="1" customWidth="1"/>
    <col min="5" max="5" width="19.85546875" bestFit="1" customWidth="1"/>
    <col min="6" max="6" width="11.5703125" bestFit="1" customWidth="1"/>
    <col min="7" max="7" width="56" bestFit="1" customWidth="1"/>
    <col min="8" max="8" width="26.140625" bestFit="1" customWidth="1"/>
  </cols>
  <sheetData>
    <row r="6" spans="1:8" x14ac:dyDescent="0.2">
      <c r="A6" s="120" t="s">
        <v>98</v>
      </c>
      <c r="B6" s="120" t="s">
        <v>110</v>
      </c>
      <c r="C6" s="120" t="s">
        <v>99</v>
      </c>
      <c r="D6" s="120" t="s">
        <v>114</v>
      </c>
      <c r="E6" s="120" t="s">
        <v>115</v>
      </c>
      <c r="F6" s="120" t="s">
        <v>116</v>
      </c>
      <c r="G6" s="120" t="s">
        <v>119</v>
      </c>
      <c r="H6" s="137" t="s">
        <v>131</v>
      </c>
    </row>
    <row r="7" spans="1:8" x14ac:dyDescent="0.2">
      <c r="A7">
        <v>1</v>
      </c>
      <c r="B7" s="120" t="s">
        <v>113</v>
      </c>
      <c r="C7" s="120">
        <v>2</v>
      </c>
      <c r="D7" s="120" t="s">
        <v>117</v>
      </c>
      <c r="E7" s="120" t="s">
        <v>118</v>
      </c>
      <c r="F7" s="121">
        <v>16240.54</v>
      </c>
      <c r="G7" t="str">
        <f t="shared" ref="G7:G12" si="0">B7&amp;" - "&amp;E7</f>
        <v>Gestor de Service Desk - 40 horas semanais</v>
      </c>
      <c r="H7" s="121">
        <v>48.17</v>
      </c>
    </row>
    <row r="8" spans="1:8" x14ac:dyDescent="0.2">
      <c r="A8">
        <v>2</v>
      </c>
      <c r="B8" s="120" t="s">
        <v>147</v>
      </c>
      <c r="C8" s="120">
        <v>12</v>
      </c>
      <c r="D8" s="120" t="s">
        <v>117</v>
      </c>
      <c r="E8" s="120" t="s">
        <v>118</v>
      </c>
      <c r="F8" s="121">
        <v>11863.8</v>
      </c>
      <c r="G8" t="str">
        <f t="shared" si="0"/>
        <v>Supervisor de Service Desk - 40 horas semanais</v>
      </c>
      <c r="H8" s="121">
        <v>48.17</v>
      </c>
    </row>
    <row r="9" spans="1:8" x14ac:dyDescent="0.2">
      <c r="A9">
        <v>3</v>
      </c>
      <c r="B9" s="120" t="s">
        <v>127</v>
      </c>
      <c r="C9" s="120">
        <v>1</v>
      </c>
      <c r="D9" s="120" t="s">
        <v>117</v>
      </c>
      <c r="E9" s="120" t="s">
        <v>118</v>
      </c>
      <c r="F9" s="121">
        <v>11000</v>
      </c>
      <c r="G9" t="str">
        <f t="shared" si="0"/>
        <v>Analista de Infraestrutura Pleno - 40 horas semanais</v>
      </c>
      <c r="H9" s="121">
        <v>48.17</v>
      </c>
    </row>
    <row r="10" spans="1:8" x14ac:dyDescent="0.2">
      <c r="A10">
        <v>4</v>
      </c>
      <c r="B10" s="120" t="s">
        <v>140</v>
      </c>
      <c r="C10" s="120">
        <v>10</v>
      </c>
      <c r="D10" s="120" t="s">
        <v>117</v>
      </c>
      <c r="E10" s="120" t="s">
        <v>118</v>
      </c>
      <c r="F10" s="121">
        <v>7487.05</v>
      </c>
      <c r="G10" t="str">
        <f t="shared" si="0"/>
        <v>Analista de Suporte Sênior - 40 horas semanais</v>
      </c>
      <c r="H10" s="121">
        <v>48.17</v>
      </c>
    </row>
    <row r="11" spans="1:8" x14ac:dyDescent="0.2">
      <c r="A11">
        <v>5</v>
      </c>
      <c r="B11" s="120" t="s">
        <v>129</v>
      </c>
      <c r="C11" s="120">
        <v>45</v>
      </c>
      <c r="D11" s="120" t="s">
        <v>117</v>
      </c>
      <c r="E11" s="120" t="s">
        <v>118</v>
      </c>
      <c r="F11" s="121">
        <v>5147.97</v>
      </c>
      <c r="G11" t="str">
        <f t="shared" si="0"/>
        <v>Analista de Suporte Pleno - 40 horas semanais</v>
      </c>
      <c r="H11" s="121">
        <v>48.17</v>
      </c>
    </row>
    <row r="12" spans="1:8" x14ac:dyDescent="0.2">
      <c r="A12">
        <v>6</v>
      </c>
      <c r="B12" s="120" t="s">
        <v>128</v>
      </c>
      <c r="C12" s="120">
        <v>39</v>
      </c>
      <c r="D12" s="120" t="s">
        <v>130</v>
      </c>
      <c r="E12" s="120" t="s">
        <v>132</v>
      </c>
      <c r="F12" s="121">
        <v>3781.48</v>
      </c>
      <c r="G12" t="str">
        <f t="shared" si="0"/>
        <v>Analista de Suporte Junior - 30 horas semanais</v>
      </c>
      <c r="H12" s="121">
        <v>48.17</v>
      </c>
    </row>
    <row r="13" spans="1:8" x14ac:dyDescent="0.2">
      <c r="C13" s="116">
        <f>SUM(C7:C12)</f>
        <v>109</v>
      </c>
    </row>
    <row r="15" spans="1:8" x14ac:dyDescent="0.2">
      <c r="A15" s="120"/>
    </row>
  </sheetData>
  <sortState xmlns:xlrd2="http://schemas.microsoft.com/office/spreadsheetml/2017/richdata2" ref="A7:I12">
    <sortCondition ref="A7:A1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12</vt:i4>
      </vt:variant>
    </vt:vector>
  </HeadingPairs>
  <TitlesOfParts>
    <vt:vector size="21" baseType="lpstr">
      <vt:lpstr>Resumo COATC</vt:lpstr>
      <vt:lpstr>Resumo Geral</vt:lpstr>
      <vt:lpstr>Item01</vt:lpstr>
      <vt:lpstr>Item02</vt:lpstr>
      <vt:lpstr>Item03</vt:lpstr>
      <vt:lpstr>Item04</vt:lpstr>
      <vt:lpstr>Item05</vt:lpstr>
      <vt:lpstr>Item06</vt:lpstr>
      <vt:lpstr>Dados</vt:lpstr>
      <vt:lpstr>Item01!Area_de_impressao</vt:lpstr>
      <vt:lpstr>Item02!Area_de_impressao</vt:lpstr>
      <vt:lpstr>Item03!Area_de_impressao</vt:lpstr>
      <vt:lpstr>Item04!Area_de_impressao</vt:lpstr>
      <vt:lpstr>Item05!Area_de_impressao</vt:lpstr>
      <vt:lpstr>Item06!Area_de_impressao</vt:lpstr>
      <vt:lpstr>Item01!Print_Area</vt:lpstr>
      <vt:lpstr>Item02!Print_Area</vt:lpstr>
      <vt:lpstr>Item03!Print_Area</vt:lpstr>
      <vt:lpstr>Item04!Print_Area</vt:lpstr>
      <vt:lpstr>Item05!Print_Area</vt:lpstr>
      <vt:lpstr>Item06!Print_Area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José Carlos Dutra</cp:lastModifiedBy>
  <cp:lastPrinted>2025-08-29T17:16:04Z</cp:lastPrinted>
  <dcterms:created xsi:type="dcterms:W3CDTF">2020-07-08T17:34:51Z</dcterms:created>
  <dcterms:modified xsi:type="dcterms:W3CDTF">2026-04-30T13:20:18Z</dcterms:modified>
</cp:coreProperties>
</file>